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ammy\Documents\Game Notes\fantasy-football-analysis\"/>
    </mc:Choice>
  </mc:AlternateContent>
  <xr:revisionPtr revIDLastSave="0" documentId="13_ncr:1_{8F041C61-8F00-43A4-8F21-854D41EA0D52}" xr6:coauthVersionLast="47" xr6:coauthVersionMax="47" xr10:uidLastSave="{00000000-0000-0000-0000-000000000000}"/>
  <bookViews>
    <workbookView xWindow="-120" yWindow="-120" windowWidth="38640" windowHeight="21240" firstSheet="20" activeTab="20" xr2:uid="{00000000-000D-0000-FFFF-FFFF00000000}"/>
  </bookViews>
  <sheets>
    <sheet name="W1" sheetId="1" state="hidden" r:id="rId1"/>
    <sheet name="W2" sheetId="2" state="hidden" r:id="rId2"/>
    <sheet name="W3" sheetId="3" state="hidden" r:id="rId3"/>
    <sheet name="W4" sheetId="4" state="hidden" r:id="rId4"/>
    <sheet name="W5" sheetId="5" state="hidden" r:id="rId5"/>
    <sheet name="W6" sheetId="6" state="hidden" r:id="rId6"/>
    <sheet name="W7" sheetId="7" state="hidden" r:id="rId7"/>
    <sheet name="W8" sheetId="8" state="hidden" r:id="rId8"/>
    <sheet name="W9" sheetId="9" state="hidden" r:id="rId9"/>
    <sheet name="W10" sheetId="10" state="hidden" r:id="rId10"/>
    <sheet name="W11" sheetId="11" state="hidden" r:id="rId11"/>
    <sheet name="W12" sheetId="12" state="hidden" r:id="rId12"/>
    <sheet name="W13" sheetId="13" state="hidden" r:id="rId13"/>
    <sheet name="W14" sheetId="14" state="hidden" r:id="rId14"/>
    <sheet name="W15" sheetId="15" state="hidden" r:id="rId15"/>
    <sheet name="W16" sheetId="16" state="hidden" r:id="rId16"/>
    <sheet name="W17" sheetId="17" state="hidden" r:id="rId17"/>
    <sheet name="W18" sheetId="18" state="hidden" r:id="rId18"/>
    <sheet name="NewPlayerList" sheetId="19" state="hidden" r:id="rId19"/>
    <sheet name="CumulativePlayerList" sheetId="20" state="hidden" r:id="rId20"/>
    <sheet name="Compiled Data" sheetId="21" r:id="rId21"/>
    <sheet name="Draft Order" sheetId="22" r:id="rId22"/>
    <sheet name="Old Lineup" sheetId="23" state="hidden" r:id="rId23"/>
    <sheet name="New Lineup" sheetId="24" r:id="rId24"/>
  </sheets>
  <definedNames>
    <definedName name="_xlnm._FilterDatabase" localSheetId="20" hidden="1">'Compiled Data'!$A$1:$X$600</definedName>
    <definedName name="_xlnm._FilterDatabase" localSheetId="0" hidden="1">'W1'!$A$2:$T$287</definedName>
    <definedName name="_xlnm._FilterDatabase" localSheetId="9" hidden="1">'W10'!$A$2:$T$266</definedName>
    <definedName name="_xlnm._FilterDatabase" localSheetId="10" hidden="1">'W11'!$A$2:$T$263</definedName>
    <definedName name="_xlnm._FilterDatabase" localSheetId="11" hidden="1">'W12'!$A$2:$T$300</definedName>
    <definedName name="_xlnm._FilterDatabase" localSheetId="12" hidden="1">'W13'!$A$2:$T$300</definedName>
    <definedName name="_xlnm._FilterDatabase" localSheetId="13" hidden="1">'W14'!$A$2:$T$300</definedName>
    <definedName name="_xlnm._FilterDatabase" localSheetId="14" hidden="1">'W15'!$A$2:$T$306</definedName>
    <definedName name="_xlnm._FilterDatabase" localSheetId="15" hidden="1">'W16'!$A$2:$T$306</definedName>
    <definedName name="_xlnm._FilterDatabase" localSheetId="16" hidden="1">'W17'!$A$2:$T$293</definedName>
    <definedName name="_xlnm._FilterDatabase" localSheetId="17" hidden="1">'W18'!$A$2:$T$298</definedName>
    <definedName name="_xlnm._FilterDatabase" localSheetId="1" hidden="1">'W2'!$A$2:$T$301</definedName>
    <definedName name="_xlnm._FilterDatabase" localSheetId="2" hidden="1">'W3'!$A$2:$T$301</definedName>
    <definedName name="_xlnm._FilterDatabase" localSheetId="3" hidden="1">'W4'!$A$2:$T$304</definedName>
    <definedName name="_xlnm._FilterDatabase" localSheetId="4" hidden="1">'W5'!$A$2:$T$272</definedName>
    <definedName name="_xlnm._FilterDatabase" localSheetId="5" hidden="1">'W6'!$A$2:$T$275</definedName>
    <definedName name="_xlnm._FilterDatabase" localSheetId="6" hidden="1">'W7'!$A$2:$T$245</definedName>
    <definedName name="_xlnm._FilterDatabase" localSheetId="7" hidden="1">'W8'!$A$2:$T$295</definedName>
    <definedName name="_xlnm._FilterDatabase" localSheetId="8" hidden="1">'W9'!$A$2:$T$264</definedName>
    <definedName name="FullData">'Compiled Data'!$A:$X</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22" l="1"/>
  <c r="B16" i="22"/>
  <c r="B15" i="22"/>
  <c r="B14" i="22"/>
  <c r="B13" i="22"/>
  <c r="B12" i="22"/>
  <c r="B11" i="22"/>
  <c r="B10" i="22"/>
  <c r="B9" i="22"/>
  <c r="B8" i="22"/>
  <c r="B7" i="22"/>
  <c r="B6" i="22"/>
  <c r="B5" i="22"/>
  <c r="B4" i="22"/>
  <c r="B3" i="22"/>
  <c r="B2" i="22"/>
  <c r="D17" i="22"/>
  <c r="D16" i="22"/>
  <c r="D15" i="22"/>
  <c r="D14" i="22"/>
  <c r="D13" i="22"/>
  <c r="D12" i="22"/>
  <c r="D11" i="22"/>
  <c r="D10" i="22"/>
  <c r="D9" i="22"/>
  <c r="D8" i="22"/>
  <c r="D7" i="22"/>
  <c r="D6" i="22"/>
  <c r="D5" i="22"/>
  <c r="D4" i="22"/>
  <c r="D3" i="22"/>
  <c r="D2" i="22"/>
  <c r="AJ40" i="24"/>
  <c r="AH40" i="24"/>
  <c r="AF40" i="24"/>
  <c r="AD40" i="24"/>
  <c r="AB40" i="24"/>
  <c r="Z40" i="24"/>
  <c r="X40" i="24"/>
  <c r="V40" i="24"/>
  <c r="T40" i="24"/>
  <c r="R40" i="24"/>
  <c r="P40" i="24"/>
  <c r="N40" i="24"/>
  <c r="L40" i="24"/>
  <c r="J40" i="24"/>
  <c r="H40" i="24"/>
  <c r="F40" i="24"/>
  <c r="D40" i="24"/>
  <c r="B40" i="24"/>
  <c r="AJ39" i="24"/>
  <c r="AH39" i="24"/>
  <c r="AF39" i="24"/>
  <c r="AD39" i="24"/>
  <c r="AB39" i="24"/>
  <c r="Z39" i="24"/>
  <c r="X39" i="24"/>
  <c r="V39" i="24"/>
  <c r="T39" i="24"/>
  <c r="R39" i="24"/>
  <c r="P39" i="24"/>
  <c r="N39" i="24"/>
  <c r="L39" i="24"/>
  <c r="J39" i="24"/>
  <c r="H39" i="24"/>
  <c r="F39" i="24"/>
  <c r="D39" i="24"/>
  <c r="B39" i="24"/>
  <c r="AJ38" i="24"/>
  <c r="AH38" i="24"/>
  <c r="AF38" i="24"/>
  <c r="AD38" i="24"/>
  <c r="AB38" i="24"/>
  <c r="Z38" i="24"/>
  <c r="X38" i="24"/>
  <c r="V38" i="24"/>
  <c r="T38" i="24"/>
  <c r="R38" i="24"/>
  <c r="P38" i="24"/>
  <c r="N38" i="24"/>
  <c r="L38" i="24"/>
  <c r="J38" i="24"/>
  <c r="H38" i="24"/>
  <c r="F38" i="24"/>
  <c r="D38" i="24"/>
  <c r="B38" i="24"/>
  <c r="AJ37" i="24"/>
  <c r="AH37" i="24"/>
  <c r="AF37" i="24"/>
  <c r="AD37" i="24"/>
  <c r="AB37" i="24"/>
  <c r="Z37" i="24"/>
  <c r="X37" i="24"/>
  <c r="V37" i="24"/>
  <c r="T37" i="24"/>
  <c r="R37" i="24"/>
  <c r="P37" i="24"/>
  <c r="N37" i="24"/>
  <c r="L37" i="24"/>
  <c r="J37" i="24"/>
  <c r="H37" i="24"/>
  <c r="F37" i="24"/>
  <c r="D37" i="24"/>
  <c r="B37" i="24"/>
  <c r="AJ36" i="24"/>
  <c r="AH36" i="24"/>
  <c r="AF36" i="24"/>
  <c r="AD36" i="24"/>
  <c r="AB36" i="24"/>
  <c r="Z36" i="24"/>
  <c r="X36" i="24"/>
  <c r="V36" i="24"/>
  <c r="T36" i="24"/>
  <c r="R36" i="24"/>
  <c r="P36" i="24"/>
  <c r="N36" i="24"/>
  <c r="L36" i="24"/>
  <c r="J36" i="24"/>
  <c r="H36" i="24"/>
  <c r="F36" i="24"/>
  <c r="D36" i="24"/>
  <c r="B36" i="24"/>
  <c r="AJ35" i="24"/>
  <c r="AH35" i="24"/>
  <c r="AF35" i="24"/>
  <c r="AD35" i="24"/>
  <c r="AB35" i="24"/>
  <c r="Z35" i="24"/>
  <c r="X35" i="24"/>
  <c r="V35" i="24"/>
  <c r="T35" i="24"/>
  <c r="R35" i="24"/>
  <c r="P35" i="24"/>
  <c r="N35" i="24"/>
  <c r="L35" i="24"/>
  <c r="J35" i="24"/>
  <c r="H35" i="24"/>
  <c r="F35" i="24"/>
  <c r="D35" i="24"/>
  <c r="B35" i="24"/>
  <c r="AJ34" i="24"/>
  <c r="AH34" i="24"/>
  <c r="AF34" i="24"/>
  <c r="AD34" i="24"/>
  <c r="AB34" i="24"/>
  <c r="Z34" i="24"/>
  <c r="X34" i="24"/>
  <c r="V34" i="24"/>
  <c r="T34" i="24"/>
  <c r="R34" i="24"/>
  <c r="P34" i="24"/>
  <c r="N34" i="24"/>
  <c r="L34" i="24"/>
  <c r="J34" i="24"/>
  <c r="H34" i="24"/>
  <c r="F34" i="24"/>
  <c r="D34" i="24"/>
  <c r="B34" i="24"/>
  <c r="AJ33" i="24"/>
  <c r="AH33" i="24"/>
  <c r="AF33" i="24"/>
  <c r="AD33" i="24"/>
  <c r="AB33" i="24"/>
  <c r="Z33" i="24"/>
  <c r="X33" i="24"/>
  <c r="V33" i="24"/>
  <c r="T33" i="24"/>
  <c r="R33" i="24"/>
  <c r="P33" i="24"/>
  <c r="N33" i="24"/>
  <c r="L33" i="24"/>
  <c r="J33" i="24"/>
  <c r="H33" i="24"/>
  <c r="F33" i="24"/>
  <c r="D33" i="24"/>
  <c r="B33" i="24"/>
  <c r="AJ32" i="24"/>
  <c r="AH32" i="24"/>
  <c r="AF32" i="24"/>
  <c r="AD32" i="24"/>
  <c r="AB32" i="24"/>
  <c r="Z32" i="24"/>
  <c r="X32" i="24"/>
  <c r="V32" i="24"/>
  <c r="T32" i="24"/>
  <c r="R32" i="24"/>
  <c r="P32" i="24"/>
  <c r="N32" i="24"/>
  <c r="L32" i="24"/>
  <c r="J32" i="24"/>
  <c r="H32" i="24"/>
  <c r="F32" i="24"/>
  <c r="D32" i="24"/>
  <c r="B32" i="24"/>
  <c r="AJ31" i="24"/>
  <c r="AH31" i="24"/>
  <c r="AF31" i="24"/>
  <c r="AD31" i="24"/>
  <c r="AB31" i="24"/>
  <c r="Z31" i="24"/>
  <c r="X31" i="24"/>
  <c r="V31" i="24"/>
  <c r="T31" i="24"/>
  <c r="R31" i="24"/>
  <c r="P31" i="24"/>
  <c r="N31" i="24"/>
  <c r="L31" i="24"/>
  <c r="J31" i="24"/>
  <c r="H31" i="24"/>
  <c r="F31" i="24"/>
  <c r="D31" i="24"/>
  <c r="B31" i="24"/>
  <c r="AJ30" i="24"/>
  <c r="AH30" i="24"/>
  <c r="AF30" i="24"/>
  <c r="AD30" i="24"/>
  <c r="AB30" i="24"/>
  <c r="Z30" i="24"/>
  <c r="X30" i="24"/>
  <c r="V30" i="24"/>
  <c r="T30" i="24"/>
  <c r="R30" i="24"/>
  <c r="P30" i="24"/>
  <c r="N30" i="24"/>
  <c r="L30" i="24"/>
  <c r="J30" i="24"/>
  <c r="H30" i="24"/>
  <c r="F30" i="24"/>
  <c r="D30" i="24"/>
  <c r="B30" i="24"/>
  <c r="AJ29" i="24"/>
  <c r="AH29" i="24"/>
  <c r="AF29" i="24"/>
  <c r="AD29" i="24"/>
  <c r="AB29" i="24"/>
  <c r="Z29" i="24"/>
  <c r="X29" i="24"/>
  <c r="V29" i="24"/>
  <c r="T29" i="24"/>
  <c r="R29" i="24"/>
  <c r="P29" i="24"/>
  <c r="N29" i="24"/>
  <c r="L29" i="24"/>
  <c r="J29" i="24"/>
  <c r="H29" i="24"/>
  <c r="F29" i="24"/>
  <c r="D29" i="24"/>
  <c r="B29" i="24"/>
  <c r="AJ28" i="24"/>
  <c r="AH28" i="24"/>
  <c r="AF28" i="24"/>
  <c r="AD28" i="24"/>
  <c r="AB28" i="24"/>
  <c r="Z28" i="24"/>
  <c r="X28" i="24"/>
  <c r="V28" i="24"/>
  <c r="T28" i="24"/>
  <c r="R28" i="24"/>
  <c r="P28" i="24"/>
  <c r="N28" i="24"/>
  <c r="L28" i="24"/>
  <c r="J28" i="24"/>
  <c r="H28" i="24"/>
  <c r="F28" i="24"/>
  <c r="D28" i="24"/>
  <c r="B28" i="24"/>
  <c r="AJ27" i="24"/>
  <c r="AH27" i="24"/>
  <c r="AF27" i="24"/>
  <c r="AD27" i="24"/>
  <c r="AB27" i="24"/>
  <c r="Z27" i="24"/>
  <c r="X27" i="24"/>
  <c r="V27" i="24"/>
  <c r="T27" i="24"/>
  <c r="R27" i="24"/>
  <c r="P27" i="24"/>
  <c r="N27" i="24"/>
  <c r="L27" i="24"/>
  <c r="J27" i="24"/>
  <c r="H27" i="24"/>
  <c r="F27" i="24"/>
  <c r="D27" i="24"/>
  <c r="B27" i="24"/>
  <c r="AJ26" i="24"/>
  <c r="AH26" i="24"/>
  <c r="AF26" i="24"/>
  <c r="AD26" i="24"/>
  <c r="AB26" i="24"/>
  <c r="Z26" i="24"/>
  <c r="X26" i="24"/>
  <c r="V26" i="24"/>
  <c r="T26" i="24"/>
  <c r="R26" i="24"/>
  <c r="P26" i="24"/>
  <c r="N26" i="24"/>
  <c r="L26" i="24"/>
  <c r="J26" i="24"/>
  <c r="H26" i="24"/>
  <c r="F26" i="24"/>
  <c r="D26" i="24"/>
  <c r="B26" i="24"/>
  <c r="AJ25" i="24"/>
  <c r="AH25" i="24"/>
  <c r="AF25" i="24"/>
  <c r="AD25" i="24"/>
  <c r="AB25" i="24"/>
  <c r="Z25" i="24"/>
  <c r="X25" i="24"/>
  <c r="V25" i="24"/>
  <c r="T25" i="24"/>
  <c r="R25" i="24"/>
  <c r="P25" i="24"/>
  <c r="N25" i="24"/>
  <c r="L25" i="24"/>
  <c r="J25" i="24"/>
  <c r="H25" i="24"/>
  <c r="F25" i="24"/>
  <c r="D25" i="24"/>
  <c r="B25" i="24"/>
  <c r="Y23" i="22"/>
  <c r="Y22" i="22"/>
  <c r="Y21" i="22"/>
  <c r="T549" i="20"/>
  <c r="S549" i="20"/>
  <c r="T548" i="20"/>
  <c r="S548" i="20"/>
  <c r="T547" i="20"/>
  <c r="S547" i="20"/>
  <c r="T546" i="20"/>
  <c r="S546" i="20"/>
  <c r="T545" i="20"/>
  <c r="S545" i="20"/>
  <c r="T544" i="20"/>
  <c r="S544" i="20"/>
  <c r="T543" i="20"/>
  <c r="S543" i="20"/>
  <c r="T542" i="20"/>
  <c r="S542" i="20"/>
  <c r="T541" i="20"/>
  <c r="S541" i="20"/>
  <c r="T540" i="20"/>
  <c r="S540" i="20"/>
  <c r="T539" i="20"/>
  <c r="S539" i="20"/>
  <c r="T538" i="20"/>
  <c r="S538" i="20"/>
  <c r="T537" i="20"/>
  <c r="S537" i="20"/>
  <c r="T536" i="20"/>
  <c r="S536" i="20"/>
  <c r="T535" i="20"/>
  <c r="S535" i="20"/>
  <c r="T534" i="20"/>
  <c r="S534" i="20"/>
  <c r="T533" i="20"/>
  <c r="S533" i="20"/>
  <c r="T532" i="20"/>
  <c r="S532" i="20"/>
  <c r="T531" i="20"/>
  <c r="S531" i="20"/>
  <c r="T530" i="20"/>
  <c r="S530" i="20"/>
  <c r="T529" i="20"/>
  <c r="S529" i="20"/>
  <c r="T528" i="20"/>
  <c r="S528" i="20"/>
  <c r="T527" i="20"/>
  <c r="S527" i="20"/>
  <c r="T526" i="20"/>
  <c r="S526" i="20"/>
  <c r="T525" i="20"/>
  <c r="S525" i="20"/>
  <c r="T524" i="20"/>
  <c r="S524" i="20"/>
  <c r="T523" i="20"/>
  <c r="S523" i="20"/>
  <c r="T522" i="20"/>
  <c r="S522" i="20"/>
  <c r="T521" i="20"/>
  <c r="S521" i="20"/>
  <c r="T520" i="20"/>
  <c r="S520" i="20"/>
  <c r="T519" i="20"/>
  <c r="S519" i="20"/>
  <c r="T518" i="20"/>
  <c r="S518" i="20"/>
  <c r="T517" i="20"/>
  <c r="S517" i="20"/>
  <c r="T516" i="20"/>
  <c r="S516" i="20"/>
  <c r="T515" i="20"/>
  <c r="S515" i="20"/>
  <c r="T514" i="20"/>
  <c r="S514" i="20"/>
  <c r="T513" i="20"/>
  <c r="S513" i="20"/>
  <c r="T512" i="20"/>
  <c r="S512" i="20"/>
  <c r="T511" i="20"/>
  <c r="S511" i="20"/>
  <c r="T510" i="20"/>
  <c r="S510" i="20"/>
  <c r="T509" i="20"/>
  <c r="S509" i="20"/>
  <c r="T508" i="20"/>
  <c r="S508" i="20"/>
  <c r="T507" i="20"/>
  <c r="S507" i="20"/>
  <c r="T506" i="20"/>
  <c r="S506" i="20"/>
  <c r="T505" i="20"/>
  <c r="S505" i="20"/>
  <c r="T504" i="20"/>
  <c r="S504" i="20"/>
  <c r="T503" i="20"/>
  <c r="S503" i="20"/>
  <c r="T502" i="20"/>
  <c r="S502" i="20"/>
  <c r="T501" i="20"/>
  <c r="S501" i="20"/>
  <c r="T500" i="20"/>
  <c r="S500" i="20"/>
  <c r="T499" i="20"/>
  <c r="S499" i="20"/>
  <c r="T498" i="20"/>
  <c r="S498" i="20"/>
  <c r="T497" i="20"/>
  <c r="S497" i="20"/>
  <c r="T496" i="20"/>
  <c r="S496" i="20"/>
  <c r="T495" i="20"/>
  <c r="S495" i="20"/>
  <c r="T494" i="20"/>
  <c r="S494" i="20"/>
  <c r="T493" i="20"/>
  <c r="S493" i="20"/>
  <c r="T492" i="20"/>
  <c r="S492" i="20"/>
  <c r="T491" i="20"/>
  <c r="S491" i="20"/>
  <c r="T490" i="20"/>
  <c r="S490" i="20"/>
  <c r="T489" i="20"/>
  <c r="S489" i="20"/>
  <c r="T488" i="20"/>
  <c r="S488" i="20"/>
  <c r="T487" i="20"/>
  <c r="S487" i="20"/>
  <c r="T486" i="20"/>
  <c r="S486" i="20"/>
  <c r="T485" i="20"/>
  <c r="S485" i="20"/>
  <c r="T484" i="20"/>
  <c r="S484" i="20"/>
  <c r="T483" i="20"/>
  <c r="S483" i="20"/>
  <c r="T482" i="20"/>
  <c r="S482" i="20"/>
  <c r="T481" i="20"/>
  <c r="S481" i="20"/>
  <c r="T480" i="20"/>
  <c r="S480" i="20"/>
  <c r="T479" i="20"/>
  <c r="S479" i="20"/>
  <c r="T478" i="20"/>
  <c r="S478" i="20"/>
  <c r="T477" i="20"/>
  <c r="S477" i="20"/>
  <c r="T476" i="20"/>
  <c r="S476" i="20"/>
  <c r="T475" i="20"/>
  <c r="S475" i="20"/>
  <c r="T474" i="20"/>
  <c r="S474" i="20"/>
  <c r="T473" i="20"/>
  <c r="S473" i="20"/>
  <c r="T472" i="20"/>
  <c r="S472" i="20"/>
  <c r="T471" i="20"/>
  <c r="S471" i="20"/>
  <c r="T470" i="20"/>
  <c r="S470" i="20"/>
  <c r="T469" i="20"/>
  <c r="S469" i="20"/>
  <c r="T468" i="20"/>
  <c r="S468" i="20"/>
  <c r="T467" i="20"/>
  <c r="S467" i="20"/>
  <c r="T466" i="20"/>
  <c r="S466" i="20"/>
  <c r="T465" i="20"/>
  <c r="S465" i="20"/>
  <c r="T464" i="20"/>
  <c r="S464" i="20"/>
  <c r="T463" i="20"/>
  <c r="S463" i="20"/>
  <c r="T462" i="20"/>
  <c r="S462" i="20"/>
  <c r="T461" i="20"/>
  <c r="S461" i="20"/>
  <c r="T460" i="20"/>
  <c r="S460" i="20"/>
  <c r="T459" i="20"/>
  <c r="S459" i="20"/>
  <c r="T458" i="20"/>
  <c r="S458" i="20"/>
  <c r="T457" i="20"/>
  <c r="S457" i="20"/>
  <c r="T456" i="20"/>
  <c r="S456" i="20"/>
  <c r="T455" i="20"/>
  <c r="S455" i="20"/>
  <c r="T454" i="20"/>
  <c r="S454" i="20"/>
  <c r="T453" i="20"/>
  <c r="S453" i="20"/>
  <c r="T452" i="20"/>
  <c r="S452" i="20"/>
  <c r="T451" i="20"/>
  <c r="S451" i="20"/>
  <c r="T450" i="20"/>
  <c r="S450" i="20"/>
  <c r="T449" i="20"/>
  <c r="S449" i="20"/>
  <c r="T448" i="20"/>
  <c r="S448" i="20"/>
  <c r="T447" i="20"/>
  <c r="S447" i="20"/>
  <c r="T446" i="20"/>
  <c r="S446" i="20"/>
  <c r="T445" i="20"/>
  <c r="S445" i="20"/>
  <c r="T444" i="20"/>
  <c r="S444" i="20"/>
  <c r="T443" i="20"/>
  <c r="S443" i="20"/>
  <c r="T442" i="20"/>
  <c r="S442" i="20"/>
  <c r="T441" i="20"/>
  <c r="S441" i="20"/>
  <c r="T440" i="20"/>
  <c r="S440" i="20"/>
  <c r="T439" i="20"/>
  <c r="S439" i="20"/>
  <c r="T438" i="20"/>
  <c r="S438" i="20"/>
  <c r="T437" i="20"/>
  <c r="S437" i="20"/>
  <c r="T436" i="20"/>
  <c r="S436" i="20"/>
  <c r="T435" i="20"/>
  <c r="S435" i="20"/>
  <c r="T434" i="20"/>
  <c r="S434" i="20"/>
  <c r="T433" i="20"/>
  <c r="S433" i="20"/>
  <c r="T432" i="20"/>
  <c r="S432" i="20"/>
  <c r="T431" i="20"/>
  <c r="S431" i="20"/>
  <c r="T430" i="20"/>
  <c r="S430" i="20"/>
  <c r="T429" i="20"/>
  <c r="S429" i="20"/>
  <c r="T428" i="20"/>
  <c r="S428" i="20"/>
  <c r="T427" i="20"/>
  <c r="S427" i="20"/>
  <c r="T426" i="20"/>
  <c r="S426" i="20"/>
  <c r="T425" i="20"/>
  <c r="S425" i="20"/>
  <c r="T424" i="20"/>
  <c r="S424" i="20"/>
  <c r="T423" i="20"/>
  <c r="S423" i="20"/>
  <c r="T422" i="20"/>
  <c r="S422" i="20"/>
  <c r="T421" i="20"/>
  <c r="S421" i="20"/>
  <c r="T420" i="20"/>
  <c r="S420" i="20"/>
  <c r="T419" i="20"/>
  <c r="S419" i="20"/>
  <c r="T418" i="20"/>
  <c r="S418" i="20"/>
  <c r="T417" i="20"/>
  <c r="S417" i="20"/>
  <c r="T416" i="20"/>
  <c r="S416" i="20"/>
  <c r="T415" i="20"/>
  <c r="S415" i="20"/>
  <c r="T414" i="20"/>
  <c r="S414" i="20"/>
  <c r="T413" i="20"/>
  <c r="S413" i="20"/>
  <c r="T412" i="20"/>
  <c r="S412" i="20"/>
  <c r="T411" i="20"/>
  <c r="S411" i="20"/>
  <c r="T410" i="20"/>
  <c r="S410" i="20"/>
  <c r="T409" i="20"/>
  <c r="S409" i="20"/>
  <c r="T408" i="20"/>
  <c r="S408" i="20"/>
  <c r="T407" i="20"/>
  <c r="S407" i="20"/>
  <c r="T406" i="20"/>
  <c r="S406" i="20"/>
  <c r="T405" i="20"/>
  <c r="S405" i="20"/>
  <c r="T404" i="20"/>
  <c r="S404" i="20"/>
  <c r="T403" i="20"/>
  <c r="S403" i="20"/>
  <c r="T402" i="20"/>
  <c r="S402" i="20"/>
  <c r="T401" i="20"/>
  <c r="S401" i="20"/>
  <c r="T400" i="20"/>
  <c r="S400" i="20"/>
  <c r="T399" i="20"/>
  <c r="S399" i="20"/>
  <c r="T398" i="20"/>
  <c r="S398" i="20"/>
  <c r="T397" i="20"/>
  <c r="S397" i="20"/>
  <c r="T396" i="20"/>
  <c r="S396" i="20"/>
  <c r="T395" i="20"/>
  <c r="S395" i="20"/>
  <c r="T394" i="20"/>
  <c r="S394" i="20"/>
  <c r="T393" i="20"/>
  <c r="S393" i="20"/>
  <c r="T392" i="20"/>
  <c r="S392" i="20"/>
  <c r="T391" i="20"/>
  <c r="S391" i="20"/>
  <c r="T390" i="20"/>
  <c r="S390" i="20"/>
  <c r="T389" i="20"/>
  <c r="S389" i="20"/>
  <c r="T388" i="20"/>
  <c r="S388" i="20"/>
  <c r="T387" i="20"/>
  <c r="S387" i="20"/>
  <c r="T386" i="20"/>
  <c r="S386" i="20"/>
  <c r="T385" i="20"/>
  <c r="S385" i="20"/>
  <c r="T384" i="20"/>
  <c r="S384" i="20"/>
  <c r="T383" i="20"/>
  <c r="S383" i="20"/>
  <c r="T382" i="20"/>
  <c r="S382" i="20"/>
  <c r="T381" i="20"/>
  <c r="S381" i="20"/>
  <c r="T380" i="20"/>
  <c r="S380" i="20"/>
  <c r="T379" i="20"/>
  <c r="S379" i="20"/>
  <c r="T378" i="20"/>
  <c r="S378" i="20"/>
  <c r="T377" i="20"/>
  <c r="S377" i="20"/>
  <c r="T376" i="20"/>
  <c r="S376" i="20"/>
  <c r="T375" i="20"/>
  <c r="S375" i="20"/>
  <c r="T374" i="20"/>
  <c r="S374" i="20"/>
  <c r="T373" i="20"/>
  <c r="S373" i="20"/>
  <c r="T372" i="20"/>
  <c r="S372" i="20"/>
  <c r="T371" i="20"/>
  <c r="S371" i="20"/>
  <c r="T370" i="20"/>
  <c r="S370" i="20"/>
  <c r="T369" i="20"/>
  <c r="S369" i="20"/>
  <c r="T368" i="20"/>
  <c r="S368" i="20"/>
  <c r="T367" i="20"/>
  <c r="S367" i="20"/>
  <c r="T366" i="20"/>
  <c r="S366" i="20"/>
  <c r="T365" i="20"/>
  <c r="S365" i="20"/>
  <c r="T364" i="20"/>
  <c r="S364" i="20"/>
  <c r="T363" i="20"/>
  <c r="S363" i="20"/>
  <c r="T362" i="20"/>
  <c r="S362" i="20"/>
  <c r="T361" i="20"/>
  <c r="S361" i="20"/>
  <c r="T360" i="20"/>
  <c r="S360" i="20"/>
  <c r="T359" i="20"/>
  <c r="S359" i="20"/>
  <c r="T358" i="20"/>
  <c r="S358" i="20"/>
  <c r="T357" i="20"/>
  <c r="S357" i="20"/>
  <c r="T356" i="20"/>
  <c r="S356" i="20"/>
  <c r="T355" i="20"/>
  <c r="S355" i="20"/>
  <c r="T354" i="20"/>
  <c r="S354" i="20"/>
  <c r="T353" i="20"/>
  <c r="S353" i="20"/>
  <c r="T352" i="20"/>
  <c r="S352" i="20"/>
  <c r="T351" i="20"/>
  <c r="S351" i="20"/>
  <c r="T350" i="20"/>
  <c r="S350" i="20"/>
  <c r="T349" i="20"/>
  <c r="S349" i="20"/>
  <c r="T348" i="20"/>
  <c r="S348" i="20"/>
  <c r="T347" i="20"/>
  <c r="S347" i="20"/>
  <c r="T346" i="20"/>
  <c r="S346" i="20"/>
  <c r="T345" i="20"/>
  <c r="S345" i="20"/>
  <c r="T344" i="20"/>
  <c r="S344" i="20"/>
  <c r="T343" i="20"/>
  <c r="S343" i="20"/>
  <c r="T342" i="20"/>
  <c r="S342" i="20"/>
  <c r="T341" i="20"/>
  <c r="S341" i="20"/>
  <c r="T340" i="20"/>
  <c r="S340" i="20"/>
  <c r="T339" i="20"/>
  <c r="S339" i="20"/>
  <c r="T338" i="20"/>
  <c r="S338" i="20"/>
  <c r="T337" i="20"/>
  <c r="S337" i="20"/>
  <c r="T336" i="20"/>
  <c r="S336" i="20"/>
  <c r="T335" i="20"/>
  <c r="S335" i="20"/>
  <c r="T334" i="20"/>
  <c r="S334" i="20"/>
  <c r="T333" i="20"/>
  <c r="S333" i="20"/>
  <c r="T332" i="20"/>
  <c r="S332" i="20"/>
  <c r="T331" i="20"/>
  <c r="S331" i="20"/>
  <c r="T330" i="20"/>
  <c r="S330" i="20"/>
  <c r="T329" i="20"/>
  <c r="S329" i="20"/>
  <c r="T328" i="20"/>
  <c r="S328" i="20"/>
  <c r="T327" i="20"/>
  <c r="S327" i="20"/>
  <c r="T326" i="20"/>
  <c r="S326" i="20"/>
  <c r="T325" i="20"/>
  <c r="S325" i="20"/>
  <c r="T324" i="20"/>
  <c r="S324" i="20"/>
  <c r="T323" i="20"/>
  <c r="S323" i="20"/>
  <c r="T322" i="20"/>
  <c r="S322" i="20"/>
  <c r="T321" i="20"/>
  <c r="S321" i="20"/>
  <c r="T320" i="20"/>
  <c r="S320" i="20"/>
  <c r="T319" i="20"/>
  <c r="S319" i="20"/>
  <c r="T318" i="20"/>
  <c r="S318" i="20"/>
  <c r="T317" i="20"/>
  <c r="S317" i="20"/>
  <c r="T316" i="20"/>
  <c r="S316" i="20"/>
  <c r="T315" i="20"/>
  <c r="S315" i="20"/>
  <c r="T314" i="20"/>
  <c r="S314" i="20"/>
  <c r="T313" i="20"/>
  <c r="S313" i="20"/>
  <c r="T312" i="20"/>
  <c r="S312" i="20"/>
  <c r="T311" i="20"/>
  <c r="S311" i="20"/>
  <c r="T310" i="20"/>
  <c r="S310" i="20"/>
  <c r="T309" i="20"/>
  <c r="S309" i="20"/>
  <c r="T308" i="20"/>
  <c r="S308" i="20"/>
  <c r="T307" i="20"/>
  <c r="S307" i="20"/>
  <c r="T306" i="20"/>
  <c r="S306" i="20"/>
  <c r="T305" i="20"/>
  <c r="S305" i="20"/>
  <c r="T304" i="20"/>
  <c r="S304" i="20"/>
  <c r="T303" i="20"/>
  <c r="S303" i="20"/>
  <c r="T302" i="20"/>
  <c r="S302" i="20"/>
  <c r="T301" i="20"/>
  <c r="S301" i="20"/>
  <c r="T300" i="20"/>
  <c r="S300" i="20"/>
  <c r="T299" i="20"/>
  <c r="S299" i="20"/>
  <c r="T298" i="20"/>
  <c r="S298" i="20"/>
  <c r="T297" i="20"/>
  <c r="S297" i="20"/>
  <c r="T296" i="20"/>
  <c r="S296" i="20"/>
  <c r="T295" i="20"/>
  <c r="S295" i="20"/>
  <c r="T294" i="20"/>
  <c r="S294" i="20"/>
  <c r="T293" i="20"/>
  <c r="S293" i="20"/>
  <c r="T292" i="20"/>
  <c r="S292" i="20"/>
  <c r="T291" i="20"/>
  <c r="S291" i="20"/>
  <c r="T290" i="20"/>
  <c r="S290" i="20"/>
  <c r="T289" i="20"/>
  <c r="S289" i="20"/>
  <c r="T288" i="20"/>
  <c r="S288" i="20"/>
  <c r="T287" i="20"/>
  <c r="S287" i="20"/>
  <c r="T286" i="20"/>
  <c r="S286" i="20"/>
  <c r="T285" i="20"/>
  <c r="S285" i="20"/>
  <c r="T284" i="20"/>
  <c r="S284" i="20"/>
  <c r="T283" i="20"/>
  <c r="S283" i="20"/>
  <c r="T282" i="20"/>
  <c r="S282" i="20"/>
  <c r="T281" i="20"/>
  <c r="S281" i="20"/>
  <c r="T280" i="20"/>
  <c r="S280" i="20"/>
  <c r="T279" i="20"/>
  <c r="S279" i="20"/>
  <c r="T278" i="20"/>
  <c r="S278" i="20"/>
  <c r="T277" i="20"/>
  <c r="S277" i="20"/>
  <c r="T276" i="20"/>
  <c r="S276" i="20"/>
  <c r="T275" i="20"/>
  <c r="S275" i="20"/>
  <c r="T274" i="20"/>
  <c r="S274" i="20"/>
  <c r="T273" i="20"/>
  <c r="S273" i="20"/>
  <c r="T272" i="20"/>
  <c r="S272" i="20"/>
  <c r="T271" i="20"/>
  <c r="S271" i="20"/>
  <c r="T270" i="20"/>
  <c r="S270" i="20"/>
  <c r="T269" i="20"/>
  <c r="S269" i="20"/>
  <c r="T268" i="20"/>
  <c r="S268" i="20"/>
  <c r="T267" i="20"/>
  <c r="S267" i="20"/>
  <c r="T266" i="20"/>
  <c r="S266" i="20"/>
  <c r="T265" i="20"/>
  <c r="S265" i="20"/>
  <c r="T264" i="20"/>
  <c r="S264" i="20"/>
  <c r="T263" i="20"/>
  <c r="S263" i="20"/>
  <c r="T262" i="20"/>
  <c r="S262" i="20"/>
  <c r="T261" i="20"/>
  <c r="S261" i="20"/>
  <c r="T260" i="20"/>
  <c r="S260" i="20"/>
  <c r="T259" i="20"/>
  <c r="S259" i="20"/>
  <c r="T258" i="20"/>
  <c r="S258" i="20"/>
  <c r="T257" i="20"/>
  <c r="S257" i="20"/>
  <c r="T256" i="20"/>
  <c r="S256" i="20"/>
  <c r="T255" i="20"/>
  <c r="S255" i="20"/>
  <c r="T254" i="20"/>
  <c r="S254" i="20"/>
  <c r="T253" i="20"/>
  <c r="S253" i="20"/>
  <c r="T252" i="20"/>
  <c r="S252" i="20"/>
  <c r="T251" i="20"/>
  <c r="S251" i="20"/>
  <c r="T250" i="20"/>
  <c r="S250" i="20"/>
  <c r="T249" i="20"/>
  <c r="S249" i="20"/>
  <c r="T248" i="20"/>
  <c r="S248" i="20"/>
  <c r="T247" i="20"/>
  <c r="S247" i="20"/>
  <c r="T246" i="20"/>
  <c r="S246" i="20"/>
  <c r="T245" i="20"/>
  <c r="S245" i="20"/>
  <c r="T244" i="20"/>
  <c r="S244" i="20"/>
  <c r="T243" i="20"/>
  <c r="S243" i="20"/>
  <c r="T242" i="20"/>
  <c r="S242" i="20"/>
  <c r="T241" i="20"/>
  <c r="S241" i="20"/>
  <c r="T240" i="20"/>
  <c r="S240" i="20"/>
  <c r="T239" i="20"/>
  <c r="S239" i="20"/>
  <c r="T238" i="20"/>
  <c r="S238" i="20"/>
  <c r="T237" i="20"/>
  <c r="S237" i="20"/>
  <c r="T236" i="20"/>
  <c r="S236" i="20"/>
  <c r="T235" i="20"/>
  <c r="S235" i="20"/>
  <c r="T234" i="20"/>
  <c r="S234" i="20"/>
  <c r="T233" i="20"/>
  <c r="S233" i="20"/>
  <c r="T232" i="20"/>
  <c r="S232" i="20"/>
  <c r="T231" i="20"/>
  <c r="S231" i="20"/>
  <c r="T230" i="20"/>
  <c r="S230" i="20"/>
  <c r="T229" i="20"/>
  <c r="S229" i="20"/>
  <c r="T228" i="20"/>
  <c r="S228" i="20"/>
  <c r="T227" i="20"/>
  <c r="S227" i="20"/>
  <c r="T226" i="20"/>
  <c r="S226" i="20"/>
  <c r="T225" i="20"/>
  <c r="S225" i="20"/>
  <c r="T224" i="20"/>
  <c r="S224" i="20"/>
  <c r="T223" i="20"/>
  <c r="S223" i="20"/>
  <c r="T222" i="20"/>
  <c r="S222" i="20"/>
  <c r="T221" i="20"/>
  <c r="S221" i="20"/>
  <c r="T220" i="20"/>
  <c r="S220" i="20"/>
  <c r="T219" i="20"/>
  <c r="S219" i="20"/>
  <c r="T218" i="20"/>
  <c r="S218" i="20"/>
  <c r="T217" i="20"/>
  <c r="S217" i="20"/>
  <c r="T216" i="20"/>
  <c r="S216" i="20"/>
  <c r="T215" i="20"/>
  <c r="S215" i="20"/>
  <c r="T214" i="20"/>
  <c r="S214" i="20"/>
  <c r="T213" i="20"/>
  <c r="S213" i="20"/>
  <c r="T212" i="20"/>
  <c r="S212" i="20"/>
  <c r="T211" i="20"/>
  <c r="S211" i="20"/>
  <c r="T210" i="20"/>
  <c r="S210" i="20"/>
  <c r="T209" i="20"/>
  <c r="S209" i="20"/>
  <c r="T208" i="20"/>
  <c r="S208" i="20"/>
  <c r="T207" i="20"/>
  <c r="S207" i="20"/>
  <c r="T206" i="20"/>
  <c r="S206" i="20"/>
  <c r="T205" i="20"/>
  <c r="S205" i="20"/>
  <c r="T204" i="20"/>
  <c r="S204" i="20"/>
  <c r="T203" i="20"/>
  <c r="S203" i="20"/>
  <c r="T202" i="20"/>
  <c r="S202" i="20"/>
  <c r="T201" i="20"/>
  <c r="S201" i="20"/>
  <c r="T200" i="20"/>
  <c r="S200" i="20"/>
  <c r="T199" i="20"/>
  <c r="S199" i="20"/>
  <c r="T198" i="20"/>
  <c r="S198" i="20"/>
  <c r="T197" i="20"/>
  <c r="S197" i="20"/>
  <c r="T196" i="20"/>
  <c r="S196" i="20"/>
  <c r="T195" i="20"/>
  <c r="S195" i="20"/>
  <c r="T194" i="20"/>
  <c r="S194" i="20"/>
  <c r="T193" i="20"/>
  <c r="S193" i="20"/>
  <c r="T192" i="20"/>
  <c r="S192" i="20"/>
  <c r="T191" i="20"/>
  <c r="S191" i="20"/>
  <c r="T190" i="20"/>
  <c r="S190" i="20"/>
  <c r="T189" i="20"/>
  <c r="S189" i="20"/>
  <c r="T188" i="20"/>
  <c r="S188" i="20"/>
  <c r="T187" i="20"/>
  <c r="S187" i="20"/>
  <c r="T186" i="20"/>
  <c r="S186" i="20"/>
  <c r="T185" i="20"/>
  <c r="S185" i="20"/>
  <c r="T184" i="20"/>
  <c r="S184" i="20"/>
  <c r="T183" i="20"/>
  <c r="S183" i="20"/>
  <c r="T182" i="20"/>
  <c r="S182" i="20"/>
  <c r="T181" i="20"/>
  <c r="S181" i="20"/>
  <c r="T180" i="20"/>
  <c r="S180" i="20"/>
  <c r="T179" i="20"/>
  <c r="S179" i="20"/>
  <c r="T178" i="20"/>
  <c r="S178" i="20"/>
  <c r="T177" i="20"/>
  <c r="S177" i="20"/>
  <c r="T176" i="20"/>
  <c r="S176" i="20"/>
  <c r="T175" i="20"/>
  <c r="S175" i="20"/>
  <c r="T174" i="20"/>
  <c r="S174" i="20"/>
  <c r="T173" i="20"/>
  <c r="S173" i="20"/>
  <c r="T172" i="20"/>
  <c r="S172" i="20"/>
  <c r="T171" i="20"/>
  <c r="S171" i="20"/>
  <c r="T170" i="20"/>
  <c r="S170" i="20"/>
  <c r="T169" i="20"/>
  <c r="S169" i="20"/>
  <c r="T168" i="20"/>
  <c r="S168" i="20"/>
  <c r="T167" i="20"/>
  <c r="S167" i="20"/>
  <c r="T166" i="20"/>
  <c r="S166" i="20"/>
  <c r="T165" i="20"/>
  <c r="S165" i="20"/>
  <c r="T164" i="20"/>
  <c r="S164" i="20"/>
  <c r="T163" i="20"/>
  <c r="S163" i="20"/>
  <c r="T162" i="20"/>
  <c r="S162" i="20"/>
  <c r="T161" i="20"/>
  <c r="S161" i="20"/>
  <c r="T160" i="20"/>
  <c r="S160" i="20"/>
  <c r="T159" i="20"/>
  <c r="S159" i="20"/>
  <c r="T158" i="20"/>
  <c r="S158" i="20"/>
  <c r="T157" i="20"/>
  <c r="S157" i="20"/>
  <c r="T156" i="20"/>
  <c r="S156" i="20"/>
  <c r="T155" i="20"/>
  <c r="S155" i="20"/>
  <c r="T154" i="20"/>
  <c r="S154" i="20"/>
  <c r="T153" i="20"/>
  <c r="S153" i="20"/>
  <c r="T152" i="20"/>
  <c r="S152" i="20"/>
  <c r="T151" i="20"/>
  <c r="S151" i="20"/>
  <c r="T150" i="20"/>
  <c r="S150" i="20"/>
  <c r="T149" i="20"/>
  <c r="S149" i="20"/>
  <c r="T148" i="20"/>
  <c r="S148" i="20"/>
  <c r="T147" i="20"/>
  <c r="S147" i="20"/>
  <c r="T146" i="20"/>
  <c r="S146" i="20"/>
  <c r="T145" i="20"/>
  <c r="S145" i="20"/>
  <c r="T144" i="20"/>
  <c r="S144" i="20"/>
  <c r="T143" i="20"/>
  <c r="S143" i="20"/>
  <c r="T142" i="20"/>
  <c r="S142" i="20"/>
  <c r="T141" i="20"/>
  <c r="S141" i="20"/>
  <c r="T140" i="20"/>
  <c r="S140" i="20"/>
  <c r="T139" i="20"/>
  <c r="S139" i="20"/>
  <c r="T138" i="20"/>
  <c r="S138" i="20"/>
  <c r="T137" i="20"/>
  <c r="S137" i="20"/>
  <c r="T136" i="20"/>
  <c r="S136" i="20"/>
  <c r="T135" i="20"/>
  <c r="S135" i="20"/>
  <c r="T134" i="20"/>
  <c r="S134" i="20"/>
  <c r="T133" i="20"/>
  <c r="S133" i="20"/>
  <c r="T132" i="20"/>
  <c r="S132" i="20"/>
  <c r="T131" i="20"/>
  <c r="S131" i="20"/>
  <c r="T130" i="20"/>
  <c r="S130" i="20"/>
  <c r="T129" i="20"/>
  <c r="S129" i="20"/>
  <c r="T128" i="20"/>
  <c r="S128" i="20"/>
  <c r="T127" i="20"/>
  <c r="S127" i="20"/>
  <c r="T126" i="20"/>
  <c r="S126" i="20"/>
  <c r="T125" i="20"/>
  <c r="S125" i="20"/>
  <c r="T124" i="20"/>
  <c r="S124" i="20"/>
  <c r="T123" i="20"/>
  <c r="S123" i="20"/>
  <c r="T122" i="20"/>
  <c r="S122" i="20"/>
  <c r="T121" i="20"/>
  <c r="S121" i="20"/>
  <c r="T120" i="20"/>
  <c r="S120" i="20"/>
  <c r="T119" i="20"/>
  <c r="S119" i="20"/>
  <c r="T118" i="20"/>
  <c r="S118" i="20"/>
  <c r="T117" i="20"/>
  <c r="S117" i="20"/>
  <c r="T116" i="20"/>
  <c r="S116" i="20"/>
  <c r="T115" i="20"/>
  <c r="S115" i="20"/>
  <c r="T114" i="20"/>
  <c r="S114" i="20"/>
  <c r="T113" i="20"/>
  <c r="S113" i="20"/>
  <c r="T112" i="20"/>
  <c r="S112" i="20"/>
  <c r="T111" i="20"/>
  <c r="S111" i="20"/>
  <c r="T110" i="20"/>
  <c r="S110" i="20"/>
  <c r="T109" i="20"/>
  <c r="S109" i="20"/>
  <c r="T108" i="20"/>
  <c r="S108" i="20"/>
  <c r="T107" i="20"/>
  <c r="S107" i="20"/>
  <c r="T106" i="20"/>
  <c r="S106" i="20"/>
  <c r="T105" i="20"/>
  <c r="S105" i="20"/>
  <c r="T104" i="20"/>
  <c r="S104" i="20"/>
  <c r="T103" i="20"/>
  <c r="S103" i="20"/>
  <c r="T102" i="20"/>
  <c r="S102" i="20"/>
  <c r="T101" i="20"/>
  <c r="S101" i="20"/>
  <c r="T100" i="20"/>
  <c r="S100" i="20"/>
  <c r="T99" i="20"/>
  <c r="S99" i="20"/>
  <c r="T98" i="20"/>
  <c r="S98" i="20"/>
  <c r="T97" i="20"/>
  <c r="S97" i="20"/>
  <c r="T96" i="20"/>
  <c r="S96" i="20"/>
  <c r="T95" i="20"/>
  <c r="S95" i="20"/>
  <c r="T94" i="20"/>
  <c r="S94" i="20"/>
  <c r="T93" i="20"/>
  <c r="S93" i="20"/>
  <c r="T92" i="20"/>
  <c r="S92" i="20"/>
  <c r="T91" i="20"/>
  <c r="S91" i="20"/>
  <c r="T90" i="20"/>
  <c r="S90" i="20"/>
  <c r="T89" i="20"/>
  <c r="S89" i="20"/>
  <c r="T88" i="20"/>
  <c r="S88" i="20"/>
  <c r="T87" i="20"/>
  <c r="S87" i="20"/>
  <c r="T86" i="20"/>
  <c r="S86" i="20"/>
  <c r="T85" i="20"/>
  <c r="S85" i="20"/>
  <c r="T84" i="20"/>
  <c r="S84" i="20"/>
  <c r="T83" i="20"/>
  <c r="S83" i="20"/>
  <c r="T82" i="20"/>
  <c r="S82" i="20"/>
  <c r="T81" i="20"/>
  <c r="S81" i="20"/>
  <c r="T80" i="20"/>
  <c r="S80" i="20"/>
  <c r="T79" i="20"/>
  <c r="S79" i="20"/>
  <c r="T78" i="20"/>
  <c r="S78" i="20"/>
  <c r="T77" i="20"/>
  <c r="S77" i="20"/>
  <c r="T76" i="20"/>
  <c r="S76" i="20"/>
  <c r="T75" i="20"/>
  <c r="S75" i="20"/>
  <c r="T74" i="20"/>
  <c r="S74" i="20"/>
  <c r="T73" i="20"/>
  <c r="S73" i="20"/>
  <c r="T72" i="20"/>
  <c r="S72" i="20"/>
  <c r="T71" i="20"/>
  <c r="S71" i="20"/>
  <c r="T70" i="20"/>
  <c r="S70" i="20"/>
  <c r="T69" i="20"/>
  <c r="S69" i="20"/>
  <c r="T68" i="20"/>
  <c r="S68" i="20"/>
  <c r="T67" i="20"/>
  <c r="S67" i="20"/>
  <c r="T66" i="20"/>
  <c r="S66" i="20"/>
  <c r="T65" i="20"/>
  <c r="S65" i="20"/>
  <c r="T64" i="20"/>
  <c r="S64" i="20"/>
  <c r="T63" i="20"/>
  <c r="S63" i="20"/>
  <c r="T62" i="20"/>
  <c r="S62" i="20"/>
  <c r="T61" i="20"/>
  <c r="S61" i="20"/>
  <c r="T60" i="20"/>
  <c r="S60" i="20"/>
  <c r="T59" i="20"/>
  <c r="S59" i="20"/>
  <c r="T58" i="20"/>
  <c r="S58" i="20"/>
  <c r="T57" i="20"/>
  <c r="S57" i="20"/>
  <c r="T56" i="20"/>
  <c r="S56" i="20"/>
  <c r="T55" i="20"/>
  <c r="S55" i="20"/>
  <c r="T54" i="20"/>
  <c r="S54" i="20"/>
  <c r="T53" i="20"/>
  <c r="S53" i="20"/>
  <c r="T52" i="20"/>
  <c r="S52" i="20"/>
  <c r="T51" i="20"/>
  <c r="S51" i="20"/>
  <c r="T50" i="20"/>
  <c r="S50" i="20"/>
  <c r="T49" i="20"/>
  <c r="S49" i="20"/>
  <c r="T48" i="20"/>
  <c r="S48" i="20"/>
  <c r="T47" i="20"/>
  <c r="S47" i="20"/>
  <c r="T46" i="20"/>
  <c r="S46" i="20"/>
  <c r="T45" i="20"/>
  <c r="S45" i="20"/>
  <c r="T44" i="20"/>
  <c r="S44" i="20"/>
  <c r="T43" i="20"/>
  <c r="S43" i="20"/>
  <c r="T42" i="20"/>
  <c r="S42" i="20"/>
  <c r="T41" i="20"/>
  <c r="S41" i="20"/>
  <c r="T40" i="20"/>
  <c r="S40" i="20"/>
  <c r="T39" i="20"/>
  <c r="S39" i="20"/>
  <c r="T38" i="20"/>
  <c r="S38" i="20"/>
  <c r="T37" i="20"/>
  <c r="S37" i="20"/>
  <c r="T36" i="20"/>
  <c r="S36" i="20"/>
  <c r="T35" i="20"/>
  <c r="S35" i="20"/>
  <c r="T34" i="20"/>
  <c r="S34" i="20"/>
  <c r="T33" i="20"/>
  <c r="S33" i="20"/>
  <c r="T32" i="20"/>
  <c r="S32" i="20"/>
  <c r="T31" i="20"/>
  <c r="S31" i="20"/>
  <c r="T30" i="20"/>
  <c r="S30" i="20"/>
  <c r="T29" i="20"/>
  <c r="S29" i="20"/>
  <c r="T28" i="20"/>
  <c r="S28" i="20"/>
  <c r="T27" i="20"/>
  <c r="S27" i="20"/>
  <c r="T26" i="20"/>
  <c r="S26" i="20"/>
  <c r="T25" i="20"/>
  <c r="S25" i="20"/>
  <c r="T24" i="20"/>
  <c r="S24" i="20"/>
  <c r="T23" i="20"/>
  <c r="S23" i="20"/>
  <c r="T22" i="20"/>
  <c r="S22" i="20"/>
  <c r="T21" i="20"/>
  <c r="S21" i="20"/>
  <c r="T20" i="20"/>
  <c r="S20" i="20"/>
  <c r="T19" i="20"/>
  <c r="S19" i="20"/>
  <c r="T18" i="20"/>
  <c r="S18" i="20"/>
  <c r="T17" i="20"/>
  <c r="S17" i="20"/>
  <c r="T16" i="20"/>
  <c r="S16" i="20"/>
  <c r="T15" i="20"/>
  <c r="S15" i="20"/>
  <c r="T14" i="20"/>
  <c r="S14" i="20"/>
  <c r="T13" i="20"/>
  <c r="S13" i="20"/>
  <c r="T12" i="20"/>
  <c r="S12" i="20"/>
  <c r="T11" i="20"/>
  <c r="S11" i="20"/>
  <c r="T10" i="20"/>
  <c r="S10" i="20"/>
  <c r="T9" i="20"/>
  <c r="S9" i="20"/>
  <c r="T8" i="20"/>
  <c r="S8" i="20"/>
  <c r="T7" i="20"/>
  <c r="S7" i="20"/>
  <c r="T6" i="20"/>
  <c r="S6" i="20"/>
  <c r="T5" i="20"/>
  <c r="S5" i="20"/>
  <c r="T4" i="20"/>
  <c r="S4" i="20"/>
  <c r="T3" i="20"/>
  <c r="S3" i="20"/>
  <c r="A286" i="19"/>
  <c r="A285" i="19"/>
  <c r="A284" i="19"/>
  <c r="A283" i="19"/>
  <c r="A282" i="19"/>
  <c r="A281" i="19"/>
  <c r="A280" i="19"/>
  <c r="A279" i="19"/>
  <c r="A278" i="19"/>
  <c r="A277" i="19"/>
  <c r="A276" i="19"/>
  <c r="A275" i="19"/>
  <c r="A274" i="19"/>
  <c r="A273" i="19"/>
  <c r="A272" i="19"/>
  <c r="A271" i="19"/>
  <c r="A270" i="19"/>
  <c r="A269" i="19"/>
  <c r="A268" i="19"/>
  <c r="A267" i="19"/>
  <c r="A266" i="19"/>
  <c r="A265" i="19"/>
  <c r="A264" i="19"/>
  <c r="A263" i="19"/>
  <c r="A262" i="19"/>
  <c r="A261" i="19"/>
  <c r="A260" i="19"/>
  <c r="A259" i="19"/>
  <c r="A258" i="19"/>
  <c r="A257" i="19"/>
  <c r="A256" i="19"/>
  <c r="A255" i="19"/>
  <c r="A254" i="19"/>
  <c r="A253" i="19"/>
  <c r="A252" i="19"/>
  <c r="A251" i="19"/>
  <c r="A250" i="19"/>
  <c r="A249" i="19"/>
  <c r="A248" i="19"/>
  <c r="A247" i="19"/>
  <c r="A246" i="19"/>
  <c r="A245" i="19"/>
  <c r="A244" i="19"/>
  <c r="A243" i="19"/>
  <c r="A242" i="19"/>
  <c r="A241" i="19"/>
  <c r="A240" i="19"/>
  <c r="A239" i="19"/>
  <c r="A238" i="19"/>
  <c r="A237" i="19"/>
  <c r="A236" i="19"/>
  <c r="A235" i="19"/>
  <c r="A234" i="19"/>
  <c r="A233" i="19"/>
  <c r="A232" i="19"/>
  <c r="A231" i="19"/>
  <c r="A230" i="19"/>
  <c r="A229" i="19"/>
  <c r="A228" i="19"/>
  <c r="A227" i="19"/>
  <c r="A226" i="19"/>
  <c r="A225" i="19"/>
  <c r="A224" i="19"/>
  <c r="A223" i="19"/>
  <c r="A222" i="19"/>
  <c r="A221" i="19"/>
  <c r="A220" i="19"/>
  <c r="A219" i="19"/>
  <c r="A218" i="19"/>
  <c r="A217" i="19"/>
  <c r="A216" i="19"/>
  <c r="A215" i="19"/>
  <c r="A214" i="19"/>
  <c r="A213" i="19"/>
  <c r="A212" i="19"/>
  <c r="A211" i="19"/>
  <c r="A210" i="19"/>
  <c r="A209" i="19"/>
  <c r="A208" i="19"/>
  <c r="A207" i="19"/>
  <c r="A206" i="19"/>
  <c r="A205" i="19"/>
  <c r="A204" i="19"/>
  <c r="A203" i="19"/>
  <c r="A202" i="19"/>
  <c r="A201" i="19"/>
  <c r="A200" i="19"/>
  <c r="A199" i="19"/>
  <c r="A198" i="19"/>
  <c r="A197" i="19"/>
  <c r="A196" i="19"/>
  <c r="A195" i="19"/>
  <c r="A194" i="19"/>
  <c r="A193" i="19"/>
  <c r="A192" i="19"/>
  <c r="A191" i="19"/>
  <c r="A190"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B65" i="19"/>
  <c r="A65" i="19"/>
  <c r="B64" i="19"/>
  <c r="A64" i="19"/>
  <c r="B63" i="19"/>
  <c r="A63" i="19"/>
  <c r="B62" i="19"/>
  <c r="A62" i="19"/>
  <c r="B61" i="19"/>
  <c r="A61" i="19"/>
  <c r="B60" i="19"/>
  <c r="A60" i="19"/>
  <c r="B59" i="19"/>
  <c r="A59" i="19"/>
  <c r="B58" i="19"/>
  <c r="A58" i="19"/>
  <c r="B57" i="19"/>
  <c r="A57" i="19"/>
  <c r="B56" i="19"/>
  <c r="A56" i="19"/>
  <c r="B55" i="19"/>
  <c r="A55" i="19"/>
  <c r="B54" i="19"/>
  <c r="A54" i="19"/>
  <c r="B53" i="19"/>
  <c r="A53" i="19"/>
  <c r="B52" i="19"/>
  <c r="A52" i="19"/>
  <c r="B51" i="19"/>
  <c r="A51" i="19"/>
  <c r="B50" i="19"/>
  <c r="A50" i="19"/>
  <c r="B49" i="19"/>
  <c r="A49" i="19"/>
  <c r="B48" i="19"/>
  <c r="A48" i="19"/>
  <c r="B47" i="19"/>
  <c r="A47" i="19"/>
  <c r="B46" i="19"/>
  <c r="A46" i="19"/>
  <c r="B45" i="19"/>
  <c r="A45" i="19"/>
  <c r="B44" i="19"/>
  <c r="A44" i="19"/>
  <c r="B43" i="19"/>
  <c r="A43" i="19"/>
  <c r="B42" i="19"/>
  <c r="A42" i="19"/>
  <c r="C41" i="19"/>
  <c r="B41" i="19"/>
  <c r="A41" i="19"/>
  <c r="C40" i="19"/>
  <c r="B40" i="19"/>
  <c r="A40" i="19"/>
  <c r="C39" i="19"/>
  <c r="B39" i="19"/>
  <c r="A39" i="19"/>
  <c r="C38" i="19"/>
  <c r="B38" i="19"/>
  <c r="A38" i="19"/>
  <c r="C37" i="19"/>
  <c r="B37" i="19"/>
  <c r="A37" i="19"/>
  <c r="C36" i="19"/>
  <c r="B36" i="19"/>
  <c r="A36" i="19"/>
  <c r="C35" i="19"/>
  <c r="B35" i="19"/>
  <c r="A35" i="19"/>
  <c r="C34" i="19"/>
  <c r="B34" i="19"/>
  <c r="A34" i="19"/>
  <c r="C33" i="19"/>
  <c r="B33" i="19"/>
  <c r="A33" i="19"/>
  <c r="C32" i="19"/>
  <c r="B32" i="19"/>
  <c r="A32" i="19"/>
  <c r="C31" i="19"/>
  <c r="B31" i="19"/>
  <c r="A31" i="19"/>
  <c r="C30" i="19"/>
  <c r="B30" i="19"/>
  <c r="A30" i="19"/>
  <c r="C29" i="19"/>
  <c r="B29" i="19"/>
  <c r="A29" i="19"/>
  <c r="D28" i="19"/>
  <c r="C28" i="19"/>
  <c r="B28" i="19"/>
  <c r="A28" i="19"/>
  <c r="D27" i="19"/>
  <c r="C27" i="19"/>
  <c r="B27" i="19"/>
  <c r="A27" i="19"/>
  <c r="D26" i="19"/>
  <c r="C26" i="19"/>
  <c r="B26" i="19"/>
  <c r="A26" i="19"/>
  <c r="D25" i="19"/>
  <c r="C25" i="19"/>
  <c r="B25" i="19"/>
  <c r="A25" i="19"/>
  <c r="D24" i="19"/>
  <c r="C24" i="19"/>
  <c r="B24" i="19"/>
  <c r="A24" i="19"/>
  <c r="D23" i="19"/>
  <c r="C23" i="19"/>
  <c r="B23" i="19"/>
  <c r="A23" i="19"/>
  <c r="D22" i="19"/>
  <c r="C22" i="19"/>
  <c r="B22" i="19"/>
  <c r="A22" i="19"/>
  <c r="D21" i="19"/>
  <c r="C21" i="19"/>
  <c r="B21" i="19"/>
  <c r="A21" i="19"/>
  <c r="D20" i="19"/>
  <c r="C20" i="19"/>
  <c r="B20" i="19"/>
  <c r="A20" i="19"/>
  <c r="E19" i="19"/>
  <c r="D19" i="19"/>
  <c r="C19" i="19"/>
  <c r="B19" i="19"/>
  <c r="A19" i="19"/>
  <c r="E18" i="19"/>
  <c r="D18" i="19"/>
  <c r="C18" i="19"/>
  <c r="B18" i="19"/>
  <c r="A18" i="19"/>
  <c r="E17" i="19"/>
  <c r="D17" i="19"/>
  <c r="C17" i="19"/>
  <c r="B17" i="19"/>
  <c r="A17" i="19"/>
  <c r="E16" i="19"/>
  <c r="D16" i="19"/>
  <c r="C16" i="19"/>
  <c r="B16" i="19"/>
  <c r="A16" i="19"/>
  <c r="F15" i="19"/>
  <c r="E15" i="19"/>
  <c r="D15" i="19"/>
  <c r="C15" i="19"/>
  <c r="B15" i="19"/>
  <c r="A15" i="19"/>
  <c r="J14" i="19"/>
  <c r="F14" i="19"/>
  <c r="E14" i="19"/>
  <c r="D14" i="19"/>
  <c r="C14" i="19"/>
  <c r="B14" i="19"/>
  <c r="A14" i="19"/>
  <c r="J13" i="19"/>
  <c r="G13" i="19"/>
  <c r="F13" i="19"/>
  <c r="E13" i="19"/>
  <c r="D13" i="19"/>
  <c r="C13" i="19"/>
  <c r="B13" i="19"/>
  <c r="A13" i="19"/>
  <c r="J12" i="19"/>
  <c r="H12" i="19"/>
  <c r="G12" i="19"/>
  <c r="F12" i="19"/>
  <c r="E12" i="19"/>
  <c r="D12" i="19"/>
  <c r="C12" i="19"/>
  <c r="B12" i="19"/>
  <c r="A12" i="19"/>
  <c r="R11" i="19"/>
  <c r="O11" i="19"/>
  <c r="J11" i="19"/>
  <c r="H11" i="19"/>
  <c r="G11" i="19"/>
  <c r="F11" i="19"/>
  <c r="E11" i="19"/>
  <c r="D11" i="19"/>
  <c r="C11" i="19"/>
  <c r="B11" i="19"/>
  <c r="A11" i="19"/>
  <c r="R10" i="19"/>
  <c r="O10" i="19"/>
  <c r="J10" i="19"/>
  <c r="H10" i="19"/>
  <c r="G10" i="19"/>
  <c r="F10" i="19"/>
  <c r="E10" i="19"/>
  <c r="D10" i="19"/>
  <c r="C10" i="19"/>
  <c r="B10" i="19"/>
  <c r="A10" i="19"/>
  <c r="R9" i="19"/>
  <c r="Q9" i="19"/>
  <c r="O9" i="19"/>
  <c r="K9" i="19"/>
  <c r="J9" i="19"/>
  <c r="H9" i="19"/>
  <c r="G9" i="19"/>
  <c r="F9" i="19"/>
  <c r="E9" i="19"/>
  <c r="D9" i="19"/>
  <c r="C9" i="19"/>
  <c r="B9" i="19"/>
  <c r="A9" i="19"/>
  <c r="R8" i="19"/>
  <c r="Q8" i="19"/>
  <c r="P8" i="19"/>
  <c r="O8" i="19"/>
  <c r="M8" i="19"/>
  <c r="K8" i="19"/>
  <c r="J8" i="19"/>
  <c r="H8" i="19"/>
  <c r="G8" i="19"/>
  <c r="F8" i="19"/>
  <c r="E8" i="19"/>
  <c r="D8" i="19"/>
  <c r="C8" i="19"/>
  <c r="B8" i="19"/>
  <c r="A8" i="19"/>
  <c r="R7" i="19"/>
  <c r="Q7" i="19"/>
  <c r="P7" i="19"/>
  <c r="O7" i="19"/>
  <c r="M7" i="19"/>
  <c r="K7" i="19"/>
  <c r="J7" i="19"/>
  <c r="H7" i="19"/>
  <c r="G7" i="19"/>
  <c r="F7" i="19"/>
  <c r="E7" i="19"/>
  <c r="D7" i="19"/>
  <c r="C7" i="19"/>
  <c r="B7" i="19"/>
  <c r="A7" i="19"/>
  <c r="R6" i="19"/>
  <c r="Q6" i="19"/>
  <c r="P6" i="19"/>
  <c r="O6" i="19"/>
  <c r="N6" i="19"/>
  <c r="M6" i="19"/>
  <c r="K6" i="19"/>
  <c r="J6" i="19"/>
  <c r="H6" i="19"/>
  <c r="G6" i="19"/>
  <c r="F6" i="19"/>
  <c r="E6" i="19"/>
  <c r="D6" i="19"/>
  <c r="C6" i="19"/>
  <c r="B6" i="19"/>
  <c r="A6" i="19"/>
  <c r="R5" i="19"/>
  <c r="Q5" i="19"/>
  <c r="P5" i="19"/>
  <c r="O5" i="19"/>
  <c r="N5" i="19"/>
  <c r="M5" i="19"/>
  <c r="L5" i="19"/>
  <c r="K5" i="19"/>
  <c r="J5" i="19"/>
  <c r="I5" i="19"/>
  <c r="H5" i="19"/>
  <c r="G5" i="19"/>
  <c r="F5" i="19"/>
  <c r="E5" i="19"/>
  <c r="D5" i="19"/>
  <c r="C5" i="19"/>
  <c r="B5" i="19"/>
  <c r="A5" i="19"/>
  <c r="R4" i="19"/>
  <c r="Q4" i="19"/>
  <c r="P4" i="19"/>
  <c r="O4" i="19"/>
  <c r="N4" i="19"/>
  <c r="M4" i="19"/>
  <c r="L4" i="19"/>
  <c r="K4" i="19"/>
  <c r="J4" i="19"/>
  <c r="I4" i="19"/>
  <c r="H4" i="19"/>
  <c r="G4" i="19"/>
  <c r="F4" i="19"/>
  <c r="E4" i="19"/>
  <c r="D4" i="19"/>
  <c r="C4" i="19"/>
  <c r="B4" i="19"/>
  <c r="A4" i="19"/>
  <c r="R3" i="19"/>
  <c r="Q3" i="19"/>
  <c r="P3" i="19"/>
  <c r="O3" i="19"/>
  <c r="N3" i="19"/>
  <c r="M3" i="19"/>
  <c r="L3" i="19"/>
  <c r="K3" i="19"/>
  <c r="J3" i="19"/>
  <c r="I3" i="19"/>
  <c r="H3" i="19"/>
  <c r="G3" i="19"/>
  <c r="F3" i="19"/>
  <c r="E3" i="19"/>
  <c r="D3" i="19"/>
  <c r="C3" i="19"/>
  <c r="B3" i="19"/>
  <c r="A3" i="19"/>
  <c r="R2" i="19"/>
  <c r="Q2" i="19"/>
  <c r="P2" i="19"/>
  <c r="O2" i="19"/>
  <c r="N2" i="19"/>
  <c r="M2" i="19"/>
  <c r="L2" i="19"/>
  <c r="K2" i="19"/>
  <c r="J2" i="19"/>
  <c r="I2" i="19"/>
  <c r="H2" i="19"/>
  <c r="G2" i="19"/>
  <c r="F2" i="19"/>
  <c r="E2" i="19"/>
  <c r="D2" i="19"/>
  <c r="C2" i="19"/>
  <c r="B2" i="19"/>
  <c r="A2" i="19"/>
  <c r="D298" i="18"/>
  <c r="D297" i="18"/>
  <c r="D296" i="18"/>
  <c r="D295" i="18"/>
  <c r="D294" i="18"/>
  <c r="D293" i="18"/>
  <c r="D292" i="18"/>
  <c r="D291" i="18"/>
  <c r="D290" i="18"/>
  <c r="D289" i="18"/>
  <c r="D288" i="18"/>
  <c r="D287" i="18"/>
  <c r="D286" i="18"/>
  <c r="D285" i="18"/>
  <c r="D284" i="18"/>
  <c r="D283" i="18"/>
  <c r="D282" i="18"/>
  <c r="D281" i="18"/>
  <c r="D280" i="18"/>
  <c r="D279" i="18"/>
  <c r="D278" i="18"/>
  <c r="D277" i="18"/>
  <c r="D276" i="18"/>
  <c r="D275" i="18"/>
  <c r="D274" i="18"/>
  <c r="D273" i="18"/>
  <c r="D272" i="18"/>
  <c r="D271" i="18"/>
  <c r="D270" i="18"/>
  <c r="D269" i="18"/>
  <c r="D268" i="18"/>
  <c r="D267" i="18"/>
  <c r="D266" i="18"/>
  <c r="D265" i="18"/>
  <c r="D264" i="18"/>
  <c r="D263" i="18"/>
  <c r="D262" i="18"/>
  <c r="D261" i="18"/>
  <c r="D260" i="18"/>
  <c r="D259" i="18"/>
  <c r="D258" i="18"/>
  <c r="D257" i="18"/>
  <c r="D256" i="18"/>
  <c r="D255" i="18"/>
  <c r="D254" i="18"/>
  <c r="D253" i="18"/>
  <c r="D252" i="18"/>
  <c r="D251" i="18"/>
  <c r="D250" i="18"/>
  <c r="D249" i="18"/>
  <c r="D248" i="18"/>
  <c r="D247" i="18"/>
  <c r="D246" i="18"/>
  <c r="D245" i="18"/>
  <c r="D244" i="18"/>
  <c r="D243" i="18"/>
  <c r="D242" i="18"/>
  <c r="D241" i="18"/>
  <c r="D240" i="18"/>
  <c r="D239" i="18"/>
  <c r="D238" i="18"/>
  <c r="D237" i="18"/>
  <c r="D236" i="18"/>
  <c r="D235" i="18"/>
  <c r="D234" i="18"/>
  <c r="D233" i="18"/>
  <c r="D232" i="18"/>
  <c r="D231" i="18"/>
  <c r="D230" i="18"/>
  <c r="D229" i="18"/>
  <c r="D228" i="18"/>
  <c r="D227" i="18"/>
  <c r="D226" i="18"/>
  <c r="D225" i="18"/>
  <c r="D224" i="18"/>
  <c r="D223" i="18"/>
  <c r="D222" i="18"/>
  <c r="D221" i="18"/>
  <c r="D220" i="18"/>
  <c r="D219" i="18"/>
  <c r="D218" i="18"/>
  <c r="D217" i="18"/>
  <c r="D216" i="18"/>
  <c r="D215" i="18"/>
  <c r="D214" i="18"/>
  <c r="D213" i="18"/>
  <c r="D212" i="18"/>
  <c r="D211" i="18"/>
  <c r="D210" i="18"/>
  <c r="D209" i="18"/>
  <c r="D208" i="18"/>
  <c r="D207" i="18"/>
  <c r="D206" i="18"/>
  <c r="D205" i="18"/>
  <c r="D204" i="18"/>
  <c r="D203" i="18"/>
  <c r="D202" i="18"/>
  <c r="D201" i="18"/>
  <c r="D200" i="18"/>
  <c r="D199" i="18"/>
  <c r="D198" i="18"/>
  <c r="D197" i="18"/>
  <c r="D196" i="18"/>
  <c r="D195" i="18"/>
  <c r="D194" i="18"/>
  <c r="D193" i="18"/>
  <c r="D192" i="18"/>
  <c r="D191" i="18"/>
  <c r="D190" i="18"/>
  <c r="D189" i="18"/>
  <c r="D188" i="18"/>
  <c r="D187" i="18"/>
  <c r="D186" i="18"/>
  <c r="D185" i="18"/>
  <c r="D184" i="18"/>
  <c r="D183" i="18"/>
  <c r="D182" i="18"/>
  <c r="D181" i="18"/>
  <c r="D180" i="18"/>
  <c r="D179" i="18"/>
  <c r="D178" i="18"/>
  <c r="D177" i="18"/>
  <c r="D176" i="18"/>
  <c r="D175" i="18"/>
  <c r="D174" i="18"/>
  <c r="D173" i="18"/>
  <c r="D172" i="18"/>
  <c r="D171" i="18"/>
  <c r="D170" i="18"/>
  <c r="D169" i="18"/>
  <c r="D168" i="18"/>
  <c r="D167" i="18"/>
  <c r="D166" i="18"/>
  <c r="D165" i="18"/>
  <c r="D164" i="18"/>
  <c r="D163" i="18"/>
  <c r="D162" i="18"/>
  <c r="D161" i="18"/>
  <c r="D160" i="18"/>
  <c r="D159" i="18"/>
  <c r="D158" i="18"/>
  <c r="D157" i="18"/>
  <c r="D156" i="18"/>
  <c r="D155" i="18"/>
  <c r="D154" i="18"/>
  <c r="D153" i="18"/>
  <c r="D152" i="18"/>
  <c r="D151" i="18"/>
  <c r="D150" i="18"/>
  <c r="D149" i="18"/>
  <c r="D148" i="18"/>
  <c r="D147" i="18"/>
  <c r="D146" i="18"/>
  <c r="D145" i="18"/>
  <c r="D144" i="18"/>
  <c r="D143" i="18"/>
  <c r="D142" i="18"/>
  <c r="D141" i="18"/>
  <c r="D140" i="18"/>
  <c r="D139" i="18"/>
  <c r="D138" i="18"/>
  <c r="D137" i="18"/>
  <c r="D136" i="18"/>
  <c r="D135" i="18"/>
  <c r="D134" i="18"/>
  <c r="D133" i="18"/>
  <c r="D132" i="18"/>
  <c r="D131" i="18"/>
  <c r="D130" i="18"/>
  <c r="D129" i="18"/>
  <c r="D128" i="18"/>
  <c r="D127" i="18"/>
  <c r="D126" i="18"/>
  <c r="D125" i="18"/>
  <c r="D124" i="18"/>
  <c r="D123" i="18"/>
  <c r="D122" i="18"/>
  <c r="D121" i="18"/>
  <c r="D120" i="18"/>
  <c r="D119" i="18"/>
  <c r="D118" i="18"/>
  <c r="D117" i="18"/>
  <c r="D116" i="18"/>
  <c r="D115" i="18"/>
  <c r="D114" i="18"/>
  <c r="D113" i="18"/>
  <c r="D112" i="18"/>
  <c r="D111" i="18"/>
  <c r="D110" i="18"/>
  <c r="D109" i="18"/>
  <c r="D108" i="18"/>
  <c r="D107" i="18"/>
  <c r="D106" i="18"/>
  <c r="D105" i="18"/>
  <c r="D104" i="18"/>
  <c r="D103" i="18"/>
  <c r="D102" i="18"/>
  <c r="D101" i="18"/>
  <c r="D100" i="18"/>
  <c r="D99" i="18"/>
  <c r="D98" i="18"/>
  <c r="D97" i="18"/>
  <c r="D96" i="18"/>
  <c r="D95" i="18"/>
  <c r="D94" i="18"/>
  <c r="D93" i="18"/>
  <c r="D92" i="18"/>
  <c r="D91" i="18"/>
  <c r="D90" i="18"/>
  <c r="D89" i="18"/>
  <c r="D88" i="18"/>
  <c r="D87" i="18"/>
  <c r="D86" i="18"/>
  <c r="D85" i="18"/>
  <c r="D84" i="18"/>
  <c r="D83" i="18"/>
  <c r="D82" i="18"/>
  <c r="D81" i="18"/>
  <c r="D80" i="18"/>
  <c r="D79" i="18"/>
  <c r="D78" i="18"/>
  <c r="D77" i="18"/>
  <c r="D76" i="18"/>
  <c r="D75" i="18"/>
  <c r="D74" i="18"/>
  <c r="D73" i="18"/>
  <c r="D72" i="18"/>
  <c r="D71" i="18"/>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306" i="16"/>
  <c r="D305" i="16"/>
  <c r="D304" i="16"/>
  <c r="D303" i="16"/>
  <c r="D302" i="16"/>
  <c r="D301" i="16"/>
  <c r="D300" i="16"/>
  <c r="D299" i="16"/>
  <c r="D298" i="16"/>
  <c r="D297" i="16"/>
  <c r="D296" i="16"/>
  <c r="D295" i="16"/>
  <c r="D294" i="16"/>
  <c r="D293" i="16"/>
  <c r="D292" i="16"/>
  <c r="D291" i="16"/>
  <c r="D290" i="16"/>
  <c r="D289" i="16"/>
  <c r="D288" i="16"/>
  <c r="D287" i="16"/>
  <c r="D286" i="16"/>
  <c r="D285" i="16"/>
  <c r="D284" i="16"/>
  <c r="D283" i="16"/>
  <c r="D282" i="16"/>
  <c r="D281" i="16"/>
  <c r="D280" i="16"/>
  <c r="D279" i="16"/>
  <c r="D278" i="16"/>
  <c r="D277" i="16"/>
  <c r="D276" i="16"/>
  <c r="D275" i="16"/>
  <c r="D274" i="16"/>
  <c r="D273" i="16"/>
  <c r="D272" i="16"/>
  <c r="D271" i="16"/>
  <c r="D270" i="16"/>
  <c r="D269" i="16"/>
  <c r="D268" i="16"/>
  <c r="D267" i="16"/>
  <c r="D266" i="16"/>
  <c r="D265" i="16"/>
  <c r="D264" i="16"/>
  <c r="D263" i="16"/>
  <c r="D262" i="16"/>
  <c r="D261" i="16"/>
  <c r="D260" i="16"/>
  <c r="D259" i="16"/>
  <c r="D258" i="16"/>
  <c r="D257" i="16"/>
  <c r="D256" i="16"/>
  <c r="D255" i="16"/>
  <c r="D254" i="16"/>
  <c r="D253" i="16"/>
  <c r="D252" i="16"/>
  <c r="D251" i="16"/>
  <c r="D250" i="16"/>
  <c r="D249" i="16"/>
  <c r="D248" i="16"/>
  <c r="D247" i="16"/>
  <c r="D246" i="16"/>
  <c r="D245" i="16"/>
  <c r="D244" i="16"/>
  <c r="D243" i="16"/>
  <c r="D242" i="16"/>
  <c r="D241" i="16"/>
  <c r="D240" i="16"/>
  <c r="D239" i="16"/>
  <c r="D238" i="16"/>
  <c r="D237" i="16"/>
  <c r="D236" i="16"/>
  <c r="D235" i="16"/>
  <c r="D234" i="16"/>
  <c r="D233" i="16"/>
  <c r="D232" i="16"/>
  <c r="D231" i="16"/>
  <c r="D230" i="16"/>
  <c r="D229" i="16"/>
  <c r="D228" i="16"/>
  <c r="D227" i="16"/>
  <c r="D226" i="16"/>
  <c r="D225" i="16"/>
  <c r="D224" i="16"/>
  <c r="D223" i="16"/>
  <c r="D222" i="16"/>
  <c r="D221" i="16"/>
  <c r="D220" i="16"/>
  <c r="D219" i="16"/>
  <c r="D218" i="16"/>
  <c r="D217" i="16"/>
  <c r="D216" i="16"/>
  <c r="D215" i="16"/>
  <c r="D214" i="16"/>
  <c r="D213" i="16"/>
  <c r="D212" i="16"/>
  <c r="D211" i="16"/>
  <c r="D210" i="16"/>
  <c r="D209" i="16"/>
  <c r="D208" i="16"/>
  <c r="D207" i="16"/>
  <c r="D206" i="16"/>
  <c r="D205" i="16"/>
  <c r="D204" i="16"/>
  <c r="D203" i="16"/>
  <c r="D202" i="16"/>
  <c r="D201" i="16"/>
  <c r="D200" i="16"/>
  <c r="D199" i="16"/>
  <c r="D198" i="16"/>
  <c r="D197" i="16"/>
  <c r="D196" i="16"/>
  <c r="D195" i="16"/>
  <c r="D194" i="16"/>
  <c r="D193" i="16"/>
  <c r="D192" i="16"/>
  <c r="D191" i="16"/>
  <c r="D190" i="16"/>
  <c r="D189" i="16"/>
  <c r="D188" i="16"/>
  <c r="D187" i="16"/>
  <c r="D186" i="16"/>
  <c r="D185" i="16"/>
  <c r="D184" i="16"/>
  <c r="D183" i="16"/>
  <c r="D182" i="16"/>
  <c r="D181" i="16"/>
  <c r="D180" i="16"/>
  <c r="D179" i="16"/>
  <c r="D178" i="16"/>
  <c r="D177" i="16"/>
  <c r="D176" i="16"/>
  <c r="D175" i="16"/>
  <c r="D174" i="16"/>
  <c r="D173" i="16"/>
  <c r="D172" i="16"/>
  <c r="D171" i="16"/>
  <c r="D170" i="16"/>
  <c r="D169" i="16"/>
  <c r="D168" i="16"/>
  <c r="D167" i="16"/>
  <c r="D166" i="16"/>
  <c r="D165" i="16"/>
  <c r="D164" i="16"/>
  <c r="D163" i="16"/>
  <c r="D162" i="16"/>
  <c r="D161" i="16"/>
  <c r="D160" i="16"/>
  <c r="D159" i="16"/>
  <c r="D158" i="16"/>
  <c r="D157" i="16"/>
  <c r="D156" i="16"/>
  <c r="D155" i="16"/>
  <c r="D154" i="16"/>
  <c r="D153" i="16"/>
  <c r="D152" i="16"/>
  <c r="D151" i="16"/>
  <c r="D150" i="16"/>
  <c r="D149" i="16"/>
  <c r="D148" i="16"/>
  <c r="D147" i="16"/>
  <c r="D146" i="16"/>
  <c r="D145" i="16"/>
  <c r="D144" i="16"/>
  <c r="D143" i="16"/>
  <c r="D142" i="16"/>
  <c r="D141" i="16"/>
  <c r="D140" i="16"/>
  <c r="D139" i="16"/>
  <c r="D138" i="16"/>
  <c r="D137" i="16"/>
  <c r="D136" i="16"/>
  <c r="D135" i="16"/>
  <c r="D134" i="16"/>
  <c r="D133" i="16"/>
  <c r="D132" i="16"/>
  <c r="D131" i="16"/>
  <c r="D130" i="16"/>
  <c r="D129" i="16"/>
  <c r="D128" i="16"/>
  <c r="D127" i="16"/>
  <c r="D126" i="16"/>
  <c r="D125" i="16"/>
  <c r="D124" i="16"/>
  <c r="D123" i="16"/>
  <c r="D122" i="16"/>
  <c r="D121" i="16"/>
  <c r="D120" i="16"/>
  <c r="D119" i="16"/>
  <c r="D118" i="16"/>
  <c r="D117" i="16"/>
  <c r="D116" i="16"/>
  <c r="D115" i="16"/>
  <c r="D114" i="16"/>
  <c r="D113" i="16"/>
  <c r="D112" i="16"/>
  <c r="D111" i="16"/>
  <c r="D110" i="16"/>
  <c r="D109" i="16"/>
  <c r="D108" i="16"/>
  <c r="D107" i="16"/>
  <c r="D106" i="16"/>
  <c r="D105" i="16"/>
  <c r="D104" i="16"/>
  <c r="D103" i="16"/>
  <c r="D102" i="16"/>
  <c r="D101" i="16"/>
  <c r="D100" i="16"/>
  <c r="D99" i="16"/>
  <c r="D98" i="16"/>
  <c r="D97" i="16"/>
  <c r="D96" i="16"/>
  <c r="D95" i="16"/>
  <c r="D94" i="16"/>
  <c r="D93" i="16"/>
  <c r="D92" i="16"/>
  <c r="D91" i="16"/>
  <c r="D90" i="16"/>
  <c r="D89" i="16"/>
  <c r="D88" i="16"/>
  <c r="D87" i="16"/>
  <c r="D86" i="16"/>
  <c r="D85" i="16"/>
  <c r="D84" i="16"/>
  <c r="D83" i="16"/>
  <c r="D82" i="16"/>
  <c r="D81" i="16"/>
  <c r="D80" i="16"/>
  <c r="D79" i="16"/>
  <c r="D78" i="16"/>
  <c r="D77" i="16"/>
  <c r="D76" i="16"/>
  <c r="D75" i="16"/>
  <c r="D74" i="16"/>
  <c r="D73" i="16"/>
  <c r="D72" i="16"/>
  <c r="D71" i="16"/>
  <c r="D70" i="16"/>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306" i="15"/>
  <c r="D305" i="15"/>
  <c r="D304" i="15"/>
  <c r="D303" i="15"/>
  <c r="D302" i="15"/>
  <c r="D301" i="15"/>
  <c r="D300" i="15"/>
  <c r="D299" i="15"/>
  <c r="D298" i="15"/>
  <c r="D297" i="15"/>
  <c r="D296" i="15"/>
  <c r="D295" i="15"/>
  <c r="D294" i="15"/>
  <c r="D293" i="15"/>
  <c r="D292" i="15"/>
  <c r="D291" i="15"/>
  <c r="D290" i="15"/>
  <c r="D289" i="15"/>
  <c r="D288" i="15"/>
  <c r="D287" i="15"/>
  <c r="D286" i="15"/>
  <c r="D285" i="15"/>
  <c r="D284" i="15"/>
  <c r="D283" i="15"/>
  <c r="D282" i="15"/>
  <c r="D281" i="15"/>
  <c r="D280" i="15"/>
  <c r="D279" i="15"/>
  <c r="D278" i="15"/>
  <c r="D277" i="15"/>
  <c r="D276" i="15"/>
  <c r="D275" i="15"/>
  <c r="D274" i="15"/>
  <c r="D273" i="15"/>
  <c r="D272" i="15"/>
  <c r="D271" i="15"/>
  <c r="D270" i="15"/>
  <c r="D269" i="15"/>
  <c r="D268" i="15"/>
  <c r="D267" i="15"/>
  <c r="D266" i="15"/>
  <c r="D265" i="15"/>
  <c r="D264" i="15"/>
  <c r="D263" i="15"/>
  <c r="D262" i="15"/>
  <c r="D261" i="15"/>
  <c r="D260" i="15"/>
  <c r="D259" i="15"/>
  <c r="D258" i="15"/>
  <c r="D257" i="15"/>
  <c r="D256" i="15"/>
  <c r="D255" i="15"/>
  <c r="D254" i="15"/>
  <c r="D253" i="15"/>
  <c r="D252" i="15"/>
  <c r="D251" i="15"/>
  <c r="D250" i="15"/>
  <c r="D249" i="15"/>
  <c r="D248" i="15"/>
  <c r="D247" i="15"/>
  <c r="D246" i="15"/>
  <c r="D245" i="15"/>
  <c r="D244" i="15"/>
  <c r="D243" i="15"/>
  <c r="D242" i="15"/>
  <c r="D241" i="15"/>
  <c r="D240" i="15"/>
  <c r="D239" i="15"/>
  <c r="D238" i="15"/>
  <c r="D237" i="15"/>
  <c r="D236" i="15"/>
  <c r="D235" i="15"/>
  <c r="D234" i="15"/>
  <c r="D233" i="15"/>
  <c r="D232" i="15"/>
  <c r="D231" i="15"/>
  <c r="D230" i="15"/>
  <c r="D229" i="15"/>
  <c r="D228" i="15"/>
  <c r="D227" i="15"/>
  <c r="D226" i="15"/>
  <c r="D225" i="15"/>
  <c r="D224" i="15"/>
  <c r="D223" i="15"/>
  <c r="D222" i="15"/>
  <c r="D221" i="15"/>
  <c r="D220" i="15"/>
  <c r="D219" i="15"/>
  <c r="D218" i="15"/>
  <c r="D217" i="15"/>
  <c r="D216" i="15"/>
  <c r="D215" i="15"/>
  <c r="D214" i="15"/>
  <c r="D213" i="15"/>
  <c r="D212" i="15"/>
  <c r="D211" i="15"/>
  <c r="D210" i="15"/>
  <c r="D209" i="15"/>
  <c r="D208" i="15"/>
  <c r="D207" i="15"/>
  <c r="D206" i="15"/>
  <c r="D205" i="15"/>
  <c r="D204" i="15"/>
  <c r="D203" i="15"/>
  <c r="D202" i="15"/>
  <c r="D201" i="15"/>
  <c r="D200" i="15"/>
  <c r="D199" i="15"/>
  <c r="D198" i="15"/>
  <c r="D197" i="15"/>
  <c r="D196" i="15"/>
  <c r="D195" i="15"/>
  <c r="D194" i="15"/>
  <c r="D193" i="15"/>
  <c r="D192" i="15"/>
  <c r="D191" i="15"/>
  <c r="D190" i="15"/>
  <c r="D189" i="15"/>
  <c r="D188" i="15"/>
  <c r="D187" i="15"/>
  <c r="D186" i="15"/>
  <c r="D185" i="15"/>
  <c r="D184" i="15"/>
  <c r="D183" i="15"/>
  <c r="D182" i="15"/>
  <c r="D181" i="15"/>
  <c r="D180" i="15"/>
  <c r="D179" i="15"/>
  <c r="D178" i="15"/>
  <c r="D177" i="15"/>
  <c r="D176" i="15"/>
  <c r="D175" i="15"/>
  <c r="D174" i="15"/>
  <c r="D173" i="15"/>
  <c r="D172" i="15"/>
  <c r="D171" i="15"/>
  <c r="D170" i="15"/>
  <c r="D169" i="15"/>
  <c r="D168" i="15"/>
  <c r="D167" i="15"/>
  <c r="D166" i="15"/>
  <c r="D165" i="15"/>
  <c r="D164" i="15"/>
  <c r="D163" i="15"/>
  <c r="D162" i="15"/>
  <c r="D161" i="15"/>
  <c r="D160" i="15"/>
  <c r="D159" i="15"/>
  <c r="D158" i="15"/>
  <c r="D157" i="15"/>
  <c r="D156" i="15"/>
  <c r="D155" i="15"/>
  <c r="D154" i="15"/>
  <c r="D153" i="15"/>
  <c r="D152" i="15"/>
  <c r="D151" i="15"/>
  <c r="D150" i="15"/>
  <c r="D149" i="15"/>
  <c r="D148" i="15"/>
  <c r="D147" i="15"/>
  <c r="D146" i="15"/>
  <c r="D145" i="15"/>
  <c r="D144" i="15"/>
  <c r="D143" i="15"/>
  <c r="D142" i="15"/>
  <c r="D141" i="15"/>
  <c r="D140" i="15"/>
  <c r="D139" i="15"/>
  <c r="D138" i="15"/>
  <c r="D137" i="15"/>
  <c r="D136" i="15"/>
  <c r="D135" i="15"/>
  <c r="D134" i="15"/>
  <c r="D133" i="15"/>
  <c r="D132" i="15"/>
  <c r="D131" i="15"/>
  <c r="D130" i="15"/>
  <c r="D129" i="15"/>
  <c r="D128" i="15"/>
  <c r="D127" i="15"/>
  <c r="D126" i="15"/>
  <c r="D125" i="15"/>
  <c r="D124" i="15"/>
  <c r="D123" i="15"/>
  <c r="D122" i="15"/>
  <c r="D121" i="15"/>
  <c r="D120" i="15"/>
  <c r="D119" i="15"/>
  <c r="D118" i="15"/>
  <c r="D117" i="15"/>
  <c r="D116" i="15"/>
  <c r="D115"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300" i="12"/>
  <c r="D299" i="12"/>
  <c r="D298" i="12"/>
  <c r="D297" i="12"/>
  <c r="D296" i="12"/>
  <c r="D295" i="12"/>
  <c r="D294" i="12"/>
  <c r="D293" i="12"/>
  <c r="D292" i="12"/>
  <c r="D291" i="12"/>
  <c r="D290" i="12"/>
  <c r="D289" i="12"/>
  <c r="D288" i="12"/>
  <c r="D287" i="12"/>
  <c r="D286" i="12"/>
  <c r="D285" i="12"/>
  <c r="D284" i="12"/>
  <c r="D283" i="12"/>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65" i="10"/>
  <c r="D264" i="10"/>
  <c r="D263" i="10"/>
  <c r="D262" i="10"/>
  <c r="D261" i="10"/>
  <c r="D260" i="10"/>
  <c r="D259" i="10"/>
  <c r="D258" i="10"/>
  <c r="D257" i="10"/>
  <c r="D256" i="10"/>
  <c r="D255" i="10"/>
  <c r="D254" i="10"/>
  <c r="D253" i="10"/>
  <c r="D252" i="10"/>
  <c r="D251" i="10"/>
  <c r="D250" i="10"/>
  <c r="D249" i="10"/>
  <c r="D248" i="10"/>
  <c r="D247" i="10"/>
  <c r="D246" i="10"/>
  <c r="D245" i="10"/>
  <c r="D244" i="10"/>
  <c r="D243" i="10"/>
  <c r="D242" i="10"/>
  <c r="D241" i="10"/>
  <c r="D240" i="10"/>
  <c r="D239" i="10"/>
  <c r="D238" i="10"/>
  <c r="D237" i="10"/>
  <c r="D236" i="10"/>
  <c r="D235" i="10"/>
  <c r="D234" i="10"/>
  <c r="D233" i="10"/>
  <c r="D232" i="10"/>
  <c r="D231" i="10"/>
  <c r="D230" i="10"/>
  <c r="D229" i="10"/>
  <c r="D228" i="10"/>
  <c r="D227" i="10"/>
  <c r="D226" i="10"/>
  <c r="D225" i="10"/>
  <c r="D224" i="10"/>
  <c r="D223" i="10"/>
  <c r="D222" i="10"/>
  <c r="D221" i="10"/>
  <c r="D220" i="10"/>
  <c r="D219" i="10"/>
  <c r="D218" i="10"/>
  <c r="D217" i="10"/>
  <c r="D216" i="10"/>
  <c r="D215" i="10"/>
  <c r="D214" i="10"/>
  <c r="D213" i="10"/>
  <c r="D212" i="10"/>
  <c r="D211" i="10"/>
  <c r="D210" i="10"/>
  <c r="D209" i="10"/>
  <c r="D208" i="10"/>
  <c r="D207" i="10"/>
  <c r="D206" i="10"/>
  <c r="D205" i="10"/>
  <c r="D204" i="10"/>
  <c r="D203" i="10"/>
  <c r="D202" i="10"/>
  <c r="D201" i="10"/>
  <c r="D200" i="10"/>
  <c r="D199" i="10"/>
  <c r="D198" i="10"/>
  <c r="D197" i="10"/>
  <c r="D196" i="10"/>
  <c r="D195" i="10"/>
  <c r="D194" i="10"/>
  <c r="D193" i="10"/>
  <c r="D192" i="10"/>
  <c r="D191" i="10"/>
  <c r="D190" i="10"/>
  <c r="D189" i="10"/>
  <c r="D188" i="10"/>
  <c r="D187" i="10"/>
  <c r="D186" i="10"/>
  <c r="D185" i="10"/>
  <c r="D184" i="10"/>
  <c r="D183" i="10"/>
  <c r="D182" i="10"/>
  <c r="D181" i="10"/>
  <c r="D180" i="10"/>
  <c r="D179" i="10"/>
  <c r="D178" i="10"/>
  <c r="D177" i="10"/>
  <c r="D176" i="10"/>
  <c r="D175" i="10"/>
  <c r="D174" i="10"/>
  <c r="D173" i="10"/>
  <c r="D172" i="10"/>
  <c r="D171" i="10"/>
  <c r="D170" i="10"/>
  <c r="D169" i="10"/>
  <c r="D168" i="10"/>
  <c r="D167" i="10"/>
  <c r="D166" i="10"/>
  <c r="D165" i="10"/>
  <c r="D164" i="10"/>
  <c r="D163"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D139" i="10"/>
  <c r="D138"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94" i="8"/>
  <c r="D293" i="8"/>
  <c r="D292" i="8"/>
  <c r="D291" i="8"/>
  <c r="D290" i="8"/>
  <c r="D289" i="8"/>
  <c r="D288" i="8"/>
  <c r="D287" i="8"/>
  <c r="D286" i="8"/>
  <c r="D285" i="8"/>
  <c r="D284" i="8"/>
  <c r="D283" i="8"/>
  <c r="D282" i="8"/>
  <c r="D281" i="8"/>
  <c r="D280" i="8"/>
  <c r="D279" i="8"/>
  <c r="D278" i="8"/>
  <c r="D277" i="8"/>
  <c r="D276" i="8"/>
  <c r="D275" i="8"/>
  <c r="D274" i="8"/>
  <c r="D273" i="8"/>
  <c r="D272" i="8"/>
  <c r="D271" i="8"/>
  <c r="D270" i="8"/>
  <c r="D269" i="8"/>
  <c r="D268" i="8"/>
  <c r="D267" i="8"/>
  <c r="D266" i="8"/>
  <c r="D265" i="8"/>
  <c r="D264" i="8"/>
  <c r="D263" i="8"/>
  <c r="D262" i="8"/>
  <c r="D261" i="8"/>
  <c r="D260" i="8"/>
  <c r="D259" i="8"/>
  <c r="D258" i="8"/>
  <c r="D257" i="8"/>
  <c r="D256" i="8"/>
  <c r="D255" i="8"/>
  <c r="D254" i="8"/>
  <c r="D253" i="8"/>
  <c r="D252" i="8"/>
  <c r="D251" i="8"/>
  <c r="D250" i="8"/>
  <c r="D249" i="8"/>
  <c r="D248" i="8"/>
  <c r="D247" i="8"/>
  <c r="D246" i="8"/>
  <c r="D245" i="8"/>
  <c r="D244" i="8"/>
  <c r="D243" i="8"/>
  <c r="D242" i="8"/>
  <c r="D241" i="8"/>
  <c r="D240" i="8"/>
  <c r="D239" i="8"/>
  <c r="D238" i="8"/>
  <c r="D237" i="8"/>
  <c r="D236" i="8"/>
  <c r="D235" i="8"/>
  <c r="D234" i="8"/>
  <c r="D233" i="8"/>
  <c r="D232" i="8"/>
  <c r="D231" i="8"/>
  <c r="D230" i="8"/>
  <c r="D229" i="8"/>
  <c r="D228" i="8"/>
  <c r="D227" i="8"/>
  <c r="D226" i="8"/>
  <c r="D225" i="8"/>
  <c r="D224" i="8"/>
  <c r="D223" i="8"/>
  <c r="D222" i="8"/>
  <c r="D221" i="8"/>
  <c r="D220" i="8"/>
  <c r="D219" i="8"/>
  <c r="D218" i="8"/>
  <c r="D217" i="8"/>
  <c r="D216" i="8"/>
  <c r="D215" i="8"/>
  <c r="D214" i="8"/>
  <c r="D213" i="8"/>
  <c r="D212" i="8"/>
  <c r="D211" i="8"/>
  <c r="D210" i="8"/>
  <c r="D209" i="8"/>
  <c r="D208" i="8"/>
  <c r="D207" i="8"/>
  <c r="D206" i="8"/>
  <c r="D205" i="8"/>
  <c r="D204" i="8"/>
  <c r="D203" i="8"/>
  <c r="D202" i="8"/>
  <c r="D201" i="8"/>
  <c r="D200" i="8"/>
  <c r="D199" i="8"/>
  <c r="D198" i="8"/>
  <c r="D197" i="8"/>
  <c r="D196" i="8"/>
  <c r="D195" i="8"/>
  <c r="D194" i="8"/>
  <c r="D193" i="8"/>
  <c r="D192" i="8"/>
  <c r="D191" i="8"/>
  <c r="D190" i="8"/>
  <c r="D189" i="8"/>
  <c r="D188" i="8"/>
  <c r="D187" i="8"/>
  <c r="D186" i="8"/>
  <c r="D185" i="8"/>
  <c r="D184" i="8"/>
  <c r="D183" i="8"/>
  <c r="D182" i="8"/>
  <c r="D181" i="8"/>
  <c r="D180" i="8"/>
  <c r="D179" i="8"/>
  <c r="D178" i="8"/>
  <c r="D177" i="8"/>
  <c r="D176" i="8"/>
  <c r="D175" i="8"/>
  <c r="D174" i="8"/>
  <c r="D173" i="8"/>
  <c r="D172" i="8"/>
  <c r="D171" i="8"/>
  <c r="D170" i="8"/>
  <c r="D169" i="8"/>
  <c r="D168" i="8"/>
  <c r="D167" i="8"/>
  <c r="D166" i="8"/>
  <c r="D165" i="8"/>
  <c r="D164" i="8"/>
  <c r="D163" i="8"/>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D207" i="7"/>
  <c r="D206" i="7"/>
  <c r="D205" i="7"/>
  <c r="D204" i="7"/>
  <c r="D203" i="7"/>
  <c r="D202" i="7"/>
  <c r="D201" i="7"/>
  <c r="D200" i="7"/>
  <c r="D199" i="7"/>
  <c r="D198" i="7"/>
  <c r="D197" i="7"/>
  <c r="D196" i="7"/>
  <c r="D195" i="7"/>
  <c r="D194" i="7"/>
  <c r="D193" i="7"/>
  <c r="D192" i="7"/>
  <c r="D191" i="7"/>
  <c r="D190" i="7"/>
  <c r="D189" i="7"/>
  <c r="D188" i="7"/>
  <c r="D187" i="7"/>
  <c r="D186" i="7"/>
  <c r="D185" i="7"/>
  <c r="D184" i="7"/>
  <c r="D183" i="7"/>
  <c r="D182" i="7"/>
  <c r="D181" i="7"/>
  <c r="D180" i="7"/>
  <c r="D179" i="7"/>
  <c r="D178" i="7"/>
  <c r="D177" i="7"/>
  <c r="D176" i="7"/>
  <c r="D175" i="7"/>
  <c r="D174" i="7"/>
  <c r="D173" i="7"/>
  <c r="D172" i="7"/>
  <c r="D171" i="7"/>
  <c r="D170" i="7"/>
  <c r="D169" i="7"/>
  <c r="D168" i="7"/>
  <c r="D167" i="7"/>
  <c r="D166" i="7"/>
  <c r="D165" i="7"/>
  <c r="D164" i="7"/>
  <c r="D163" i="7"/>
  <c r="D162" i="7"/>
  <c r="D161" i="7"/>
  <c r="D160" i="7"/>
  <c r="D159" i="7"/>
  <c r="D158" i="7"/>
  <c r="D157" i="7"/>
  <c r="D156" i="7"/>
  <c r="D155" i="7"/>
  <c r="D154" i="7"/>
  <c r="D153" i="7"/>
  <c r="D152" i="7"/>
  <c r="D151"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75" i="6"/>
  <c r="D274" i="6"/>
  <c r="D273" i="6"/>
  <c r="D272" i="6"/>
  <c r="D271" i="6"/>
  <c r="D270" i="6"/>
  <c r="D268" i="6"/>
  <c r="D267" i="6"/>
  <c r="D266"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72" i="5"/>
  <c r="D271" i="5"/>
  <c r="D270" i="5"/>
  <c r="D269" i="5"/>
  <c r="D268" i="5"/>
  <c r="D267" i="5"/>
  <c r="D266" i="5"/>
  <c r="D264" i="5"/>
  <c r="D263" i="5"/>
  <c r="D262" i="5"/>
  <c r="D261" i="5"/>
  <c r="D260" i="5"/>
  <c r="D259" i="5"/>
  <c r="D258" i="5"/>
  <c r="D257" i="5"/>
  <c r="D256" i="5"/>
  <c r="D255" i="5"/>
  <c r="D254" i="5"/>
  <c r="D253" i="5"/>
  <c r="D252" i="5"/>
  <c r="D251" i="5"/>
  <c r="D250" i="5"/>
  <c r="D249" i="5"/>
  <c r="D248" i="5"/>
  <c r="D247" i="5"/>
  <c r="D246" i="5"/>
  <c r="D245" i="5"/>
  <c r="D244" i="5"/>
  <c r="D243" i="5"/>
  <c r="D242" i="5"/>
  <c r="D241" i="5"/>
  <c r="D240" i="5"/>
  <c r="D239" i="5"/>
  <c r="D238" i="5"/>
  <c r="D237" i="5"/>
  <c r="D236" i="5"/>
  <c r="D235" i="5"/>
  <c r="D234" i="5"/>
  <c r="D233" i="5"/>
  <c r="D232" i="5"/>
  <c r="D231" i="5"/>
  <c r="D230" i="5"/>
  <c r="D229" i="5"/>
  <c r="D228" i="5"/>
  <c r="D227" i="5"/>
  <c r="D226" i="5"/>
  <c r="D225" i="5"/>
  <c r="D224" i="5"/>
  <c r="D223" i="5"/>
  <c r="D222" i="5"/>
  <c r="D221" i="5"/>
  <c r="D220" i="5"/>
  <c r="D219" i="5"/>
  <c r="D218" i="5"/>
  <c r="D217" i="5"/>
  <c r="D216" i="5"/>
  <c r="D215" i="5"/>
  <c r="D214" i="5"/>
  <c r="D213" i="5"/>
  <c r="D212" i="5"/>
  <c r="D211" i="5"/>
  <c r="D210" i="5"/>
  <c r="D209" i="5"/>
  <c r="D208" i="5"/>
  <c r="D207" i="5"/>
  <c r="D206" i="5"/>
  <c r="D205" i="5"/>
  <c r="D204" i="5"/>
  <c r="D203" i="5"/>
  <c r="D202" i="5"/>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304" i="4"/>
  <c r="D303" i="4"/>
  <c r="D302" i="4"/>
  <c r="D301"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301" i="3"/>
  <c r="D300" i="3"/>
  <c r="D299"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301" i="2"/>
  <c r="D300" i="2"/>
  <c r="D299" i="2"/>
  <c r="D298" i="2"/>
  <c r="D297"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S591" i="21"/>
  <c r="R104" i="21"/>
  <c r="H108" i="21"/>
  <c r="D105" i="21"/>
  <c r="H558" i="21"/>
  <c r="J521" i="21"/>
  <c r="Q578" i="21"/>
  <c r="L474" i="21"/>
  <c r="C497" i="21"/>
  <c r="H448" i="21"/>
  <c r="O100" i="21"/>
  <c r="T522" i="21"/>
  <c r="R538" i="21"/>
  <c r="L561" i="21"/>
  <c r="F536" i="21"/>
  <c r="R598" i="21"/>
  <c r="J496" i="21"/>
  <c r="H506" i="21"/>
  <c r="R556" i="21"/>
  <c r="H592" i="21"/>
  <c r="E535" i="21"/>
  <c r="S575" i="21"/>
  <c r="L107" i="21"/>
  <c r="N109" i="21"/>
  <c r="D107" i="21"/>
  <c r="H542" i="21"/>
  <c r="C572" i="21"/>
  <c r="K558" i="21"/>
  <c r="L458" i="21"/>
  <c r="C481" i="21"/>
  <c r="E517" i="21"/>
  <c r="C104" i="21"/>
  <c r="M591" i="21"/>
  <c r="R522" i="21"/>
  <c r="L545" i="21"/>
  <c r="F520" i="21"/>
  <c r="R580" i="21"/>
  <c r="J479" i="21"/>
  <c r="H490" i="21"/>
  <c r="R523" i="21"/>
  <c r="H561" i="21"/>
  <c r="O104" i="21"/>
  <c r="M583" i="21"/>
  <c r="Q598" i="21"/>
  <c r="L537" i="21"/>
  <c r="E596" i="21"/>
  <c r="R574" i="21"/>
  <c r="J472" i="21"/>
  <c r="H482" i="21"/>
  <c r="Q593" i="21"/>
  <c r="H545" i="21"/>
  <c r="O587" i="21"/>
  <c r="K529" i="21"/>
  <c r="T584" i="21"/>
  <c r="R545" i="21"/>
  <c r="L568" i="21"/>
  <c r="F543" i="21"/>
  <c r="K521" i="21"/>
  <c r="T578" i="21"/>
  <c r="R537" i="21"/>
  <c r="L557" i="21"/>
  <c r="F535" i="21"/>
  <c r="R597" i="21"/>
  <c r="L527" i="21"/>
  <c r="F582" i="21"/>
  <c r="R489" i="21"/>
  <c r="P553" i="21"/>
  <c r="C447" i="21"/>
  <c r="N587" i="21"/>
  <c r="S112" i="21"/>
  <c r="O109" i="21"/>
  <c r="Q113" i="21"/>
  <c r="S105" i="21"/>
  <c r="O548" i="21"/>
  <c r="E498" i="21"/>
  <c r="O473" i="21"/>
  <c r="H97" i="21"/>
  <c r="Q541" i="21"/>
  <c r="K592" i="21"/>
  <c r="I591" i="21"/>
  <c r="G582" i="21"/>
  <c r="H519" i="21"/>
  <c r="M576" i="21"/>
  <c r="N556" i="21"/>
  <c r="N519" i="21"/>
  <c r="I553" i="21"/>
  <c r="O546" i="21"/>
  <c r="E513" i="21"/>
  <c r="D524" i="21"/>
  <c r="J105" i="21"/>
  <c r="M101" i="21"/>
  <c r="C101" i="21"/>
  <c r="E105" i="21"/>
  <c r="S97" i="21"/>
  <c r="Q548" i="21"/>
  <c r="F483" i="21"/>
  <c r="D471" i="21"/>
  <c r="M494" i="21"/>
  <c r="S518" i="21"/>
  <c r="M527" i="21"/>
  <c r="L543" i="21"/>
  <c r="J492" i="21"/>
  <c r="M593" i="21"/>
  <c r="R494" i="21"/>
  <c r="M548" i="21"/>
  <c r="L456" i="21"/>
  <c r="F506" i="21"/>
  <c r="C510" i="21"/>
  <c r="R542" i="21"/>
  <c r="L594" i="21"/>
  <c r="I486" i="21"/>
  <c r="Q552" i="21"/>
  <c r="P517" i="21"/>
  <c r="T476" i="21"/>
  <c r="N406" i="21"/>
  <c r="P453" i="21"/>
  <c r="R496" i="21"/>
  <c r="O499" i="21"/>
  <c r="H576" i="21"/>
  <c r="F475" i="21"/>
  <c r="L567" i="21"/>
  <c r="Q533" i="21"/>
  <c r="Q469" i="21"/>
  <c r="P570" i="21"/>
  <c r="G454" i="21"/>
  <c r="D510" i="21"/>
  <c r="M476" i="21"/>
  <c r="D108" i="21"/>
  <c r="S104" i="21"/>
  <c r="I104" i="21"/>
  <c r="E107" i="21"/>
  <c r="G99" i="21"/>
  <c r="E532" i="21"/>
  <c r="F467" i="21"/>
  <c r="J580" i="21"/>
  <c r="M477" i="21"/>
  <c r="R568" i="21"/>
  <c r="S585" i="21"/>
  <c r="E585" i="21"/>
  <c r="C598" i="21"/>
  <c r="D538" i="21"/>
  <c r="I595" i="21"/>
  <c r="J575" i="21"/>
  <c r="T466" i="21"/>
  <c r="G544" i="21"/>
  <c r="R595" i="21"/>
  <c r="C571" i="21"/>
  <c r="C526" i="21"/>
  <c r="J109" i="21"/>
  <c r="M107" i="21"/>
  <c r="O105" i="21"/>
  <c r="K108" i="21"/>
  <c r="M100" i="21"/>
  <c r="O591" i="21"/>
  <c r="F451" i="21"/>
  <c r="O513" i="21"/>
  <c r="M461" i="21"/>
  <c r="R536" i="21"/>
  <c r="S568" i="21"/>
  <c r="E568" i="21"/>
  <c r="C580" i="21"/>
  <c r="D522" i="21"/>
  <c r="I579" i="21"/>
  <c r="J560" i="21"/>
  <c r="T450" i="21"/>
  <c r="F590" i="21"/>
  <c r="R565" i="21"/>
  <c r="C555" i="21"/>
  <c r="S557" i="21"/>
  <c r="E557" i="21"/>
  <c r="C574" i="21"/>
  <c r="O596" i="21"/>
  <c r="I571" i="21"/>
  <c r="J551" i="21"/>
  <c r="M562" i="21"/>
  <c r="F574" i="21"/>
  <c r="R546" i="21"/>
  <c r="C546" i="21"/>
  <c r="Q495" i="21"/>
  <c r="H565" i="21"/>
  <c r="F98" i="21"/>
  <c r="H100" i="21"/>
  <c r="J98" i="21"/>
  <c r="F113" i="21"/>
  <c r="H555" i="21"/>
  <c r="R98" i="21"/>
  <c r="T100" i="21"/>
  <c r="D99" i="21"/>
  <c r="R113" i="21"/>
  <c r="Q530" i="21"/>
  <c r="L566" i="21"/>
  <c r="D537" i="21"/>
  <c r="J470" i="21"/>
  <c r="H496" i="21"/>
  <c r="O96" i="21"/>
  <c r="T570" i="21"/>
  <c r="R586" i="21"/>
  <c r="S523" i="21"/>
  <c r="F585" i="21"/>
  <c r="G564" i="21"/>
  <c r="Q459" i="21"/>
  <c r="I466" i="21"/>
  <c r="M582" i="21"/>
  <c r="D550" i="21"/>
  <c r="K593" i="21"/>
  <c r="O568" i="21"/>
  <c r="F571" i="21"/>
  <c r="E98" i="21"/>
  <c r="K109" i="21"/>
  <c r="G558" i="21"/>
  <c r="S581" i="21"/>
  <c r="M555" i="21"/>
  <c r="N533" i="21"/>
  <c r="Q515" i="21"/>
  <c r="J536" i="21"/>
  <c r="N96" i="21"/>
  <c r="K575" i="21"/>
  <c r="G579" i="21"/>
  <c r="K561" i="21"/>
  <c r="I560" i="21"/>
  <c r="R578" i="21"/>
  <c r="L600" i="21"/>
  <c r="F575" i="21"/>
  <c r="N523" i="21"/>
  <c r="S526" i="21"/>
  <c r="T546" i="21"/>
  <c r="J585" i="21"/>
  <c r="E481" i="21"/>
  <c r="C487" i="21"/>
  <c r="Q112" i="21"/>
  <c r="G542" i="21"/>
  <c r="S562" i="21"/>
  <c r="M539" i="21"/>
  <c r="N517" i="21"/>
  <c r="Q498" i="21"/>
  <c r="I506" i="21"/>
  <c r="N112" i="21"/>
  <c r="K543" i="21"/>
  <c r="R575" i="21"/>
  <c r="K545" i="21"/>
  <c r="I543" i="21"/>
  <c r="R561" i="21"/>
  <c r="L585" i="21"/>
  <c r="F560" i="21"/>
  <c r="G592" i="21"/>
  <c r="L575" i="21"/>
  <c r="M600" i="21"/>
  <c r="R513" i="21"/>
  <c r="E465" i="21"/>
  <c r="K537" i="21"/>
  <c r="T592" i="21"/>
  <c r="R553" i="21"/>
  <c r="L577" i="21"/>
  <c r="F551" i="21"/>
  <c r="G584" i="21"/>
  <c r="L560" i="21"/>
  <c r="M585" i="21"/>
  <c r="R505" i="21"/>
  <c r="E457" i="21"/>
  <c r="C463" i="21"/>
  <c r="D100" i="21"/>
  <c r="G98" i="21"/>
  <c r="O97" i="21"/>
  <c r="Q99" i="21"/>
  <c r="L591" i="21"/>
  <c r="P100" i="21"/>
  <c r="S98" i="21"/>
  <c r="I98" i="21"/>
  <c r="K100" i="21"/>
  <c r="G95" i="21"/>
  <c r="K589" i="21"/>
  <c r="F515" i="21"/>
  <c r="D503" i="21"/>
  <c r="M552" i="21"/>
  <c r="G596" i="21"/>
  <c r="H550" i="21"/>
  <c r="F550" i="21"/>
  <c r="J565" i="21"/>
  <c r="D586" i="21"/>
  <c r="P557" i="21"/>
  <c r="Q538" i="21"/>
  <c r="T514" i="21"/>
  <c r="T589" i="21"/>
  <c r="N576" i="21"/>
  <c r="E546" i="21"/>
  <c r="R480" i="21"/>
  <c r="L550" i="21"/>
  <c r="H594" i="21"/>
  <c r="T577" i="21"/>
  <c r="P113" i="21"/>
  <c r="S570" i="21"/>
  <c r="N518" i="21"/>
  <c r="C573" i="21"/>
  <c r="C100" i="21"/>
  <c r="T531" i="21"/>
  <c r="R547" i="21"/>
  <c r="L569" i="21"/>
  <c r="F544" i="21"/>
  <c r="G522" i="21"/>
  <c r="J504" i="21"/>
  <c r="H514" i="21"/>
  <c r="R572" i="21"/>
  <c r="O549" i="21"/>
  <c r="K544" i="21"/>
  <c r="D549" i="21"/>
  <c r="T521" i="21"/>
  <c r="K564" i="21"/>
  <c r="E584" i="21"/>
  <c r="R97" i="21"/>
  <c r="T596" i="21"/>
  <c r="D585" i="21"/>
  <c r="K577" i="21"/>
  <c r="C534" i="21"/>
  <c r="P469" i="21"/>
  <c r="I101" i="21"/>
  <c r="M599" i="21"/>
  <c r="R531" i="21"/>
  <c r="L553" i="21"/>
  <c r="F528" i="21"/>
  <c r="R590" i="21"/>
  <c r="J488" i="21"/>
  <c r="H500" i="21"/>
  <c r="R541" i="21"/>
  <c r="H578" i="21"/>
  <c r="Q525" i="21"/>
  <c r="D534" i="21"/>
  <c r="M590" i="21"/>
  <c r="K547" i="21"/>
  <c r="E569" i="21"/>
  <c r="F99" i="21"/>
  <c r="N539" i="21"/>
  <c r="D552" i="21"/>
  <c r="Q559" i="21"/>
  <c r="Q505" i="21"/>
  <c r="I113" i="21"/>
  <c r="M519" i="21"/>
  <c r="Q534" i="21"/>
  <c r="K559" i="21"/>
  <c r="E530" i="21"/>
  <c r="Q594" i="21"/>
  <c r="C483" i="21"/>
  <c r="S501" i="21"/>
  <c r="J548" i="21"/>
  <c r="L534" i="21"/>
  <c r="O521" i="21"/>
  <c r="H595" i="21"/>
  <c r="L95" i="21"/>
  <c r="N97" i="21"/>
  <c r="P95" i="21"/>
  <c r="L108" i="21"/>
  <c r="R528" i="21"/>
  <c r="H533" i="21"/>
  <c r="I550" i="21"/>
  <c r="J510" i="21"/>
  <c r="I448" i="21"/>
  <c r="H589" i="21"/>
  <c r="F589" i="21"/>
  <c r="Q518" i="21"/>
  <c r="K540" i="21"/>
  <c r="P600" i="21"/>
  <c r="Q576" i="21"/>
  <c r="C467" i="21"/>
  <c r="S486" i="21"/>
  <c r="C600" i="21"/>
  <c r="E595" i="21"/>
  <c r="J526" i="21"/>
  <c r="H579" i="21"/>
  <c r="R96" i="21"/>
  <c r="T98" i="21"/>
  <c r="D97" i="21"/>
  <c r="R109" i="21"/>
  <c r="Q581" i="21"/>
  <c r="S584" i="21"/>
  <c r="I530" i="21"/>
  <c r="J493" i="21"/>
  <c r="C528" i="21"/>
  <c r="H571" i="21"/>
  <c r="L97" i="21"/>
  <c r="N99" i="21"/>
  <c r="P97" i="21"/>
  <c r="L112" i="21"/>
  <c r="Q562" i="21"/>
  <c r="L598" i="21"/>
  <c r="I523" i="21"/>
  <c r="J486" i="21"/>
  <c r="H512" i="21"/>
  <c r="L519" i="21"/>
  <c r="K101" i="21"/>
  <c r="N529" i="21"/>
  <c r="H552" i="21"/>
  <c r="T526" i="21"/>
  <c r="N588" i="21"/>
  <c r="E104" i="21"/>
  <c r="N521" i="21"/>
  <c r="H544" i="21"/>
  <c r="T518" i="21"/>
  <c r="N582" i="21"/>
  <c r="R475" i="21"/>
  <c r="P495" i="21"/>
  <c r="N473" i="21"/>
  <c r="L587" i="21"/>
  <c r="N590" i="21"/>
  <c r="L525" i="21"/>
  <c r="P523" i="21"/>
  <c r="G597" i="21"/>
  <c r="H535" i="21"/>
  <c r="M594" i="21"/>
  <c r="N572" i="21"/>
  <c r="N560" i="21"/>
  <c r="I584" i="21"/>
  <c r="O565" i="21"/>
  <c r="P575" i="21"/>
  <c r="J460" i="21"/>
  <c r="E96" i="21"/>
  <c r="N592" i="21"/>
  <c r="C113" i="21"/>
  <c r="T590" i="21"/>
  <c r="S107" i="21"/>
  <c r="O533" i="21"/>
  <c r="E483" i="21"/>
  <c r="O457" i="21"/>
  <c r="H113" i="21"/>
  <c r="J592" i="21"/>
  <c r="L597" i="21"/>
  <c r="P596" i="21"/>
  <c r="N585" i="21"/>
  <c r="O550" i="21"/>
  <c r="T582" i="21"/>
  <c r="C586" i="21"/>
  <c r="M480" i="21"/>
  <c r="E564" i="21"/>
  <c r="K566" i="21"/>
  <c r="F513" i="21"/>
  <c r="Q447" i="21"/>
  <c r="E541" i="21"/>
  <c r="R497" i="21"/>
  <c r="S561" i="21"/>
  <c r="N494" i="21"/>
  <c r="L586" i="21"/>
  <c r="K460" i="21"/>
  <c r="T444" i="21"/>
  <c r="I385" i="21"/>
  <c r="J555" i="21"/>
  <c r="H450" i="21"/>
  <c r="D528" i="21"/>
  <c r="I520" i="21"/>
  <c r="J466" i="21"/>
  <c r="T535" i="21"/>
  <c r="S551" i="21"/>
  <c r="O501" i="21"/>
  <c r="Q400" i="21"/>
  <c r="C376" i="21"/>
  <c r="E431" i="21"/>
  <c r="S554" i="21"/>
  <c r="M485" i="21"/>
  <c r="P498" i="21"/>
  <c r="G572" i="21"/>
  <c r="C592" i="21"/>
  <c r="G541" i="21"/>
  <c r="C409" i="21"/>
  <c r="M434" i="21"/>
  <c r="S593" i="21"/>
  <c r="L582" i="21"/>
  <c r="P581" i="21"/>
  <c r="N568" i="21"/>
  <c r="H591" i="21"/>
  <c r="T563" i="21"/>
  <c r="C570" i="21"/>
  <c r="M463" i="21"/>
  <c r="E531" i="21"/>
  <c r="Q546" i="21"/>
  <c r="F497" i="21"/>
  <c r="J516" i="21"/>
  <c r="J97" i="21"/>
  <c r="M95" i="21"/>
  <c r="C95" i="21"/>
  <c r="E97" i="21"/>
  <c r="S538" i="21"/>
  <c r="R567" i="21"/>
  <c r="C540" i="21"/>
  <c r="K458" i="21"/>
  <c r="T479" i="21"/>
  <c r="T113" i="21"/>
  <c r="L563" i="21"/>
  <c r="P562" i="21"/>
  <c r="N552" i="21"/>
  <c r="H575" i="21"/>
  <c r="T548" i="21"/>
  <c r="C554" i="21"/>
  <c r="J581" i="21"/>
  <c r="P580" i="21"/>
  <c r="Q527" i="21"/>
  <c r="F481" i="21"/>
  <c r="J499" i="21"/>
  <c r="P98" i="21"/>
  <c r="S96" i="21"/>
  <c r="I96" i="21"/>
  <c r="K98" i="21"/>
  <c r="S522" i="21"/>
  <c r="F539" i="21"/>
  <c r="C525" i="21"/>
  <c r="P561" i="21"/>
  <c r="T464" i="21"/>
  <c r="N575" i="21"/>
  <c r="J99" i="21"/>
  <c r="M97" i="21"/>
  <c r="C97" i="21"/>
  <c r="E99" i="21"/>
  <c r="L599" i="21"/>
  <c r="R527" i="21"/>
  <c r="J600" i="21"/>
  <c r="G524" i="21"/>
  <c r="T456" i="21"/>
  <c r="T550" i="21"/>
  <c r="I105" i="21"/>
  <c r="M575" i="21"/>
  <c r="Q590" i="21"/>
  <c r="L529" i="21"/>
  <c r="E589" i="21"/>
  <c r="I107" i="21"/>
  <c r="M567" i="21"/>
  <c r="Q580" i="21"/>
  <c r="L521" i="21"/>
  <c r="E581" i="21"/>
  <c r="R558" i="21"/>
  <c r="J598" i="21"/>
  <c r="H466" i="21"/>
  <c r="Q557" i="21"/>
  <c r="S597" i="21"/>
  <c r="O569" i="21"/>
  <c r="O585" i="21"/>
  <c r="F587" i="21"/>
  <c r="C595" i="21"/>
  <c r="E537" i="21"/>
  <c r="R101" i="21"/>
  <c r="G550" i="21"/>
  <c r="O570" i="21"/>
  <c r="O599" i="21"/>
  <c r="Q473" i="21"/>
  <c r="I496" i="21"/>
  <c r="C98" i="21"/>
  <c r="T554" i="21"/>
  <c r="D558" i="21"/>
  <c r="T529" i="21"/>
  <c r="K570" i="21"/>
  <c r="E592" i="21"/>
  <c r="F97" i="21"/>
  <c r="R548" i="21"/>
  <c r="D600" i="21"/>
  <c r="E587" i="21"/>
  <c r="P583" i="21"/>
  <c r="P477" i="21"/>
  <c r="T486" i="21"/>
  <c r="Q98" i="21"/>
  <c r="N561" i="21"/>
  <c r="H585" i="21"/>
  <c r="T558" i="21"/>
  <c r="M112" i="21"/>
  <c r="R515" i="21"/>
  <c r="E451" i="21"/>
  <c r="N513" i="21"/>
  <c r="S598" i="21"/>
  <c r="J529" i="21"/>
  <c r="D542" i="21"/>
  <c r="M598" i="21"/>
  <c r="K554" i="21"/>
  <c r="E578" i="21"/>
  <c r="L98" i="21"/>
  <c r="H564" i="21"/>
  <c r="D568" i="21"/>
  <c r="E567" i="21"/>
  <c r="Q513" i="21"/>
  <c r="P461" i="21"/>
  <c r="H99" i="21"/>
  <c r="E100" i="21"/>
  <c r="N545" i="21"/>
  <c r="H568" i="21"/>
  <c r="T542" i="21"/>
  <c r="S113" i="21"/>
  <c r="R498" i="21"/>
  <c r="S525" i="21"/>
  <c r="N497" i="21"/>
  <c r="G557" i="21"/>
  <c r="C581" i="21"/>
  <c r="Q100" i="21"/>
  <c r="N537" i="21"/>
  <c r="H557" i="21"/>
  <c r="T534" i="21"/>
  <c r="N597" i="21"/>
  <c r="R491" i="21"/>
  <c r="P511" i="21"/>
  <c r="N489" i="21"/>
  <c r="M540" i="21"/>
  <c r="C562" i="21"/>
  <c r="S552" i="21"/>
  <c r="E552" i="21"/>
  <c r="C566" i="21"/>
  <c r="O589" i="21"/>
  <c r="I565" i="21"/>
  <c r="S544" i="21"/>
  <c r="E544" i="21"/>
  <c r="C558" i="21"/>
  <c r="O581" i="21"/>
  <c r="I555" i="21"/>
  <c r="J535" i="21"/>
  <c r="M511" i="21"/>
  <c r="F542" i="21"/>
  <c r="F525" i="21"/>
  <c r="C532" i="21"/>
  <c r="Q480" i="21"/>
  <c r="L562" i="21"/>
  <c r="R112" i="21"/>
  <c r="T593" i="21"/>
  <c r="J112" i="21"/>
  <c r="S586" i="21"/>
  <c r="N549" i="21"/>
  <c r="C591" i="21"/>
  <c r="K506" i="21"/>
  <c r="P573" i="21"/>
  <c r="S476" i="21"/>
  <c r="H530" i="21"/>
  <c r="F530" i="21"/>
  <c r="J546" i="21"/>
  <c r="D570" i="21"/>
  <c r="P544" i="21"/>
  <c r="Q522" i="21"/>
  <c r="T500" i="21"/>
  <c r="T536" i="21"/>
  <c r="O544" i="21"/>
  <c r="F546" i="21"/>
  <c r="T96" i="21"/>
  <c r="D95" i="21"/>
  <c r="R107" i="21"/>
  <c r="R544" i="21"/>
  <c r="H548" i="21"/>
  <c r="I556" i="21"/>
  <c r="M520" i="21"/>
  <c r="I456" i="21"/>
  <c r="L583" i="21"/>
  <c r="E112" i="21"/>
  <c r="G549" i="21"/>
  <c r="S572" i="21"/>
  <c r="M546" i="21"/>
  <c r="N525" i="21"/>
  <c r="Q507" i="21"/>
  <c r="I514" i="21"/>
  <c r="N104" i="21"/>
  <c r="K560" i="21"/>
  <c r="R591" i="21"/>
  <c r="H587" i="21"/>
  <c r="F96" i="21"/>
  <c r="H98" i="21"/>
  <c r="J96" i="21"/>
  <c r="F109" i="21"/>
  <c r="Q596" i="21"/>
  <c r="H517" i="21"/>
  <c r="I541" i="21"/>
  <c r="J501" i="21"/>
  <c r="D569" i="21"/>
  <c r="L551" i="21"/>
  <c r="K113" i="21"/>
  <c r="G534" i="21"/>
  <c r="S556" i="21"/>
  <c r="M532" i="21"/>
  <c r="G594" i="21"/>
  <c r="Q491" i="21"/>
  <c r="I500" i="21"/>
  <c r="T552" i="21"/>
  <c r="R583" i="21"/>
  <c r="T488" i="21"/>
  <c r="F596" i="21"/>
  <c r="E523" i="21"/>
  <c r="S493" i="21"/>
  <c r="J566" i="21"/>
  <c r="O95" i="21"/>
  <c r="R551" i="21"/>
  <c r="T472" i="21"/>
  <c r="F581" i="21"/>
  <c r="P593" i="21"/>
  <c r="S478" i="21"/>
  <c r="G569" i="21"/>
  <c r="M580" i="21"/>
  <c r="E561" i="21"/>
  <c r="T520" i="21"/>
  <c r="K550" i="21"/>
  <c r="J528" i="21"/>
  <c r="J113" i="21"/>
  <c r="I108" i="21"/>
  <c r="M104" i="21"/>
  <c r="G112" i="21"/>
  <c r="E113" i="21"/>
  <c r="O559" i="21"/>
  <c r="O481" i="21"/>
  <c r="Q556" i="21"/>
  <c r="E536" i="21"/>
  <c r="O572" i="21"/>
  <c r="J527" i="21"/>
  <c r="F526" i="21"/>
  <c r="C524" i="21"/>
  <c r="P104" i="21"/>
  <c r="C579" i="21"/>
  <c r="F568" i="21"/>
  <c r="F594" i="21"/>
  <c r="I450" i="21"/>
  <c r="Q575" i="21"/>
  <c r="I479" i="21"/>
  <c r="C112" i="21"/>
  <c r="I583" i="21"/>
  <c r="N95" i="21"/>
  <c r="E95" i="21"/>
  <c r="N548" i="21"/>
  <c r="C498" i="21"/>
  <c r="T595" i="21"/>
  <c r="Q449" i="21"/>
  <c r="S452" i="21"/>
  <c r="Q542" i="21"/>
  <c r="D511" i="21"/>
  <c r="P515" i="21"/>
  <c r="C544" i="21"/>
  <c r="I484" i="21"/>
  <c r="R450" i="21"/>
  <c r="K410" i="21"/>
  <c r="T585" i="21"/>
  <c r="Q528" i="21"/>
  <c r="P507" i="21"/>
  <c r="K600" i="21"/>
  <c r="M529" i="21"/>
  <c r="P462" i="21"/>
  <c r="D396" i="21"/>
  <c r="T470" i="21"/>
  <c r="K399" i="21"/>
  <c r="Q95" i="21"/>
  <c r="L547" i="21"/>
  <c r="F549" i="21"/>
  <c r="R477" i="21"/>
  <c r="Q560" i="21"/>
  <c r="E434" i="21"/>
  <c r="F570" i="21"/>
  <c r="P508" i="21"/>
  <c r="G475" i="21"/>
  <c r="N577" i="21"/>
  <c r="T556" i="21"/>
  <c r="O564" i="21"/>
  <c r="L510" i="21"/>
  <c r="G517" i="21"/>
  <c r="M572" i="21"/>
  <c r="K502" i="21"/>
  <c r="O478" i="21"/>
  <c r="Q376" i="21"/>
  <c r="N436" i="21"/>
  <c r="E407" i="21"/>
  <c r="G107" i="21"/>
  <c r="H554" i="21"/>
  <c r="P475" i="21"/>
  <c r="F598" i="21"/>
  <c r="C567" i="21"/>
  <c r="K574" i="21"/>
  <c r="H593" i="21"/>
  <c r="J542" i="21"/>
  <c r="T530" i="21"/>
  <c r="P572" i="21"/>
  <c r="T559" i="21"/>
  <c r="P598" i="21"/>
  <c r="J508" i="21"/>
  <c r="H577" i="21"/>
  <c r="R507" i="21"/>
  <c r="G581" i="21"/>
  <c r="P556" i="21"/>
  <c r="T540" i="21"/>
  <c r="P566" i="21"/>
  <c r="S508" i="21"/>
  <c r="R108" i="21"/>
  <c r="J108" i="21"/>
  <c r="N598" i="21"/>
  <c r="P591" i="21"/>
  <c r="S499" i="21"/>
  <c r="T586" i="21"/>
  <c r="S541" i="21"/>
  <c r="C96" i="21"/>
  <c r="R594" i="21"/>
  <c r="F593" i="21"/>
  <c r="Q467" i="21"/>
  <c r="G600" i="21"/>
  <c r="F524" i="21"/>
  <c r="T569" i="21"/>
  <c r="L552" i="21"/>
  <c r="R588" i="21"/>
  <c r="F563" i="21"/>
  <c r="O518" i="21"/>
  <c r="K107" i="21"/>
  <c r="T104" i="21"/>
  <c r="E556" i="21"/>
  <c r="J569" i="21"/>
  <c r="M557" i="21"/>
  <c r="R465" i="21"/>
  <c r="H472" i="21"/>
  <c r="H523" i="21"/>
  <c r="T545" i="21"/>
  <c r="N105" i="21"/>
  <c r="T580" i="21"/>
  <c r="G538" i="21"/>
  <c r="T490" i="21"/>
  <c r="R525" i="21"/>
  <c r="C513" i="21"/>
  <c r="J578" i="21"/>
  <c r="N107" i="21"/>
  <c r="Q577" i="21"/>
  <c r="I493" i="21"/>
  <c r="F532" i="21"/>
  <c r="E518" i="21"/>
  <c r="P470" i="21"/>
  <c r="D404" i="21"/>
  <c r="D576" i="21"/>
  <c r="R473" i="21"/>
  <c r="H478" i="21"/>
  <c r="O567" i="21"/>
  <c r="P586" i="21"/>
  <c r="M554" i="21"/>
  <c r="I377" i="21"/>
  <c r="R516" i="21"/>
  <c r="D386" i="21"/>
  <c r="P528" i="21"/>
  <c r="P485" i="21"/>
  <c r="P526" i="21"/>
  <c r="J458" i="21"/>
  <c r="I534" i="21"/>
  <c r="P428" i="21"/>
  <c r="N455" i="21"/>
  <c r="I494" i="21"/>
  <c r="K392" i="21"/>
  <c r="O101" i="21"/>
  <c r="I590" i="21"/>
  <c r="L542" i="21"/>
  <c r="K501" i="21"/>
  <c r="N524" i="21"/>
  <c r="E540" i="21"/>
  <c r="J523" i="21"/>
  <c r="G461" i="21"/>
  <c r="D547" i="21"/>
  <c r="T474" i="21"/>
  <c r="O579" i="21"/>
  <c r="L105" i="21"/>
  <c r="H549" i="21"/>
  <c r="L466" i="21"/>
  <c r="S577" i="21"/>
  <c r="D531" i="21"/>
  <c r="T458" i="21"/>
  <c r="C565" i="21"/>
  <c r="F108" i="21"/>
  <c r="H534" i="21"/>
  <c r="L450" i="21"/>
  <c r="R520" i="21"/>
  <c r="S108" i="21"/>
  <c r="Q109" i="21"/>
  <c r="O573" i="21"/>
  <c r="O497" i="21"/>
  <c r="Q589" i="21"/>
  <c r="F562" i="21"/>
  <c r="K517" i="21"/>
  <c r="H556" i="21"/>
  <c r="J571" i="21"/>
  <c r="P568" i="21"/>
  <c r="O538" i="21"/>
  <c r="N594" i="21"/>
  <c r="R487" i="21"/>
  <c r="L99" i="21"/>
  <c r="P99" i="21"/>
  <c r="Q516" i="21"/>
  <c r="L514" i="21"/>
  <c r="H488" i="21"/>
  <c r="M543" i="21"/>
  <c r="I100" i="21"/>
  <c r="T588" i="21"/>
  <c r="E560" i="21"/>
  <c r="E576" i="21"/>
  <c r="Q457" i="21"/>
  <c r="S460" i="21"/>
  <c r="K584" i="21"/>
  <c r="F565" i="21"/>
  <c r="T568" i="21"/>
  <c r="M571" i="21"/>
  <c r="R526" i="21"/>
  <c r="G585" i="21"/>
  <c r="I572" i="21"/>
  <c r="T504" i="21"/>
  <c r="N526" i="21"/>
  <c r="K563" i="21"/>
  <c r="T448" i="21"/>
  <c r="H486" i="21"/>
  <c r="O575" i="21"/>
  <c r="T551" i="21"/>
  <c r="I455" i="21"/>
  <c r="Q460" i="21"/>
  <c r="D113" i="21"/>
  <c r="M509" i="21"/>
  <c r="F566" i="21"/>
  <c r="R485" i="21"/>
  <c r="Q569" i="21"/>
  <c r="E442" i="21"/>
  <c r="M442" i="21"/>
  <c r="I502" i="21"/>
  <c r="D444" i="21"/>
  <c r="R518" i="21"/>
  <c r="R585" i="21"/>
  <c r="F588" i="21"/>
  <c r="T562" i="21"/>
  <c r="L452" i="21"/>
  <c r="N398" i="21"/>
  <c r="L489" i="21"/>
  <c r="S475" i="21"/>
  <c r="K489" i="21"/>
  <c r="H599" i="21"/>
  <c r="O465" i="21"/>
  <c r="I586" i="21"/>
  <c r="D491" i="21"/>
  <c r="K567" i="21"/>
  <c r="I518" i="21"/>
  <c r="S502" i="21"/>
  <c r="K377" i="21"/>
  <c r="S579" i="21"/>
  <c r="M545" i="21"/>
  <c r="E489" i="21"/>
  <c r="M105" i="21"/>
  <c r="S99" i="21"/>
  <c r="P533" i="21"/>
  <c r="K553" i="21"/>
  <c r="L593" i="21"/>
  <c r="R593" i="21"/>
  <c r="E473" i="21"/>
  <c r="G108" i="21"/>
  <c r="G101" i="21"/>
  <c r="O505" i="21"/>
  <c r="R560" i="21"/>
  <c r="G526" i="21"/>
  <c r="M524" i="21"/>
  <c r="Q483" i="21"/>
  <c r="N555" i="21"/>
  <c r="R543" i="21"/>
  <c r="P541" i="21"/>
  <c r="H551" i="21"/>
  <c r="L533" i="21"/>
  <c r="N520" i="21"/>
  <c r="T517" i="21"/>
  <c r="N591" i="21"/>
  <c r="O571" i="21"/>
  <c r="J468" i="21"/>
  <c r="M99" i="21"/>
  <c r="E101" i="21"/>
  <c r="E579" i="21"/>
  <c r="D495" i="21"/>
  <c r="G577" i="21"/>
  <c r="E520" i="21"/>
  <c r="H520" i="21"/>
  <c r="F95" i="21"/>
  <c r="R451" i="21"/>
  <c r="F537" i="21"/>
  <c r="D532" i="21"/>
  <c r="M537" i="21"/>
  <c r="D574" i="21"/>
  <c r="L101" i="21"/>
  <c r="O113" i="21"/>
  <c r="F557" i="21"/>
  <c r="J599" i="21"/>
  <c r="K546" i="21"/>
  <c r="L490" i="21"/>
  <c r="T581" i="21"/>
  <c r="K562" i="21"/>
  <c r="J104" i="21"/>
  <c r="H529" i="21"/>
  <c r="F580" i="21"/>
  <c r="Q485" i="21"/>
  <c r="Q579" i="21"/>
  <c r="E458" i="21"/>
  <c r="N501" i="21"/>
  <c r="P552" i="21"/>
  <c r="P509" i="21"/>
  <c r="P542" i="21"/>
  <c r="Q477" i="21"/>
  <c r="I542" i="21"/>
  <c r="P436" i="21"/>
  <c r="N471" i="21"/>
  <c r="S483" i="21"/>
  <c r="M424" i="21"/>
  <c r="R559" i="21"/>
  <c r="O553" i="21"/>
  <c r="J558" i="21"/>
  <c r="K599" i="21"/>
  <c r="D575" i="21"/>
  <c r="G379" i="21"/>
  <c r="J509" i="21"/>
  <c r="E393" i="21"/>
  <c r="T435" i="21"/>
  <c r="Q105" i="21"/>
  <c r="N564" i="21"/>
  <c r="F503" i="21"/>
  <c r="O469" i="21"/>
  <c r="O542" i="21"/>
  <c r="K569" i="21"/>
  <c r="K96" i="21"/>
  <c r="C548" i="21"/>
  <c r="T105" i="21"/>
  <c r="Q526" i="21"/>
  <c r="Q586" i="21"/>
  <c r="J533" i="21"/>
  <c r="D98" i="21"/>
  <c r="Q97" i="21"/>
  <c r="C533" i="21"/>
  <c r="N98" i="21"/>
  <c r="J595" i="21"/>
  <c r="Q570" i="21"/>
  <c r="N583" i="21"/>
  <c r="H572" i="21"/>
  <c r="J587" i="21"/>
  <c r="P585" i="21"/>
  <c r="C451" i="21"/>
  <c r="C568" i="21"/>
  <c r="R503" i="21"/>
  <c r="M574" i="21"/>
  <c r="E553" i="21"/>
  <c r="O593" i="21"/>
  <c r="K522" i="21"/>
  <c r="F101" i="21"/>
  <c r="O586" i="21"/>
  <c r="Q481" i="21"/>
  <c r="T528" i="21"/>
  <c r="G598" i="21"/>
  <c r="M595" i="21"/>
  <c r="R467" i="21"/>
  <c r="N465" i="21"/>
  <c r="N574" i="21"/>
  <c r="T553" i="21"/>
  <c r="L592" i="21"/>
  <c r="F105" i="21"/>
  <c r="P569" i="21"/>
  <c r="C582" i="21"/>
  <c r="T512" i="21"/>
  <c r="N542" i="21"/>
  <c r="O557" i="21"/>
  <c r="H586" i="21"/>
  <c r="S596" i="21"/>
  <c r="E550" i="21"/>
  <c r="N550" i="21"/>
  <c r="H582" i="21"/>
  <c r="K482" i="21"/>
  <c r="L524" i="21"/>
  <c r="O537" i="21"/>
  <c r="H566" i="21"/>
  <c r="E449" i="21"/>
  <c r="P558" i="21"/>
  <c r="J474" i="21"/>
  <c r="I549" i="21"/>
  <c r="C426" i="21"/>
  <c r="N495" i="21"/>
  <c r="S576" i="21"/>
  <c r="M559" i="21"/>
  <c r="M577" i="21"/>
  <c r="H109" i="21"/>
  <c r="L460" i="21"/>
  <c r="C418" i="21"/>
  <c r="L497" i="21"/>
  <c r="E400" i="21"/>
  <c r="K504" i="21"/>
  <c r="K541" i="21"/>
  <c r="G561" i="21"/>
  <c r="O520" i="21"/>
  <c r="O574" i="21"/>
  <c r="T460" i="21"/>
  <c r="F586" i="21"/>
  <c r="C493" i="21"/>
  <c r="P386" i="21"/>
  <c r="M416" i="21"/>
  <c r="T573" i="21"/>
  <c r="Q465" i="21"/>
  <c r="E495" i="21"/>
  <c r="N461" i="21"/>
  <c r="L531" i="21"/>
  <c r="D513" i="21"/>
  <c r="P412" i="21"/>
  <c r="T437" i="21"/>
  <c r="F592" i="21"/>
  <c r="F472" i="21"/>
  <c r="P96" i="21"/>
  <c r="T566" i="21"/>
  <c r="E459" i="21"/>
  <c r="J545" i="21"/>
  <c r="N557" i="21"/>
  <c r="C564" i="21"/>
  <c r="Q537" i="21"/>
  <c r="K99" i="21"/>
  <c r="T549" i="21"/>
  <c r="P563" i="21"/>
  <c r="C596" i="21"/>
  <c r="N544" i="21"/>
  <c r="C547" i="21"/>
  <c r="C585" i="21"/>
  <c r="L548" i="21"/>
  <c r="N536" i="21"/>
  <c r="T533" i="21"/>
  <c r="L513" i="21"/>
  <c r="O588" i="21"/>
  <c r="J484" i="21"/>
  <c r="L109" i="21"/>
  <c r="D109" i="21"/>
  <c r="L572" i="21"/>
  <c r="T600" i="21"/>
  <c r="S594" i="21"/>
  <c r="I600" i="21"/>
  <c r="C449" i="21"/>
  <c r="C108" i="21"/>
  <c r="Q574" i="21"/>
  <c r="E572" i="21"/>
  <c r="D539" i="21"/>
  <c r="Q544" i="21"/>
  <c r="O561" i="21"/>
  <c r="R100" i="21"/>
  <c r="K582" i="21"/>
  <c r="H580" i="21"/>
  <c r="C507" i="21"/>
  <c r="L500" i="21"/>
  <c r="M502" i="21"/>
  <c r="Q573" i="21"/>
  <c r="H524" i="21"/>
  <c r="N584" i="21"/>
  <c r="L584" i="21"/>
  <c r="P536" i="21"/>
  <c r="R563" i="21"/>
  <c r="E597" i="21"/>
  <c r="O449" i="21"/>
  <c r="O580" i="21"/>
  <c r="R455" i="21"/>
  <c r="R566" i="21"/>
  <c r="H531" i="21"/>
  <c r="K552" i="21"/>
  <c r="H101" i="21"/>
  <c r="L468" i="21"/>
  <c r="N414" i="21"/>
  <c r="L505" i="21"/>
  <c r="R582" i="21"/>
  <c r="O578" i="21"/>
  <c r="E543" i="21"/>
  <c r="L532" i="21"/>
  <c r="K452" i="21"/>
  <c r="G387" i="21"/>
  <c r="C518" i="21"/>
  <c r="P394" i="21"/>
  <c r="S472" i="21"/>
  <c r="C491" i="21"/>
  <c r="O594" i="21"/>
  <c r="D507" i="21"/>
  <c r="L554" i="21"/>
  <c r="L491" i="21"/>
  <c r="N459" i="21"/>
  <c r="Q393" i="21"/>
  <c r="H473" i="21"/>
  <c r="E423" i="21"/>
  <c r="M98" i="21"/>
  <c r="H105" i="21"/>
  <c r="P483" i="21"/>
  <c r="M533" i="21"/>
  <c r="C575" i="21"/>
  <c r="T543" i="21"/>
  <c r="C394" i="21"/>
  <c r="M418" i="21"/>
  <c r="G510" i="21"/>
  <c r="D492" i="21"/>
  <c r="I599" i="21"/>
  <c r="H563" i="21"/>
  <c r="C455" i="21"/>
  <c r="R540" i="21"/>
  <c r="R453" i="21"/>
  <c r="F547" i="21"/>
  <c r="H499" i="21"/>
  <c r="F466" i="21"/>
  <c r="C470" i="21"/>
  <c r="O534" i="21"/>
  <c r="T411" i="21"/>
  <c r="T574" i="21"/>
  <c r="R535" i="21"/>
  <c r="F487" i="21"/>
  <c r="O453" i="21"/>
  <c r="H569" i="21"/>
  <c r="K508" i="21"/>
  <c r="E402" i="21"/>
  <c r="I433" i="21"/>
  <c r="S401" i="21"/>
  <c r="G484" i="21"/>
  <c r="K105" i="21"/>
  <c r="M495" i="21"/>
  <c r="R447" i="21"/>
  <c r="T587" i="21"/>
  <c r="O519" i="21"/>
  <c r="N565" i="21"/>
  <c r="G520" i="21"/>
  <c r="M475" i="21"/>
  <c r="J469" i="21"/>
  <c r="J450" i="21"/>
  <c r="I415" i="21"/>
  <c r="L520" i="21"/>
  <c r="S519" i="21"/>
  <c r="C553" i="21"/>
  <c r="D459" i="21"/>
  <c r="D589" i="21"/>
  <c r="L499" i="21"/>
  <c r="S469" i="21"/>
  <c r="D436" i="21"/>
  <c r="H405" i="21"/>
  <c r="D502" i="21"/>
  <c r="L487" i="21"/>
  <c r="E593" i="21"/>
  <c r="P520" i="21"/>
  <c r="G562" i="21"/>
  <c r="S563" i="21"/>
  <c r="T108" i="21"/>
  <c r="C589" i="21"/>
  <c r="C489" i="21"/>
  <c r="E577" i="21"/>
  <c r="I587" i="21"/>
  <c r="M525" i="21"/>
  <c r="Q511" i="21"/>
  <c r="H112" i="21"/>
  <c r="C556" i="21"/>
  <c r="C599" i="21"/>
  <c r="D526" i="21"/>
  <c r="K538" i="21"/>
  <c r="R99" i="21"/>
  <c r="D536" i="21"/>
  <c r="Q497" i="21"/>
  <c r="T572" i="21"/>
  <c r="M109" i="21"/>
  <c r="K112" i="21"/>
  <c r="N595" i="21"/>
  <c r="C109" i="21"/>
  <c r="G105" i="21"/>
  <c r="E507" i="21"/>
  <c r="L511" i="21"/>
  <c r="S536" i="21"/>
  <c r="C549" i="21"/>
  <c r="I546" i="21"/>
  <c r="M503" i="21"/>
  <c r="Q595" i="21"/>
  <c r="Q471" i="21"/>
  <c r="S100" i="21"/>
  <c r="O556" i="21"/>
  <c r="G97" i="21"/>
  <c r="M487" i="21"/>
  <c r="K490" i="21"/>
  <c r="L539" i="21"/>
  <c r="O545" i="21"/>
  <c r="J95" i="21"/>
  <c r="G574" i="21"/>
  <c r="K573" i="21"/>
  <c r="F599" i="21"/>
  <c r="R577" i="21"/>
  <c r="C563" i="21"/>
  <c r="M556" i="21"/>
  <c r="L564" i="21"/>
  <c r="C511" i="21"/>
  <c r="G578" i="21"/>
  <c r="C597" i="21"/>
  <c r="I528" i="21"/>
  <c r="L546" i="21"/>
  <c r="P540" i="21"/>
  <c r="G395" i="21"/>
  <c r="P551" i="21"/>
  <c r="K568" i="21"/>
  <c r="J476" i="21"/>
  <c r="S559" i="21"/>
  <c r="O590" i="21"/>
  <c r="O515" i="21"/>
  <c r="Q391" i="21"/>
  <c r="C501" i="21"/>
  <c r="G441" i="21"/>
  <c r="S600" i="21"/>
  <c r="K532" i="21"/>
  <c r="L574" i="21"/>
  <c r="O485" i="21"/>
  <c r="F509" i="21"/>
  <c r="J511" i="21"/>
  <c r="F490" i="21"/>
  <c r="J387" i="21"/>
  <c r="G433" i="21"/>
  <c r="D494" i="21"/>
  <c r="Q531" i="21"/>
  <c r="K536" i="21"/>
  <c r="I462" i="21"/>
  <c r="J588" i="21"/>
  <c r="F494" i="21"/>
  <c r="G514" i="21"/>
  <c r="D567" i="21"/>
  <c r="M581" i="21"/>
  <c r="R472" i="21"/>
  <c r="O476" i="21"/>
  <c r="M113" i="21"/>
  <c r="E467" i="21"/>
  <c r="K571" i="21"/>
  <c r="C584" i="21"/>
  <c r="D591" i="21"/>
  <c r="P522" i="21"/>
  <c r="R506" i="21"/>
  <c r="I567" i="21"/>
  <c r="F583" i="21"/>
  <c r="T565" i="21"/>
  <c r="C495" i="21"/>
  <c r="C105" i="21"/>
  <c r="K520" i="21"/>
  <c r="M469" i="21"/>
  <c r="I551" i="21"/>
  <c r="F567" i="21"/>
  <c r="T532" i="21"/>
  <c r="C480" i="21"/>
  <c r="C107" i="21"/>
  <c r="I580" i="21"/>
  <c r="C473" i="21"/>
  <c r="L589" i="21"/>
  <c r="T112" i="21"/>
  <c r="H526" i="21"/>
  <c r="Q539" i="21"/>
  <c r="C465" i="21"/>
  <c r="I95" i="21"/>
  <c r="G518" i="21"/>
  <c r="F600" i="21"/>
  <c r="T576" i="21"/>
  <c r="S530" i="21"/>
  <c r="G570" i="21"/>
  <c r="I474" i="21"/>
  <c r="D562" i="21"/>
  <c r="D598" i="21"/>
  <c r="R529" i="21"/>
  <c r="F527" i="21"/>
  <c r="K595" i="21"/>
  <c r="R481" i="21"/>
  <c r="D561" i="21"/>
  <c r="G580" i="21"/>
  <c r="L536" i="21"/>
  <c r="N559" i="21"/>
  <c r="K565" i="21"/>
  <c r="D480" i="21"/>
  <c r="O598" i="21"/>
  <c r="R463" i="21"/>
  <c r="Q96" i="21"/>
  <c r="R564" i="21"/>
  <c r="D564" i="21"/>
  <c r="R95" i="21"/>
  <c r="J553" i="21"/>
  <c r="E475" i="21"/>
  <c r="G523" i="21"/>
  <c r="I598" i="21"/>
  <c r="T501" i="21"/>
  <c r="Q597" i="21"/>
  <c r="S574" i="21"/>
  <c r="L446" i="21"/>
  <c r="D523" i="21"/>
  <c r="T499" i="21"/>
  <c r="Q401" i="21"/>
  <c r="M492" i="21"/>
  <c r="C515" i="21"/>
  <c r="M517" i="21"/>
  <c r="D515" i="21"/>
  <c r="L570" i="21"/>
  <c r="L498" i="21"/>
  <c r="N475" i="21"/>
  <c r="M484" i="21"/>
  <c r="K449" i="21"/>
  <c r="D96" i="21"/>
  <c r="S510" i="21"/>
  <c r="E525" i="21"/>
  <c r="N477" i="21"/>
  <c r="E502" i="21"/>
  <c r="C496" i="21"/>
  <c r="O493" i="21"/>
  <c r="H477" i="21"/>
  <c r="F538" i="21"/>
  <c r="M459" i="21"/>
  <c r="G528" i="21"/>
  <c r="I488" i="21"/>
  <c r="N571" i="21"/>
  <c r="N538" i="21"/>
  <c r="E485" i="21"/>
  <c r="H570" i="21"/>
  <c r="S547" i="21"/>
  <c r="K466" i="21"/>
  <c r="H596" i="21"/>
  <c r="K548" i="21"/>
  <c r="C475" i="21"/>
  <c r="L523" i="21"/>
  <c r="G96" i="21"/>
  <c r="S531" i="21"/>
  <c r="K450" i="21"/>
  <c r="H581" i="21"/>
  <c r="K533" i="21"/>
  <c r="C459" i="21"/>
  <c r="M453" i="21"/>
  <c r="P112" i="21"/>
  <c r="O107" i="21"/>
  <c r="S101" i="21"/>
  <c r="I539" i="21"/>
  <c r="J562" i="21"/>
  <c r="H562" i="21"/>
  <c r="J579" i="21"/>
  <c r="P577" i="21"/>
  <c r="F556" i="21"/>
  <c r="D594" i="21"/>
  <c r="Q547" i="21"/>
  <c r="T95" i="21"/>
  <c r="K556" i="21"/>
  <c r="H546" i="21"/>
  <c r="N101" i="21"/>
  <c r="H598" i="21"/>
  <c r="L549" i="21"/>
  <c r="J462" i="21"/>
  <c r="I109" i="21"/>
  <c r="R570" i="21"/>
  <c r="E521" i="21"/>
  <c r="G547" i="21"/>
  <c r="H597" i="21"/>
  <c r="N449" i="21"/>
  <c r="L576" i="21"/>
  <c r="Q455" i="21"/>
  <c r="E108" i="21"/>
  <c r="Q549" i="21"/>
  <c r="S595" i="21"/>
  <c r="R105" i="21"/>
  <c r="G587" i="21"/>
  <c r="P463" i="21"/>
  <c r="J582" i="21"/>
  <c r="E505" i="21"/>
  <c r="G536" i="21"/>
  <c r="J464" i="21"/>
  <c r="D544" i="21"/>
  <c r="G539" i="21"/>
  <c r="K530" i="21"/>
  <c r="L507" i="21"/>
  <c r="N498" i="21"/>
  <c r="H541" i="21"/>
  <c r="K579" i="21"/>
  <c r="L590" i="21"/>
  <c r="O494" i="21"/>
  <c r="E524" i="21"/>
  <c r="M523" i="21"/>
  <c r="F500" i="21"/>
  <c r="J395" i="21"/>
  <c r="H470" i="21"/>
  <c r="E600" i="21"/>
  <c r="K596" i="21"/>
  <c r="P524" i="21"/>
  <c r="Q536" i="21"/>
  <c r="P489" i="21"/>
  <c r="O511" i="21"/>
  <c r="G477" i="21"/>
  <c r="S433" i="21"/>
  <c r="H454" i="21"/>
  <c r="L588" i="21"/>
  <c r="O540" i="21"/>
  <c r="Q523" i="21"/>
  <c r="F518" i="21"/>
  <c r="Q571" i="21"/>
  <c r="P473" i="21"/>
  <c r="J495" i="21"/>
  <c r="M596" i="21"/>
  <c r="N569" i="21"/>
  <c r="S109" i="21"/>
  <c r="I533" i="21"/>
  <c r="L573" i="21"/>
  <c r="H583" i="21"/>
  <c r="M455" i="21"/>
  <c r="F489" i="21"/>
  <c r="N553" i="21"/>
  <c r="G113" i="21"/>
  <c r="N505" i="21"/>
  <c r="L559" i="21"/>
  <c r="H567" i="21"/>
  <c r="D533" i="21"/>
  <c r="K527" i="21"/>
  <c r="T594" i="21"/>
  <c r="S550" i="21"/>
  <c r="G586" i="21"/>
  <c r="I490" i="21"/>
  <c r="D596" i="21"/>
  <c r="L540" i="21"/>
  <c r="N528" i="21"/>
  <c r="T525" i="21"/>
  <c r="P530" i="21"/>
  <c r="H543" i="21"/>
  <c r="N581" i="21"/>
  <c r="P518" i="21"/>
  <c r="F449" i="21"/>
  <c r="J101" i="21"/>
  <c r="C99" i="21"/>
  <c r="S95" i="21"/>
  <c r="F507" i="21"/>
  <c r="K518" i="21"/>
  <c r="S520" i="21"/>
  <c r="Q558" i="21"/>
  <c r="D101" i="21"/>
  <c r="R534" i="21"/>
  <c r="L526" i="21"/>
  <c r="S542" i="21"/>
  <c r="E527" i="21"/>
  <c r="T510" i="21"/>
  <c r="T547" i="21"/>
  <c r="J539" i="21"/>
  <c r="L528" i="21"/>
  <c r="H574" i="21"/>
  <c r="O525" i="21"/>
  <c r="P588" i="21"/>
  <c r="N531" i="21"/>
  <c r="P494" i="21"/>
  <c r="O112" i="21"/>
  <c r="P539" i="21"/>
  <c r="S578" i="21"/>
  <c r="O502" i="21"/>
  <c r="J549" i="21"/>
  <c r="P565" i="21"/>
  <c r="P555" i="21"/>
  <c r="L556" i="21"/>
  <c r="F498" i="21"/>
  <c r="K534" i="21"/>
  <c r="N485" i="21"/>
  <c r="E509" i="21"/>
  <c r="C504" i="21"/>
  <c r="P519" i="21"/>
  <c r="O376" i="21"/>
  <c r="F496" i="21"/>
  <c r="J532" i="21"/>
  <c r="D463" i="21"/>
  <c r="E511" i="21"/>
  <c r="N570" i="21"/>
  <c r="I468" i="21"/>
  <c r="D518" i="21"/>
  <c r="K391" i="21"/>
  <c r="F554" i="21"/>
  <c r="F488" i="21"/>
  <c r="J107" i="21"/>
  <c r="T506" i="21"/>
  <c r="R511" i="21"/>
  <c r="I578" i="21"/>
  <c r="O543" i="21"/>
  <c r="T101" i="21"/>
  <c r="C479" i="21"/>
  <c r="S512" i="21"/>
  <c r="J524" i="21"/>
  <c r="J583" i="21"/>
  <c r="G583" i="21"/>
  <c r="S583" i="21"/>
  <c r="P105" i="21"/>
  <c r="Q567" i="21"/>
  <c r="M550" i="21"/>
  <c r="C590" i="21"/>
  <c r="J567" i="21"/>
  <c r="R579" i="21"/>
  <c r="L596" i="21"/>
  <c r="P107" i="21"/>
  <c r="E548" i="21"/>
  <c r="K585" i="21"/>
  <c r="F572" i="21"/>
  <c r="K525" i="21"/>
  <c r="Q564" i="21"/>
  <c r="S470" i="21"/>
  <c r="E575" i="21"/>
  <c r="O600" i="21"/>
  <c r="K531" i="21"/>
  <c r="L100" i="21"/>
  <c r="F595" i="21"/>
  <c r="E545" i="21"/>
  <c r="S566" i="21"/>
  <c r="K528" i="21"/>
  <c r="I504" i="21"/>
  <c r="Q104" i="21"/>
  <c r="H536" i="21"/>
  <c r="N573" i="21"/>
  <c r="P487" i="21"/>
  <c r="L571" i="21"/>
  <c r="D580" i="21"/>
  <c r="N593" i="21"/>
  <c r="K104" i="21"/>
  <c r="C594" i="21"/>
  <c r="F491" i="21"/>
  <c r="J597" i="21"/>
  <c r="P532" i="21"/>
  <c r="G556" i="21"/>
  <c r="M535" i="21"/>
  <c r="G573" i="21"/>
  <c r="O592" i="21"/>
  <c r="S564" i="21"/>
  <c r="R443" i="21"/>
  <c r="M522" i="21"/>
  <c r="O539" i="21"/>
  <c r="I472" i="21"/>
  <c r="S599" i="21"/>
  <c r="H474" i="21"/>
  <c r="Q543" i="21"/>
  <c r="T523" i="21"/>
  <c r="J517" i="21"/>
  <c r="C512" i="21"/>
  <c r="O510" i="21"/>
  <c r="F541" i="21"/>
  <c r="F548" i="21"/>
  <c r="J564" i="21"/>
  <c r="S590" i="21"/>
  <c r="P497" i="21"/>
  <c r="K448" i="21"/>
  <c r="G485" i="21"/>
  <c r="S441" i="21"/>
  <c r="D516" i="21"/>
  <c r="T557" i="21"/>
  <c r="J563" i="21"/>
  <c r="I478" i="21"/>
  <c r="K590" i="21"/>
  <c r="L595" i="21"/>
  <c r="P454" i="21"/>
  <c r="D388" i="21"/>
  <c r="T454" i="21"/>
  <c r="D508" i="21"/>
  <c r="P589" i="21"/>
  <c r="O554" i="21"/>
  <c r="C471" i="21"/>
  <c r="F559" i="21"/>
  <c r="R461" i="21"/>
  <c r="F564" i="21"/>
  <c r="D545" i="21"/>
  <c r="F474" i="21"/>
  <c r="C478" i="21"/>
  <c r="E376" i="21"/>
  <c r="T419" i="21"/>
  <c r="R584" i="21"/>
  <c r="N530" i="21"/>
  <c r="O524" i="21"/>
  <c r="P108" i="21"/>
  <c r="Q107" i="21"/>
  <c r="F459" i="21"/>
  <c r="R552" i="21"/>
  <c r="R569" i="21"/>
  <c r="N516" i="21"/>
  <c r="J534" i="21"/>
  <c r="D112" i="21"/>
  <c r="E109" i="21"/>
  <c r="P599" i="21"/>
  <c r="F473" i="21"/>
  <c r="P550" i="21"/>
  <c r="H560" i="21"/>
  <c r="N596" i="21"/>
  <c r="P549" i="21"/>
  <c r="F465" i="21"/>
  <c r="L581" i="21"/>
  <c r="N113" i="21"/>
  <c r="H518" i="21"/>
  <c r="F112" i="21"/>
  <c r="P109" i="21"/>
  <c r="N566" i="21"/>
  <c r="K514" i="21"/>
  <c r="S484" i="21"/>
  <c r="M560" i="21"/>
  <c r="K597" i="21"/>
  <c r="R549" i="21"/>
  <c r="H458" i="21"/>
  <c r="S582" i="21"/>
  <c r="H532" i="21"/>
  <c r="K594" i="21"/>
  <c r="M579" i="21"/>
  <c r="R573" i="21"/>
  <c r="P471" i="21"/>
  <c r="N547" i="21"/>
  <c r="P502" i="21"/>
  <c r="O98" i="21"/>
  <c r="F523" i="21"/>
  <c r="K586" i="21"/>
  <c r="P101" i="21"/>
  <c r="M108" i="21"/>
  <c r="M528" i="21"/>
  <c r="T516" i="21"/>
  <c r="R457" i="21"/>
  <c r="H464" i="21"/>
  <c r="F104" i="21"/>
  <c r="F597" i="21"/>
  <c r="C521" i="21"/>
  <c r="Q568" i="21"/>
  <c r="P505" i="21"/>
  <c r="G476" i="21"/>
  <c r="G494" i="21"/>
  <c r="L113" i="21"/>
  <c r="D487" i="21"/>
  <c r="I524" i="21"/>
  <c r="N586" i="21"/>
  <c r="I476" i="21"/>
  <c r="M465" i="21"/>
  <c r="K401" i="21"/>
  <c r="I451" i="21"/>
  <c r="G483" i="21"/>
  <c r="D554" i="21"/>
  <c r="R449" i="21"/>
  <c r="T99" i="21"/>
  <c r="O560" i="21"/>
  <c r="T519" i="21"/>
  <c r="F519" i="21"/>
  <c r="H481" i="21"/>
  <c r="R488" i="21"/>
  <c r="O492" i="21"/>
  <c r="G104" i="21"/>
  <c r="E491" i="21"/>
  <c r="K587" i="21"/>
  <c r="O595" i="21"/>
  <c r="Q453" i="21"/>
  <c r="P538" i="21"/>
  <c r="F516" i="21"/>
  <c r="D493" i="21"/>
  <c r="M460" i="21"/>
  <c r="D450" i="21"/>
  <c r="M400" i="21"/>
  <c r="M586" i="21"/>
  <c r="P559" i="21"/>
  <c r="E487" i="21"/>
  <c r="N453" i="21"/>
  <c r="E599" i="21"/>
  <c r="D505" i="21"/>
  <c r="P404" i="21"/>
  <c r="T429" i="21"/>
  <c r="Q535" i="21"/>
  <c r="F464" i="21"/>
  <c r="K97" i="21"/>
  <c r="G525" i="21"/>
  <c r="R471" i="21"/>
  <c r="I545" i="21"/>
  <c r="O527" i="21"/>
  <c r="N599" i="21"/>
  <c r="C464" i="21"/>
  <c r="S488" i="21"/>
  <c r="J477" i="21"/>
  <c r="E493" i="21"/>
  <c r="I423" i="21"/>
  <c r="M587" i="21"/>
  <c r="Q584" i="21"/>
  <c r="F480" i="21"/>
  <c r="O445" i="21"/>
  <c r="H553" i="21"/>
  <c r="K499" i="21"/>
  <c r="E394" i="21"/>
  <c r="I425" i="21"/>
  <c r="S391" i="21"/>
  <c r="M473" i="21"/>
  <c r="D566" i="21"/>
  <c r="C542" i="21"/>
  <c r="G595" i="21"/>
  <c r="E538" i="21"/>
  <c r="E533" i="21"/>
  <c r="I516" i="21"/>
  <c r="J463" i="21"/>
  <c r="P548" i="21"/>
  <c r="S543" i="21"/>
  <c r="M542" i="21"/>
  <c r="D426" i="21"/>
  <c r="C587" i="21"/>
  <c r="S545" i="21"/>
  <c r="I477" i="21"/>
  <c r="G588" i="21"/>
  <c r="C588" i="21"/>
  <c r="L501" i="21"/>
  <c r="F485" i="21"/>
  <c r="P560" i="21"/>
  <c r="K369" i="21"/>
  <c r="G500" i="21"/>
  <c r="G451" i="21"/>
  <c r="S587" i="21"/>
  <c r="M521" i="21"/>
  <c r="N527" i="21"/>
  <c r="R445" i="21"/>
  <c r="F569" i="21"/>
  <c r="S485" i="21"/>
  <c r="M402" i="21"/>
  <c r="P476" i="21"/>
  <c r="T403" i="21"/>
  <c r="J519" i="21"/>
  <c r="N558" i="21"/>
  <c r="I568" i="21"/>
  <c r="S549" i="21"/>
  <c r="D489" i="21"/>
  <c r="G435" i="21"/>
  <c r="L449" i="21"/>
  <c r="C424" i="21"/>
  <c r="T468" i="21"/>
  <c r="M471" i="21"/>
  <c r="K524" i="21"/>
  <c r="K470" i="21"/>
  <c r="E571" i="21"/>
  <c r="G466" i="21"/>
  <c r="S464" i="21"/>
  <c r="Q440" i="21"/>
  <c r="G385" i="21"/>
  <c r="O577" i="21"/>
  <c r="H95" i="21"/>
  <c r="Q487" i="21"/>
  <c r="T555" i="21"/>
  <c r="E519" i="21"/>
  <c r="H522" i="21"/>
  <c r="T527" i="21"/>
  <c r="G452" i="21"/>
  <c r="J453" i="21"/>
  <c r="E432" i="21"/>
  <c r="I399" i="21"/>
  <c r="K588" i="21"/>
  <c r="K474" i="21"/>
  <c r="Q553" i="21"/>
  <c r="D599" i="21"/>
  <c r="L565" i="21"/>
  <c r="I558" i="21"/>
  <c r="I463" i="21"/>
  <c r="K417" i="21"/>
  <c r="O393" i="21"/>
  <c r="I596" i="21"/>
  <c r="K497" i="21"/>
  <c r="T505" i="21"/>
  <c r="G516" i="21"/>
  <c r="S480" i="21"/>
  <c r="D390" i="21"/>
  <c r="N321" i="21"/>
  <c r="D372" i="21"/>
  <c r="N464" i="21"/>
  <c r="D385" i="21"/>
  <c r="R434" i="21"/>
  <c r="D556" i="21"/>
  <c r="M538" i="21"/>
  <c r="O447" i="21"/>
  <c r="M456" i="21"/>
  <c r="G429" i="21"/>
  <c r="S435" i="21"/>
  <c r="E429" i="21"/>
  <c r="I428" i="21"/>
  <c r="L342" i="21"/>
  <c r="E369" i="21"/>
  <c r="P597" i="21"/>
  <c r="M568" i="21"/>
  <c r="J467" i="21"/>
  <c r="E414" i="21"/>
  <c r="R476" i="21"/>
  <c r="O479" i="21"/>
  <c r="E359" i="21"/>
  <c r="R385" i="21"/>
  <c r="O450" i="21"/>
  <c r="D466" i="21"/>
  <c r="Q435" i="21"/>
  <c r="T539" i="21"/>
  <c r="R479" i="21"/>
  <c r="O414" i="21"/>
  <c r="L453" i="21"/>
  <c r="E372" i="21"/>
  <c r="T431" i="21"/>
  <c r="F308" i="21"/>
  <c r="T477" i="21"/>
  <c r="P410" i="21"/>
  <c r="N410" i="21"/>
  <c r="F333" i="21"/>
  <c r="G532" i="21"/>
  <c r="H469" i="21"/>
  <c r="P514" i="21"/>
  <c r="O420" i="21"/>
  <c r="S490" i="21"/>
  <c r="O413" i="21"/>
  <c r="N435" i="21"/>
  <c r="F343" i="21"/>
  <c r="O361" i="21"/>
  <c r="R435" i="21"/>
  <c r="O531" i="21"/>
  <c r="T389" i="21"/>
  <c r="M506" i="21"/>
  <c r="P384" i="21"/>
  <c r="P472" i="21"/>
  <c r="E466" i="21"/>
  <c r="P315" i="21"/>
  <c r="C339" i="21"/>
  <c r="L496" i="21"/>
  <c r="S379" i="21"/>
  <c r="J393" i="21"/>
  <c r="Q461" i="21"/>
  <c r="G369" i="21"/>
  <c r="I563" i="21"/>
  <c r="M512" i="21"/>
  <c r="N408" i="21"/>
  <c r="L475" i="21"/>
  <c r="S459" i="21"/>
  <c r="I112" i="21"/>
  <c r="I464" i="21"/>
  <c r="K493" i="21"/>
  <c r="E477" i="21"/>
  <c r="I511" i="21"/>
  <c r="I441" i="21"/>
  <c r="R464" i="21"/>
  <c r="T457" i="21"/>
  <c r="F591" i="21"/>
  <c r="C539" i="21"/>
  <c r="E570" i="21"/>
  <c r="M536" i="21"/>
  <c r="Q521" i="21"/>
  <c r="P396" i="21"/>
  <c r="I522" i="21"/>
  <c r="I461" i="21"/>
  <c r="M384" i="21"/>
  <c r="J584" i="21"/>
  <c r="T493" i="21"/>
  <c r="L486" i="21"/>
  <c r="K519" i="21"/>
  <c r="L464" i="21"/>
  <c r="Q441" i="21"/>
  <c r="C454" i="21"/>
  <c r="N412" i="21"/>
  <c r="L495" i="21"/>
  <c r="Q587" i="21"/>
  <c r="H559" i="21"/>
  <c r="D553" i="21"/>
  <c r="C543" i="21"/>
  <c r="S555" i="21"/>
  <c r="S546" i="21"/>
  <c r="J435" i="21"/>
  <c r="G460" i="21"/>
  <c r="T564" i="21"/>
  <c r="Q529" i="21"/>
  <c r="H107" i="21"/>
  <c r="Q582" i="21"/>
  <c r="Q509" i="21"/>
  <c r="E566" i="21"/>
  <c r="M513" i="21"/>
  <c r="C517" i="21"/>
  <c r="M516" i="21"/>
  <c r="P426" i="21"/>
  <c r="Q496" i="21"/>
  <c r="J100" i="21"/>
  <c r="R589" i="21"/>
  <c r="C529" i="21"/>
  <c r="O509" i="21"/>
  <c r="D541" i="21"/>
  <c r="L476" i="21"/>
  <c r="N514" i="21"/>
  <c r="D412" i="21"/>
  <c r="T511" i="21"/>
  <c r="F534" i="21"/>
  <c r="G540" i="21"/>
  <c r="O438" i="21"/>
  <c r="L477" i="21"/>
  <c r="E396" i="21"/>
  <c r="H494" i="21"/>
  <c r="F332" i="21"/>
  <c r="M493" i="21"/>
  <c r="P433" i="21"/>
  <c r="N433" i="21"/>
  <c r="F356" i="21"/>
  <c r="I499" i="21"/>
  <c r="O484" i="21"/>
  <c r="J531" i="21"/>
  <c r="Q372" i="21"/>
  <c r="E526" i="21"/>
  <c r="T467" i="21"/>
  <c r="D411" i="21"/>
  <c r="E445" i="21"/>
  <c r="E325" i="21"/>
  <c r="C353" i="21"/>
  <c r="C552" i="21"/>
  <c r="H505" i="21"/>
  <c r="D592" i="21"/>
  <c r="P408" i="21"/>
  <c r="P496" i="21"/>
  <c r="G463" i="21"/>
  <c r="P339" i="21"/>
  <c r="C363" i="21"/>
  <c r="H400" i="21"/>
  <c r="Q468" i="21"/>
  <c r="J416" i="21"/>
  <c r="N509" i="21"/>
  <c r="E416" i="21"/>
  <c r="H403" i="21"/>
  <c r="J473" i="21"/>
  <c r="E444" i="21"/>
  <c r="M412" i="21"/>
  <c r="R533" i="21"/>
  <c r="E460" i="21"/>
  <c r="O516" i="21"/>
  <c r="H394" i="21"/>
  <c r="E528" i="21"/>
  <c r="O463" i="21"/>
  <c r="L512" i="21"/>
  <c r="I498" i="21"/>
  <c r="I564" i="21"/>
  <c r="F460" i="21"/>
  <c r="F430" i="21"/>
  <c r="L389" i="21"/>
  <c r="Q333" i="21"/>
  <c r="N343" i="21"/>
  <c r="F439" i="21"/>
  <c r="N546" i="21"/>
  <c r="M508" i="21"/>
  <c r="Q422" i="21"/>
  <c r="D469" i="21"/>
  <c r="I457" i="21"/>
  <c r="N446" i="21"/>
  <c r="T380" i="21"/>
  <c r="T320" i="21"/>
  <c r="H457" i="21"/>
  <c r="D441" i="21"/>
  <c r="T440" i="21"/>
  <c r="O583" i="21"/>
  <c r="Q506" i="21"/>
  <c r="M531" i="21"/>
  <c r="Q428" i="21"/>
  <c r="G389" i="21"/>
  <c r="E418" i="21"/>
  <c r="G417" i="21"/>
  <c r="H527" i="21"/>
  <c r="J561" i="21"/>
  <c r="D483" i="21"/>
  <c r="P465" i="21"/>
  <c r="S494" i="21"/>
  <c r="M409" i="21"/>
  <c r="P484" i="21"/>
  <c r="I431" i="21"/>
  <c r="G109" i="21"/>
  <c r="H504" i="21"/>
  <c r="R532" i="21"/>
  <c r="C502" i="21"/>
  <c r="L516" i="21"/>
  <c r="C378" i="21"/>
  <c r="G488" i="21"/>
  <c r="T461" i="21"/>
  <c r="E392" i="21"/>
  <c r="R459" i="21"/>
  <c r="K539" i="21"/>
  <c r="K478" i="21"/>
  <c r="K581" i="21"/>
  <c r="G478" i="21"/>
  <c r="L448" i="21"/>
  <c r="J452" i="21"/>
  <c r="G391" i="21"/>
  <c r="Q108" i="21"/>
  <c r="J590" i="21"/>
  <c r="K580" i="21"/>
  <c r="N100" i="21"/>
  <c r="F461" i="21"/>
  <c r="P576" i="21"/>
  <c r="D462" i="21"/>
  <c r="O416" i="21"/>
  <c r="C538" i="21"/>
  <c r="F579" i="21"/>
  <c r="I482" i="21"/>
  <c r="D593" i="21"/>
  <c r="I552" i="21"/>
  <c r="J500" i="21"/>
  <c r="T599" i="21"/>
  <c r="R474" i="21"/>
  <c r="D454" i="21"/>
  <c r="Q432" i="21"/>
  <c r="C408" i="21"/>
  <c r="N468" i="21"/>
  <c r="E562" i="21"/>
  <c r="O532" i="21"/>
  <c r="F447" i="21"/>
  <c r="N502" i="21"/>
  <c r="S573" i="21"/>
  <c r="K468" i="21"/>
  <c r="T473" i="21"/>
  <c r="I391" i="21"/>
  <c r="N476" i="21"/>
  <c r="D498" i="21"/>
  <c r="S491" i="21"/>
  <c r="H427" i="21"/>
  <c r="J497" i="21"/>
  <c r="P390" i="21"/>
  <c r="M436" i="21"/>
  <c r="K321" i="21"/>
  <c r="M406" i="21"/>
  <c r="O419" i="21"/>
  <c r="L387" i="21"/>
  <c r="Q347" i="21"/>
  <c r="L484" i="21"/>
  <c r="O448" i="21"/>
  <c r="K505" i="21"/>
  <c r="S444" i="21"/>
  <c r="D597" i="21"/>
  <c r="O437" i="21"/>
  <c r="C397" i="21"/>
  <c r="F367" i="21"/>
  <c r="S408" i="21"/>
  <c r="T334" i="21"/>
  <c r="O529" i="21"/>
  <c r="J502" i="21"/>
  <c r="M447" i="21"/>
  <c r="I570" i="21"/>
  <c r="I481" i="21"/>
  <c r="K379" i="21"/>
  <c r="O323" i="21"/>
  <c r="T345" i="21"/>
  <c r="D400" i="21"/>
  <c r="K381" i="21"/>
  <c r="I402" i="21"/>
  <c r="R509" i="21"/>
  <c r="T503" i="21"/>
  <c r="S382" i="21"/>
  <c r="C458" i="21"/>
  <c r="N432" i="21"/>
  <c r="M454" i="21"/>
  <c r="H489" i="21"/>
  <c r="J426" i="21"/>
  <c r="F412" i="21"/>
  <c r="F374" i="21"/>
  <c r="T597" i="21"/>
  <c r="P420" i="21"/>
  <c r="E514" i="21"/>
  <c r="S481" i="21"/>
  <c r="M491" i="21"/>
  <c r="D479" i="21"/>
  <c r="L352" i="21"/>
  <c r="R311" i="21"/>
  <c r="J314" i="21"/>
  <c r="F354" i="21"/>
  <c r="C422" i="21"/>
  <c r="E447" i="21"/>
  <c r="Q456" i="21"/>
  <c r="J417" i="21"/>
  <c r="M457" i="21"/>
  <c r="E470" i="21"/>
  <c r="I427" i="21"/>
  <c r="M423" i="21"/>
  <c r="L331" i="21"/>
  <c r="K408" i="21"/>
  <c r="N484" i="21"/>
  <c r="F578" i="21"/>
  <c r="T598" i="21"/>
  <c r="R495" i="21"/>
  <c r="O461" i="21"/>
  <c r="T109" i="21"/>
  <c r="E409" i="21"/>
  <c r="Q545" i="21"/>
  <c r="I469" i="21"/>
  <c r="M393" i="21"/>
  <c r="J543" i="21"/>
  <c r="C550" i="21"/>
  <c r="I577" i="21"/>
  <c r="M569" i="21"/>
  <c r="D497" i="21"/>
  <c r="G443" i="21"/>
  <c r="L457" i="21"/>
  <c r="C432" i="21"/>
  <c r="N491" i="21"/>
  <c r="L538" i="21"/>
  <c r="H573" i="21"/>
  <c r="D467" i="21"/>
  <c r="C551" i="21"/>
  <c r="L451" i="21"/>
  <c r="F450" i="21"/>
  <c r="J443" i="21"/>
  <c r="K512" i="21"/>
  <c r="T537" i="21"/>
  <c r="E547" i="21"/>
  <c r="F471" i="21"/>
  <c r="R550" i="21"/>
  <c r="E453" i="21"/>
  <c r="D573" i="21"/>
  <c r="M549" i="21"/>
  <c r="S385" i="21"/>
  <c r="D460" i="21"/>
  <c r="R576" i="21"/>
  <c r="P534" i="21"/>
  <c r="H540" i="21"/>
  <c r="L470" i="21"/>
  <c r="C477" i="21"/>
  <c r="F529" i="21"/>
  <c r="P493" i="21"/>
  <c r="Q517" i="21"/>
  <c r="J427" i="21"/>
  <c r="N396" i="21"/>
  <c r="I582" i="21"/>
  <c r="H590" i="21"/>
  <c r="T496" i="21"/>
  <c r="S540" i="21"/>
  <c r="T544" i="21"/>
  <c r="Q540" i="21"/>
  <c r="D457" i="21"/>
  <c r="C434" i="21"/>
  <c r="O526" i="21"/>
  <c r="F517" i="21"/>
  <c r="E582" i="21"/>
  <c r="C384" i="21"/>
  <c r="S407" i="21"/>
  <c r="C482" i="21"/>
  <c r="H497" i="21"/>
  <c r="D500" i="21"/>
  <c r="D408" i="21"/>
  <c r="T459" i="21"/>
  <c r="F436" i="21"/>
  <c r="R309" i="21"/>
  <c r="O552" i="21"/>
  <c r="G567" i="21"/>
  <c r="E415" i="21"/>
  <c r="J541" i="21"/>
  <c r="E542" i="21"/>
  <c r="F484" i="21"/>
  <c r="N482" i="21"/>
  <c r="L413" i="21"/>
  <c r="Q356" i="21"/>
  <c r="N367" i="21"/>
  <c r="L329" i="21"/>
  <c r="F511" i="21"/>
  <c r="O384" i="21"/>
  <c r="J441" i="21"/>
  <c r="G492" i="21"/>
  <c r="S463" i="21"/>
  <c r="K465" i="21"/>
  <c r="Q490" i="21"/>
  <c r="L355" i="21"/>
  <c r="E437" i="21"/>
  <c r="K463" i="21"/>
  <c r="R418" i="21"/>
  <c r="S588" i="21"/>
  <c r="R512" i="21"/>
  <c r="N487" i="21"/>
  <c r="E474" i="21"/>
  <c r="G413" i="21"/>
  <c r="S387" i="21"/>
  <c r="K409" i="21"/>
  <c r="I412" i="21"/>
  <c r="L326" i="21"/>
  <c r="D353" i="21"/>
  <c r="D520" i="21"/>
  <c r="F482" i="21"/>
  <c r="J451" i="21"/>
  <c r="E398" i="21"/>
  <c r="R460" i="21"/>
  <c r="O464" i="21"/>
  <c r="E343" i="21"/>
  <c r="D363" i="21"/>
  <c r="H379" i="21"/>
  <c r="M486" i="21"/>
  <c r="K416" i="21"/>
  <c r="K572" i="21"/>
  <c r="P546" i="21"/>
  <c r="O398" i="21"/>
  <c r="I527" i="21"/>
  <c r="L447" i="21"/>
  <c r="T415" i="21"/>
  <c r="N380" i="21"/>
  <c r="N454" i="21"/>
  <c r="G508" i="21"/>
  <c r="J591" i="21"/>
  <c r="O547" i="21"/>
  <c r="J573" i="21"/>
  <c r="F584" i="21"/>
  <c r="C386" i="21"/>
  <c r="S500" i="21"/>
  <c r="S451" i="21"/>
  <c r="E399" i="21"/>
  <c r="Q550" i="21"/>
  <c r="O522" i="21"/>
  <c r="L493" i="21"/>
  <c r="K535" i="21"/>
  <c r="I547" i="21"/>
  <c r="J456" i="21"/>
  <c r="C462" i="21"/>
  <c r="N420" i="21"/>
  <c r="D590" i="21"/>
  <c r="P480" i="21"/>
  <c r="Q591" i="21"/>
  <c r="S535" i="21"/>
  <c r="F469" i="21"/>
  <c r="J471" i="21"/>
  <c r="D470" i="21"/>
  <c r="O424" i="21"/>
  <c r="P595" i="21"/>
  <c r="G566" i="21"/>
  <c r="L482" i="21"/>
  <c r="E463" i="21"/>
  <c r="J525" i="21"/>
  <c r="T541" i="21"/>
  <c r="R482" i="21"/>
  <c r="K441" i="21"/>
  <c r="D509" i="21"/>
  <c r="S539" i="21"/>
  <c r="S516" i="21"/>
  <c r="O536" i="21"/>
  <c r="E573" i="21"/>
  <c r="K462" i="21"/>
  <c r="R596" i="21"/>
  <c r="I574" i="21"/>
  <c r="I480" i="21"/>
  <c r="K433" i="21"/>
  <c r="O408" i="21"/>
  <c r="G377" i="21"/>
  <c r="G533" i="21"/>
  <c r="G531" i="21"/>
  <c r="O566" i="21"/>
  <c r="I501" i="21"/>
  <c r="Q585" i="21"/>
  <c r="C519" i="21"/>
  <c r="D548" i="21"/>
  <c r="N422" i="21"/>
  <c r="N479" i="21"/>
  <c r="F514" i="21"/>
  <c r="K583" i="21"/>
  <c r="H492" i="21"/>
  <c r="O487" i="21"/>
  <c r="M464" i="21"/>
  <c r="G437" i="21"/>
  <c r="H382" i="21"/>
  <c r="K438" i="21"/>
  <c r="I436" i="21"/>
  <c r="L350" i="21"/>
  <c r="S381" i="21"/>
  <c r="O584" i="21"/>
  <c r="S453" i="21"/>
  <c r="L455" i="21"/>
  <c r="S505" i="21"/>
  <c r="T446" i="21"/>
  <c r="D504" i="21"/>
  <c r="O379" i="21"/>
  <c r="R335" i="21"/>
  <c r="J338" i="21"/>
  <c r="F382" i="21"/>
  <c r="K397" i="21"/>
  <c r="I592" i="21"/>
  <c r="R504" i="21"/>
  <c r="O422" i="21"/>
  <c r="L461" i="21"/>
  <c r="E381" i="21"/>
  <c r="T439" i="21"/>
  <c r="F316" i="21"/>
  <c r="Q409" i="21"/>
  <c r="P417" i="21"/>
  <c r="N417" i="21"/>
  <c r="F341" i="21"/>
  <c r="G589" i="21"/>
  <c r="G498" i="21"/>
  <c r="R501" i="21"/>
  <c r="P448" i="21"/>
  <c r="Q583" i="21"/>
  <c r="P435" i="21"/>
  <c r="D395" i="21"/>
  <c r="R428" i="21"/>
  <c r="T408" i="21"/>
  <c r="C337" i="21"/>
  <c r="Q489" i="21"/>
  <c r="K446" i="21"/>
  <c r="M514" i="21"/>
  <c r="P393" i="21"/>
  <c r="P479" i="21"/>
  <c r="P592" i="21"/>
  <c r="P323" i="21"/>
  <c r="C347" i="21"/>
  <c r="M415" i="21"/>
  <c r="S403" i="21"/>
  <c r="J400" i="21"/>
  <c r="N567" i="21"/>
  <c r="E384" i="21"/>
  <c r="H387" i="21"/>
  <c r="J457" i="21"/>
  <c r="C428" i="21"/>
  <c r="M396" i="21"/>
  <c r="F470" i="21"/>
  <c r="K428" i="21"/>
  <c r="H442" i="21"/>
  <c r="R365" i="21"/>
  <c r="G100" i="21"/>
  <c r="J552" i="21"/>
  <c r="M507" i="21"/>
  <c r="I483" i="21"/>
  <c r="K472" i="21"/>
  <c r="S560" i="21"/>
  <c r="F414" i="21"/>
  <c r="C446" i="21"/>
  <c r="G512" i="21"/>
  <c r="G459" i="21"/>
  <c r="R557" i="21"/>
  <c r="L530" i="21"/>
  <c r="N522" i="21"/>
  <c r="Q532" i="21"/>
  <c r="Q464" i="21"/>
  <c r="L465" i="21"/>
  <c r="C440" i="21"/>
  <c r="N515" i="21"/>
  <c r="R483" i="21"/>
  <c r="K555" i="21"/>
  <c r="K486" i="21"/>
  <c r="Q588" i="21"/>
  <c r="G490" i="21"/>
  <c r="I531" i="21"/>
  <c r="N500" i="21"/>
  <c r="G401" i="21"/>
  <c r="T561" i="21"/>
  <c r="E594" i="21"/>
  <c r="C561" i="21"/>
  <c r="R562" i="21"/>
  <c r="E461" i="21"/>
  <c r="H460" i="21"/>
  <c r="O454" i="21"/>
  <c r="H413" i="21"/>
  <c r="D468" i="21"/>
  <c r="K576" i="21"/>
  <c r="E559" i="21"/>
  <c r="G559" i="21"/>
  <c r="R587" i="21"/>
  <c r="E580" i="21"/>
  <c r="P501" i="21"/>
  <c r="I417" i="21"/>
  <c r="G462" i="21"/>
  <c r="K439" i="21"/>
  <c r="E529" i="21"/>
  <c r="N535" i="21"/>
  <c r="C545" i="21"/>
  <c r="G553" i="21"/>
  <c r="D572" i="21"/>
  <c r="L492" i="21"/>
  <c r="S461" i="21"/>
  <c r="D428" i="21"/>
  <c r="H397" i="21"/>
  <c r="O495" i="21"/>
  <c r="L480" i="21"/>
  <c r="N541" i="21"/>
  <c r="E497" i="21"/>
  <c r="H493" i="21"/>
  <c r="C557" i="21"/>
  <c r="S548" i="21"/>
  <c r="D517" i="21"/>
  <c r="G403" i="21"/>
  <c r="I525" i="21"/>
  <c r="K498" i="21"/>
  <c r="P481" i="21"/>
  <c r="O508" i="21"/>
  <c r="J596" i="21"/>
  <c r="Q381" i="21"/>
  <c r="S558" i="21"/>
  <c r="E382" i="21"/>
  <c r="D419" i="21"/>
  <c r="N474" i="21"/>
  <c r="E333" i="21"/>
  <c r="C361" i="21"/>
  <c r="Q451" i="21"/>
  <c r="O459" i="21"/>
  <c r="J475" i="21"/>
  <c r="E422" i="21"/>
  <c r="R484" i="21"/>
  <c r="O488" i="21"/>
  <c r="E367" i="21"/>
  <c r="S416" i="21"/>
  <c r="I322" i="21"/>
  <c r="S571" i="21"/>
  <c r="K445" i="21"/>
  <c r="O477" i="21"/>
  <c r="E424" i="21"/>
  <c r="H411" i="21"/>
  <c r="J481" i="21"/>
  <c r="K469" i="21"/>
  <c r="M420" i="21"/>
  <c r="N399" i="21"/>
  <c r="N488" i="21"/>
  <c r="O403" i="21"/>
  <c r="M433" i="21"/>
  <c r="Q331" i="21"/>
  <c r="K476" i="21"/>
  <c r="I382" i="21"/>
  <c r="S537" i="21"/>
  <c r="O428" i="21"/>
  <c r="G504" i="21"/>
  <c r="O421" i="21"/>
  <c r="N443" i="21"/>
  <c r="F351" i="21"/>
  <c r="R369" i="21"/>
  <c r="T310" i="21"/>
  <c r="C503" i="21"/>
  <c r="C486" i="21"/>
  <c r="Q430" i="21"/>
  <c r="K479" i="21"/>
  <c r="I465" i="21"/>
  <c r="T481" i="21"/>
  <c r="L408" i="21"/>
  <c r="T328" i="21"/>
  <c r="I397" i="21"/>
  <c r="K453" i="21"/>
  <c r="D453" i="21"/>
  <c r="Q502" i="21"/>
  <c r="G425" i="21"/>
  <c r="E590" i="21"/>
  <c r="G529" i="21"/>
  <c r="N416" i="21"/>
  <c r="Q370" i="21"/>
  <c r="N402" i="21"/>
  <c r="J409" i="21"/>
  <c r="F396" i="21"/>
  <c r="K357" i="21"/>
  <c r="M96" i="21"/>
  <c r="C402" i="21"/>
  <c r="E500" i="21"/>
  <c r="S465" i="21"/>
  <c r="M467" i="21"/>
  <c r="D464" i="21"/>
  <c r="L336" i="21"/>
  <c r="G396" i="21"/>
  <c r="O382" i="21"/>
  <c r="F338" i="21"/>
  <c r="N442" i="21"/>
  <c r="I544" i="21"/>
  <c r="G551" i="21"/>
  <c r="O383" i="21"/>
  <c r="E504" i="21"/>
  <c r="P430" i="21"/>
  <c r="T399" i="21"/>
  <c r="K361" i="21"/>
  <c r="H461" i="21"/>
  <c r="P377" i="21"/>
  <c r="L427" i="21"/>
  <c r="F421" i="21"/>
  <c r="D582" i="21"/>
  <c r="M432" i="21"/>
  <c r="P482" i="21"/>
  <c r="O388" i="21"/>
  <c r="J557" i="21"/>
  <c r="K444" i="21"/>
  <c r="N478" i="21"/>
  <c r="F311" i="21"/>
  <c r="O329" i="21"/>
  <c r="O369" i="21"/>
  <c r="H525" i="21"/>
  <c r="Q384" i="21"/>
  <c r="Q390" i="21"/>
  <c r="H484" i="21"/>
  <c r="S503" i="21"/>
  <c r="D414" i="21"/>
  <c r="N346" i="21"/>
  <c r="F379" i="21"/>
  <c r="S429" i="21"/>
  <c r="D410" i="21"/>
  <c r="C541" i="21"/>
  <c r="F508" i="21"/>
  <c r="J336" i="21"/>
  <c r="M392" i="21"/>
  <c r="G513" i="21"/>
  <c r="C399" i="21"/>
  <c r="C380" i="21"/>
  <c r="J302" i="21"/>
  <c r="T274" i="21"/>
  <c r="Q364" i="21"/>
  <c r="M330" i="21"/>
  <c r="O354" i="21"/>
  <c r="S314" i="21"/>
  <c r="S327" i="21"/>
  <c r="L404" i="21"/>
  <c r="H292" i="21"/>
  <c r="Q233" i="21"/>
  <c r="T176" i="21"/>
  <c r="C292" i="21"/>
  <c r="O135" i="21"/>
  <c r="Q229" i="21"/>
  <c r="E404" i="21"/>
  <c r="F365" i="21"/>
  <c r="N391" i="21"/>
  <c r="T332" i="21"/>
  <c r="D405" i="21"/>
  <c r="P447" i="21"/>
  <c r="N322" i="21"/>
  <c r="L473" i="21"/>
  <c r="T513" i="21"/>
  <c r="O517" i="21"/>
  <c r="C578" i="21"/>
  <c r="Q561" i="21"/>
  <c r="J547" i="21"/>
  <c r="N510" i="21"/>
  <c r="J485" i="21"/>
  <c r="N428" i="21"/>
  <c r="F512" i="21"/>
  <c r="L580" i="21"/>
  <c r="H588" i="21"/>
  <c r="D475" i="21"/>
  <c r="C560" i="21"/>
  <c r="L459" i="21"/>
  <c r="F458" i="21"/>
  <c r="T465" i="21"/>
  <c r="D529" i="21"/>
  <c r="G590" i="21"/>
  <c r="L506" i="21"/>
  <c r="E471" i="21"/>
  <c r="J540" i="21"/>
  <c r="G545" i="21"/>
  <c r="R490" i="21"/>
  <c r="D455" i="21"/>
  <c r="O528" i="21"/>
  <c r="O452" i="21"/>
  <c r="S589" i="21"/>
  <c r="C505" i="21"/>
  <c r="C520" i="21"/>
  <c r="J554" i="21"/>
  <c r="I559" i="21"/>
  <c r="I487" i="21"/>
  <c r="T405" i="21"/>
  <c r="O541" i="21"/>
  <c r="I407" i="21"/>
  <c r="F577" i="21"/>
  <c r="I581" i="21"/>
  <c r="F463" i="21"/>
  <c r="L518" i="21"/>
  <c r="H521" i="21"/>
  <c r="K484" i="21"/>
  <c r="E378" i="21"/>
  <c r="I410" i="21"/>
  <c r="S377" i="21"/>
  <c r="G450" i="21"/>
  <c r="O108" i="21"/>
  <c r="R599" i="21"/>
  <c r="T97" i="21"/>
  <c r="R600" i="21"/>
  <c r="F540" i="21"/>
  <c r="P513" i="21"/>
  <c r="E501" i="21"/>
  <c r="Q410" i="21"/>
  <c r="R514" i="21"/>
  <c r="S517" i="21"/>
  <c r="I526" i="21"/>
  <c r="D394" i="21"/>
  <c r="K513" i="21"/>
  <c r="K473" i="21"/>
  <c r="H462" i="21"/>
  <c r="E446" i="21"/>
  <c r="C405" i="21"/>
  <c r="D377" i="21"/>
  <c r="P313" i="21"/>
  <c r="T342" i="21"/>
  <c r="M561" i="21"/>
  <c r="D420" i="21"/>
  <c r="C460" i="21"/>
  <c r="P416" i="21"/>
  <c r="P504" i="21"/>
  <c r="G471" i="21"/>
  <c r="P347" i="21"/>
  <c r="L371" i="21"/>
  <c r="T443" i="21"/>
  <c r="H399" i="21"/>
  <c r="J424" i="21"/>
  <c r="O551" i="21"/>
  <c r="N388" i="21"/>
  <c r="S392" i="21"/>
  <c r="C466" i="21"/>
  <c r="N440" i="21"/>
  <c r="M501" i="21"/>
  <c r="O402" i="21"/>
  <c r="J434" i="21"/>
  <c r="F420" i="21"/>
  <c r="G390" i="21"/>
  <c r="T538" i="21"/>
  <c r="E563" i="21"/>
  <c r="O597" i="21"/>
  <c r="I507" i="21"/>
  <c r="Q592" i="21"/>
  <c r="F468" i="21"/>
  <c r="F438" i="21"/>
  <c r="L397" i="21"/>
  <c r="Q341" i="21"/>
  <c r="N351" i="21"/>
  <c r="L313" i="21"/>
  <c r="E503" i="21"/>
  <c r="H389" i="21"/>
  <c r="J425" i="21"/>
  <c r="G468" i="21"/>
  <c r="S447" i="21"/>
  <c r="I435" i="21"/>
  <c r="L381" i="21"/>
  <c r="L339" i="21"/>
  <c r="K418" i="21"/>
  <c r="C435" i="21"/>
  <c r="R402" i="21"/>
  <c r="E551" i="21"/>
  <c r="F479" i="21"/>
  <c r="H452" i="21"/>
  <c r="Q436" i="21"/>
  <c r="G397" i="21"/>
  <c r="E472" i="21"/>
  <c r="K390" i="21"/>
  <c r="D546" i="21"/>
  <c r="F429" i="21"/>
  <c r="D337" i="21"/>
  <c r="E515" i="21"/>
  <c r="D501" i="21"/>
  <c r="C516" i="21"/>
  <c r="J494" i="21"/>
  <c r="I439" i="21"/>
  <c r="T482" i="21"/>
  <c r="F495" i="21"/>
  <c r="O535" i="21"/>
  <c r="K516" i="21"/>
  <c r="Q555" i="21"/>
  <c r="M452" i="21"/>
  <c r="G410" i="21"/>
  <c r="K578" i="21"/>
  <c r="P503" i="21"/>
  <c r="L522" i="21"/>
  <c r="D588" i="21"/>
  <c r="F477" i="21"/>
  <c r="J480" i="21"/>
  <c r="D478" i="21"/>
  <c r="O432" i="21"/>
  <c r="F456" i="21"/>
  <c r="R521" i="21"/>
  <c r="N457" i="21"/>
  <c r="P459" i="21"/>
  <c r="G575" i="21"/>
  <c r="E598" i="21"/>
  <c r="P510" i="21"/>
  <c r="F444" i="21"/>
  <c r="G474" i="21"/>
  <c r="Q448" i="21"/>
  <c r="M565" i="21"/>
  <c r="K591" i="21"/>
  <c r="M573" i="21"/>
  <c r="D519" i="21"/>
  <c r="R539" i="21"/>
  <c r="E386" i="21"/>
  <c r="M386" i="21"/>
  <c r="P460" i="21"/>
  <c r="T387" i="21"/>
  <c r="L104" i="21"/>
  <c r="C457" i="21"/>
  <c r="E455" i="21"/>
  <c r="N108" i="21"/>
  <c r="K557" i="21"/>
  <c r="D473" i="21"/>
  <c r="K457" i="21"/>
  <c r="T397" i="21"/>
  <c r="O498" i="21"/>
  <c r="Q514" i="21"/>
  <c r="H539" i="21"/>
  <c r="J512" i="21"/>
  <c r="E555" i="21"/>
  <c r="P574" i="21"/>
  <c r="I585" i="21"/>
  <c r="I492" i="21"/>
  <c r="D527" i="21"/>
  <c r="I540" i="21"/>
  <c r="E499" i="21"/>
  <c r="S528" i="21"/>
  <c r="J503" i="21"/>
  <c r="E439" i="21"/>
  <c r="P450" i="21"/>
  <c r="M578" i="21"/>
  <c r="F492" i="21"/>
  <c r="H412" i="21"/>
  <c r="L421" i="21"/>
  <c r="Q365" i="21"/>
  <c r="T377" i="21"/>
  <c r="L337" i="21"/>
  <c r="E583" i="21"/>
  <c r="E508" i="21"/>
  <c r="E486" i="21"/>
  <c r="R524" i="21"/>
  <c r="I489" i="21"/>
  <c r="K387" i="21"/>
  <c r="O331" i="21"/>
  <c r="T352" i="21"/>
  <c r="E450" i="21"/>
  <c r="K388" i="21"/>
  <c r="I409" i="21"/>
  <c r="O558" i="21"/>
  <c r="J538" i="21"/>
  <c r="N511" i="21"/>
  <c r="M448" i="21"/>
  <c r="G421" i="21"/>
  <c r="S411" i="21"/>
  <c r="Q419" i="21"/>
  <c r="I420" i="21"/>
  <c r="L334" i="21"/>
  <c r="D361" i="21"/>
  <c r="F552" i="21"/>
  <c r="E370" i="21"/>
  <c r="I535" i="21"/>
  <c r="S489" i="21"/>
  <c r="S504" i="21"/>
  <c r="D488" i="21"/>
  <c r="L360" i="21"/>
  <c r="R319" i="21"/>
  <c r="J322" i="21"/>
  <c r="F362" i="21"/>
  <c r="D393" i="21"/>
  <c r="F573" i="21"/>
  <c r="K507" i="21"/>
  <c r="O406" i="21"/>
  <c r="S567" i="21"/>
  <c r="T485" i="21"/>
  <c r="T423" i="21"/>
  <c r="R407" i="21"/>
  <c r="J405" i="21"/>
  <c r="P401" i="21"/>
  <c r="N466" i="21"/>
  <c r="F325" i="21"/>
  <c r="E549" i="21"/>
  <c r="G467" i="21"/>
  <c r="R486" i="21"/>
  <c r="J431" i="21"/>
  <c r="L472" i="21"/>
  <c r="P419" i="21"/>
  <c r="C452" i="21"/>
  <c r="O451" i="21"/>
  <c r="S580" i="21"/>
  <c r="I454" i="21"/>
  <c r="C509" i="21"/>
  <c r="G501" i="21"/>
  <c r="M498" i="21"/>
  <c r="P584" i="21"/>
  <c r="K526" i="21"/>
  <c r="I575" i="21"/>
  <c r="F558" i="21"/>
  <c r="C569" i="21"/>
  <c r="R581" i="21"/>
  <c r="E469" i="21"/>
  <c r="H476" i="21"/>
  <c r="O462" i="21"/>
  <c r="H421" i="21"/>
  <c r="D476" i="21"/>
  <c r="H528" i="21"/>
  <c r="J574" i="21"/>
  <c r="D559" i="21"/>
  <c r="K542" i="21"/>
  <c r="I573" i="21"/>
  <c r="I495" i="21"/>
  <c r="T413" i="21"/>
  <c r="R448" i="21"/>
  <c r="D434" i="21"/>
  <c r="L96" i="21"/>
  <c r="F505" i="21"/>
  <c r="T571" i="21"/>
  <c r="J506" i="21"/>
  <c r="C583" i="21"/>
  <c r="H513" i="21"/>
  <c r="I517" i="21"/>
  <c r="E440" i="21"/>
  <c r="M368" i="21"/>
  <c r="G576" i="21"/>
  <c r="D581" i="21"/>
  <c r="J520" i="21"/>
  <c r="R530" i="21"/>
  <c r="C535" i="21"/>
  <c r="P525" i="21"/>
  <c r="N438" i="21"/>
  <c r="M378" i="21"/>
  <c r="S450" i="21"/>
  <c r="D452" i="21"/>
  <c r="M551" i="21"/>
  <c r="M563" i="21"/>
  <c r="P545" i="21"/>
  <c r="T524" i="21"/>
  <c r="R502" i="21"/>
  <c r="G568" i="21"/>
  <c r="I538" i="21"/>
  <c r="L515" i="21"/>
  <c r="I519" i="21"/>
  <c r="O562" i="21"/>
  <c r="S509" i="21"/>
  <c r="L463" i="21"/>
  <c r="S513" i="21"/>
  <c r="T462" i="21"/>
  <c r="D512" i="21"/>
  <c r="G404" i="21"/>
  <c r="R343" i="21"/>
  <c r="J344" i="21"/>
  <c r="M411" i="21"/>
  <c r="S445" i="21"/>
  <c r="C537" i="21"/>
  <c r="O400" i="21"/>
  <c r="Q454" i="21"/>
  <c r="M505" i="21"/>
  <c r="S471" i="21"/>
  <c r="P578" i="21"/>
  <c r="N313" i="21"/>
  <c r="L363" i="21"/>
  <c r="G447" i="21"/>
  <c r="D551" i="21"/>
  <c r="R426" i="21"/>
  <c r="I460" i="21"/>
  <c r="G507" i="21"/>
  <c r="R510" i="21"/>
  <c r="T489" i="21"/>
  <c r="T560" i="21"/>
  <c r="Q443" i="21"/>
  <c r="D403" i="21"/>
  <c r="R436" i="21"/>
  <c r="E317" i="21"/>
  <c r="C346" i="21"/>
  <c r="H538" i="21"/>
  <c r="J550" i="21"/>
  <c r="J459" i="21"/>
  <c r="E406" i="21"/>
  <c r="R468" i="21"/>
  <c r="O472" i="21"/>
  <c r="E351" i="21"/>
  <c r="M371" i="21"/>
  <c r="F403" i="21"/>
  <c r="C456" i="21"/>
  <c r="K426" i="21"/>
  <c r="N469" i="21"/>
  <c r="E408" i="21"/>
  <c r="H395" i="21"/>
  <c r="J465" i="21"/>
  <c r="C436" i="21"/>
  <c r="M404" i="21"/>
  <c r="G506" i="21"/>
  <c r="Q437" i="21"/>
  <c r="H459" i="21"/>
  <c r="S373" i="21"/>
  <c r="K455" i="21"/>
  <c r="D465" i="21"/>
  <c r="T427" i="21"/>
  <c r="P506" i="21"/>
  <c r="O412" i="21"/>
  <c r="G479" i="21"/>
  <c r="O405" i="21"/>
  <c r="N427" i="21"/>
  <c r="F335" i="21"/>
  <c r="O353" i="21"/>
  <c r="H437" i="21"/>
  <c r="P535" i="21"/>
  <c r="I562" i="21"/>
  <c r="H547" i="21"/>
  <c r="M588" i="21"/>
  <c r="L467" i="21"/>
  <c r="D486" i="21"/>
  <c r="O440" i="21"/>
  <c r="M497" i="21"/>
  <c r="N578" i="21"/>
  <c r="J593" i="21"/>
  <c r="E480" i="21"/>
  <c r="J559" i="21"/>
  <c r="P457" i="21"/>
  <c r="R500" i="21"/>
  <c r="N506" i="21"/>
  <c r="J570" i="21"/>
  <c r="O460" i="21"/>
  <c r="L544" i="21"/>
  <c r="L555" i="21"/>
  <c r="G593" i="21"/>
  <c r="S553" i="21"/>
  <c r="F553" i="21"/>
  <c r="S477" i="21"/>
  <c r="M394" i="21"/>
  <c r="P468" i="21"/>
  <c r="T395" i="21"/>
  <c r="N540" i="21"/>
  <c r="H456" i="21"/>
  <c r="E591" i="21"/>
  <c r="C485" i="21"/>
  <c r="K492" i="21"/>
  <c r="J447" i="21"/>
  <c r="G464" i="21"/>
  <c r="P434" i="21"/>
  <c r="F522" i="21"/>
  <c r="N589" i="21"/>
  <c r="F457" i="21"/>
  <c r="H510" i="21"/>
  <c r="C593" i="21"/>
  <c r="F453" i="21"/>
  <c r="S454" i="21"/>
  <c r="G419" i="21"/>
  <c r="O503" i="21"/>
  <c r="K515" i="21"/>
  <c r="G515" i="21"/>
  <c r="F100" i="21"/>
  <c r="C559" i="21"/>
  <c r="M592" i="21"/>
  <c r="E565" i="21"/>
  <c r="Q494" i="21"/>
  <c r="E534" i="21"/>
  <c r="M489" i="21"/>
  <c r="Q499" i="21"/>
  <c r="M499" i="21"/>
  <c r="O563" i="21"/>
  <c r="P564" i="21"/>
  <c r="J483" i="21"/>
  <c r="E430" i="21"/>
  <c r="R492" i="21"/>
  <c r="O496" i="21"/>
  <c r="C377" i="21"/>
  <c r="K326" i="21"/>
  <c r="I330" i="21"/>
  <c r="G470" i="21"/>
  <c r="N456" i="21"/>
  <c r="P590" i="21"/>
  <c r="D540" i="21"/>
  <c r="O430" i="21"/>
  <c r="L469" i="21"/>
  <c r="E388" i="21"/>
  <c r="C450" i="21"/>
  <c r="F324" i="21"/>
  <c r="I537" i="21"/>
  <c r="P425" i="21"/>
  <c r="N425" i="21"/>
  <c r="F349" i="21"/>
  <c r="L444" i="21"/>
  <c r="I392" i="21"/>
  <c r="D595" i="21"/>
  <c r="O436" i="21"/>
  <c r="S514" i="21"/>
  <c r="O429" i="21"/>
  <c r="H467" i="21"/>
  <c r="F359" i="21"/>
  <c r="D383" i="21"/>
  <c r="T326" i="21"/>
  <c r="O555" i="21"/>
  <c r="I401" i="21"/>
  <c r="G537" i="21"/>
  <c r="P400" i="21"/>
  <c r="P488" i="21"/>
  <c r="G455" i="21"/>
  <c r="P331" i="21"/>
  <c r="C355" i="21"/>
  <c r="R377" i="21"/>
  <c r="S427" i="21"/>
  <c r="J408" i="21"/>
  <c r="R469" i="21"/>
  <c r="E454" i="21"/>
  <c r="N551" i="21"/>
  <c r="M570" i="21"/>
  <c r="N424" i="21"/>
  <c r="Q418" i="21"/>
  <c r="N426" i="21"/>
  <c r="J418" i="21"/>
  <c r="F404" i="21"/>
  <c r="K364" i="21"/>
  <c r="F555" i="21"/>
  <c r="G499" i="21"/>
  <c r="O491" i="21"/>
  <c r="I491" i="21"/>
  <c r="L479" i="21"/>
  <c r="F452" i="21"/>
  <c r="F422" i="21"/>
  <c r="L380" i="21"/>
  <c r="Q325" i="21"/>
  <c r="N335" i="21"/>
  <c r="F397" i="21"/>
  <c r="P491" i="21"/>
  <c r="S425" i="21"/>
  <c r="J410" i="21"/>
  <c r="J572" i="21"/>
  <c r="G444" i="21"/>
  <c r="S417" i="21"/>
  <c r="L517" i="21"/>
  <c r="P582" i="21"/>
  <c r="E586" i="21"/>
  <c r="K551" i="21"/>
  <c r="J487" i="21"/>
  <c r="O470" i="21"/>
  <c r="H429" i="21"/>
  <c r="D484" i="21"/>
  <c r="R592" i="21"/>
  <c r="N481" i="21"/>
  <c r="P467" i="21"/>
  <c r="G591" i="21"/>
  <c r="F531" i="21"/>
  <c r="S521" i="21"/>
  <c r="T469" i="21"/>
  <c r="G486" i="21"/>
  <c r="E490" i="21"/>
  <c r="Q599" i="21"/>
  <c r="J577" i="21"/>
  <c r="E554" i="21"/>
  <c r="J514" i="21"/>
  <c r="I593" i="21"/>
  <c r="P388" i="21"/>
  <c r="S569" i="21"/>
  <c r="I453" i="21"/>
  <c r="M376" i="21"/>
  <c r="C576" i="21"/>
  <c r="Q503" i="21"/>
  <c r="I557" i="21"/>
  <c r="G530" i="21"/>
  <c r="D481" i="21"/>
  <c r="G427" i="21"/>
  <c r="J461" i="21"/>
  <c r="C416" i="21"/>
  <c r="T452" i="21"/>
  <c r="N580" i="21"/>
  <c r="S492" i="21"/>
  <c r="M553" i="21"/>
  <c r="R571" i="21"/>
  <c r="D583" i="21"/>
  <c r="Q519" i="21"/>
  <c r="Q425" i="21"/>
  <c r="M451" i="21"/>
  <c r="P452" i="21"/>
  <c r="K431" i="21"/>
  <c r="Q566" i="21"/>
  <c r="C536" i="21"/>
  <c r="D557" i="21"/>
  <c r="I536" i="21"/>
  <c r="J482" i="21"/>
  <c r="T567" i="21"/>
  <c r="R458" i="21"/>
  <c r="P521" i="21"/>
  <c r="Q416" i="21"/>
  <c r="O489" i="21"/>
  <c r="K385" i="21"/>
  <c r="C468" i="21"/>
  <c r="P424" i="21"/>
  <c r="P512" i="21"/>
  <c r="G480" i="21"/>
  <c r="P355" i="21"/>
  <c r="O385" i="21"/>
  <c r="H312" i="21"/>
  <c r="H423" i="21"/>
  <c r="J432" i="21"/>
  <c r="M518" i="21"/>
  <c r="S467" i="21"/>
  <c r="H419" i="21"/>
  <c r="J489" i="21"/>
  <c r="P383" i="21"/>
  <c r="M428" i="21"/>
  <c r="S442" i="21"/>
  <c r="M383" i="21"/>
  <c r="O411" i="21"/>
  <c r="L379" i="21"/>
  <c r="D104" i="21"/>
  <c r="C488" i="21"/>
  <c r="F561" i="21"/>
  <c r="I515" i="21"/>
  <c r="T575" i="21"/>
  <c r="F476" i="21"/>
  <c r="P446" i="21"/>
  <c r="L405" i="21"/>
  <c r="Q349" i="21"/>
  <c r="N359" i="21"/>
  <c r="L321" i="21"/>
  <c r="Q463" i="21"/>
  <c r="G555" i="21"/>
  <c r="Q438" i="21"/>
  <c r="L488" i="21"/>
  <c r="I473" i="21"/>
  <c r="K371" i="21"/>
  <c r="O315" i="21"/>
  <c r="T336" i="21"/>
  <c r="I429" i="21"/>
  <c r="T502" i="21"/>
  <c r="N499" i="21"/>
  <c r="L541" i="21"/>
  <c r="F504" i="21"/>
  <c r="H468" i="21"/>
  <c r="D445" i="21"/>
  <c r="G405" i="21"/>
  <c r="H503" i="21"/>
  <c r="K400" i="21"/>
  <c r="I404" i="21"/>
  <c r="L310" i="21"/>
  <c r="D346" i="21"/>
  <c r="F107" i="21"/>
  <c r="C442" i="21"/>
  <c r="E506" i="21"/>
  <c r="S473" i="21"/>
  <c r="S479" i="21"/>
  <c r="D472" i="21"/>
  <c r="L345" i="21"/>
  <c r="F437" i="21"/>
  <c r="L412" i="21"/>
  <c r="F344" i="21"/>
  <c r="C390" i="21"/>
  <c r="K523" i="21"/>
  <c r="P499" i="21"/>
  <c r="O390" i="21"/>
  <c r="E512" i="21"/>
  <c r="P438" i="21"/>
  <c r="T407" i="21"/>
  <c r="N369" i="21"/>
  <c r="C398" i="21"/>
  <c r="P492" i="21"/>
  <c r="K95" i="21"/>
  <c r="G599" i="21"/>
  <c r="I561" i="21"/>
  <c r="H584" i="21"/>
  <c r="C472" i="21"/>
  <c r="G453" i="21"/>
  <c r="S410" i="21"/>
  <c r="O468" i="21"/>
  <c r="H600" i="21"/>
  <c r="J478" i="21"/>
  <c r="I446" i="21"/>
  <c r="Q551" i="21"/>
  <c r="I588" i="21"/>
  <c r="I503" i="21"/>
  <c r="T421" i="21"/>
  <c r="R456" i="21"/>
  <c r="D442" i="21"/>
  <c r="N563" i="21"/>
  <c r="H479" i="21"/>
  <c r="F521" i="21"/>
  <c r="C494" i="21"/>
  <c r="L508" i="21"/>
  <c r="H485" i="21"/>
  <c r="S474" i="21"/>
  <c r="P442" i="21"/>
  <c r="N579" i="21"/>
  <c r="J537" i="21"/>
  <c r="T478" i="21"/>
  <c r="L478" i="21"/>
  <c r="H537" i="21"/>
  <c r="K456" i="21"/>
  <c r="Q433" i="21"/>
  <c r="M547" i="21"/>
  <c r="N404" i="21"/>
  <c r="I97" i="21"/>
  <c r="Q475" i="21"/>
  <c r="F533" i="21"/>
  <c r="E522" i="21"/>
  <c r="Q524" i="21"/>
  <c r="I508" i="21"/>
  <c r="J455" i="21"/>
  <c r="O507" i="21"/>
  <c r="E516" i="21"/>
  <c r="S515" i="21"/>
  <c r="D418" i="21"/>
  <c r="H104" i="21"/>
  <c r="T579" i="21"/>
  <c r="S592" i="21"/>
  <c r="L454" i="21"/>
  <c r="C461" i="21"/>
  <c r="E588" i="21"/>
  <c r="P478" i="21"/>
  <c r="G502" i="21"/>
  <c r="J411" i="21"/>
  <c r="Q572" i="21"/>
  <c r="L481" i="21"/>
  <c r="M450" i="21"/>
  <c r="T591" i="21"/>
  <c r="I497" i="21"/>
  <c r="K395" i="21"/>
  <c r="O339" i="21"/>
  <c r="T360" i="21"/>
  <c r="K405" i="21"/>
  <c r="Q397" i="21"/>
  <c r="I418" i="21"/>
  <c r="I594" i="21"/>
  <c r="R444" i="21"/>
  <c r="S399" i="21"/>
  <c r="C474" i="21"/>
  <c r="T451" i="21"/>
  <c r="O482" i="21"/>
  <c r="I437" i="21"/>
  <c r="J442" i="21"/>
  <c r="F428" i="21"/>
  <c r="F425" i="21"/>
  <c r="Q101" i="21"/>
  <c r="E426" i="21"/>
  <c r="P587" i="21"/>
  <c r="S497" i="21"/>
  <c r="M515" i="21"/>
  <c r="D496" i="21"/>
  <c r="L368" i="21"/>
  <c r="R327" i="21"/>
  <c r="J330" i="21"/>
  <c r="K370" i="21"/>
  <c r="D440" i="21"/>
  <c r="F455" i="21"/>
  <c r="N445" i="21"/>
  <c r="J433" i="21"/>
  <c r="M481" i="21"/>
  <c r="S455" i="21"/>
  <c r="I443" i="21"/>
  <c r="N405" i="21"/>
  <c r="L347" i="21"/>
  <c r="Q427" i="21"/>
  <c r="C443" i="21"/>
  <c r="R409" i="21"/>
  <c r="F576" i="21"/>
  <c r="G491" i="21"/>
  <c r="R493" i="21"/>
  <c r="J439" i="21"/>
  <c r="I554" i="21"/>
  <c r="P427" i="21"/>
  <c r="D387" i="21"/>
  <c r="R420" i="21"/>
  <c r="G383" i="21"/>
  <c r="C329" i="21"/>
  <c r="O582" i="21"/>
  <c r="Q508" i="21"/>
  <c r="G543" i="21"/>
  <c r="E390" i="21"/>
  <c r="R452" i="21"/>
  <c r="O456" i="21"/>
  <c r="E335" i="21"/>
  <c r="D355" i="21"/>
  <c r="H368" i="21"/>
  <c r="E462" i="21"/>
  <c r="K406" i="21"/>
  <c r="G552" i="21"/>
  <c r="P418" i="21"/>
  <c r="Q492" i="21"/>
  <c r="J586" i="21"/>
  <c r="C420" i="21"/>
  <c r="M388" i="21"/>
  <c r="D490" i="21"/>
  <c r="E419" i="21"/>
  <c r="H434" i="21"/>
  <c r="R356" i="21"/>
  <c r="R554" i="21"/>
  <c r="R466" i="21"/>
  <c r="S496" i="21"/>
  <c r="I475" i="21"/>
  <c r="D461" i="21"/>
  <c r="C522" i="21"/>
  <c r="F406" i="21"/>
  <c r="M401" i="21"/>
  <c r="S412" i="21"/>
  <c r="N319" i="21"/>
  <c r="G458" i="21"/>
  <c r="I470" i="21"/>
  <c r="E496" i="21"/>
  <c r="J391" i="21"/>
  <c r="L509" i="21"/>
  <c r="E428" i="21"/>
  <c r="I403" i="21"/>
  <c r="F364" i="21"/>
  <c r="G493" i="21"/>
  <c r="E380" i="21"/>
  <c r="C403" i="21"/>
  <c r="M429" i="21"/>
  <c r="K598" i="21"/>
  <c r="K382" i="21"/>
  <c r="R454" i="21"/>
  <c r="J399" i="21"/>
  <c r="D563" i="21"/>
  <c r="P387" i="21"/>
  <c r="C429" i="21"/>
  <c r="R381" i="21"/>
  <c r="P337" i="21"/>
  <c r="T366" i="21"/>
  <c r="E488" i="21"/>
  <c r="G394" i="21"/>
  <c r="O417" i="21"/>
  <c r="N431" i="21"/>
  <c r="F369" i="21"/>
  <c r="K373" i="21"/>
  <c r="F419" i="21"/>
  <c r="M357" i="21"/>
  <c r="O330" i="21"/>
  <c r="J284" i="21"/>
  <c r="T248" i="21"/>
  <c r="E324" i="21"/>
  <c r="L280" i="21"/>
  <c r="H371" i="21"/>
  <c r="S365" i="21"/>
  <c r="C243" i="21"/>
  <c r="G294" i="21"/>
  <c r="P149" i="21"/>
  <c r="P372" i="21"/>
  <c r="S328" i="21"/>
  <c r="T492" i="21"/>
  <c r="O466" i="21"/>
  <c r="P423" i="21"/>
  <c r="H502" i="21"/>
  <c r="S370" i="21"/>
  <c r="T354" i="21"/>
  <c r="R408" i="21"/>
  <c r="D354" i="21"/>
  <c r="D379" i="21"/>
  <c r="L535" i="21"/>
  <c r="K481" i="21"/>
  <c r="I419" i="21"/>
  <c r="N419" i="21"/>
  <c r="H425" i="21"/>
  <c r="L435" i="21"/>
  <c r="I458" i="21"/>
  <c r="Q424" i="21"/>
  <c r="T449" i="21"/>
  <c r="Q420" i="21"/>
  <c r="G456" i="21"/>
  <c r="E319" i="21"/>
  <c r="P449" i="21"/>
  <c r="H426" i="21"/>
  <c r="D321" i="21"/>
  <c r="O576" i="21"/>
  <c r="P402" i="21"/>
  <c r="G496" i="21"/>
  <c r="O475" i="21"/>
  <c r="G511" i="21"/>
  <c r="N353" i="21"/>
  <c r="Q399" i="21"/>
  <c r="E365" i="21"/>
  <c r="C531" i="21"/>
  <c r="C577" i="21"/>
  <c r="D499" i="21"/>
  <c r="I459" i="21"/>
  <c r="K503" i="21"/>
  <c r="I395" i="21"/>
  <c r="G449" i="21"/>
  <c r="T426" i="21"/>
  <c r="R439" i="21"/>
  <c r="T495" i="21"/>
  <c r="I387" i="21"/>
  <c r="Q394" i="21"/>
  <c r="D382" i="21"/>
  <c r="O333" i="21"/>
  <c r="I438" i="21"/>
  <c r="O291" i="21"/>
  <c r="J329" i="21"/>
  <c r="Q303" i="21"/>
  <c r="E354" i="21"/>
  <c r="F273" i="21"/>
  <c r="H253" i="21"/>
  <c r="E433" i="21"/>
  <c r="P231" i="21"/>
  <c r="I253" i="21"/>
  <c r="H335" i="21"/>
  <c r="T166" i="21"/>
  <c r="I99" i="21"/>
  <c r="L429" i="21"/>
  <c r="F426" i="21"/>
  <c r="D367" i="21"/>
  <c r="H480" i="21"/>
  <c r="J340" i="21"/>
  <c r="R312" i="21"/>
  <c r="M341" i="21"/>
  <c r="Q295" i="21"/>
  <c r="C257" i="21"/>
  <c r="O377" i="21"/>
  <c r="G291" i="21"/>
  <c r="Q386" i="21"/>
  <c r="J363" i="21"/>
  <c r="P223" i="21"/>
  <c r="H331" i="21"/>
  <c r="K92" i="21"/>
  <c r="S220" i="21"/>
  <c r="C248" i="21"/>
  <c r="Q472" i="21"/>
  <c r="N395" i="21"/>
  <c r="J373" i="21"/>
  <c r="D565" i="21"/>
  <c r="L399" i="21"/>
  <c r="Q351" i="21"/>
  <c r="O275" i="21"/>
  <c r="I366" i="21"/>
  <c r="P320" i="21"/>
  <c r="G368" i="21"/>
  <c r="K286" i="21"/>
  <c r="N307" i="21"/>
  <c r="M325" i="21"/>
  <c r="O301" i="21"/>
  <c r="E299" i="21"/>
  <c r="D223" i="21"/>
  <c r="L286" i="21"/>
  <c r="Q151" i="21"/>
  <c r="T126" i="21"/>
  <c r="D235" i="21"/>
  <c r="Q337" i="21"/>
  <c r="N483" i="21"/>
  <c r="G481" i="21"/>
  <c r="S400" i="21"/>
  <c r="C335" i="21"/>
  <c r="E403" i="21"/>
  <c r="I414" i="21"/>
  <c r="C336" i="21"/>
  <c r="P293" i="21"/>
  <c r="S282" i="21"/>
  <c r="K335" i="21"/>
  <c r="N345" i="21"/>
  <c r="C371" i="21"/>
  <c r="E332" i="21"/>
  <c r="S265" i="21"/>
  <c r="D295" i="21"/>
  <c r="N366" i="21"/>
  <c r="R302" i="21"/>
  <c r="P369" i="21"/>
  <c r="S527" i="21"/>
  <c r="H358" i="21"/>
  <c r="K356" i="21"/>
  <c r="K442" i="21"/>
  <c r="L382" i="21"/>
  <c r="Q335" i="21"/>
  <c r="O251" i="21"/>
  <c r="H324" i="21"/>
  <c r="L430" i="21"/>
  <c r="K310" i="21"/>
  <c r="K270" i="21"/>
  <c r="L351" i="21"/>
  <c r="M298" i="21"/>
  <c r="O285" i="21"/>
  <c r="O434" i="21"/>
  <c r="P554" i="21"/>
  <c r="O480" i="21"/>
  <c r="J413" i="21"/>
  <c r="D347" i="21"/>
  <c r="K398" i="21"/>
  <c r="K348" i="21"/>
  <c r="D530" i="21"/>
  <c r="S369" i="21"/>
  <c r="F545" i="21"/>
  <c r="J415" i="21"/>
  <c r="D456" i="21"/>
  <c r="O387" i="21"/>
  <c r="I576" i="21"/>
  <c r="F381" i="21"/>
  <c r="R397" i="21"/>
  <c r="D521" i="21"/>
  <c r="E492" i="21"/>
  <c r="R462" i="21"/>
  <c r="J568" i="21"/>
  <c r="K427" i="21"/>
  <c r="K353" i="21"/>
  <c r="J386" i="21"/>
  <c r="P346" i="21"/>
  <c r="N394" i="21"/>
  <c r="C469" i="21"/>
  <c r="M408" i="21"/>
  <c r="E482" i="21"/>
  <c r="J530" i="21"/>
  <c r="T382" i="21"/>
  <c r="G382" i="21"/>
  <c r="F433" i="21"/>
  <c r="F314" i="21"/>
  <c r="I442" i="21"/>
  <c r="H428" i="21"/>
  <c r="T453" i="21"/>
  <c r="L385" i="21"/>
  <c r="K461" i="21"/>
  <c r="N486" i="21"/>
  <c r="N267" i="21"/>
  <c r="S323" i="21"/>
  <c r="O273" i="21"/>
  <c r="J327" i="21"/>
  <c r="Q253" i="21"/>
  <c r="H315" i="21"/>
  <c r="R330" i="21"/>
  <c r="F260" i="21"/>
  <c r="E129" i="21"/>
  <c r="N358" i="21"/>
  <c r="R316" i="21"/>
  <c r="S534" i="21"/>
  <c r="R373" i="21"/>
  <c r="L348" i="21"/>
  <c r="C351" i="21"/>
  <c r="L407" i="21"/>
  <c r="I324" i="21"/>
  <c r="M348" i="21"/>
  <c r="E308" i="21"/>
  <c r="J276" i="21"/>
  <c r="M353" i="21"/>
  <c r="Q478" i="21"/>
  <c r="L272" i="21"/>
  <c r="F350" i="21"/>
  <c r="S356" i="21"/>
  <c r="C235" i="21"/>
  <c r="M283" i="21"/>
  <c r="P141" i="21"/>
  <c r="M366" i="21"/>
  <c r="O99" i="21"/>
  <c r="F383" i="21"/>
  <c r="I381" i="21"/>
  <c r="P537" i="21"/>
  <c r="P437" i="21"/>
  <c r="R313" i="21"/>
  <c r="J332" i="21"/>
  <c r="G364" i="21"/>
  <c r="Q344" i="21"/>
  <c r="G315" i="21"/>
  <c r="M306" i="21"/>
  <c r="D267" i="21"/>
  <c r="K323" i="21"/>
  <c r="R295" i="21"/>
  <c r="N285" i="21"/>
  <c r="S254" i="21"/>
  <c r="I218" i="21"/>
  <c r="G261" i="21"/>
  <c r="D173" i="21"/>
  <c r="M358" i="21"/>
  <c r="O247" i="21"/>
  <c r="T254" i="21"/>
  <c r="P398" i="21"/>
  <c r="Q355" i="21"/>
  <c r="N365" i="21"/>
  <c r="T316" i="21"/>
  <c r="D389" i="21"/>
  <c r="R430" i="21"/>
  <c r="Q297" i="21"/>
  <c r="C275" i="21"/>
  <c r="G372" i="21"/>
  <c r="D312" i="21"/>
  <c r="I309" i="21"/>
  <c r="K306" i="21"/>
  <c r="J309" i="21"/>
  <c r="F247" i="21"/>
  <c r="I284" i="21"/>
  <c r="C294" i="21"/>
  <c r="O121" i="21"/>
  <c r="M584" i="21"/>
  <c r="F441" i="21"/>
  <c r="R360" i="21"/>
  <c r="G473" i="21"/>
  <c r="P421" i="21"/>
  <c r="R403" i="21"/>
  <c r="J316" i="21"/>
  <c r="Q308" i="21"/>
  <c r="K327" i="21"/>
  <c r="T349" i="21"/>
  <c r="L290" i="21"/>
  <c r="G402" i="21"/>
  <c r="T394" i="21"/>
  <c r="R279" i="21"/>
  <c r="N269" i="21"/>
  <c r="O358" i="21"/>
  <c r="I202" i="21"/>
  <c r="G418" i="21"/>
  <c r="D149" i="21"/>
  <c r="G273" i="21"/>
  <c r="R412" i="21"/>
  <c r="P594" i="21"/>
  <c r="J423" i="21"/>
  <c r="Q439" i="21"/>
  <c r="C331" i="21"/>
  <c r="P385" i="21"/>
  <c r="D329" i="21"/>
  <c r="D577" i="21"/>
  <c r="P409" i="21"/>
  <c r="S506" i="21"/>
  <c r="O396" i="21"/>
  <c r="S524" i="21"/>
  <c r="N361" i="21"/>
  <c r="E410" i="21"/>
  <c r="C373" i="21"/>
  <c r="O380" i="21"/>
  <c r="Q520" i="21"/>
  <c r="P543" i="21"/>
  <c r="I467" i="21"/>
  <c r="K511" i="21"/>
  <c r="D422" i="21"/>
  <c r="G497" i="21"/>
  <c r="T434" i="21"/>
  <c r="N311" i="21"/>
  <c r="Q379" i="21"/>
  <c r="F445" i="21"/>
  <c r="M449" i="21"/>
  <c r="E452" i="21"/>
  <c r="E420" i="21"/>
  <c r="I548" i="21"/>
  <c r="D443" i="21"/>
  <c r="P370" i="21"/>
  <c r="O426" i="21"/>
  <c r="H393" i="21"/>
  <c r="F348" i="21"/>
  <c r="P431" i="21"/>
  <c r="R307" i="21"/>
  <c r="Q431" i="21"/>
  <c r="Q367" i="21"/>
  <c r="C383" i="21"/>
  <c r="L373" i="21"/>
  <c r="G357" i="21"/>
  <c r="S321" i="21"/>
  <c r="I326" i="21"/>
  <c r="K300" i="21"/>
  <c r="T371" i="21"/>
  <c r="M239" i="21"/>
  <c r="J166" i="21"/>
  <c r="Q183" i="21"/>
  <c r="M346" i="21"/>
  <c r="E510" i="21"/>
  <c r="P441" i="21"/>
  <c r="E339" i="21"/>
  <c r="G465" i="21"/>
  <c r="R321" i="21"/>
  <c r="H306" i="21"/>
  <c r="T273" i="21"/>
  <c r="K288" i="21"/>
  <c r="O265" i="21"/>
  <c r="I342" i="21"/>
  <c r="F380" i="21"/>
  <c r="E262" i="21"/>
  <c r="M374" i="21"/>
  <c r="H283" i="21"/>
  <c r="H242" i="21"/>
  <c r="E276" i="21"/>
  <c r="C169" i="21"/>
  <c r="G280" i="21"/>
  <c r="K510" i="21"/>
  <c r="K337" i="21"/>
  <c r="J389" i="21"/>
  <c r="J446" i="21"/>
  <c r="O423" i="21"/>
  <c r="R392" i="21"/>
  <c r="I316" i="21"/>
  <c r="J398" i="21"/>
  <c r="J313" i="21"/>
  <c r="I371" i="21"/>
  <c r="E287" i="21"/>
  <c r="R401" i="21"/>
  <c r="R379" i="21"/>
  <c r="K284" i="21"/>
  <c r="I400" i="21"/>
  <c r="C313" i="21"/>
  <c r="N225" i="21"/>
  <c r="C366" i="21"/>
  <c r="I192" i="21"/>
  <c r="M289" i="21"/>
  <c r="K246" i="21"/>
  <c r="Q302" i="21"/>
  <c r="G527" i="21"/>
  <c r="Q452" i="21"/>
  <c r="C379" i="21"/>
  <c r="K380" i="21"/>
  <c r="N437" i="21"/>
  <c r="F353" i="21"/>
  <c r="J278" i="21"/>
  <c r="M361" i="21"/>
  <c r="E336" i="21"/>
  <c r="L394" i="21"/>
  <c r="R297" i="21"/>
  <c r="O287" i="21"/>
  <c r="O368" i="21"/>
  <c r="J304" i="21"/>
  <c r="H268" i="21"/>
  <c r="Q201" i="21"/>
  <c r="T136" i="21"/>
  <c r="N554" i="21"/>
  <c r="K413" i="21"/>
  <c r="I389" i="21"/>
  <c r="S397" i="21"/>
  <c r="O407" i="21"/>
  <c r="D365" i="21"/>
  <c r="N382" i="21"/>
  <c r="R400" i="21"/>
  <c r="R421" i="21"/>
  <c r="O311" i="21"/>
  <c r="E271" i="21"/>
  <c r="P391" i="21"/>
  <c r="M426" i="21"/>
  <c r="O404" i="21"/>
  <c r="P411" i="21"/>
  <c r="T312" i="21"/>
  <c r="F388" i="21"/>
  <c r="G440" i="21"/>
  <c r="I510" i="21"/>
  <c r="N472" i="21"/>
  <c r="R470" i="21"/>
  <c r="S456" i="21"/>
  <c r="K435" i="21"/>
  <c r="S372" i="21"/>
  <c r="J394" i="21"/>
  <c r="P353" i="21"/>
  <c r="N418" i="21"/>
  <c r="G548" i="21"/>
  <c r="K407" i="21"/>
  <c r="S449" i="21"/>
  <c r="J576" i="21"/>
  <c r="T392" i="21"/>
  <c r="G407" i="21"/>
  <c r="R388" i="21"/>
  <c r="F322" i="21"/>
  <c r="K459" i="21"/>
  <c r="J556" i="21"/>
  <c r="J507" i="21"/>
  <c r="C430" i="21"/>
  <c r="P414" i="21"/>
  <c r="N512" i="21"/>
  <c r="T445" i="21"/>
  <c r="I354" i="21"/>
  <c r="E427" i="21"/>
  <c r="J372" i="21"/>
  <c r="L437" i="21"/>
  <c r="F434" i="21"/>
  <c r="T376" i="21"/>
  <c r="D413" i="21"/>
  <c r="J348" i="21"/>
  <c r="L327" i="21"/>
  <c r="K296" i="21"/>
  <c r="R376" i="21"/>
  <c r="H247" i="21"/>
  <c r="Q342" i="21"/>
  <c r="D281" i="21"/>
  <c r="H291" i="21"/>
  <c r="L302" i="21"/>
  <c r="O169" i="21"/>
  <c r="D205" i="21"/>
  <c r="K281" i="21"/>
  <c r="F448" i="21"/>
  <c r="L400" i="21"/>
  <c r="P319" i="21"/>
  <c r="G392" i="21"/>
  <c r="S428" i="21"/>
  <c r="H381" i="21"/>
  <c r="G255" i="21"/>
  <c r="D269" i="21"/>
  <c r="G324" i="21"/>
  <c r="E345" i="21"/>
  <c r="N294" i="21"/>
  <c r="I343" i="21"/>
  <c r="G367" i="21"/>
  <c r="M264" i="21"/>
  <c r="M231" i="21"/>
  <c r="L299" i="21"/>
  <c r="H176" i="21"/>
  <c r="E266" i="21"/>
  <c r="G565" i="21"/>
  <c r="R359" i="21"/>
  <c r="E435" i="21"/>
  <c r="K378" i="21"/>
  <c r="F440" i="21"/>
  <c r="C365" i="21"/>
  <c r="H408" i="21"/>
  <c r="F415" i="21"/>
  <c r="Q470" i="21"/>
  <c r="I307" i="21"/>
  <c r="P267" i="21"/>
  <c r="G521" i="21"/>
  <c r="T301" i="21"/>
  <c r="D265" i="21"/>
  <c r="F423" i="21"/>
  <c r="K210" i="21"/>
  <c r="S238" i="21"/>
  <c r="K232" i="21"/>
  <c r="N191" i="21"/>
  <c r="K265" i="21"/>
  <c r="N125" i="21"/>
  <c r="C272" i="21"/>
  <c r="Q444" i="21"/>
  <c r="H366" i="21"/>
  <c r="K365" i="21"/>
  <c r="E484" i="21"/>
  <c r="L392" i="21"/>
  <c r="Q343" i="21"/>
  <c r="O267" i="21"/>
  <c r="C374" i="21"/>
  <c r="P312" i="21"/>
  <c r="G336" i="21"/>
  <c r="K278" i="21"/>
  <c r="L376" i="21"/>
  <c r="N306" i="21"/>
  <c r="O293" i="21"/>
  <c r="P279" i="21"/>
  <c r="D215" i="21"/>
  <c r="E275" i="21"/>
  <c r="G371" i="21"/>
  <c r="K342" i="21"/>
  <c r="Q415" i="21"/>
  <c r="E448" i="21"/>
  <c r="F424" i="21"/>
  <c r="C349" i="21"/>
  <c r="T369" i="21"/>
  <c r="M468" i="21"/>
  <c r="S565" i="21"/>
  <c r="O397" i="21"/>
  <c r="L323" i="21"/>
  <c r="G393" i="21"/>
  <c r="G408" i="21"/>
  <c r="Q600" i="21"/>
  <c r="Q500" i="21"/>
  <c r="P490" i="21"/>
  <c r="O523" i="21"/>
  <c r="D430" i="21"/>
  <c r="O474" i="21"/>
  <c r="T442" i="21"/>
  <c r="O337" i="21"/>
  <c r="Q387" i="21"/>
  <c r="F502" i="21"/>
  <c r="M483" i="21"/>
  <c r="T497" i="21"/>
  <c r="S511" i="21"/>
  <c r="M372" i="21"/>
  <c r="T463" i="21"/>
  <c r="R382" i="21"/>
  <c r="J397" i="21"/>
  <c r="T416" i="21"/>
  <c r="P486" i="21"/>
  <c r="C492" i="21"/>
  <c r="L502" i="21"/>
  <c r="C396" i="21"/>
  <c r="E411" i="21"/>
  <c r="R367" i="21"/>
  <c r="H336" i="21"/>
  <c r="N508" i="21"/>
  <c r="T107" i="21"/>
  <c r="D482" i="21"/>
  <c r="L357" i="21"/>
  <c r="C359" i="21"/>
  <c r="L415" i="21"/>
  <c r="I332" i="21"/>
  <c r="D362" i="21"/>
  <c r="D277" i="21"/>
  <c r="E364" i="21"/>
  <c r="K302" i="21"/>
  <c r="Q466" i="21"/>
  <c r="I261" i="21"/>
  <c r="M272" i="21"/>
  <c r="M263" i="21"/>
  <c r="I308" i="21"/>
  <c r="I208" i="21"/>
  <c r="L283" i="21"/>
  <c r="K447" i="21"/>
  <c r="N441" i="21"/>
  <c r="D449" i="21"/>
  <c r="F446" i="21"/>
  <c r="R374" i="21"/>
  <c r="P344" i="21"/>
  <c r="G438" i="21"/>
  <c r="N357" i="21"/>
  <c r="F410" i="21"/>
  <c r="J319" i="21"/>
  <c r="S283" i="21"/>
  <c r="R440" i="21"/>
  <c r="N292" i="21"/>
  <c r="R253" i="21"/>
  <c r="E291" i="21"/>
  <c r="E121" i="21"/>
  <c r="M205" i="21"/>
  <c r="E231" i="21"/>
  <c r="S507" i="21"/>
  <c r="Q484" i="21"/>
  <c r="P415" i="21"/>
  <c r="H453" i="21"/>
  <c r="L362" i="21"/>
  <c r="T344" i="21"/>
  <c r="F331" i="21"/>
  <c r="D344" i="21"/>
  <c r="Q312" i="21"/>
  <c r="Q287" i="21"/>
  <c r="G426" i="21"/>
  <c r="R352" i="21"/>
  <c r="G283" i="21"/>
  <c r="I521" i="21"/>
  <c r="J355" i="21"/>
  <c r="P215" i="21"/>
  <c r="G305" i="21"/>
  <c r="J279" i="21"/>
  <c r="S212" i="21"/>
  <c r="K238" i="21"/>
  <c r="N303" i="21"/>
  <c r="L578" i="21"/>
  <c r="Q462" i="21"/>
  <c r="S368" i="21"/>
  <c r="S532" i="21"/>
  <c r="P429" i="21"/>
  <c r="Q458" i="21"/>
  <c r="J324" i="21"/>
  <c r="G332" i="21"/>
  <c r="Q336" i="21"/>
  <c r="G409" i="21"/>
  <c r="L298" i="21"/>
  <c r="D251" i="21"/>
  <c r="T447" i="21"/>
  <c r="R287" i="21"/>
  <c r="N277" i="21"/>
  <c r="G246" i="21"/>
  <c r="I210" i="21"/>
  <c r="S252" i="21"/>
  <c r="C400" i="21"/>
  <c r="Q380" i="21"/>
  <c r="P399" i="21"/>
  <c r="C433" i="21"/>
  <c r="L344" i="21"/>
  <c r="T330" i="21"/>
  <c r="O395" i="21"/>
  <c r="D330" i="21"/>
  <c r="M294" i="21"/>
  <c r="Q271" i="21"/>
  <c r="H319" i="21"/>
  <c r="R320" i="21"/>
  <c r="G267" i="21"/>
  <c r="I416" i="21"/>
  <c r="J339" i="21"/>
  <c r="P183" i="21"/>
  <c r="C427" i="21"/>
  <c r="K423" i="21"/>
  <c r="P464" i="21"/>
  <c r="E327" i="21"/>
  <c r="J402" i="21"/>
  <c r="P361" i="21"/>
  <c r="D477" i="21"/>
  <c r="J490" i="21"/>
  <c r="K415" i="21"/>
  <c r="S457" i="21"/>
  <c r="P456" i="21"/>
  <c r="I411" i="21"/>
  <c r="G431" i="21"/>
  <c r="R396" i="21"/>
  <c r="F330" i="21"/>
  <c r="R517" i="21"/>
  <c r="M589" i="21"/>
  <c r="J515" i="21"/>
  <c r="C438" i="21"/>
  <c r="P422" i="21"/>
  <c r="I405" i="21"/>
  <c r="C437" i="21"/>
  <c r="I362" i="21"/>
  <c r="K436" i="21"/>
  <c r="G388" i="21"/>
  <c r="G411" i="21"/>
  <c r="M474" i="21"/>
  <c r="M530" i="21"/>
  <c r="N384" i="21"/>
  <c r="H436" i="21"/>
  <c r="K350" i="21"/>
  <c r="O458" i="21"/>
  <c r="L411" i="21"/>
  <c r="L483" i="21"/>
  <c r="E456" i="21"/>
  <c r="E347" i="21"/>
  <c r="T340" i="21"/>
  <c r="R329" i="21"/>
  <c r="H314" i="21"/>
  <c r="T281" i="21"/>
  <c r="I258" i="21"/>
  <c r="D336" i="21"/>
  <c r="D283" i="21"/>
  <c r="H339" i="21"/>
  <c r="T390" i="21"/>
  <c r="R262" i="21"/>
  <c r="I339" i="21"/>
  <c r="M281" i="21"/>
  <c r="N223" i="21"/>
  <c r="P123" i="21"/>
  <c r="P458" i="21"/>
  <c r="L346" i="21"/>
  <c r="C391" i="21"/>
  <c r="O431" i="21"/>
  <c r="L365" i="21"/>
  <c r="G341" i="21"/>
  <c r="I311" i="21"/>
  <c r="S298" i="21"/>
  <c r="Q354" i="21"/>
  <c r="S313" i="21"/>
  <c r="F265" i="21"/>
  <c r="K351" i="21"/>
  <c r="S281" i="21"/>
  <c r="O313" i="21"/>
  <c r="G254" i="21"/>
  <c r="J158" i="21"/>
  <c r="T292" i="21"/>
  <c r="K244" i="21"/>
  <c r="L503" i="21"/>
  <c r="J362" i="21"/>
  <c r="O401" i="21"/>
  <c r="N415" i="21"/>
  <c r="E353" i="21"/>
  <c r="L356" i="21"/>
  <c r="K367" i="21"/>
  <c r="M340" i="21"/>
  <c r="R299" i="21"/>
  <c r="J268" i="21"/>
  <c r="M321" i="21"/>
  <c r="T396" i="21"/>
  <c r="L264" i="21"/>
  <c r="F334" i="21"/>
  <c r="S349" i="21"/>
  <c r="C219" i="21"/>
  <c r="G272" i="21"/>
  <c r="P133" i="21"/>
  <c r="T291" i="21"/>
  <c r="P243" i="21"/>
  <c r="K314" i="21"/>
  <c r="K454" i="21"/>
  <c r="K329" i="21"/>
  <c r="I421" i="21"/>
  <c r="S421" i="21"/>
  <c r="O415" i="21"/>
  <c r="T374" i="21"/>
  <c r="G412" i="21"/>
  <c r="C448" i="21"/>
  <c r="L434" i="21"/>
  <c r="S338" i="21"/>
  <c r="E279" i="21"/>
  <c r="N348" i="21"/>
  <c r="N368" i="21"/>
  <c r="K276" i="21"/>
  <c r="R416" i="21"/>
  <c r="O302" i="21"/>
  <c r="N209" i="21"/>
  <c r="C334" i="21"/>
  <c r="J498" i="21"/>
  <c r="I344" i="21"/>
  <c r="Q450" i="21"/>
  <c r="H455" i="21"/>
  <c r="E337" i="21"/>
  <c r="L341" i="21"/>
  <c r="E348" i="21"/>
  <c r="M324" i="21"/>
  <c r="R283" i="21"/>
  <c r="J252" i="21"/>
  <c r="M297" i="21"/>
  <c r="P366" i="21"/>
  <c r="L248" i="21"/>
  <c r="C387" i="21"/>
  <c r="S333" i="21"/>
  <c r="C203" i="21"/>
  <c r="M253" i="21"/>
  <c r="R298" i="21"/>
  <c r="L270" i="21"/>
  <c r="P219" i="21"/>
  <c r="K295" i="21"/>
  <c r="R555" i="21"/>
  <c r="T494" i="21"/>
  <c r="T441" i="21"/>
  <c r="S374" i="21"/>
  <c r="O399" i="21"/>
  <c r="D356" i="21"/>
  <c r="N370" i="21"/>
  <c r="F323" i="21"/>
  <c r="I388" i="21"/>
  <c r="S301" i="21"/>
  <c r="E263" i="21"/>
  <c r="H304" i="21"/>
  <c r="M352" i="21"/>
  <c r="K260" i="21"/>
  <c r="Q329" i="21"/>
  <c r="O286" i="21"/>
  <c r="N185" i="21"/>
  <c r="N543" i="21"/>
  <c r="N492" i="21"/>
  <c r="T417" i="21"/>
  <c r="D560" i="21"/>
  <c r="H483" i="21"/>
  <c r="D349" i="21"/>
  <c r="H362" i="21"/>
  <c r="S436" i="21"/>
  <c r="L372" i="21"/>
  <c r="S293" i="21"/>
  <c r="E255" i="21"/>
  <c r="H296" i="21"/>
  <c r="M345" i="21"/>
  <c r="G434" i="21"/>
  <c r="L436" i="21"/>
  <c r="O278" i="21"/>
  <c r="N177" i="21"/>
  <c r="O292" i="21"/>
  <c r="I160" i="21"/>
  <c r="O342" i="21"/>
  <c r="N213" i="21"/>
  <c r="Q270" i="21"/>
  <c r="G487" i="21"/>
  <c r="I360" i="21"/>
  <c r="F345" i="21"/>
  <c r="I380" i="21"/>
  <c r="N490" i="21"/>
  <c r="F321" i="21"/>
  <c r="J246" i="21"/>
  <c r="H439" i="21"/>
  <c r="G381" i="21"/>
  <c r="T295" i="21"/>
  <c r="R265" i="21"/>
  <c r="I432" i="21"/>
  <c r="H293" i="21"/>
  <c r="J272" i="21"/>
  <c r="S334" i="21"/>
  <c r="Q137" i="21"/>
  <c r="L247" i="21"/>
  <c r="Q239" i="21"/>
  <c r="T214" i="21"/>
  <c r="Q149" i="21"/>
  <c r="M233" i="21"/>
  <c r="Q396" i="21"/>
  <c r="L443" i="21"/>
  <c r="P451" i="21"/>
  <c r="M566" i="21"/>
  <c r="L420" i="21"/>
  <c r="H463" i="21"/>
  <c r="O346" i="21"/>
  <c r="E397" i="21"/>
  <c r="C527" i="21"/>
  <c r="M440" i="21"/>
  <c r="E373" i="21"/>
  <c r="M526" i="21"/>
  <c r="M381" i="21"/>
  <c r="D555" i="21"/>
  <c r="F319" i="21"/>
  <c r="Q445" i="21"/>
  <c r="T424" i="21"/>
  <c r="K509" i="21"/>
  <c r="C499" i="21"/>
  <c r="H508" i="21"/>
  <c r="C404" i="21"/>
  <c r="K420" i="21"/>
  <c r="I378" i="21"/>
  <c r="H345" i="21"/>
  <c r="D417" i="21"/>
  <c r="H96" i="21"/>
  <c r="G509" i="21"/>
  <c r="J385" i="21"/>
  <c r="C506" i="21"/>
  <c r="N496" i="21"/>
  <c r="F390" i="21"/>
  <c r="D323" i="21"/>
  <c r="T509" i="21"/>
  <c r="R333" i="21"/>
  <c r="C453" i="21"/>
  <c r="J444" i="21"/>
  <c r="P327" i="21"/>
  <c r="G415" i="21"/>
  <c r="K320" i="21"/>
  <c r="H487" i="21"/>
  <c r="G263" i="21"/>
  <c r="C307" i="21"/>
  <c r="T255" i="21"/>
  <c r="I264" i="21"/>
  <c r="G299" i="21"/>
  <c r="F377" i="21"/>
  <c r="M343" i="21"/>
  <c r="D239" i="21"/>
  <c r="K275" i="21"/>
  <c r="S228" i="21"/>
  <c r="C135" i="21"/>
  <c r="L485" i="21"/>
  <c r="J328" i="21"/>
  <c r="Q504" i="21"/>
  <c r="N450" i="21"/>
  <c r="G505" i="21"/>
  <c r="N266" i="21"/>
  <c r="C291" i="21"/>
  <c r="F307" i="21"/>
  <c r="D328" i="21"/>
  <c r="M365" i="21"/>
  <c r="S357" i="21"/>
  <c r="J325" i="21"/>
  <c r="F263" i="21"/>
  <c r="I300" i="21"/>
  <c r="Q311" i="21"/>
  <c r="O137" i="21"/>
  <c r="N326" i="21"/>
  <c r="J132" i="21"/>
  <c r="H443" i="21"/>
  <c r="O435" i="21"/>
  <c r="F418" i="21"/>
  <c r="M421" i="21"/>
  <c r="P333" i="21"/>
  <c r="G457" i="21"/>
  <c r="P338" i="21"/>
  <c r="T265" i="21"/>
  <c r="K280" i="21"/>
  <c r="O257" i="21"/>
  <c r="N363" i="21"/>
  <c r="I369" i="21"/>
  <c r="E253" i="21"/>
  <c r="P364" i="21"/>
  <c r="H275" i="21"/>
  <c r="H218" i="21"/>
  <c r="E268" i="21"/>
  <c r="C137" i="21"/>
  <c r="G270" i="21"/>
  <c r="R286" i="21"/>
  <c r="O272" i="21"/>
  <c r="I471" i="21"/>
  <c r="R351" i="21"/>
  <c r="E425" i="21"/>
  <c r="T487" i="21"/>
  <c r="F432" i="21"/>
  <c r="C356" i="21"/>
  <c r="R380" i="21"/>
  <c r="T378" i="21"/>
  <c r="N352" i="21"/>
  <c r="F299" i="21"/>
  <c r="P251" i="21"/>
  <c r="S419" i="21"/>
  <c r="T293" i="21"/>
  <c r="D257" i="21"/>
  <c r="C382" i="21"/>
  <c r="K202" i="21"/>
  <c r="S222" i="21"/>
  <c r="K224" i="21"/>
  <c r="S423" i="21"/>
  <c r="N470" i="21"/>
  <c r="F402" i="21"/>
  <c r="K372" i="21"/>
  <c r="P317" i="21"/>
  <c r="C321" i="21"/>
  <c r="M500" i="21"/>
  <c r="K464" i="21"/>
  <c r="Q369" i="21"/>
  <c r="R404" i="21"/>
  <c r="N327" i="21"/>
  <c r="J384" i="21"/>
  <c r="T583" i="21"/>
  <c r="M541" i="21"/>
  <c r="M446" i="21"/>
  <c r="E436" i="21"/>
  <c r="O442" i="21"/>
  <c r="I445" i="21"/>
  <c r="O370" i="21"/>
  <c r="G446" i="21"/>
  <c r="R378" i="21"/>
  <c r="N390" i="21"/>
  <c r="M482" i="21"/>
  <c r="D579" i="21"/>
  <c r="N393" i="21"/>
  <c r="P395" i="21"/>
  <c r="K358" i="21"/>
  <c r="D474" i="21"/>
  <c r="L419" i="21"/>
  <c r="N562" i="21"/>
  <c r="O455" i="21"/>
  <c r="H465" i="21"/>
  <c r="M488" i="21"/>
  <c r="J518" i="21"/>
  <c r="L312" i="21"/>
  <c r="R405" i="21"/>
  <c r="P443" i="21"/>
  <c r="K324" i="21"/>
  <c r="K485" i="21"/>
  <c r="P455" i="21"/>
  <c r="G432" i="21"/>
  <c r="T480" i="21"/>
  <c r="O392" i="21"/>
  <c r="P354" i="21"/>
  <c r="L252" i="21"/>
  <c r="R384" i="21"/>
  <c r="I356" i="21"/>
  <c r="G422" i="21"/>
  <c r="E269" i="21"/>
  <c r="N300" i="21"/>
  <c r="C309" i="21"/>
  <c r="P260" i="21"/>
  <c r="L295" i="21"/>
  <c r="M291" i="21"/>
  <c r="T275" i="21"/>
  <c r="J454" i="21"/>
  <c r="G436" i="21"/>
  <c r="H391" i="21"/>
  <c r="E361" i="21"/>
  <c r="S413" i="21"/>
  <c r="S247" i="21"/>
  <c r="T266" i="21"/>
  <c r="K355" i="21"/>
  <c r="M322" i="21"/>
  <c r="O322" i="21"/>
  <c r="O303" i="21"/>
  <c r="S319" i="21"/>
  <c r="S348" i="21"/>
  <c r="H284" i="21"/>
  <c r="Q225" i="21"/>
  <c r="T168" i="21"/>
  <c r="C284" i="21"/>
  <c r="O127" i="21"/>
  <c r="D584" i="21"/>
  <c r="N397" i="21"/>
  <c r="L340" i="21"/>
  <c r="G384" i="21"/>
  <c r="N532" i="21"/>
  <c r="S389" i="21"/>
  <c r="G333" i="21"/>
  <c r="G247" i="21"/>
  <c r="D262" i="21"/>
  <c r="G306" i="21"/>
  <c r="Q334" i="21"/>
  <c r="N286" i="21"/>
  <c r="M313" i="21"/>
  <c r="G359" i="21"/>
  <c r="M256" i="21"/>
  <c r="M223" i="21"/>
  <c r="L255" i="21"/>
  <c r="H168" i="21"/>
  <c r="O360" i="21"/>
  <c r="C119" i="21"/>
  <c r="K188" i="21"/>
  <c r="S498" i="21"/>
  <c r="M430" i="21"/>
  <c r="P407" i="21"/>
  <c r="C441" i="21"/>
  <c r="L354" i="21"/>
  <c r="T338" i="21"/>
  <c r="Q321" i="21"/>
  <c r="D338" i="21"/>
  <c r="M302" i="21"/>
  <c r="Q279" i="21"/>
  <c r="H351" i="21"/>
  <c r="R336" i="21"/>
  <c r="G275" i="21"/>
  <c r="J430" i="21"/>
  <c r="J347" i="21"/>
  <c r="P191" i="21"/>
  <c r="L294" i="21"/>
  <c r="P246" i="21"/>
  <c r="O446" i="21"/>
  <c r="F443" i="21"/>
  <c r="L324" i="21"/>
  <c r="K362" i="21"/>
  <c r="F493" i="21"/>
  <c r="E476" i="21"/>
  <c r="M395" i="21"/>
  <c r="Q414" i="21"/>
  <c r="S466" i="21"/>
  <c r="F389" i="21"/>
  <c r="F327" i="21"/>
  <c r="Q402" i="21"/>
  <c r="T432" i="21"/>
  <c r="O467" i="21"/>
  <c r="C508" i="21"/>
  <c r="I444" i="21"/>
  <c r="C412" i="21"/>
  <c r="Q429" i="21"/>
  <c r="N411" i="21"/>
  <c r="H352" i="21"/>
  <c r="D425" i="21"/>
  <c r="N600" i="21"/>
  <c r="O486" i="21"/>
  <c r="Q398" i="21"/>
  <c r="C514" i="21"/>
  <c r="G374" i="21"/>
  <c r="F398" i="21"/>
  <c r="D331" i="21"/>
  <c r="Q479" i="21"/>
  <c r="R341" i="21"/>
  <c r="I569" i="21"/>
  <c r="P531" i="21"/>
  <c r="S431" i="21"/>
  <c r="Q404" i="21"/>
  <c r="Q501" i="21"/>
  <c r="R387" i="21"/>
  <c r="F462" i="21"/>
  <c r="H409" i="21"/>
  <c r="G406" i="21"/>
  <c r="P466" i="21"/>
  <c r="L353" i="21"/>
  <c r="F431" i="21"/>
  <c r="O439" i="21"/>
  <c r="T362" i="21"/>
  <c r="G349" i="21"/>
  <c r="G338" i="21"/>
  <c r="P336" i="21"/>
  <c r="E303" i="21"/>
  <c r="H308" i="21"/>
  <c r="P378" i="21"/>
  <c r="S289" i="21"/>
  <c r="G352" i="21"/>
  <c r="N241" i="21"/>
  <c r="K128" i="21"/>
  <c r="E274" i="21"/>
  <c r="S278" i="21"/>
  <c r="F499" i="21"/>
  <c r="M405" i="21"/>
  <c r="K386" i="21"/>
  <c r="P341" i="21"/>
  <c r="N444" i="21"/>
  <c r="J294" i="21"/>
  <c r="R395" i="21"/>
  <c r="P328" i="21"/>
  <c r="T247" i="21"/>
  <c r="K294" i="21"/>
  <c r="N355" i="21"/>
  <c r="M356" i="21"/>
  <c r="H311" i="21"/>
  <c r="O312" i="21"/>
  <c r="D231" i="21"/>
  <c r="G297" i="21"/>
  <c r="Q175" i="21"/>
  <c r="T158" i="21"/>
  <c r="J513" i="21"/>
  <c r="L403" i="21"/>
  <c r="E331" i="21"/>
  <c r="D359" i="21"/>
  <c r="O378" i="21"/>
  <c r="J436" i="21"/>
  <c r="N258" i="21"/>
  <c r="T351" i="21"/>
  <c r="N324" i="21"/>
  <c r="J366" i="21"/>
  <c r="J311" i="21"/>
  <c r="S275" i="21"/>
  <c r="F363" i="21"/>
  <c r="N284" i="21"/>
  <c r="H356" i="21"/>
  <c r="P271" i="21"/>
  <c r="E93" i="21"/>
  <c r="J429" i="21"/>
  <c r="E223" i="21"/>
  <c r="L254" i="21"/>
  <c r="P209" i="21"/>
  <c r="L471" i="21"/>
  <c r="J354" i="21"/>
  <c r="H495" i="21"/>
  <c r="H507" i="21"/>
  <c r="E346" i="21"/>
  <c r="L349" i="21"/>
  <c r="E358" i="21"/>
  <c r="M332" i="21"/>
  <c r="R291" i="21"/>
  <c r="J260" i="21"/>
  <c r="M305" i="21"/>
  <c r="I376" i="21"/>
  <c r="L256" i="21"/>
  <c r="F435" i="21"/>
  <c r="S341" i="21"/>
  <c r="C211" i="21"/>
  <c r="S261" i="21"/>
  <c r="P125" i="21"/>
  <c r="C500" i="21"/>
  <c r="R325" i="21"/>
  <c r="G445" i="21"/>
  <c r="D343" i="21"/>
  <c r="T410" i="21"/>
  <c r="J420" i="21"/>
  <c r="S344" i="21"/>
  <c r="E305" i="21"/>
  <c r="H298" i="21"/>
  <c r="H364" i="21"/>
  <c r="R394" i="21"/>
  <c r="R478" i="21"/>
  <c r="M564" i="21"/>
  <c r="Q488" i="21"/>
  <c r="Q317" i="21"/>
  <c r="N460" i="21"/>
  <c r="R386" i="21"/>
  <c r="N430" i="21"/>
  <c r="M490" i="21"/>
  <c r="J522" i="21"/>
  <c r="N400" i="21"/>
  <c r="P403" i="21"/>
  <c r="K366" i="21"/>
  <c r="F454" i="21"/>
  <c r="C411" i="21"/>
  <c r="Q554" i="21"/>
  <c r="P547" i="21"/>
  <c r="D571" i="21"/>
  <c r="M496" i="21"/>
  <c r="O471" i="21"/>
  <c r="L320" i="21"/>
  <c r="Q493" i="21"/>
  <c r="K467" i="21"/>
  <c r="K332" i="21"/>
  <c r="I532" i="21"/>
  <c r="I485" i="21"/>
  <c r="L504" i="21"/>
  <c r="O381" i="21"/>
  <c r="P529" i="21"/>
  <c r="O363" i="21"/>
  <c r="T401" i="21"/>
  <c r="H396" i="21"/>
  <c r="L361" i="21"/>
  <c r="L494" i="21"/>
  <c r="D373" i="21"/>
  <c r="P527" i="21"/>
  <c r="N493" i="21"/>
  <c r="O490" i="21"/>
  <c r="N274" i="21"/>
  <c r="C299" i="21"/>
  <c r="G331" i="21"/>
  <c r="P283" i="21"/>
  <c r="T406" i="21"/>
  <c r="I424" i="21"/>
  <c r="F271" i="21"/>
  <c r="M273" i="21"/>
  <c r="F286" i="21"/>
  <c r="C177" i="21"/>
  <c r="E239" i="21"/>
  <c r="I355" i="21"/>
  <c r="I379" i="21"/>
  <c r="J437" i="21"/>
  <c r="N423" i="21"/>
  <c r="O325" i="21"/>
  <c r="I430" i="21"/>
  <c r="O283" i="21"/>
  <c r="E357" i="21"/>
  <c r="G323" i="21"/>
  <c r="I325" i="21"/>
  <c r="D275" i="21"/>
  <c r="Q332" i="21"/>
  <c r="R303" i="21"/>
  <c r="N293" i="21"/>
  <c r="G264" i="21"/>
  <c r="I242" i="21"/>
  <c r="M271" i="21"/>
  <c r="D189" i="21"/>
  <c r="D364" i="21"/>
  <c r="N507" i="21"/>
  <c r="D578" i="21"/>
  <c r="P444" i="21"/>
  <c r="C343" i="21"/>
  <c r="K412" i="21"/>
  <c r="I422" i="21"/>
  <c r="C368" i="21"/>
  <c r="P301" i="21"/>
  <c r="S290" i="21"/>
  <c r="Q345" i="21"/>
  <c r="N383" i="21"/>
  <c r="F257" i="21"/>
  <c r="E342" i="21"/>
  <c r="S273" i="21"/>
  <c r="D303" i="21"/>
  <c r="C357" i="21"/>
  <c r="J126" i="21"/>
  <c r="T268" i="21"/>
  <c r="J236" i="21"/>
  <c r="G258" i="21"/>
  <c r="C221" i="21"/>
  <c r="H435" i="21"/>
  <c r="O427" i="21"/>
  <c r="F409" i="21"/>
  <c r="H388" i="21"/>
  <c r="P325" i="21"/>
  <c r="K421" i="21"/>
  <c r="P330" i="21"/>
  <c r="T257" i="21"/>
  <c r="K272" i="21"/>
  <c r="T353" i="21"/>
  <c r="N315" i="21"/>
  <c r="G361" i="21"/>
  <c r="G354" i="21"/>
  <c r="P357" i="21"/>
  <c r="H267" i="21"/>
  <c r="H210" i="21"/>
  <c r="P368" i="21"/>
  <c r="C129" i="21"/>
  <c r="R508" i="21"/>
  <c r="G423" i="21"/>
  <c r="D378" i="21"/>
  <c r="C327" i="21"/>
  <c r="E391" i="21"/>
  <c r="I406" i="21"/>
  <c r="J310" i="21"/>
  <c r="P285" i="21"/>
  <c r="S274" i="21"/>
  <c r="E326" i="21"/>
  <c r="E314" i="21"/>
  <c r="N338" i="21"/>
  <c r="Q322" i="21"/>
  <c r="S257" i="21"/>
  <c r="D287" i="21"/>
  <c r="N334" i="21"/>
  <c r="D258" i="21"/>
  <c r="G304" i="21"/>
  <c r="J220" i="21"/>
  <c r="L414" i="21"/>
  <c r="F317" i="21"/>
  <c r="P500" i="21"/>
  <c r="K443" i="21"/>
  <c r="K383" i="21"/>
  <c r="H360" i="21"/>
  <c r="D433" i="21"/>
  <c r="F309" i="21"/>
  <c r="G560" i="21"/>
  <c r="Q406" i="21"/>
  <c r="D535" i="21"/>
  <c r="G380" i="21"/>
  <c r="H471" i="21"/>
  <c r="D339" i="21"/>
  <c r="H401" i="21"/>
  <c r="R349" i="21"/>
  <c r="S462" i="21"/>
  <c r="Q408" i="21"/>
  <c r="S439" i="21"/>
  <c r="Q412" i="21"/>
  <c r="Q510" i="21"/>
  <c r="S420" i="21"/>
  <c r="T402" i="21"/>
  <c r="H418" i="21"/>
  <c r="T498" i="21"/>
  <c r="H501" i="21"/>
  <c r="K494" i="21"/>
  <c r="S482" i="21"/>
  <c r="O443" i="21"/>
  <c r="G503" i="21"/>
  <c r="F357" i="21"/>
  <c r="Q389" i="21"/>
  <c r="E356" i="21"/>
  <c r="D458" i="21"/>
  <c r="N504" i="21"/>
  <c r="I320" i="21"/>
  <c r="H417" i="21"/>
  <c r="H384" i="21"/>
  <c r="S437" i="21"/>
  <c r="S255" i="21"/>
  <c r="F315" i="21"/>
  <c r="N256" i="21"/>
  <c r="C265" i="21"/>
  <c r="N302" i="21"/>
  <c r="Q360" i="21"/>
  <c r="C338" i="21"/>
  <c r="K269" i="21"/>
  <c r="R437" i="21"/>
  <c r="H184" i="21"/>
  <c r="J271" i="21"/>
  <c r="K263" i="21"/>
  <c r="H420" i="21"/>
  <c r="O444" i="21"/>
  <c r="L377" i="21"/>
  <c r="O409" i="21"/>
  <c r="H369" i="21"/>
  <c r="N251" i="21"/>
  <c r="J321" i="21"/>
  <c r="N248" i="21"/>
  <c r="E295" i="21"/>
  <c r="I256" i="21"/>
  <c r="H404" i="21"/>
  <c r="K292" i="21"/>
  <c r="J414" i="21"/>
  <c r="C342" i="21"/>
  <c r="N233" i="21"/>
  <c r="K267" i="21"/>
  <c r="I200" i="21"/>
  <c r="S302" i="21"/>
  <c r="P406" i="21"/>
  <c r="Q363" i="21"/>
  <c r="N373" i="21"/>
  <c r="T324" i="21"/>
  <c r="D397" i="21"/>
  <c r="R438" i="21"/>
  <c r="Q305" i="21"/>
  <c r="C283" i="21"/>
  <c r="I358" i="21"/>
  <c r="D320" i="21"/>
  <c r="M333" i="21"/>
  <c r="S324" i="21"/>
  <c r="J317" i="21"/>
  <c r="F255" i="21"/>
  <c r="I292" i="21"/>
  <c r="C302" i="21"/>
  <c r="O129" i="21"/>
  <c r="R306" i="21"/>
  <c r="J124" i="21"/>
  <c r="C306" i="21"/>
  <c r="H244" i="21"/>
  <c r="M534" i="21"/>
  <c r="N376" i="21"/>
  <c r="L332" i="21"/>
  <c r="R370" i="21"/>
  <c r="N467" i="21"/>
  <c r="H511" i="21"/>
  <c r="G325" i="21"/>
  <c r="I365" i="21"/>
  <c r="D253" i="21"/>
  <c r="G298" i="21"/>
  <c r="Q324" i="21"/>
  <c r="N278" i="21"/>
  <c r="C303" i="21"/>
  <c r="G351" i="21"/>
  <c r="M248" i="21"/>
  <c r="M215" i="21"/>
  <c r="E241" i="21"/>
  <c r="H160" i="21"/>
  <c r="C388" i="21"/>
  <c r="Q339" i="21"/>
  <c r="N356" i="21"/>
  <c r="T308" i="21"/>
  <c r="D380" i="21"/>
  <c r="R422" i="21"/>
  <c r="Q289" i="21"/>
  <c r="C267" i="21"/>
  <c r="N323" i="21"/>
  <c r="L426" i="21"/>
  <c r="M300" i="21"/>
  <c r="J298" i="21"/>
  <c r="H446" i="21"/>
  <c r="N362" i="21"/>
  <c r="I276" i="21"/>
  <c r="C286" i="21"/>
  <c r="D525" i="21"/>
  <c r="E383" i="21"/>
  <c r="D438" i="21"/>
  <c r="K475" i="21"/>
  <c r="G482" i="21"/>
  <c r="C419" i="21"/>
  <c r="G554" i="21"/>
  <c r="M370" i="21"/>
  <c r="J401" i="21"/>
  <c r="M504" i="21"/>
  <c r="G563" i="21"/>
  <c r="L328" i="21"/>
  <c r="C323" i="21"/>
  <c r="E389" i="21"/>
  <c r="K340" i="21"/>
  <c r="Q563" i="21"/>
  <c r="I509" i="21"/>
  <c r="I589" i="21"/>
  <c r="J407" i="21"/>
  <c r="G571" i="21"/>
  <c r="H372" i="21"/>
  <c r="T425" i="21"/>
  <c r="M437" i="21"/>
  <c r="P376" i="21"/>
  <c r="L462" i="21"/>
  <c r="I597" i="21"/>
  <c r="P474" i="21"/>
  <c r="R519" i="21"/>
  <c r="K419" i="21"/>
  <c r="K346" i="21"/>
  <c r="J378" i="21"/>
  <c r="O321" i="21"/>
  <c r="J448" i="21"/>
  <c r="E412" i="21"/>
  <c r="Q486" i="21"/>
  <c r="Q395" i="21"/>
  <c r="P349" i="21"/>
  <c r="T471" i="21"/>
  <c r="N354" i="21"/>
  <c r="E366" i="21"/>
  <c r="C360" i="21"/>
  <c r="J358" i="21"/>
  <c r="S291" i="21"/>
  <c r="J333" i="21"/>
  <c r="N301" i="21"/>
  <c r="K242" i="21"/>
  <c r="E284" i="21"/>
  <c r="M213" i="21"/>
  <c r="J148" i="21"/>
  <c r="D115" i="21"/>
  <c r="F340" i="21"/>
  <c r="O410" i="21"/>
  <c r="F413" i="21"/>
  <c r="Q421" i="21"/>
  <c r="Q359" i="21"/>
  <c r="Q413" i="21"/>
  <c r="S315" i="21"/>
  <c r="C328" i="21"/>
  <c r="P275" i="21"/>
  <c r="S350" i="21"/>
  <c r="P311" i="21"/>
  <c r="D273" i="21"/>
  <c r="L315" i="21"/>
  <c r="K218" i="21"/>
  <c r="P248" i="21"/>
  <c r="R252" i="21"/>
  <c r="N215" i="21"/>
  <c r="K273" i="21"/>
  <c r="P567" i="21"/>
  <c r="J320" i="21"/>
  <c r="S402" i="21"/>
  <c r="K429" i="21"/>
  <c r="D446" i="21"/>
  <c r="F361" i="21"/>
  <c r="J286" i="21"/>
  <c r="T258" i="21"/>
  <c r="E344" i="21"/>
  <c r="M314" i="21"/>
  <c r="R305" i="21"/>
  <c r="O295" i="21"/>
  <c r="S311" i="21"/>
  <c r="S316" i="21"/>
  <c r="H276" i="21"/>
  <c r="Q209" i="21"/>
  <c r="T160" i="21"/>
  <c r="C276" i="21"/>
  <c r="O119" i="21"/>
  <c r="Q213" i="21"/>
  <c r="H132" i="21"/>
  <c r="J505" i="21"/>
  <c r="L395" i="21"/>
  <c r="E323" i="21"/>
  <c r="D351" i="21"/>
  <c r="T433" i="21"/>
  <c r="J428" i="21"/>
  <c r="S393" i="21"/>
  <c r="T319" i="21"/>
  <c r="I306" i="21"/>
  <c r="I350" i="21"/>
  <c r="L422" i="21"/>
  <c r="S267" i="21"/>
  <c r="Q353" i="21"/>
  <c r="N276" i="21"/>
  <c r="H325" i="21"/>
  <c r="O271" i="21"/>
  <c r="J283" i="21"/>
  <c r="R348" i="21"/>
  <c r="O512" i="21"/>
  <c r="M403" i="21"/>
  <c r="F368" i="21"/>
  <c r="D424" i="21"/>
  <c r="N429" i="21"/>
  <c r="F346" i="21"/>
  <c r="J270" i="21"/>
  <c r="M329" i="21"/>
  <c r="Q326" i="21"/>
  <c r="H347" i="21"/>
  <c r="R289" i="21"/>
  <c r="M470" i="21"/>
  <c r="N336" i="21"/>
  <c r="J296" i="21"/>
  <c r="H260" i="21"/>
  <c r="Q185" i="21"/>
  <c r="T128" i="21"/>
  <c r="C260" i="21"/>
  <c r="Q248" i="21"/>
  <c r="Q189" i="21"/>
  <c r="F302" i="21"/>
  <c r="C490" i="21"/>
  <c r="R317" i="21"/>
  <c r="T400" i="21"/>
  <c r="D335" i="21"/>
  <c r="T385" i="21"/>
  <c r="J412" i="21"/>
  <c r="I315" i="21"/>
  <c r="E297" i="21"/>
  <c r="H290" i="21"/>
  <c r="H316" i="21"/>
  <c r="L383" i="21"/>
  <c r="G442" i="21"/>
  <c r="H348" i="21"/>
  <c r="N260" i="21"/>
  <c r="K298" i="21"/>
  <c r="N295" i="21"/>
  <c r="J238" i="21"/>
  <c r="M479" i="21"/>
  <c r="T507" i="21"/>
  <c r="G378" i="21"/>
  <c r="D327" i="21"/>
  <c r="M438" i="21"/>
  <c r="J404" i="21"/>
  <c r="S303" i="21"/>
  <c r="E289" i="21"/>
  <c r="H282" i="21"/>
  <c r="F395" i="21"/>
  <c r="F370" i="21"/>
  <c r="C352" i="21"/>
  <c r="R419" i="21"/>
  <c r="N252" i="21"/>
  <c r="K290" i="21"/>
  <c r="N271" i="21"/>
  <c r="J222" i="21"/>
  <c r="T299" i="21"/>
  <c r="E175" i="21"/>
  <c r="I312" i="21"/>
  <c r="P169" i="21"/>
  <c r="C476" i="21"/>
  <c r="H320" i="21"/>
  <c r="H424" i="21"/>
  <c r="L425" i="21"/>
  <c r="S432" i="21"/>
  <c r="L317" i="21"/>
  <c r="K319" i="21"/>
  <c r="H355" i="21"/>
  <c r="R251" i="21"/>
  <c r="C322" i="21"/>
  <c r="Q377" i="21"/>
  <c r="P342" i="21"/>
  <c r="I310" i="21"/>
  <c r="Q350" i="21"/>
  <c r="S309" i="21"/>
  <c r="C171" i="21"/>
  <c r="T363" i="21"/>
  <c r="C233" i="21"/>
  <c r="Q314" i="21"/>
  <c r="P187" i="21"/>
  <c r="K271" i="21"/>
  <c r="E494" i="21"/>
  <c r="D435" i="21"/>
  <c r="K374" i="21"/>
  <c r="G290" i="21"/>
  <c r="G322" i="21"/>
  <c r="L306" i="21"/>
  <c r="E233" i="21"/>
  <c r="I176" i="21"/>
  <c r="N247" i="21"/>
  <c r="H228" i="21"/>
  <c r="C381" i="21"/>
  <c r="H350" i="21"/>
  <c r="D439" i="21"/>
  <c r="E329" i="21"/>
  <c r="K440" i="21"/>
  <c r="Q281" i="21"/>
  <c r="G400" i="21"/>
  <c r="F283" i="21"/>
  <c r="O514" i="21"/>
  <c r="N261" i="21"/>
  <c r="N401" i="21"/>
  <c r="O277" i="21"/>
  <c r="K178" i="21"/>
  <c r="S244" i="21"/>
  <c r="P440" i="21"/>
  <c r="N403" i="21"/>
  <c r="K341" i="21"/>
  <c r="F408" i="21"/>
  <c r="L325" i="21"/>
  <c r="T356" i="21"/>
  <c r="H359" i="21"/>
  <c r="I386" i="21"/>
  <c r="I319" i="21"/>
  <c r="P350" i="21"/>
  <c r="C279" i="21"/>
  <c r="D308" i="21"/>
  <c r="T300" i="21"/>
  <c r="S198" i="21"/>
  <c r="C241" i="21"/>
  <c r="I291" i="21"/>
  <c r="C274" i="21"/>
  <c r="T251" i="21"/>
  <c r="H407" i="21"/>
  <c r="T391" i="21"/>
  <c r="C410" i="21"/>
  <c r="M510" i="21"/>
  <c r="H445" i="21"/>
  <c r="S307" i="21"/>
  <c r="S363" i="21"/>
  <c r="S364" i="21"/>
  <c r="J367" i="21"/>
  <c r="Q293" i="21"/>
  <c r="M274" i="21"/>
  <c r="G420" i="21"/>
  <c r="P135" i="21"/>
  <c r="E201" i="21"/>
  <c r="S270" i="21"/>
  <c r="G228" i="21"/>
  <c r="N205" i="21"/>
  <c r="I512" i="21"/>
  <c r="T418" i="21"/>
  <c r="T455" i="21"/>
  <c r="C401" i="21"/>
  <c r="L314" i="21"/>
  <c r="R411" i="21"/>
  <c r="F366" i="21"/>
  <c r="R425" i="21"/>
  <c r="M261" i="21"/>
  <c r="S332" i="21"/>
  <c r="T280" i="21"/>
  <c r="Q362" i="21"/>
  <c r="I317" i="21"/>
  <c r="J326" i="21"/>
  <c r="H447" i="21"/>
  <c r="P127" i="21"/>
  <c r="T294" i="21"/>
  <c r="P205" i="21"/>
  <c r="S164" i="21"/>
  <c r="K182" i="21"/>
  <c r="G266" i="21"/>
  <c r="S468" i="21"/>
  <c r="O347" i="21"/>
  <c r="M558" i="21"/>
  <c r="O418" i="21"/>
  <c r="P380" i="21"/>
  <c r="K345" i="21"/>
  <c r="I357" i="21"/>
  <c r="G268" i="21"/>
  <c r="J353" i="21"/>
  <c r="N280" i="21"/>
  <c r="D381" i="21"/>
  <c r="I288" i="21"/>
  <c r="D334" i="21"/>
  <c r="H365" i="21"/>
  <c r="G312" i="21"/>
  <c r="K293" i="21"/>
  <c r="I138" i="21"/>
  <c r="K299" i="21"/>
  <c r="P252" i="21"/>
  <c r="K313" i="21"/>
  <c r="I182" i="21"/>
  <c r="M247" i="21"/>
  <c r="L423" i="21"/>
  <c r="N312" i="21"/>
  <c r="I396" i="21"/>
  <c r="D147" i="21"/>
  <c r="S224" i="21"/>
  <c r="I225" i="21"/>
  <c r="P82" i="21"/>
  <c r="D188" i="21"/>
  <c r="M355" i="21"/>
  <c r="I229" i="21"/>
  <c r="M157" i="21"/>
  <c r="N222" i="21"/>
  <c r="P93" i="21"/>
  <c r="P71" i="21"/>
  <c r="S418" i="21"/>
  <c r="G347" i="21"/>
  <c r="M295" i="21"/>
  <c r="K289" i="21"/>
  <c r="Q115" i="21"/>
  <c r="G278" i="21"/>
  <c r="J213" i="21"/>
  <c r="I87" i="21"/>
  <c r="S320" i="21"/>
  <c r="D40" i="21"/>
  <c r="T231" i="21"/>
  <c r="D294" i="21"/>
  <c r="F221" i="21"/>
  <c r="E70" i="21"/>
  <c r="I57" i="21"/>
  <c r="J38" i="21"/>
  <c r="R124" i="21"/>
  <c r="T38" i="21"/>
  <c r="O530" i="21"/>
  <c r="G356" i="21"/>
  <c r="P257" i="21"/>
  <c r="Q135" i="21"/>
  <c r="K196" i="21"/>
  <c r="I255" i="21"/>
  <c r="M427" i="21"/>
  <c r="G430" i="21"/>
  <c r="C295" i="21"/>
  <c r="C277" i="21"/>
  <c r="Q247" i="21"/>
  <c r="N175" i="21"/>
  <c r="E310" i="21"/>
  <c r="D332" i="21"/>
  <c r="O504" i="21"/>
  <c r="O483" i="21"/>
  <c r="C425" i="21"/>
  <c r="L432" i="21"/>
  <c r="I398" i="21"/>
  <c r="J261" i="21"/>
  <c r="S409" i="21"/>
  <c r="Q263" i="21"/>
  <c r="R354" i="21"/>
  <c r="K311" i="21"/>
  <c r="N310" i="21"/>
  <c r="N262" i="21"/>
  <c r="P175" i="21"/>
  <c r="O310" i="21"/>
  <c r="P571" i="21"/>
  <c r="I368" i="21"/>
  <c r="K389" i="21"/>
  <c r="L330" i="21"/>
  <c r="P445" i="21"/>
  <c r="F293" i="21"/>
  <c r="T508" i="21"/>
  <c r="N304" i="21"/>
  <c r="T296" i="21"/>
  <c r="G337" i="21"/>
  <c r="T393" i="21"/>
  <c r="J280" i="21"/>
  <c r="H337" i="21"/>
  <c r="C269" i="21"/>
  <c r="K252" i="21"/>
  <c r="J204" i="21"/>
  <c r="Q157" i="21"/>
  <c r="S276" i="21"/>
  <c r="P363" i="21"/>
  <c r="E387" i="21"/>
  <c r="R347" i="21"/>
  <c r="M414" i="21"/>
  <c r="R398" i="21"/>
  <c r="G284" i="21"/>
  <c r="H289" i="21"/>
  <c r="N289" i="21"/>
  <c r="S361" i="21"/>
  <c r="J274" i="21"/>
  <c r="R255" i="21"/>
  <c r="K339" i="21"/>
  <c r="H154" i="21"/>
  <c r="J214" i="21"/>
  <c r="Q266" i="21"/>
  <c r="I335" i="21"/>
  <c r="R368" i="21"/>
  <c r="M544" i="21"/>
  <c r="G489" i="21"/>
  <c r="H416" i="21"/>
  <c r="L417" i="21"/>
  <c r="R391" i="21"/>
  <c r="E574" i="21"/>
  <c r="S422" i="21"/>
  <c r="H323" i="21"/>
  <c r="S404" i="21"/>
  <c r="O305" i="21"/>
  <c r="D451" i="21"/>
  <c r="P334" i="21"/>
  <c r="E301" i="21"/>
  <c r="Q340" i="21"/>
  <c r="N360" i="21"/>
  <c r="C155" i="21"/>
  <c r="T331" i="21"/>
  <c r="C225" i="21"/>
  <c r="N287" i="21"/>
  <c r="P179" i="21"/>
  <c r="L409" i="21"/>
  <c r="S533" i="21"/>
  <c r="D427" i="21"/>
  <c r="M422" i="21"/>
  <c r="K424" i="21"/>
  <c r="H430" i="21"/>
  <c r="D325" i="21"/>
  <c r="H338" i="21"/>
  <c r="M435" i="21"/>
  <c r="S347" i="21"/>
  <c r="S269" i="21"/>
  <c r="C308" i="21"/>
  <c r="H272" i="21"/>
  <c r="M320" i="21"/>
  <c r="D305" i="21"/>
  <c r="M385" i="21"/>
  <c r="O254" i="21"/>
  <c r="N129" i="21"/>
  <c r="O268" i="21"/>
  <c r="P290" i="21"/>
  <c r="K305" i="21"/>
  <c r="N173" i="21"/>
  <c r="Q315" i="21"/>
  <c r="D506" i="21"/>
  <c r="L418" i="21"/>
  <c r="P229" i="21"/>
  <c r="N149" i="21"/>
  <c r="H254" i="21"/>
  <c r="N236" i="21"/>
  <c r="E141" i="21"/>
  <c r="I191" i="21"/>
  <c r="G147" i="21"/>
  <c r="L253" i="21"/>
  <c r="K221" i="21"/>
  <c r="L198" i="21"/>
  <c r="R59" i="21"/>
  <c r="C53" i="21"/>
  <c r="R323" i="21"/>
  <c r="N265" i="21"/>
  <c r="H114" i="21"/>
  <c r="P155" i="21"/>
  <c r="D129" i="21"/>
  <c r="G154" i="21"/>
  <c r="O224" i="21"/>
  <c r="F266" i="21"/>
  <c r="J123" i="21"/>
  <c r="G210" i="21"/>
  <c r="R183" i="21"/>
  <c r="Q180" i="21"/>
  <c r="E92" i="21"/>
  <c r="F202" i="21"/>
  <c r="S67" i="21"/>
  <c r="T84" i="21"/>
  <c r="E31" i="21"/>
  <c r="C16" i="21"/>
  <c r="K480" i="21"/>
  <c r="N275" i="21"/>
  <c r="O344" i="21"/>
  <c r="N183" i="21"/>
  <c r="C229" i="21"/>
  <c r="P322" i="21"/>
  <c r="F385" i="21"/>
  <c r="J334" i="21"/>
  <c r="O294" i="21"/>
  <c r="P298" i="21"/>
  <c r="S196" i="21"/>
  <c r="C290" i="21"/>
  <c r="S296" i="21"/>
  <c r="F478" i="21"/>
  <c r="Q405" i="21"/>
  <c r="L441" i="21"/>
  <c r="D514" i="21"/>
  <c r="R414" i="21"/>
  <c r="T361" i="21"/>
  <c r="H305" i="21"/>
  <c r="J244" i="21"/>
  <c r="H402" i="21"/>
  <c r="J290" i="21"/>
  <c r="M290" i="21"/>
  <c r="Q358" i="21"/>
  <c r="C187" i="21"/>
  <c r="E225" i="21"/>
  <c r="Q476" i="21"/>
  <c r="H342" i="21"/>
  <c r="D431" i="21"/>
  <c r="E321" i="21"/>
  <c r="K430" i="21"/>
  <c r="Q273" i="21"/>
  <c r="L359" i="21"/>
  <c r="F275" i="21"/>
  <c r="C444" i="21"/>
  <c r="N254" i="21"/>
  <c r="L378" i="21"/>
  <c r="O269" i="21"/>
  <c r="K154" i="21"/>
  <c r="I353" i="21"/>
  <c r="H92" i="21"/>
  <c r="O223" i="21"/>
  <c r="D187" i="21"/>
  <c r="L267" i="21"/>
  <c r="E464" i="21"/>
  <c r="H509" i="21"/>
  <c r="K338" i="21"/>
  <c r="T475" i="21"/>
  <c r="S424" i="21"/>
  <c r="N387" i="21"/>
  <c r="M270" i="21"/>
  <c r="D587" i="21"/>
  <c r="H287" i="21"/>
  <c r="Q482" i="21"/>
  <c r="M351" i="21"/>
  <c r="J315" i="21"/>
  <c r="H340" i="21"/>
  <c r="O225" i="21"/>
  <c r="J275" i="21"/>
  <c r="H353" i="21"/>
  <c r="M277" i="21"/>
  <c r="G546" i="21"/>
  <c r="E349" i="21"/>
  <c r="M425" i="21"/>
  <c r="R339" i="21"/>
  <c r="O365" i="21"/>
  <c r="I529" i="21"/>
  <c r="I393" i="21"/>
  <c r="G295" i="21"/>
  <c r="G310" i="21"/>
  <c r="N281" i="21"/>
  <c r="L309" i="21"/>
  <c r="G321" i="21"/>
  <c r="P281" i="21"/>
  <c r="P316" i="21"/>
  <c r="M304" i="21"/>
  <c r="H146" i="21"/>
  <c r="I285" i="21"/>
  <c r="H224" i="21"/>
  <c r="E306" i="21"/>
  <c r="C191" i="21"/>
  <c r="K236" i="21"/>
  <c r="J544" i="21"/>
  <c r="C369" i="21"/>
  <c r="T491" i="21"/>
  <c r="D407" i="21"/>
  <c r="F384" i="21"/>
  <c r="G416" i="21"/>
  <c r="C414" i="21"/>
  <c r="S414" i="21"/>
  <c r="H273" i="21"/>
  <c r="S390" i="21"/>
  <c r="C289" i="21"/>
  <c r="J350" i="21"/>
  <c r="G360" i="21"/>
  <c r="I286" i="21"/>
  <c r="E320" i="21"/>
  <c r="K114" i="21"/>
  <c r="S166" i="21"/>
  <c r="K168" i="21"/>
  <c r="F372" i="21"/>
  <c r="O274" i="21"/>
  <c r="M334" i="21"/>
  <c r="Q219" i="21"/>
  <c r="H378" i="21"/>
  <c r="J342" i="21"/>
  <c r="D376" i="21"/>
  <c r="O366" i="21"/>
  <c r="E302" i="21"/>
  <c r="L220" i="21"/>
  <c r="R228" i="21"/>
  <c r="N202" i="21"/>
  <c r="M141" i="21"/>
  <c r="L200" i="21"/>
  <c r="P232" i="21"/>
  <c r="J61" i="21"/>
  <c r="J48" i="21"/>
  <c r="S76" i="21"/>
  <c r="E385" i="21"/>
  <c r="G262" i="21"/>
  <c r="D119" i="21"/>
  <c r="G265" i="21"/>
  <c r="I180" i="21"/>
  <c r="Q202" i="21"/>
  <c r="T243" i="21"/>
  <c r="F228" i="21"/>
  <c r="O158" i="21"/>
  <c r="Q222" i="21"/>
  <c r="P62" i="21"/>
  <c r="D192" i="21"/>
  <c r="G178" i="21"/>
  <c r="G317" i="21"/>
  <c r="K315" i="21"/>
  <c r="K268" i="21"/>
  <c r="K194" i="21"/>
  <c r="P255" i="21"/>
  <c r="L386" i="21"/>
  <c r="D211" i="21"/>
  <c r="Q286" i="21"/>
  <c r="L398" i="21"/>
  <c r="P392" i="21"/>
  <c r="R363" i="21"/>
  <c r="K384" i="21"/>
  <c r="F337" i="21"/>
  <c r="G300" i="21"/>
  <c r="M286" i="21"/>
  <c r="N305" i="21"/>
  <c r="H303" i="21"/>
  <c r="S395" i="21"/>
  <c r="R271" i="21"/>
  <c r="J331" i="21"/>
  <c r="H194" i="21"/>
  <c r="O241" i="21"/>
  <c r="G495" i="21"/>
  <c r="J589" i="21"/>
  <c r="C417" i="21"/>
  <c r="O391" i="21"/>
  <c r="H475" i="21"/>
  <c r="J254" i="21"/>
  <c r="M380" i="21"/>
  <c r="Q255" i="21"/>
  <c r="R338" i="21"/>
  <c r="Q301" i="21"/>
  <c r="H301" i="21"/>
  <c r="N253" i="21"/>
  <c r="P151" i="21"/>
  <c r="I301" i="21"/>
  <c r="S280" i="21"/>
  <c r="T222" i="21"/>
  <c r="I207" i="21"/>
  <c r="K500" i="21"/>
  <c r="L416" i="21"/>
  <c r="F378" i="21"/>
  <c r="D319" i="21"/>
  <c r="C439" i="21"/>
  <c r="D374" i="21"/>
  <c r="E338" i="21"/>
  <c r="M335" i="21"/>
  <c r="F358" i="21"/>
  <c r="M276" i="21"/>
  <c r="D350" i="21"/>
  <c r="I302" i="21"/>
  <c r="M317" i="21"/>
  <c r="M399" i="21"/>
  <c r="T224" i="21"/>
  <c r="D125" i="21"/>
  <c r="O290" i="21"/>
  <c r="L244" i="21"/>
  <c r="M466" i="21"/>
  <c r="E417" i="21"/>
  <c r="G386" i="21"/>
  <c r="K330" i="21"/>
  <c r="M462" i="21"/>
  <c r="Q411" i="21"/>
  <c r="O306" i="21"/>
  <c r="L284" i="21"/>
  <c r="I290" i="21"/>
  <c r="H392" i="21"/>
  <c r="J359" i="21"/>
  <c r="S362" i="21"/>
  <c r="C263" i="21"/>
  <c r="G311" i="21"/>
  <c r="R293" i="21"/>
  <c r="Q330" i="21"/>
  <c r="E185" i="21"/>
  <c r="I246" i="21"/>
  <c r="I275" i="21"/>
  <c r="I408" i="21"/>
  <c r="K124" i="21"/>
  <c r="P516" i="21"/>
  <c r="T409" i="21"/>
  <c r="O441" i="21"/>
  <c r="H491" i="21"/>
  <c r="T515" i="21"/>
  <c r="M382" i="21"/>
  <c r="R345" i="21"/>
  <c r="I390" i="21"/>
  <c r="M254" i="21"/>
  <c r="D309" i="21"/>
  <c r="T272" i="21"/>
  <c r="Q352" i="21"/>
  <c r="L304" i="21"/>
  <c r="O317" i="21"/>
  <c r="R433" i="21"/>
  <c r="P119" i="21"/>
  <c r="T270" i="21"/>
  <c r="P189" i="21"/>
  <c r="S148" i="21"/>
  <c r="K166" i="21"/>
  <c r="S256" i="21"/>
  <c r="Q373" i="21"/>
  <c r="P362" i="21"/>
  <c r="E277" i="21"/>
  <c r="Q215" i="21"/>
  <c r="K212" i="21"/>
  <c r="I271" i="21"/>
  <c r="N168" i="21"/>
  <c r="K129" i="21"/>
  <c r="L138" i="21"/>
  <c r="K183" i="21"/>
  <c r="O205" i="21"/>
  <c r="R268" i="21"/>
  <c r="H166" i="21"/>
  <c r="T86" i="21"/>
  <c r="G169" i="21"/>
  <c r="O349" i="21"/>
  <c r="N374" i="21"/>
  <c r="I269" i="21"/>
  <c r="C282" i="21"/>
  <c r="N203" i="21"/>
  <c r="D207" i="21"/>
  <c r="R203" i="21"/>
  <c r="Q136" i="21"/>
  <c r="R241" i="21"/>
  <c r="D210" i="21"/>
  <c r="Q366" i="21"/>
  <c r="R410" i="21"/>
  <c r="L374" i="21"/>
  <c r="H202" i="21"/>
  <c r="M309" i="21"/>
  <c r="L307" i="21"/>
  <c r="I222" i="21"/>
  <c r="C256" i="21"/>
  <c r="K334" i="21"/>
  <c r="H440" i="21"/>
  <c r="K354" i="21"/>
  <c r="K487" i="21"/>
  <c r="Q327" i="21"/>
  <c r="Q357" i="21"/>
  <c r="R275" i="21"/>
  <c r="G282" i="21"/>
  <c r="M292" i="21"/>
  <c r="L335" i="21"/>
  <c r="O340" i="21"/>
  <c r="S325" i="21"/>
  <c r="M183" i="21"/>
  <c r="R254" i="21"/>
  <c r="H431" i="21"/>
  <c r="K396" i="21"/>
  <c r="L433" i="21"/>
  <c r="O500" i="21"/>
  <c r="R406" i="21"/>
  <c r="T329" i="21"/>
  <c r="H297" i="21"/>
  <c r="C354" i="21"/>
  <c r="M377" i="21"/>
  <c r="J282" i="21"/>
  <c r="M282" i="21"/>
  <c r="Q348" i="21"/>
  <c r="C179" i="21"/>
  <c r="E209" i="21"/>
  <c r="Q274" i="21"/>
  <c r="G236" i="21"/>
  <c r="F347" i="21"/>
  <c r="L579" i="21"/>
  <c r="M444" i="21"/>
  <c r="F417" i="21"/>
  <c r="N392" i="21"/>
  <c r="D370" i="21"/>
  <c r="H354" i="21"/>
  <c r="L438" i="21"/>
  <c r="I298" i="21"/>
  <c r="S378" i="21"/>
  <c r="M359" i="21"/>
  <c r="M336" i="21"/>
  <c r="Q346" i="21"/>
  <c r="R301" i="21"/>
  <c r="Q292" i="21"/>
  <c r="H294" i="21"/>
  <c r="I136" i="21"/>
  <c r="K190" i="21"/>
  <c r="K132" i="21"/>
  <c r="G472" i="21"/>
  <c r="P381" i="21"/>
  <c r="P359" i="21"/>
  <c r="L440" i="21"/>
  <c r="M390" i="21"/>
  <c r="J388" i="21"/>
  <c r="S287" i="21"/>
  <c r="E273" i="21"/>
  <c r="H266" i="21"/>
  <c r="R340" i="21"/>
  <c r="S353" i="21"/>
  <c r="F305" i="21"/>
  <c r="R334" i="21"/>
  <c r="S354" i="21"/>
  <c r="K274" i="21"/>
  <c r="D311" i="21"/>
  <c r="J207" i="21"/>
  <c r="L278" i="21"/>
  <c r="E135" i="21"/>
  <c r="H261" i="21"/>
  <c r="P129" i="21"/>
  <c r="M458" i="21"/>
  <c r="E478" i="21"/>
  <c r="H515" i="21"/>
  <c r="L410" i="21"/>
  <c r="P373" i="21"/>
  <c r="N451" i="21"/>
  <c r="T384" i="21"/>
  <c r="T305" i="21"/>
  <c r="H349" i="21"/>
  <c r="O297" i="21"/>
  <c r="T414" i="21"/>
  <c r="P326" i="21"/>
  <c r="E293" i="21"/>
  <c r="K331" i="21"/>
  <c r="N328" i="21"/>
  <c r="C147" i="21"/>
  <c r="N308" i="21"/>
  <c r="C209" i="21"/>
  <c r="N263" i="21"/>
  <c r="P171" i="21"/>
  <c r="C350" i="21"/>
  <c r="D398" i="21"/>
  <c r="O299" i="21"/>
  <c r="H262" i="21"/>
  <c r="N239" i="21"/>
  <c r="R274" i="21"/>
  <c r="E171" i="21"/>
  <c r="S125" i="21"/>
  <c r="P180" i="21"/>
  <c r="S235" i="21"/>
  <c r="P194" i="21"/>
  <c r="D302" i="21"/>
  <c r="C148" i="21"/>
  <c r="R238" i="21"/>
  <c r="M53" i="21"/>
  <c r="E33" i="21"/>
  <c r="R346" i="21"/>
  <c r="D299" i="21"/>
  <c r="S304" i="21"/>
  <c r="D123" i="21"/>
  <c r="S208" i="21"/>
  <c r="I209" i="21"/>
  <c r="P74" i="21"/>
  <c r="D180" i="21"/>
  <c r="M194" i="21"/>
  <c r="I221" i="21"/>
  <c r="M147" i="21"/>
  <c r="N214" i="21"/>
  <c r="G85" i="21"/>
  <c r="P63" i="21"/>
  <c r="N61" i="21"/>
  <c r="Q7" i="21"/>
  <c r="M129" i="21"/>
  <c r="G81" i="21"/>
  <c r="L364" i="21"/>
  <c r="J380" i="21"/>
  <c r="N316" i="21"/>
  <c r="P348" i="21"/>
  <c r="M191" i="21"/>
  <c r="K208" i="21"/>
  <c r="E191" i="21"/>
  <c r="N229" i="21"/>
  <c r="N534" i="21"/>
  <c r="G519" i="21"/>
  <c r="F394" i="21"/>
  <c r="C319" i="21"/>
  <c r="N421" i="21"/>
  <c r="L424" i="21"/>
  <c r="D322" i="21"/>
  <c r="K256" i="21"/>
  <c r="E316" i="21"/>
  <c r="R281" i="21"/>
  <c r="D366" i="21"/>
  <c r="R432" i="21"/>
  <c r="M407" i="21"/>
  <c r="P309" i="21"/>
  <c r="T92" i="21"/>
  <c r="I372" i="21"/>
  <c r="P382" i="21"/>
  <c r="R355" i="21"/>
  <c r="K376" i="21"/>
  <c r="F329" i="21"/>
  <c r="G292" i="21"/>
  <c r="M278" i="21"/>
  <c r="N297" i="21"/>
  <c r="H295" i="21"/>
  <c r="D447" i="21"/>
  <c r="R263" i="21"/>
  <c r="J323" i="21"/>
  <c r="H178" i="21"/>
  <c r="O233" i="21"/>
  <c r="L291" i="21"/>
  <c r="L390" i="21"/>
  <c r="M287" i="21"/>
  <c r="K425" i="21"/>
  <c r="L358" i="21"/>
  <c r="P367" i="21"/>
  <c r="M443" i="21"/>
  <c r="K360" i="21"/>
  <c r="R364" i="21"/>
  <c r="G303" i="21"/>
  <c r="H274" i="21"/>
  <c r="T370" i="21"/>
  <c r="I304" i="21"/>
  <c r="T262" i="21"/>
  <c r="P324" i="21"/>
  <c r="K282" i="21"/>
  <c r="C261" i="21"/>
  <c r="H329" i="21"/>
  <c r="N127" i="21"/>
  <c r="C215" i="21"/>
  <c r="P137" i="21"/>
  <c r="M597" i="21"/>
  <c r="I434" i="21"/>
  <c r="O343" i="21"/>
  <c r="Q374" i="21"/>
  <c r="J445" i="21"/>
  <c r="T436" i="21"/>
  <c r="F277" i="21"/>
  <c r="P253" i="21"/>
  <c r="H415" i="21"/>
  <c r="D368" i="21"/>
  <c r="H279" i="21"/>
  <c r="Q285" i="21"/>
  <c r="J365" i="21"/>
  <c r="F303" i="21"/>
  <c r="D255" i="21"/>
  <c r="Q284" i="21"/>
  <c r="O209" i="21"/>
  <c r="M262" i="21"/>
  <c r="J188" i="21"/>
  <c r="Q288" i="21"/>
  <c r="C149" i="21"/>
  <c r="S458" i="21"/>
  <c r="E341" i="21"/>
  <c r="H390" i="21"/>
  <c r="R331" i="21"/>
  <c r="O356" i="21"/>
  <c r="H433" i="21"/>
  <c r="F373" i="21"/>
  <c r="G287" i="21"/>
  <c r="D301" i="21"/>
  <c r="N273" i="21"/>
  <c r="R399" i="21"/>
  <c r="G313" i="21"/>
  <c r="P273" i="21"/>
  <c r="P308" i="21"/>
  <c r="M296" i="21"/>
  <c r="H138" i="21"/>
  <c r="I277" i="21"/>
  <c r="H208" i="21"/>
  <c r="E298" i="21"/>
  <c r="C183" i="21"/>
  <c r="K228" i="21"/>
  <c r="S380" i="21"/>
  <c r="T289" i="21"/>
  <c r="S434" i="21"/>
  <c r="G348" i="21"/>
  <c r="H172" i="21"/>
  <c r="J184" i="21"/>
  <c r="T61" i="21"/>
  <c r="C192" i="21"/>
  <c r="T75" i="21"/>
  <c r="C198" i="21"/>
  <c r="E190" i="21"/>
  <c r="F231" i="21"/>
  <c r="K147" i="21"/>
  <c r="L37" i="21"/>
  <c r="R207" i="21"/>
  <c r="H410" i="21"/>
  <c r="T341" i="21"/>
  <c r="P173" i="21"/>
  <c r="N141" i="21"/>
  <c r="O314" i="21"/>
  <c r="N228" i="21"/>
  <c r="J194" i="21"/>
  <c r="I183" i="21"/>
  <c r="C253" i="21"/>
  <c r="N232" i="21"/>
  <c r="K213" i="21"/>
  <c r="L190" i="21"/>
  <c r="R51" i="21"/>
  <c r="G231" i="21"/>
  <c r="S45" i="21"/>
  <c r="O35" i="21"/>
  <c r="L157" i="21"/>
  <c r="R47" i="21"/>
  <c r="C445" i="21"/>
  <c r="G339" i="21"/>
  <c r="M285" i="21"/>
  <c r="C358" i="21"/>
  <c r="J299" i="21"/>
  <c r="E272" i="21"/>
  <c r="J205" i="21"/>
  <c r="I79" i="21"/>
  <c r="J265" i="21"/>
  <c r="F222" i="21"/>
  <c r="T223" i="21"/>
  <c r="E252" i="21"/>
  <c r="F213" i="21"/>
  <c r="K45" i="21"/>
  <c r="F128" i="21"/>
  <c r="F212" i="21"/>
  <c r="Q65" i="21"/>
  <c r="J30" i="21"/>
  <c r="N463" i="21"/>
  <c r="N290" i="21"/>
  <c r="S371" i="21"/>
  <c r="Q119" i="21"/>
  <c r="K180" i="21"/>
  <c r="N314" i="21"/>
  <c r="J83" i="21"/>
  <c r="J273" i="21"/>
  <c r="N160" i="21"/>
  <c r="K135" i="21"/>
  <c r="M235" i="21"/>
  <c r="C228" i="21"/>
  <c r="G188" i="21"/>
  <c r="T62" i="21"/>
  <c r="O36" i="21"/>
  <c r="J24" i="21"/>
  <c r="H133" i="21"/>
  <c r="K93" i="21"/>
  <c r="T58" i="21"/>
  <c r="I449" i="21"/>
  <c r="Q313" i="21"/>
  <c r="L257" i="21"/>
  <c r="M301" i="21"/>
  <c r="I148" i="21"/>
  <c r="Q154" i="21"/>
  <c r="T211" i="21"/>
  <c r="Q232" i="21"/>
  <c r="R258" i="21"/>
  <c r="Q198" i="21"/>
  <c r="P38" i="21"/>
  <c r="D168" i="21"/>
  <c r="J215" i="21"/>
  <c r="M84" i="21"/>
  <c r="H119" i="21"/>
  <c r="T44" i="21"/>
  <c r="C27" i="21"/>
  <c r="G8" i="21"/>
  <c r="T358" i="21"/>
  <c r="E257" i="21"/>
  <c r="S305" i="21"/>
  <c r="E282" i="21"/>
  <c r="M201" i="21"/>
  <c r="J128" i="21"/>
  <c r="J202" i="21"/>
  <c r="C136" i="21"/>
  <c r="I305" i="21"/>
  <c r="C126" i="21"/>
  <c r="J301" i="21"/>
  <c r="C367" i="21"/>
  <c r="L402" i="21"/>
  <c r="S272" i="21"/>
  <c r="C175" i="21"/>
  <c r="I236" i="21"/>
  <c r="K247" i="21"/>
  <c r="O176" i="21"/>
  <c r="I333" i="21"/>
  <c r="T483" i="21"/>
  <c r="G343" i="21"/>
  <c r="T346" i="21"/>
  <c r="P237" i="21"/>
  <c r="O239" i="21"/>
  <c r="Q261" i="21"/>
  <c r="Q417" i="21"/>
  <c r="I338" i="21"/>
  <c r="L316" i="21"/>
  <c r="R423" i="21"/>
  <c r="M410" i="21"/>
  <c r="F392" i="21"/>
  <c r="M316" i="21"/>
  <c r="O324" i="21"/>
  <c r="R413" i="21"/>
  <c r="K261" i="21"/>
  <c r="T277" i="21"/>
  <c r="J370" i="21"/>
  <c r="O338" i="21"/>
  <c r="C278" i="21"/>
  <c r="O263" i="21"/>
  <c r="D315" i="21"/>
  <c r="H432" i="21"/>
  <c r="K344" i="21"/>
  <c r="D448" i="21"/>
  <c r="Q319" i="21"/>
  <c r="K347" i="21"/>
  <c r="R267" i="21"/>
  <c r="G274" i="21"/>
  <c r="M284" i="21"/>
  <c r="L319" i="21"/>
  <c r="J312" i="21"/>
  <c r="S317" i="21"/>
  <c r="M175" i="21"/>
  <c r="T232" i="21"/>
  <c r="L396" i="21"/>
  <c r="O298" i="21"/>
  <c r="K279" i="21"/>
  <c r="H516" i="21"/>
  <c r="N448" i="21"/>
  <c r="O351" i="21"/>
  <c r="E413" i="21"/>
  <c r="D341" i="21"/>
  <c r="M439" i="21"/>
  <c r="L292" i="21"/>
  <c r="F510" i="21"/>
  <c r="G285" i="21"/>
  <c r="H288" i="21"/>
  <c r="I349" i="21"/>
  <c r="G319" i="21"/>
  <c r="D263" i="21"/>
  <c r="D151" i="21"/>
  <c r="O284" i="21"/>
  <c r="S172" i="21"/>
  <c r="H214" i="21"/>
  <c r="C157" i="21"/>
  <c r="I513" i="21"/>
  <c r="J368" i="21"/>
  <c r="N325" i="21"/>
  <c r="T484" i="21"/>
  <c r="C431" i="21"/>
  <c r="R390" i="21"/>
  <c r="Q257" i="21"/>
  <c r="D307" i="21"/>
  <c r="F326" i="21"/>
  <c r="M362" i="21"/>
  <c r="M268" i="21"/>
  <c r="J266" i="21"/>
  <c r="S359" i="21"/>
  <c r="Q291" i="21"/>
  <c r="N364" i="21"/>
  <c r="C254" i="21"/>
  <c r="T208" i="21"/>
  <c r="I363" i="21"/>
  <c r="O191" i="21"/>
  <c r="C258" i="21"/>
  <c r="H196" i="21"/>
  <c r="E558" i="21"/>
  <c r="Q407" i="21"/>
  <c r="N371" i="21"/>
  <c r="K322" i="21"/>
  <c r="Q426" i="21"/>
  <c r="K402" i="21"/>
  <c r="N298" i="21"/>
  <c r="L276" i="21"/>
  <c r="I282" i="21"/>
  <c r="Q385" i="21"/>
  <c r="J351" i="21"/>
  <c r="S330" i="21"/>
  <c r="Q434" i="21"/>
  <c r="T365" i="21"/>
  <c r="R285" i="21"/>
  <c r="Q474" i="21"/>
  <c r="E177" i="21"/>
  <c r="M237" i="21"/>
  <c r="I267" i="21"/>
  <c r="F427" i="21"/>
  <c r="J303" i="21"/>
  <c r="I328" i="21"/>
  <c r="R393" i="21"/>
  <c r="H370" i="21"/>
  <c r="E119" i="21"/>
  <c r="N378" i="21"/>
  <c r="O203" i="21"/>
  <c r="G198" i="21"/>
  <c r="H203" i="21"/>
  <c r="T148" i="21"/>
  <c r="H201" i="21"/>
  <c r="J185" i="21"/>
  <c r="H147" i="21"/>
  <c r="P166" i="21"/>
  <c r="Q9" i="21"/>
  <c r="H26" i="21"/>
  <c r="J364" i="21"/>
  <c r="E362" i="21"/>
  <c r="P247" i="21"/>
  <c r="S384" i="21"/>
  <c r="E294" i="21"/>
  <c r="L212" i="21"/>
  <c r="N320" i="21"/>
  <c r="G353" i="21"/>
  <c r="N268" i="21"/>
  <c r="D191" i="21"/>
  <c r="C121" i="21"/>
  <c r="F270" i="21"/>
  <c r="N255" i="21"/>
  <c r="C393" i="21"/>
  <c r="H444" i="21"/>
  <c r="O367" i="21"/>
  <c r="K477" i="21"/>
  <c r="N379" i="21"/>
  <c r="N389" i="21"/>
  <c r="G345" i="21"/>
  <c r="S266" i="21"/>
  <c r="M315" i="21"/>
  <c r="O348" i="21"/>
  <c r="G251" i="21"/>
  <c r="P340" i="21"/>
  <c r="D279" i="21"/>
  <c r="Q177" i="21"/>
  <c r="E539" i="21"/>
  <c r="K471" i="21"/>
  <c r="F386" i="21"/>
  <c r="G428" i="21"/>
  <c r="N413" i="21"/>
  <c r="O389" i="21"/>
  <c r="D314" i="21"/>
  <c r="M367" i="21"/>
  <c r="T404" i="21"/>
  <c r="R273" i="21"/>
  <c r="D358" i="21"/>
  <c r="F355" i="21"/>
  <c r="M349" i="21"/>
  <c r="Q300" i="21"/>
  <c r="F282" i="21"/>
  <c r="D133" i="21"/>
  <c r="K198" i="21"/>
  <c r="L271" i="21"/>
  <c r="D485" i="21"/>
  <c r="H406" i="21"/>
  <c r="N333" i="21"/>
  <c r="P397" i="21"/>
  <c r="C325" i="21"/>
  <c r="R429" i="21"/>
  <c r="E281" i="21"/>
  <c r="F342" i="21"/>
  <c r="L266" i="21"/>
  <c r="H386" i="21"/>
  <c r="P289" i="21"/>
  <c r="N244" i="21"/>
  <c r="I252" i="21"/>
  <c r="I154" i="21"/>
  <c r="K184" i="21"/>
  <c r="T323" i="21"/>
  <c r="H286" i="21"/>
  <c r="H204" i="21"/>
  <c r="K451" i="21"/>
  <c r="I352" i="21"/>
  <c r="F336" i="21"/>
  <c r="N434" i="21"/>
  <c r="S448" i="21"/>
  <c r="F313" i="21"/>
  <c r="C362" i="21"/>
  <c r="K404" i="21"/>
  <c r="Q368" i="21"/>
  <c r="T287" i="21"/>
  <c r="R257" i="21"/>
  <c r="N452" i="21"/>
  <c r="H285" i="21"/>
  <c r="J264" i="21"/>
  <c r="G424" i="21"/>
  <c r="Q129" i="21"/>
  <c r="G238" i="21"/>
  <c r="Q231" i="21"/>
  <c r="T207" i="21"/>
  <c r="Q141" i="21"/>
  <c r="M225" i="21"/>
  <c r="Q388" i="21"/>
  <c r="D369" i="21"/>
  <c r="P351" i="21"/>
  <c r="G398" i="21"/>
  <c r="C523" i="21"/>
  <c r="J381" i="21"/>
  <c r="S279" i="21"/>
  <c r="E265" i="21"/>
  <c r="H258" i="21"/>
  <c r="R324" i="21"/>
  <c r="S346" i="21"/>
  <c r="F297" i="21"/>
  <c r="G448" i="21"/>
  <c r="S322" i="21"/>
  <c r="K266" i="21"/>
  <c r="S294" i="21"/>
  <c r="J198" i="21"/>
  <c r="E267" i="21"/>
  <c r="E127" i="21"/>
  <c r="S342" i="21"/>
  <c r="P121" i="21"/>
  <c r="F442" i="21"/>
  <c r="K304" i="21"/>
  <c r="H299" i="21"/>
  <c r="T190" i="21"/>
  <c r="C296" i="21"/>
  <c r="T202" i="21"/>
  <c r="E210" i="21"/>
  <c r="F155" i="21"/>
  <c r="L293" i="21"/>
  <c r="F137" i="21"/>
  <c r="O212" i="21"/>
  <c r="E296" i="21"/>
  <c r="C138" i="21"/>
  <c r="O29" i="21"/>
  <c r="P579" i="21"/>
  <c r="G365" i="21"/>
  <c r="P265" i="21"/>
  <c r="Q191" i="21"/>
  <c r="K204" i="21"/>
  <c r="I263" i="21"/>
  <c r="N136" i="21"/>
  <c r="K121" i="21"/>
  <c r="L114" i="21"/>
  <c r="K175" i="21"/>
  <c r="P274" i="21"/>
  <c r="K264" i="21"/>
  <c r="N270" i="21"/>
  <c r="F339" i="21"/>
  <c r="N201" i="21"/>
  <c r="H136" i="21"/>
  <c r="M269" i="21"/>
  <c r="O256" i="21"/>
  <c r="J491" i="21"/>
  <c r="K488" i="21"/>
  <c r="N349" i="21"/>
  <c r="K432" i="21"/>
  <c r="C341" i="21"/>
  <c r="Q338" i="21"/>
  <c r="H309" i="21"/>
  <c r="M397" i="21"/>
  <c r="G301" i="21"/>
  <c r="I440" i="21"/>
  <c r="T367" i="21"/>
  <c r="G335" i="21"/>
  <c r="I268" i="21"/>
  <c r="D183" i="21"/>
  <c r="G469" i="21"/>
  <c r="H328" i="21"/>
  <c r="L308" i="21"/>
  <c r="M389" i="21"/>
  <c r="I383" i="21"/>
  <c r="O374" i="21"/>
  <c r="M308" i="21"/>
  <c r="J306" i="21"/>
  <c r="I384" i="21"/>
  <c r="K254" i="21"/>
  <c r="T269" i="21"/>
  <c r="E360" i="21"/>
  <c r="M311" i="21"/>
  <c r="C270" i="21"/>
  <c r="N340" i="21"/>
  <c r="N135" i="21"/>
  <c r="P203" i="21"/>
  <c r="K148" i="21"/>
  <c r="P432" i="21"/>
  <c r="J440" i="21"/>
  <c r="K333" i="21"/>
  <c r="R446" i="21"/>
  <c r="T306" i="21"/>
  <c r="T325" i="21"/>
  <c r="P262" i="21"/>
  <c r="P371" i="21"/>
  <c r="G362" i="21"/>
  <c r="R372" i="21"/>
  <c r="C271" i="21"/>
  <c r="T313" i="21"/>
  <c r="T276" i="21"/>
  <c r="N169" i="21"/>
  <c r="P213" i="21"/>
  <c r="I283" i="21"/>
  <c r="Q296" i="21"/>
  <c r="H373" i="21"/>
  <c r="K411" i="21"/>
  <c r="H326" i="21"/>
  <c r="K325" i="21"/>
  <c r="Q403" i="21"/>
  <c r="R361" i="21"/>
  <c r="R389" i="21"/>
  <c r="N299" i="21"/>
  <c r="R326" i="21"/>
  <c r="G363" i="21"/>
  <c r="G277" i="21"/>
  <c r="M327" i="21"/>
  <c r="C392" i="21"/>
  <c r="M266" i="21"/>
  <c r="O253" i="21"/>
  <c r="T252" i="21"/>
  <c r="D135" i="21"/>
  <c r="H270" i="21"/>
  <c r="D237" i="21"/>
  <c r="G220" i="21"/>
  <c r="D171" i="21"/>
  <c r="T327" i="21"/>
  <c r="I505" i="21"/>
  <c r="I426" i="21"/>
  <c r="O335" i="21"/>
  <c r="T364" i="21"/>
  <c r="D437" i="21"/>
  <c r="T428" i="21"/>
  <c r="F269" i="21"/>
  <c r="I359" i="21"/>
  <c r="E395" i="21"/>
  <c r="D360" i="21"/>
  <c r="H271" i="21"/>
  <c r="Q277" i="21"/>
  <c r="J356" i="21"/>
  <c r="F295" i="21"/>
  <c r="D247" i="21"/>
  <c r="Q276" i="21"/>
  <c r="O201" i="21"/>
  <c r="M251" i="21"/>
  <c r="J180" i="21"/>
  <c r="Q280" i="21"/>
  <c r="C141" i="21"/>
  <c r="F312" i="21"/>
  <c r="P345" i="21"/>
  <c r="M310" i="21"/>
  <c r="K297" i="21"/>
  <c r="Q123" i="21"/>
  <c r="T267" i="21"/>
  <c r="J221" i="21"/>
  <c r="S243" i="21"/>
  <c r="E128" i="21"/>
  <c r="D48" i="21"/>
  <c r="T239" i="21"/>
  <c r="G114" i="21"/>
  <c r="F229" i="21"/>
  <c r="T2" i="21"/>
  <c r="P379" i="21"/>
  <c r="N283" i="21"/>
  <c r="L393" i="21"/>
  <c r="N231" i="21"/>
  <c r="C237" i="21"/>
  <c r="E155" i="21"/>
  <c r="O88" i="21"/>
  <c r="P172" i="21"/>
  <c r="F182" i="21"/>
  <c r="P178" i="21"/>
  <c r="J257" i="21"/>
  <c r="C132" i="21"/>
  <c r="I321" i="21"/>
  <c r="R190" i="21"/>
  <c r="O357" i="21"/>
  <c r="S251" i="21"/>
  <c r="E368" i="21"/>
  <c r="S214" i="21"/>
  <c r="T388" i="21"/>
  <c r="C326" i="21"/>
  <c r="K172" i="21"/>
  <c r="S415" i="21"/>
  <c r="G399" i="21"/>
  <c r="F360" i="21"/>
  <c r="P413" i="21"/>
  <c r="T322" i="21"/>
  <c r="P314" i="21"/>
  <c r="P277" i="21"/>
  <c r="Q316" i="21"/>
  <c r="L282" i="21"/>
  <c r="R308" i="21"/>
  <c r="P305" i="21"/>
  <c r="H380" i="21"/>
  <c r="H252" i="21"/>
  <c r="I194" i="21"/>
  <c r="I452" i="21"/>
  <c r="L366" i="21"/>
  <c r="O359" i="21"/>
  <c r="I413" i="21"/>
  <c r="K368" i="21"/>
  <c r="H332" i="21"/>
  <c r="C314" i="21"/>
  <c r="S258" i="21"/>
  <c r="T303" i="21"/>
  <c r="O316" i="21"/>
  <c r="F407" i="21"/>
  <c r="P332" i="21"/>
  <c r="D271" i="21"/>
  <c r="Q169" i="21"/>
  <c r="H361" i="21"/>
  <c r="S180" i="21"/>
  <c r="C223" i="21"/>
  <c r="C173" i="21"/>
  <c r="M472" i="21"/>
  <c r="M379" i="21"/>
  <c r="D432" i="21"/>
  <c r="F400" i="21"/>
  <c r="C406" i="21"/>
  <c r="S295" i="21"/>
  <c r="H327" i="21"/>
  <c r="N296" i="21"/>
  <c r="C305" i="21"/>
  <c r="G329" i="21"/>
  <c r="R350" i="21"/>
  <c r="Q299" i="21"/>
  <c r="S310" i="21"/>
  <c r="S190" i="21"/>
  <c r="H232" i="21"/>
  <c r="E151" i="21"/>
  <c r="C266" i="21"/>
  <c r="M265" i="21"/>
  <c r="E401" i="21"/>
  <c r="J594" i="21"/>
  <c r="D384" i="21"/>
  <c r="P389" i="21"/>
  <c r="K352" i="21"/>
  <c r="I364" i="21"/>
  <c r="G276" i="21"/>
  <c r="J361" i="21"/>
  <c r="N288" i="21"/>
  <c r="L258" i="21"/>
  <c r="I296" i="21"/>
  <c r="D342" i="21"/>
  <c r="R247" i="21"/>
  <c r="G340" i="21"/>
  <c r="K301" i="21"/>
  <c r="I146" i="21"/>
  <c r="O307" i="21"/>
  <c r="R294" i="21"/>
  <c r="C255" i="21"/>
  <c r="I190" i="21"/>
  <c r="G256" i="21"/>
  <c r="E468" i="21"/>
  <c r="J360" i="21"/>
  <c r="N317" i="21"/>
  <c r="F501" i="21"/>
  <c r="C423" i="21"/>
  <c r="R383" i="21"/>
  <c r="P374" i="21"/>
  <c r="T298" i="21"/>
  <c r="R310" i="21"/>
  <c r="M354" i="21"/>
  <c r="M260" i="21"/>
  <c r="J258" i="21"/>
  <c r="S351" i="21"/>
  <c r="Q283" i="21"/>
  <c r="N332" i="21"/>
  <c r="L303" i="21"/>
  <c r="T200" i="21"/>
  <c r="I331" i="21"/>
  <c r="O183" i="21"/>
  <c r="L279" i="21"/>
  <c r="H188" i="21"/>
  <c r="L391" i="21"/>
  <c r="O281" i="21"/>
  <c r="Q306" i="21"/>
  <c r="P211" i="21"/>
  <c r="D137" i="21"/>
  <c r="G176" i="21"/>
  <c r="O232" i="21"/>
  <c r="H198" i="21"/>
  <c r="J147" i="21"/>
  <c r="G242" i="21"/>
  <c r="R191" i="21"/>
  <c r="Q188" i="21"/>
  <c r="H171" i="21"/>
  <c r="P76" i="21"/>
  <c r="P329" i="21"/>
  <c r="G279" i="21"/>
  <c r="R441" i="21"/>
  <c r="M303" i="21"/>
  <c r="H164" i="21"/>
  <c r="J176" i="21"/>
  <c r="G257" i="21"/>
  <c r="C184" i="21"/>
  <c r="T67" i="21"/>
  <c r="C190" i="21"/>
  <c r="E182" i="21"/>
  <c r="F223" i="21"/>
  <c r="K123" i="21"/>
  <c r="F29" i="21"/>
  <c r="Q75" i="21"/>
  <c r="O66" i="21"/>
  <c r="P69" i="21"/>
  <c r="N75" i="21"/>
  <c r="F17" i="21"/>
  <c r="R337" i="21"/>
  <c r="D291" i="21"/>
  <c r="M293" i="21"/>
  <c r="R282" i="21"/>
  <c r="F291" i="21"/>
  <c r="M360" i="21"/>
  <c r="H251" i="21"/>
  <c r="E283" i="21"/>
  <c r="Q290" i="21"/>
  <c r="K214" i="21"/>
  <c r="P185" i="21"/>
  <c r="E438" i="21"/>
  <c r="Q323" i="21"/>
  <c r="K349" i="21"/>
  <c r="F416" i="21"/>
  <c r="L333" i="21"/>
  <c r="G309" i="21"/>
  <c r="C251" i="21"/>
  <c r="R417" i="21"/>
  <c r="I351" i="21"/>
  <c r="P358" i="21"/>
  <c r="C287" i="21"/>
  <c r="N330" i="21"/>
  <c r="H367" i="21"/>
  <c r="S207" i="21"/>
  <c r="C484" i="21"/>
  <c r="O394" i="21"/>
  <c r="N341" i="21"/>
  <c r="K422" i="21"/>
  <c r="C333" i="21"/>
  <c r="Q328" i="21"/>
  <c r="L300" i="21"/>
  <c r="R358" i="21"/>
  <c r="G293" i="21"/>
  <c r="H498" i="21"/>
  <c r="T335" i="21"/>
  <c r="G327" i="21"/>
  <c r="I260" i="21"/>
  <c r="D175" i="21"/>
  <c r="K192" i="21"/>
  <c r="O255" i="21"/>
  <c r="H222" i="21"/>
  <c r="H212" i="21"/>
  <c r="S529" i="21"/>
  <c r="H334" i="21"/>
  <c r="S443" i="21"/>
  <c r="L322" i="21"/>
  <c r="E421" i="21"/>
  <c r="F285" i="21"/>
  <c r="R342" i="21"/>
  <c r="S285" i="21"/>
  <c r="T288" i="21"/>
  <c r="N246" i="21"/>
  <c r="I373" i="21"/>
  <c r="O262" i="21"/>
  <c r="O270" i="21"/>
  <c r="H343" i="21"/>
  <c r="F278" i="21"/>
  <c r="J196" i="21"/>
  <c r="D179" i="21"/>
  <c r="S394" i="21"/>
  <c r="O355" i="21"/>
  <c r="I447" i="21"/>
  <c r="K434" i="21"/>
  <c r="H438" i="21"/>
  <c r="D333" i="21"/>
  <c r="H344" i="21"/>
  <c r="N331" i="21"/>
  <c r="S355" i="21"/>
  <c r="S277" i="21"/>
  <c r="G330" i="21"/>
  <c r="H280" i="21"/>
  <c r="M328" i="21"/>
  <c r="M319" i="21"/>
  <c r="N339" i="21"/>
  <c r="O261" i="21"/>
  <c r="N137" i="21"/>
  <c r="O276" i="21"/>
  <c r="I128" i="21"/>
  <c r="H321" i="21"/>
  <c r="N189" i="21"/>
  <c r="I347" i="21"/>
  <c r="K403" i="21"/>
  <c r="I345" i="21"/>
  <c r="F328" i="21"/>
  <c r="N409" i="21"/>
  <c r="L439" i="21"/>
  <c r="L445" i="21"/>
  <c r="C330" i="21"/>
  <c r="J390" i="21"/>
  <c r="P360" i="21"/>
  <c r="T279" i="21"/>
  <c r="G373" i="21"/>
  <c r="O371" i="21"/>
  <c r="H277" i="21"/>
  <c r="J256" i="21"/>
  <c r="E340" i="21"/>
  <c r="Q121" i="21"/>
  <c r="L367" i="21"/>
  <c r="Q223" i="21"/>
  <c r="T198" i="21"/>
  <c r="Q133" i="21"/>
  <c r="M209" i="21"/>
  <c r="G439" i="21"/>
  <c r="T263" i="21"/>
  <c r="J287" i="21"/>
  <c r="M350" i="21"/>
  <c r="I188" i="21"/>
  <c r="Q210" i="21"/>
  <c r="P268" i="21"/>
  <c r="F236" i="21"/>
  <c r="O166" i="21"/>
  <c r="Q238" i="21"/>
  <c r="P70" i="21"/>
  <c r="D200" i="21"/>
  <c r="E288" i="21"/>
  <c r="H51" i="21"/>
  <c r="R431" i="21"/>
  <c r="F411" i="21"/>
  <c r="T337" i="21"/>
  <c r="M347" i="21"/>
  <c r="T302" i="21"/>
  <c r="O187" i="21"/>
  <c r="M135" i="21"/>
  <c r="H187" i="21"/>
  <c r="E260" i="21"/>
  <c r="H185" i="21"/>
  <c r="J177" i="21"/>
  <c r="T115" i="21"/>
  <c r="P158" i="21"/>
  <c r="F114" i="21"/>
  <c r="H18" i="21"/>
  <c r="G83" i="21"/>
  <c r="C51" i="21"/>
  <c r="G43" i="21"/>
  <c r="O48" i="21"/>
  <c r="H385" i="21"/>
  <c r="T321" i="21"/>
  <c r="T285" i="21"/>
  <c r="D371" i="21"/>
  <c r="O336" i="21"/>
  <c r="Q127" i="21"/>
  <c r="C239" i="21"/>
  <c r="C205" i="21"/>
  <c r="R499" i="21"/>
  <c r="J379" i="21"/>
  <c r="K437" i="21"/>
  <c r="L338" i="21"/>
  <c r="D416" i="21"/>
  <c r="F301" i="21"/>
  <c r="Q307" i="21"/>
  <c r="T317" i="21"/>
  <c r="T304" i="21"/>
  <c r="G346" i="21"/>
  <c r="S438" i="21"/>
  <c r="J288" i="21"/>
  <c r="J369" i="21"/>
  <c r="P263" i="21"/>
  <c r="K496" i="21"/>
  <c r="H451" i="21"/>
  <c r="F352" i="21"/>
  <c r="P405" i="21"/>
  <c r="T314" i="21"/>
  <c r="L442" i="21"/>
  <c r="P269" i="21"/>
  <c r="N407" i="21"/>
  <c r="L274" i="21"/>
  <c r="C395" i="21"/>
  <c r="P297" i="21"/>
  <c r="C345" i="21"/>
  <c r="S366" i="21"/>
  <c r="I178" i="21"/>
  <c r="P221" i="21"/>
  <c r="T355" i="21"/>
  <c r="Q304" i="21"/>
  <c r="M241" i="21"/>
  <c r="M445" i="21"/>
  <c r="Q512" i="21"/>
  <c r="D423" i="21"/>
  <c r="O373" i="21"/>
  <c r="J396" i="21"/>
  <c r="Q265" i="21"/>
  <c r="M369" i="21"/>
  <c r="F267" i="21"/>
  <c r="R322" i="21"/>
  <c r="C320" i="21"/>
  <c r="S367" i="21"/>
  <c r="T372" i="21"/>
  <c r="K146" i="21"/>
  <c r="I293" i="21"/>
  <c r="G289" i="21"/>
  <c r="O215" i="21"/>
  <c r="I198" i="21"/>
  <c r="Q243" i="21"/>
  <c r="N381" i="21"/>
  <c r="E379" i="21"/>
  <c r="D415" i="21"/>
  <c r="F393" i="21"/>
  <c r="C317" i="21"/>
  <c r="R357" i="21"/>
  <c r="E328" i="21"/>
  <c r="H281" i="21"/>
  <c r="F251" i="21"/>
  <c r="C297" i="21"/>
  <c r="C370" i="21"/>
  <c r="T253" i="21"/>
  <c r="I294" i="21"/>
  <c r="E330" i="21"/>
  <c r="K138" i="21"/>
  <c r="S182" i="21"/>
  <c r="K176" i="21"/>
  <c r="N119" i="21"/>
  <c r="O282" i="21"/>
  <c r="D340" i="21"/>
  <c r="Q235" i="21"/>
  <c r="Q392" i="21"/>
  <c r="H310" i="21"/>
  <c r="K317" i="21"/>
  <c r="K394" i="21"/>
  <c r="R353" i="21"/>
  <c r="E374" i="21"/>
  <c r="N291" i="21"/>
  <c r="L311" i="21"/>
  <c r="G355" i="21"/>
  <c r="G269" i="21"/>
  <c r="G307" i="21"/>
  <c r="C372" i="21"/>
  <c r="M258" i="21"/>
  <c r="G370" i="21"/>
  <c r="I313" i="21"/>
  <c r="D127" i="21"/>
  <c r="J377" i="21"/>
  <c r="D229" i="21"/>
  <c r="G212" i="21"/>
  <c r="D155" i="21"/>
  <c r="P295" i="21"/>
  <c r="P356" i="21"/>
  <c r="H383" i="21"/>
  <c r="E292" i="21"/>
  <c r="C298" i="21"/>
  <c r="N211" i="21"/>
  <c r="D214" i="21"/>
  <c r="R211" i="21"/>
  <c r="Q160" i="21"/>
  <c r="P258" i="21"/>
  <c r="D218" i="21"/>
  <c r="T260" i="21"/>
  <c r="I211" i="21"/>
  <c r="I69" i="21"/>
  <c r="F83" i="21"/>
  <c r="H374" i="21"/>
  <c r="D293" i="21"/>
  <c r="M288" i="21"/>
  <c r="T182" i="21"/>
  <c r="C288" i="21"/>
  <c r="T194" i="21"/>
  <c r="E202" i="21"/>
  <c r="F147" i="21"/>
  <c r="D252" i="21"/>
  <c r="F129" i="21"/>
  <c r="O204" i="21"/>
  <c r="I265" i="21"/>
  <c r="C114" i="21"/>
  <c r="O21" i="21"/>
  <c r="E244" i="21"/>
  <c r="E256" i="21"/>
  <c r="S74" i="21"/>
  <c r="R9" i="21"/>
  <c r="F158" i="21"/>
  <c r="J357" i="21"/>
  <c r="E352" i="21"/>
  <c r="C262" i="21"/>
  <c r="H346" i="21"/>
  <c r="E286" i="21"/>
  <c r="L204" i="21"/>
  <c r="R256" i="21"/>
  <c r="K308" i="21"/>
  <c r="S124" i="21"/>
  <c r="L184" i="21"/>
  <c r="P208" i="21"/>
  <c r="J45" i="21"/>
  <c r="F224" i="21"/>
  <c r="S60" i="21"/>
  <c r="O18" i="21"/>
  <c r="J63" i="21"/>
  <c r="G157" i="21"/>
  <c r="F200" i="21"/>
  <c r="S440" i="21"/>
  <c r="K495" i="21"/>
  <c r="H363" i="21"/>
  <c r="P115" i="21"/>
  <c r="S345" i="21"/>
  <c r="G128" i="21"/>
  <c r="O200" i="21"/>
  <c r="G196" i="21"/>
  <c r="R284" i="21"/>
  <c r="S158" i="21"/>
  <c r="R151" i="21"/>
  <c r="Q164" i="21"/>
  <c r="D76" i="21"/>
  <c r="I81" i="21"/>
  <c r="S51" i="21"/>
  <c r="T68" i="21"/>
  <c r="E15" i="21"/>
  <c r="F54" i="21"/>
  <c r="N329" i="21"/>
  <c r="G252" i="21"/>
  <c r="E309" i="21"/>
  <c r="F274" i="21"/>
  <c r="C189" i="21"/>
  <c r="E115" i="21"/>
  <c r="O64" i="21"/>
  <c r="P132" i="21"/>
  <c r="O78" i="21"/>
  <c r="P138" i="21"/>
  <c r="L225" i="21"/>
  <c r="H239" i="21"/>
  <c r="K235" i="21"/>
  <c r="M37" i="21"/>
  <c r="C34" i="21"/>
  <c r="E236" i="21"/>
  <c r="F49" i="21"/>
  <c r="I74" i="21"/>
  <c r="G25" i="21"/>
  <c r="E479" i="21"/>
  <c r="S337" i="21"/>
  <c r="J190" i="21"/>
  <c r="Q205" i="21"/>
  <c r="N155" i="21"/>
  <c r="D166" i="21"/>
  <c r="R155" i="21"/>
  <c r="D244" i="21"/>
  <c r="R201" i="21"/>
  <c r="D154" i="21"/>
  <c r="J382" i="21"/>
  <c r="S263" i="21"/>
  <c r="F371" i="21"/>
  <c r="D157" i="21"/>
  <c r="P241" i="21"/>
  <c r="E235" i="21"/>
  <c r="J59" i="21"/>
  <c r="P228" i="21"/>
  <c r="L301" i="21"/>
  <c r="T78" i="21"/>
  <c r="F35" i="21"/>
  <c r="T74" i="21"/>
  <c r="K363" i="21"/>
  <c r="P147" i="21"/>
  <c r="E147" i="21"/>
  <c r="M127" i="21"/>
  <c r="G214" i="21"/>
  <c r="R233" i="21"/>
  <c r="N224" i="21"/>
  <c r="C124" i="21"/>
  <c r="P126" i="21"/>
  <c r="C93" i="21"/>
  <c r="I84" i="21"/>
  <c r="O27" i="21"/>
  <c r="I90" i="21"/>
  <c r="F38" i="21"/>
  <c r="G260" i="21"/>
  <c r="G302" i="21"/>
  <c r="P306" i="21"/>
  <c r="N179" i="21"/>
  <c r="N212" i="21"/>
  <c r="P148" i="21"/>
  <c r="G184" i="21"/>
  <c r="M176" i="21"/>
  <c r="E189" i="21"/>
  <c r="L166" i="21"/>
  <c r="N47" i="21"/>
  <c r="H2" i="21"/>
  <c r="S169" i="21"/>
  <c r="H8" i="21"/>
  <c r="F178" i="21"/>
  <c r="J421" i="21"/>
  <c r="S299" i="21"/>
  <c r="D221" i="21"/>
  <c r="S286" i="21"/>
  <c r="E157" i="21"/>
  <c r="R171" i="21"/>
  <c r="I135" i="21"/>
  <c r="K127" i="21"/>
  <c r="J129" i="21"/>
  <c r="G366" i="21"/>
  <c r="L133" i="21"/>
  <c r="H86" i="21"/>
  <c r="J16" i="21"/>
  <c r="L92" i="21"/>
  <c r="J14" i="21"/>
  <c r="M398" i="21"/>
  <c r="S262" i="21"/>
  <c r="N121" i="21"/>
  <c r="T359" i="21"/>
  <c r="E243" i="21"/>
  <c r="D278" i="21"/>
  <c r="C315" i="21"/>
  <c r="T241" i="21"/>
  <c r="N192" i="21"/>
  <c r="P335" i="21"/>
  <c r="P291" i="21"/>
  <c r="O300" i="21"/>
  <c r="O296" i="21"/>
  <c r="O326" i="21"/>
  <c r="E138" i="21"/>
  <c r="S160" i="21"/>
  <c r="O222" i="21"/>
  <c r="G124" i="21"/>
  <c r="R119" i="21"/>
  <c r="Q124" i="21"/>
  <c r="D52" i="21"/>
  <c r="S221" i="21"/>
  <c r="L90" i="21"/>
  <c r="L211" i="21"/>
  <c r="E84" i="21"/>
  <c r="N23" i="21"/>
  <c r="M419" i="21"/>
  <c r="T383" i="21"/>
  <c r="I278" i="21"/>
  <c r="S188" i="21"/>
  <c r="G342" i="21"/>
  <c r="J232" i="21"/>
  <c r="R146" i="21"/>
  <c r="L251" i="21"/>
  <c r="O54" i="21"/>
  <c r="E247" i="21"/>
  <c r="E238" i="21"/>
  <c r="H215" i="21"/>
  <c r="K203" i="21"/>
  <c r="G13" i="21"/>
  <c r="F42" i="21"/>
  <c r="O146" i="21"/>
  <c r="L151" i="21"/>
  <c r="I50" i="21"/>
  <c r="I29" i="21"/>
  <c r="D421" i="21"/>
  <c r="H255" i="21"/>
  <c r="O177" i="21"/>
  <c r="I314" i="21"/>
  <c r="N115" i="21"/>
  <c r="R300" i="21"/>
  <c r="R115" i="21"/>
  <c r="D220" i="21"/>
  <c r="R169" i="21"/>
  <c r="D114" i="21"/>
  <c r="I115" i="21"/>
  <c r="N60" i="21"/>
  <c r="M188" i="21"/>
  <c r="L177" i="21"/>
  <c r="H65" i="21"/>
  <c r="I394" i="21"/>
  <c r="T242" i="21"/>
  <c r="D266" i="21"/>
  <c r="C178" i="21"/>
  <c r="R73" i="21"/>
  <c r="F401" i="21"/>
  <c r="G248" i="21"/>
  <c r="N210" i="21"/>
  <c r="I204" i="21"/>
  <c r="I56" i="21"/>
  <c r="P57" i="21"/>
  <c r="M26" i="21"/>
  <c r="E371" i="21"/>
  <c r="K220" i="21"/>
  <c r="L146" i="21"/>
  <c r="Q242" i="21"/>
  <c r="R220" i="21"/>
  <c r="L53" i="21"/>
  <c r="P14" i="21"/>
  <c r="N194" i="21"/>
  <c r="H173" i="21"/>
  <c r="R173" i="21"/>
  <c r="Q60" i="21"/>
  <c r="S312" i="21"/>
  <c r="G344" i="21"/>
  <c r="J168" i="21"/>
  <c r="E194" i="21"/>
  <c r="L297" i="21"/>
  <c r="T157" i="21"/>
  <c r="H182" i="21"/>
  <c r="F215" i="21"/>
  <c r="P276" i="21"/>
  <c r="H141" i="21"/>
  <c r="N53" i="21"/>
  <c r="L205" i="21"/>
  <c r="N67" i="21"/>
  <c r="L558" i="21"/>
  <c r="L268" i="21"/>
  <c r="R277" i="21"/>
  <c r="I254" i="21"/>
  <c r="D324" i="21"/>
  <c r="L196" i="21"/>
  <c r="C168" i="21"/>
  <c r="E224" i="21"/>
  <c r="Q207" i="21"/>
  <c r="S114" i="21"/>
  <c r="J37" i="21"/>
  <c r="F13" i="21"/>
  <c r="D261" i="21"/>
  <c r="Q68" i="21"/>
  <c r="E124" i="21"/>
  <c r="S129" i="21"/>
  <c r="K328" i="21"/>
  <c r="D310" i="21"/>
  <c r="E290" i="21"/>
  <c r="I329" i="21"/>
  <c r="G92" i="21"/>
  <c r="P50" i="21"/>
  <c r="L242" i="21"/>
  <c r="C158" i="21"/>
  <c r="O180" i="21"/>
  <c r="Q148" i="21"/>
  <c r="G61" i="21"/>
  <c r="L171" i="21"/>
  <c r="L125" i="21"/>
  <c r="S50" i="21"/>
  <c r="K40" i="21"/>
  <c r="P343" i="21"/>
  <c r="F310" i="21"/>
  <c r="K283" i="21"/>
  <c r="O304" i="21"/>
  <c r="J295" i="21"/>
  <c r="E146" i="21"/>
  <c r="G172" i="21"/>
  <c r="P80" i="21"/>
  <c r="L160" i="21"/>
  <c r="E405" i="21"/>
  <c r="S329" i="21"/>
  <c r="P294" i="21"/>
  <c r="C125" i="21"/>
  <c r="O123" i="21"/>
  <c r="J149" i="21"/>
  <c r="Q208" i="21"/>
  <c r="T233" i="21"/>
  <c r="Q182" i="21"/>
  <c r="G171" i="21"/>
  <c r="D136" i="21"/>
  <c r="T221" i="21"/>
  <c r="M68" i="21"/>
  <c r="D79" i="21"/>
  <c r="G27" i="21"/>
  <c r="C11" i="21"/>
  <c r="M121" i="21"/>
  <c r="N462" i="21"/>
  <c r="I327" i="21"/>
  <c r="F287" i="21"/>
  <c r="I299" i="21"/>
  <c r="M177" i="21"/>
  <c r="R266" i="21"/>
  <c r="O157" i="21"/>
  <c r="P264" i="21"/>
  <c r="E125" i="21"/>
  <c r="F256" i="21"/>
  <c r="J241" i="21"/>
  <c r="F135" i="21"/>
  <c r="P214" i="21"/>
  <c r="R62" i="21"/>
  <c r="C5" i="21"/>
  <c r="H67" i="21"/>
  <c r="G135" i="21"/>
  <c r="G82" i="21"/>
  <c r="G38" i="21"/>
  <c r="J371" i="21"/>
  <c r="H357" i="21"/>
  <c r="O252" i="21"/>
  <c r="P278" i="21"/>
  <c r="O279" i="21"/>
  <c r="I121" i="21"/>
  <c r="L246" i="21"/>
  <c r="I239" i="21"/>
  <c r="P56" i="21"/>
  <c r="I141" i="21"/>
  <c r="L277" i="21"/>
  <c r="L238" i="21"/>
  <c r="S91" i="21"/>
  <c r="C85" i="21"/>
  <c r="G68" i="21"/>
  <c r="P15" i="21"/>
  <c r="I89" i="21"/>
  <c r="R87" i="21"/>
  <c r="N309" i="21"/>
  <c r="F405" i="21"/>
  <c r="S308" i="21"/>
  <c r="T261" i="21"/>
  <c r="Q171" i="21"/>
  <c r="G232" i="21"/>
  <c r="E246" i="21"/>
  <c r="D58" i="21"/>
  <c r="E168" i="21"/>
  <c r="D72" i="21"/>
  <c r="O124" i="21"/>
  <c r="G166" i="21"/>
  <c r="H189" i="21"/>
  <c r="T26" i="21"/>
  <c r="J70" i="21"/>
  <c r="K6" i="21"/>
  <c r="Q383" i="21"/>
  <c r="C252" i="21"/>
  <c r="K137" i="21"/>
  <c r="J64" i="21"/>
  <c r="Q80" i="21"/>
  <c r="S132" i="21"/>
  <c r="F75" i="21"/>
  <c r="H49" i="21"/>
  <c r="P321" i="21"/>
  <c r="T398" i="21"/>
  <c r="Q246" i="21"/>
  <c r="O179" i="21"/>
  <c r="O208" i="21"/>
  <c r="Q128" i="21"/>
  <c r="S396" i="21"/>
  <c r="L241" i="21"/>
  <c r="D86" i="21"/>
  <c r="D84" i="21"/>
  <c r="F67" i="21"/>
  <c r="T35" i="21"/>
  <c r="F65" i="21"/>
  <c r="S33" i="21"/>
  <c r="N337" i="21"/>
  <c r="J346" i="21"/>
  <c r="K285" i="21"/>
  <c r="Q237" i="21"/>
  <c r="G286" i="21"/>
  <c r="O72" i="21"/>
  <c r="D264" i="21"/>
  <c r="J243" i="21"/>
  <c r="D194" i="21"/>
  <c r="K189" i="21"/>
  <c r="K243" i="21"/>
  <c r="T42" i="21"/>
  <c r="T87" i="21"/>
  <c r="F19" i="21"/>
  <c r="H75" i="21"/>
  <c r="G33" i="21"/>
  <c r="Q382" i="21"/>
  <c r="J438" i="21"/>
  <c r="J172" i="21"/>
  <c r="D241" i="21"/>
  <c r="D182" i="21"/>
  <c r="T204" i="21"/>
  <c r="N128" i="21"/>
  <c r="F241" i="21"/>
  <c r="T191" i="21"/>
  <c r="I171" i="21"/>
  <c r="F296" i="21"/>
  <c r="L28" i="21"/>
  <c r="G59" i="21"/>
  <c r="L34" i="21"/>
  <c r="I53" i="21"/>
  <c r="K414" i="21"/>
  <c r="P299" i="21"/>
  <c r="C185" i="21"/>
  <c r="E258" i="21"/>
  <c r="O147" i="21"/>
  <c r="J157" i="21"/>
  <c r="Q224" i="21"/>
  <c r="O221" i="21"/>
  <c r="S192" i="21"/>
  <c r="H414" i="21"/>
  <c r="H256" i="21"/>
  <c r="Q298" i="21"/>
  <c r="M185" i="21"/>
  <c r="T114" i="21"/>
  <c r="T187" i="21"/>
  <c r="D236" i="21"/>
  <c r="R185" i="21"/>
  <c r="D146" i="21"/>
  <c r="T180" i="21"/>
  <c r="I147" i="21"/>
  <c r="T79" i="21"/>
  <c r="R196" i="21"/>
  <c r="I52" i="21"/>
  <c r="O12" i="21"/>
  <c r="K59" i="21"/>
  <c r="N84" i="21"/>
  <c r="J449" i="21"/>
  <c r="H265" i="21"/>
  <c r="S426" i="21"/>
  <c r="O231" i="21"/>
  <c r="N342" i="21"/>
  <c r="D313" i="21"/>
  <c r="L237" i="21"/>
  <c r="F211" i="21"/>
  <c r="M125" i="21"/>
  <c r="F209" i="21"/>
  <c r="R272" i="21"/>
  <c r="D46" i="21"/>
  <c r="C202" i="21"/>
  <c r="P9" i="21"/>
  <c r="S34" i="21"/>
  <c r="R89" i="21"/>
  <c r="H68" i="21"/>
  <c r="G115" i="21"/>
  <c r="K62" i="21"/>
  <c r="T412" i="21"/>
  <c r="Q262" i="21"/>
  <c r="H192" i="21"/>
  <c r="L388" i="21"/>
  <c r="I361" i="21"/>
  <c r="D272" i="21"/>
  <c r="S126" i="21"/>
  <c r="L262" i="21"/>
  <c r="M243" i="21"/>
  <c r="J253" i="21"/>
  <c r="K133" i="21"/>
  <c r="T93" i="21"/>
  <c r="J80" i="21"/>
  <c r="H54" i="21"/>
  <c r="Q45" i="21"/>
  <c r="E228" i="21"/>
  <c r="S89" i="21"/>
  <c r="J76" i="21"/>
  <c r="H449" i="21"/>
  <c r="J300" i="21"/>
  <c r="H313" i="21"/>
  <c r="K126" i="21"/>
  <c r="D185" i="21"/>
  <c r="M219" i="21"/>
  <c r="J125" i="21"/>
  <c r="E133" i="21"/>
  <c r="J179" i="21"/>
  <c r="O213" i="21"/>
  <c r="R231" i="21"/>
  <c r="Q212" i="21"/>
  <c r="F133" i="21"/>
  <c r="L269" i="21"/>
  <c r="N138" i="21"/>
  <c r="I26" i="21"/>
  <c r="L192" i="21"/>
  <c r="S68" i="21"/>
  <c r="F73" i="21"/>
  <c r="M391" i="21"/>
  <c r="E311" i="21"/>
  <c r="N133" i="21"/>
  <c r="T178" i="21"/>
  <c r="T235" i="21"/>
  <c r="D172" i="21"/>
  <c r="K151" i="21"/>
  <c r="E166" i="21"/>
  <c r="J138" i="21"/>
  <c r="I337" i="21"/>
  <c r="P55" i="21"/>
  <c r="J32" i="21"/>
  <c r="P61" i="21"/>
  <c r="Q87" i="21"/>
  <c r="D401" i="21"/>
  <c r="I274" i="21"/>
  <c r="P302" i="21"/>
  <c r="I238" i="21"/>
  <c r="E278" i="21"/>
  <c r="E264" i="21"/>
  <c r="F115" i="21"/>
  <c r="P304" i="21"/>
  <c r="I205" i="21"/>
  <c r="P200" i="21"/>
  <c r="J285" i="21"/>
  <c r="O5" i="21"/>
  <c r="H151" i="21"/>
  <c r="Q86" i="21"/>
  <c r="G125" i="21"/>
  <c r="Q79" i="21"/>
  <c r="I340" i="21"/>
  <c r="K309" i="21"/>
  <c r="G204" i="21"/>
  <c r="R270" i="21"/>
  <c r="I177" i="21"/>
  <c r="K233" i="21"/>
  <c r="L369" i="21"/>
  <c r="M190" i="21"/>
  <c r="R135" i="21"/>
  <c r="N190" i="21"/>
  <c r="R114" i="21"/>
  <c r="C29" i="21"/>
  <c r="M232" i="21"/>
  <c r="E7" i="21"/>
  <c r="G57" i="21"/>
  <c r="S376" i="21"/>
  <c r="H264" i="21"/>
  <c r="C348" i="21"/>
  <c r="C133" i="21"/>
  <c r="T138" i="21"/>
  <c r="O184" i="21"/>
  <c r="D132" i="21"/>
  <c r="R242" i="21"/>
  <c r="L281" i="21"/>
  <c r="E441" i="21"/>
  <c r="F281" i="21"/>
  <c r="S204" i="21"/>
  <c r="H376" i="21"/>
  <c r="J114" i="21"/>
  <c r="R147" i="21"/>
  <c r="D124" i="21"/>
  <c r="P72" i="21"/>
  <c r="I157" i="21"/>
  <c r="R232" i="21"/>
  <c r="D284" i="21"/>
  <c r="G213" i="21"/>
  <c r="G175" i="21"/>
  <c r="G84" i="21"/>
  <c r="P31" i="21"/>
  <c r="P60" i="21"/>
  <c r="G189" i="21"/>
  <c r="O327" i="21"/>
  <c r="J383" i="21"/>
  <c r="O364" i="21"/>
  <c r="L261" i="21"/>
  <c r="Q187" i="21"/>
  <c r="F294" i="21"/>
  <c r="E114" i="21"/>
  <c r="D74" i="21"/>
  <c r="E184" i="21"/>
  <c r="D88" i="21"/>
  <c r="O148" i="21"/>
  <c r="G190" i="21"/>
  <c r="H213" i="21"/>
  <c r="N44" i="21"/>
  <c r="P244" i="21"/>
  <c r="J86" i="21"/>
  <c r="E44" i="21"/>
  <c r="K22" i="21"/>
  <c r="J403" i="21"/>
  <c r="J406" i="21"/>
  <c r="J307" i="21"/>
  <c r="J308" i="21"/>
  <c r="O280" i="21"/>
  <c r="I303" i="21"/>
  <c r="L148" i="21"/>
  <c r="K185" i="21"/>
  <c r="L194" i="21"/>
  <c r="K231" i="21"/>
  <c r="C316" i="21"/>
  <c r="P160" i="21"/>
  <c r="G414" i="21"/>
  <c r="O61" i="21"/>
  <c r="M28" i="21"/>
  <c r="K16" i="21"/>
  <c r="F160" i="21"/>
  <c r="L56" i="21"/>
  <c r="O57" i="21"/>
  <c r="G535" i="21"/>
  <c r="M344" i="21"/>
  <c r="F258" i="21"/>
  <c r="P282" i="21"/>
  <c r="I212" i="21"/>
  <c r="F261" i="21"/>
  <c r="O136" i="21"/>
  <c r="M339" i="21"/>
  <c r="O198" i="21"/>
  <c r="F242" i="21"/>
  <c r="T149" i="21"/>
  <c r="D232" i="21"/>
  <c r="F198" i="21"/>
  <c r="H79" i="21"/>
  <c r="L66" i="21"/>
  <c r="N91" i="21"/>
  <c r="E304" i="21"/>
  <c r="Q73" i="21"/>
  <c r="Q67" i="21"/>
  <c r="R315" i="21"/>
  <c r="M280" i="21"/>
  <c r="H148" i="21"/>
  <c r="G136" i="21"/>
  <c r="R187" i="21"/>
  <c r="I175" i="21"/>
  <c r="P154" i="21"/>
  <c r="J169" i="21"/>
  <c r="Q172" i="21"/>
  <c r="G235" i="21"/>
  <c r="F180" i="21"/>
  <c r="I31" i="21"/>
  <c r="S215" i="21"/>
  <c r="F86" i="21"/>
  <c r="M478" i="21"/>
  <c r="N272" i="21"/>
  <c r="E169" i="21"/>
  <c r="E312" i="21"/>
  <c r="E123" i="21"/>
  <c r="M119" i="21"/>
  <c r="I71" i="21"/>
  <c r="R225" i="21"/>
  <c r="N208" i="21"/>
  <c r="P288" i="21"/>
  <c r="R304" i="21"/>
  <c r="M35" i="21"/>
  <c r="I76" i="21"/>
  <c r="O19" i="21"/>
  <c r="I82" i="21"/>
  <c r="P29" i="21"/>
  <c r="N282" i="21"/>
  <c r="C530" i="21"/>
  <c r="O266" i="21"/>
  <c r="N171" i="21"/>
  <c r="N204" i="21"/>
  <c r="T244" i="21"/>
  <c r="M171" i="21"/>
  <c r="C310" i="21"/>
  <c r="J242" i="21"/>
  <c r="L158" i="21"/>
  <c r="T54" i="21"/>
  <c r="L147" i="21"/>
  <c r="S137" i="21"/>
  <c r="L38" i="21"/>
  <c r="F146" i="21"/>
  <c r="H422" i="21"/>
  <c r="F289" i="21"/>
  <c r="D213" i="21"/>
  <c r="C364" i="21"/>
  <c r="J210" i="21"/>
  <c r="T203" i="21"/>
  <c r="I127" i="21"/>
  <c r="K119" i="21"/>
  <c r="J121" i="21"/>
  <c r="L428" i="21"/>
  <c r="Q371" i="21"/>
  <c r="O328" i="21"/>
  <c r="Q203" i="21"/>
  <c r="Q138" i="21"/>
  <c r="F268" i="21"/>
  <c r="I119" i="21"/>
  <c r="O125" i="21"/>
  <c r="N184" i="21"/>
  <c r="K149" i="21"/>
  <c r="M222" i="21"/>
  <c r="N124" i="21"/>
  <c r="H70" i="21"/>
  <c r="S3" i="21"/>
  <c r="O26" i="21"/>
  <c r="N48" i="21"/>
  <c r="N92" i="21"/>
  <c r="D399" i="21"/>
  <c r="N344" i="21"/>
  <c r="J291" i="21"/>
  <c r="K207" i="21"/>
  <c r="D209" i="21"/>
  <c r="T212" i="21"/>
  <c r="J141" i="21"/>
  <c r="O320" i="21"/>
  <c r="J203" i="21"/>
  <c r="E205" i="21"/>
  <c r="E251" i="21"/>
  <c r="Q228" i="21"/>
  <c r="F149" i="21"/>
  <c r="M3" i="21"/>
  <c r="N50" i="21"/>
  <c r="O75" i="21"/>
  <c r="L10" i="21"/>
  <c r="Q43" i="21"/>
  <c r="S487" i="21"/>
  <c r="F253" i="21"/>
  <c r="J341" i="21"/>
  <c r="I232" i="21"/>
  <c r="P225" i="21"/>
  <c r="E211" i="21"/>
  <c r="J43" i="21"/>
  <c r="P212" i="21"/>
  <c r="J65" i="21"/>
  <c r="P242" i="21"/>
  <c r="G158" i="21"/>
  <c r="C188" i="21"/>
  <c r="S128" i="21"/>
  <c r="M85" i="21"/>
  <c r="O24" i="21"/>
  <c r="K46" i="21"/>
  <c r="M58" i="21"/>
  <c r="D53" i="21"/>
  <c r="M73" i="21"/>
  <c r="L406" i="21"/>
  <c r="T264" i="21"/>
  <c r="S386" i="21"/>
  <c r="Q272" i="21"/>
  <c r="N243" i="21"/>
  <c r="I247" i="21"/>
  <c r="R243" i="21"/>
  <c r="Q184" i="21"/>
  <c r="T201" i="21"/>
  <c r="Q126" i="21"/>
  <c r="C76" i="21"/>
  <c r="I243" i="21"/>
  <c r="F218" i="21"/>
  <c r="G209" i="21"/>
  <c r="D55" i="21"/>
  <c r="G3" i="21"/>
  <c r="R88" i="21"/>
  <c r="D280" i="21"/>
  <c r="I336" i="21"/>
  <c r="T438" i="21"/>
  <c r="J248" i="21"/>
  <c r="E183" i="21"/>
  <c r="P224" i="21"/>
  <c r="E25" i="21"/>
  <c r="H24" i="21"/>
  <c r="E377" i="21"/>
  <c r="F290" i="21"/>
  <c r="T278" i="21"/>
  <c r="Q194" i="21"/>
  <c r="P66" i="21"/>
  <c r="M198" i="21"/>
  <c r="C182" i="21"/>
  <c r="O196" i="21"/>
  <c r="D184" i="21"/>
  <c r="G77" i="21"/>
  <c r="O46" i="21"/>
  <c r="C56" i="21"/>
  <c r="S66" i="21"/>
  <c r="G24" i="21"/>
  <c r="E363" i="21"/>
  <c r="T343" i="21"/>
  <c r="O350" i="21"/>
  <c r="K303" i="21"/>
  <c r="J160" i="21"/>
  <c r="E178" i="21"/>
  <c r="F254" i="21"/>
  <c r="T125" i="21"/>
  <c r="L176" i="21"/>
  <c r="F191" i="21"/>
  <c r="C246" i="21"/>
  <c r="Q92" i="21"/>
  <c r="L215" i="21"/>
  <c r="C90" i="21"/>
  <c r="N59" i="21"/>
  <c r="Q565" i="21"/>
  <c r="L260" i="21"/>
  <c r="R269" i="21"/>
  <c r="R248" i="21"/>
  <c r="Q446" i="21"/>
  <c r="L188" i="21"/>
  <c r="C160" i="21"/>
  <c r="E208" i="21"/>
  <c r="M149" i="21"/>
  <c r="D298" i="21"/>
  <c r="F207" i="21"/>
  <c r="F5" i="21"/>
  <c r="O154" i="21"/>
  <c r="T60" i="21"/>
  <c r="J175" i="21"/>
  <c r="O89" i="21"/>
  <c r="D317" i="21"/>
  <c r="M312" i="21"/>
  <c r="S236" i="21"/>
  <c r="Q211" i="21"/>
  <c r="D282" i="21"/>
  <c r="P42" i="21"/>
  <c r="L218" i="21"/>
  <c r="P114" i="21"/>
  <c r="O172" i="21"/>
  <c r="S446" i="21"/>
  <c r="D289" i="21"/>
  <c r="R290" i="21"/>
  <c r="D225" i="21"/>
  <c r="D158" i="21"/>
  <c r="G218" i="21"/>
  <c r="L210" i="21"/>
  <c r="L289" i="21"/>
  <c r="L136" i="21"/>
  <c r="P176" i="21"/>
  <c r="G288" i="21"/>
  <c r="O77" i="21"/>
  <c r="Q46" i="21"/>
  <c r="K32" i="21"/>
  <c r="I55" i="21"/>
  <c r="L72" i="21"/>
  <c r="O73" i="21"/>
  <c r="T357" i="21"/>
  <c r="D352" i="21"/>
  <c r="Q268" i="21"/>
  <c r="C151" i="21"/>
  <c r="I228" i="21"/>
  <c r="F238" i="21"/>
  <c r="O168" i="21"/>
  <c r="M151" i="21"/>
  <c r="O214" i="21"/>
  <c r="D306" i="21"/>
  <c r="M236" i="21"/>
  <c r="J293" i="21"/>
  <c r="D44" i="21"/>
  <c r="F168" i="21"/>
  <c r="L82" i="21"/>
  <c r="H169" i="21"/>
  <c r="E52" i="21"/>
  <c r="N15" i="21"/>
  <c r="F387" i="21"/>
  <c r="I370" i="21"/>
  <c r="I270" i="21"/>
  <c r="E443" i="21"/>
  <c r="P270" i="21"/>
  <c r="J224" i="21"/>
  <c r="O115" i="21"/>
  <c r="C232" i="21"/>
  <c r="S213" i="21"/>
  <c r="C238" i="21"/>
  <c r="E222" i="21"/>
  <c r="H191" i="21"/>
  <c r="K187" i="21"/>
  <c r="G5" i="21"/>
  <c r="D33" i="21"/>
  <c r="M218" i="21"/>
  <c r="M224" i="21"/>
  <c r="S211" i="21"/>
  <c r="O92" i="21"/>
  <c r="C415" i="21"/>
  <c r="M252" i="21"/>
  <c r="T192" i="21"/>
  <c r="D243" i="21"/>
  <c r="F298" i="21"/>
  <c r="P256" i="21"/>
  <c r="M207" i="21"/>
  <c r="D212" i="21"/>
  <c r="R137" i="21"/>
  <c r="R276" i="21"/>
  <c r="G192" i="21"/>
  <c r="P284" i="21"/>
  <c r="T51" i="21"/>
  <c r="T121" i="21"/>
  <c r="N114" i="21"/>
  <c r="N40" i="21"/>
  <c r="S24" i="21"/>
  <c r="T55" i="21"/>
  <c r="N458" i="21"/>
  <c r="H317" i="21"/>
  <c r="K307" i="21"/>
  <c r="T238" i="21"/>
  <c r="C304" i="21"/>
  <c r="T210" i="21"/>
  <c r="E218" i="21"/>
  <c r="F171" i="21"/>
  <c r="L235" i="21"/>
  <c r="F169" i="21"/>
  <c r="O220" i="21"/>
  <c r="L285" i="21"/>
  <c r="O43" i="21"/>
  <c r="G50" i="21"/>
  <c r="L41" i="21"/>
  <c r="T119" i="21"/>
  <c r="S231" i="21"/>
  <c r="N29" i="21"/>
  <c r="F82" i="21"/>
  <c r="M70" i="21"/>
  <c r="I49" i="21"/>
  <c r="D71" i="21"/>
  <c r="M169" i="21"/>
  <c r="H207" i="21"/>
  <c r="H243" i="21"/>
  <c r="H241" i="21"/>
  <c r="J233" i="21"/>
  <c r="P207" i="21"/>
  <c r="C43" i="21"/>
  <c r="T57" i="21"/>
  <c r="C91" i="21"/>
  <c r="Q29" i="21"/>
  <c r="K343" i="21"/>
  <c r="K200" i="21"/>
  <c r="J374" i="21"/>
  <c r="M257" i="21"/>
  <c r="P48" i="21"/>
  <c r="I133" i="21"/>
  <c r="L222" i="21"/>
  <c r="C77" i="21"/>
  <c r="G60" i="21"/>
  <c r="O76" i="21"/>
  <c r="F320" i="21"/>
  <c r="P352" i="21"/>
  <c r="H377" i="21"/>
  <c r="Q147" i="21"/>
  <c r="J229" i="21"/>
  <c r="D42" i="21"/>
  <c r="D56" i="21"/>
  <c r="K251" i="21"/>
  <c r="S83" i="21"/>
  <c r="E5" i="21"/>
  <c r="R69" i="21"/>
  <c r="F18" i="21"/>
  <c r="P20" i="21"/>
  <c r="O28" i="21"/>
  <c r="C244" i="21"/>
  <c r="R192" i="21"/>
  <c r="F304" i="21"/>
  <c r="O341" i="21"/>
  <c r="S306" i="21"/>
  <c r="C280" i="21"/>
  <c r="D198" i="21"/>
  <c r="O246" i="21"/>
  <c r="S149" i="21"/>
  <c r="D300" i="21"/>
  <c r="R175" i="21"/>
  <c r="I187" i="21"/>
  <c r="R43" i="21"/>
  <c r="E17" i="21"/>
  <c r="G75" i="21"/>
  <c r="E23" i="21"/>
  <c r="I75" i="21"/>
  <c r="O386" i="21"/>
  <c r="J343" i="21"/>
  <c r="J255" i="21"/>
  <c r="C213" i="21"/>
  <c r="O171" i="21"/>
  <c r="J189" i="21"/>
  <c r="S336" i="21"/>
  <c r="I297" i="21"/>
  <c r="L233" i="21"/>
  <c r="D78" i="21"/>
  <c r="F205" i="21"/>
  <c r="F59" i="21"/>
  <c r="S27" i="21"/>
  <c r="F57" i="21"/>
  <c r="S25" i="21"/>
  <c r="N447" i="21"/>
  <c r="J337" i="21"/>
  <c r="K277" i="21"/>
  <c r="Q221" i="21"/>
  <c r="M275" i="21"/>
  <c r="J75" i="21"/>
  <c r="F243" i="21"/>
  <c r="J235" i="21"/>
  <c r="D178" i="21"/>
  <c r="K173" i="21"/>
  <c r="S176" i="21"/>
  <c r="P33" i="21"/>
  <c r="N78" i="21"/>
  <c r="F11" i="21"/>
  <c r="T65" i="21"/>
  <c r="T50" i="21"/>
  <c r="K483" i="21"/>
  <c r="C389" i="21"/>
  <c r="J164" i="21"/>
  <c r="D233" i="21"/>
  <c r="Q146" i="21"/>
  <c r="F306" i="21"/>
  <c r="J89" i="21"/>
  <c r="F233" i="21"/>
  <c r="T183" i="21"/>
  <c r="H322" i="21"/>
  <c r="S297" i="21"/>
  <c r="T283" i="21"/>
  <c r="I124" i="21"/>
  <c r="I137" i="21"/>
  <c r="K209" i="21"/>
  <c r="J81" i="21"/>
  <c r="Q310" i="21"/>
  <c r="G180" i="21"/>
  <c r="C204" i="21"/>
  <c r="S154" i="21"/>
  <c r="H177" i="21"/>
  <c r="L12" i="21"/>
  <c r="R182" i="21"/>
  <c r="M74" i="21"/>
  <c r="D69" i="21"/>
  <c r="M89" i="21"/>
  <c r="F376" i="21"/>
  <c r="C281" i="21"/>
  <c r="M387" i="21"/>
  <c r="O372" i="21"/>
  <c r="G326" i="21"/>
  <c r="Q114" i="21"/>
  <c r="M331" i="21"/>
  <c r="Q200" i="21"/>
  <c r="T225" i="21"/>
  <c r="Q166" i="21"/>
  <c r="D92" i="21"/>
  <c r="D128" i="21"/>
  <c r="R205" i="21"/>
  <c r="M60" i="21"/>
  <c r="G19" i="21"/>
  <c r="C3" i="21"/>
  <c r="E212" i="21"/>
  <c r="R442" i="21"/>
  <c r="E307" i="21"/>
  <c r="F279" i="21"/>
  <c r="I251" i="21"/>
  <c r="O243" i="21"/>
  <c r="J178" i="21"/>
  <c r="F127" i="21"/>
  <c r="I35" i="21"/>
  <c r="G74" i="21"/>
  <c r="M431" i="21"/>
  <c r="N237" i="21"/>
  <c r="G358" i="21"/>
  <c r="I231" i="21"/>
  <c r="F246" i="21"/>
  <c r="R83" i="21"/>
  <c r="P7" i="21"/>
  <c r="R79" i="21"/>
  <c r="D316" i="21"/>
  <c r="G208" i="21"/>
  <c r="E136" i="21"/>
  <c r="P86" i="21"/>
  <c r="I10" i="21"/>
  <c r="N71" i="21"/>
  <c r="T24" i="21"/>
  <c r="I203" i="21"/>
  <c r="M92" i="21"/>
  <c r="M220" i="21"/>
  <c r="G271" i="21"/>
  <c r="I262" i="21"/>
  <c r="D121" i="21"/>
  <c r="I201" i="21"/>
  <c r="M363" i="21"/>
  <c r="T59" i="21"/>
  <c r="F121" i="21"/>
  <c r="P54" i="21"/>
  <c r="N207" i="21"/>
  <c r="T70" i="21"/>
  <c r="I47" i="21"/>
  <c r="R188" i="21"/>
  <c r="O44" i="21"/>
  <c r="G73" i="21"/>
  <c r="K491" i="21"/>
  <c r="I280" i="21"/>
  <c r="S292" i="21"/>
  <c r="H124" i="21"/>
  <c r="T154" i="21"/>
  <c r="T219" i="21"/>
  <c r="D164" i="21"/>
  <c r="T311" i="21"/>
  <c r="E158" i="21"/>
  <c r="O189" i="21"/>
  <c r="E164" i="21"/>
  <c r="P47" i="21"/>
  <c r="L89" i="21"/>
  <c r="P53" i="21"/>
  <c r="L81" i="21"/>
  <c r="D391" i="21"/>
  <c r="I266" i="21"/>
  <c r="G320" i="21"/>
  <c r="I214" i="21"/>
  <c r="E270" i="21"/>
  <c r="E149" i="21"/>
  <c r="M202" i="21"/>
  <c r="H248" i="21"/>
  <c r="I189" i="21"/>
  <c r="P192" i="21"/>
  <c r="I248" i="21"/>
  <c r="S40" i="21"/>
  <c r="G205" i="21"/>
  <c r="Q54" i="21"/>
  <c r="L88" i="21"/>
  <c r="R210" i="21"/>
  <c r="H330" i="21"/>
  <c r="D297" i="21"/>
  <c r="J422" i="21"/>
  <c r="I244" i="21"/>
  <c r="I169" i="21"/>
  <c r="K225" i="21"/>
  <c r="O70" i="21"/>
  <c r="H155" i="21"/>
  <c r="R127" i="21"/>
  <c r="L343" i="21"/>
  <c r="R344" i="21"/>
  <c r="K222" i="21"/>
  <c r="N147" i="21"/>
  <c r="N188" i="21"/>
  <c r="R292" i="21"/>
  <c r="O62" i="21"/>
  <c r="R280" i="21"/>
  <c r="J247" i="21"/>
  <c r="H223" i="21"/>
  <c r="K211" i="21"/>
  <c r="G21" i="21"/>
  <c r="E60" i="21"/>
  <c r="O242" i="21"/>
  <c r="R184" i="21"/>
  <c r="I58" i="21"/>
  <c r="G9" i="21"/>
  <c r="D429" i="21"/>
  <c r="H263" i="21"/>
  <c r="O185" i="21"/>
  <c r="Q125" i="21"/>
  <c r="N123" i="21"/>
  <c r="D126" i="21"/>
  <c r="R123" i="21"/>
  <c r="D228" i="21"/>
  <c r="R177" i="21"/>
  <c r="D138" i="21"/>
  <c r="T132" i="21"/>
  <c r="I123" i="21"/>
  <c r="N70" i="21"/>
  <c r="K253" i="21"/>
  <c r="S223" i="21"/>
  <c r="R86" i="21"/>
  <c r="T41" i="21"/>
  <c r="N74" i="21"/>
  <c r="P439" i="21"/>
  <c r="H257" i="21"/>
  <c r="T386" i="21"/>
  <c r="O175" i="21"/>
  <c r="E313" i="21"/>
  <c r="R261" i="21"/>
  <c r="L229" i="21"/>
  <c r="F203" i="21"/>
  <c r="M323" i="21"/>
  <c r="F201" i="21"/>
  <c r="R244" i="21"/>
  <c r="D38" i="21"/>
  <c r="C194" i="21"/>
  <c r="G237" i="21"/>
  <c r="S26" i="21"/>
  <c r="R81" i="21"/>
  <c r="H60" i="21"/>
  <c r="E63" i="21"/>
  <c r="S42" i="21"/>
  <c r="D543" i="21"/>
  <c r="S388" i="21"/>
  <c r="H128" i="21"/>
  <c r="N279" i="21"/>
  <c r="N372" i="21"/>
  <c r="O244" i="21"/>
  <c r="T368" i="21"/>
  <c r="N242" i="21"/>
  <c r="S210" i="21"/>
  <c r="L232" i="21"/>
  <c r="K125" i="21"/>
  <c r="J85" i="21"/>
  <c r="J72" i="21"/>
  <c r="L219" i="21"/>
  <c r="S35" i="21"/>
  <c r="E132" i="21"/>
  <c r="J53" i="21"/>
  <c r="R3" i="21"/>
  <c r="M132" i="21"/>
  <c r="N377" i="21"/>
  <c r="P157" i="21"/>
  <c r="I172" i="21"/>
  <c r="N220" i="21"/>
  <c r="P164" i="21"/>
  <c r="M211" i="21"/>
  <c r="G194" i="21"/>
  <c r="I273" i="21"/>
  <c r="L182" i="21"/>
  <c r="Q76" i="21"/>
  <c r="H10" i="21"/>
  <c r="T76" i="21"/>
  <c r="H16" i="21"/>
  <c r="G225" i="21"/>
  <c r="Q378" i="21"/>
  <c r="G308" i="21"/>
  <c r="N151" i="21"/>
  <c r="K316" i="21"/>
  <c r="L275" i="21"/>
  <c r="R179" i="21"/>
  <c r="I151" i="21"/>
  <c r="P146" i="21"/>
  <c r="J137" i="21"/>
  <c r="F232" i="21"/>
  <c r="L173" i="21"/>
  <c r="F148" i="21"/>
  <c r="G146" i="21"/>
  <c r="F172" i="21"/>
  <c r="J22" i="21"/>
  <c r="Q442" i="21"/>
  <c r="N264" i="21"/>
  <c r="E137" i="21"/>
  <c r="S242" i="21"/>
  <c r="L263" i="21"/>
  <c r="M91" i="21"/>
  <c r="I63" i="21"/>
  <c r="R209" i="21"/>
  <c r="N200" i="21"/>
  <c r="C220" i="21"/>
  <c r="C242" i="21"/>
  <c r="M27" i="21"/>
  <c r="I68" i="21"/>
  <c r="O11" i="21"/>
  <c r="D85" i="21"/>
  <c r="P21" i="21"/>
  <c r="S271" i="21"/>
  <c r="R366" i="21"/>
  <c r="O258" i="21"/>
  <c r="I132" i="21"/>
  <c r="N196" i="21"/>
  <c r="P236" i="21"/>
  <c r="G160" i="21"/>
  <c r="T347" i="21"/>
  <c r="I566" i="21"/>
  <c r="L370" i="21"/>
  <c r="T379" i="21"/>
  <c r="S268" i="21"/>
  <c r="H307" i="21"/>
  <c r="L172" i="21"/>
  <c r="C128" i="21"/>
  <c r="E221" i="21"/>
  <c r="P300" i="21"/>
  <c r="Q256" i="21"/>
  <c r="F151" i="21"/>
  <c r="P222" i="21"/>
  <c r="I114" i="21"/>
  <c r="C13" i="21"/>
  <c r="H77" i="21"/>
  <c r="F208" i="21"/>
  <c r="G90" i="21"/>
  <c r="Q48" i="21"/>
  <c r="N385" i="21"/>
  <c r="I334" i="21"/>
  <c r="O260" i="21"/>
  <c r="I126" i="21"/>
  <c r="P287" i="21"/>
  <c r="I129" i="21"/>
  <c r="F190" i="21"/>
  <c r="R288" i="21"/>
  <c r="P64" i="21"/>
  <c r="I149" i="21"/>
  <c r="R224" i="21"/>
  <c r="D248" i="21"/>
  <c r="M138" i="21"/>
  <c r="J93" i="21"/>
  <c r="G76" i="21"/>
  <c r="P23" i="21"/>
  <c r="G155" i="21"/>
  <c r="M154" i="21"/>
  <c r="O319" i="21"/>
  <c r="T430" i="21"/>
  <c r="O332" i="21"/>
  <c r="T286" i="21"/>
  <c r="Q179" i="21"/>
  <c r="F252" i="21"/>
  <c r="J277" i="21"/>
  <c r="D66" i="21"/>
  <c r="E176" i="21"/>
  <c r="D80" i="21"/>
  <c r="O132" i="21"/>
  <c r="S178" i="21"/>
  <c r="H205" i="21"/>
  <c r="T34" i="21"/>
  <c r="J71" i="21"/>
  <c r="J78" i="21"/>
  <c r="M34" i="21"/>
  <c r="K14" i="21"/>
  <c r="D409" i="21"/>
  <c r="R328" i="21"/>
  <c r="L296" i="21"/>
  <c r="C300" i="21"/>
  <c r="O264" i="21"/>
  <c r="I295" i="21"/>
  <c r="L132" i="21"/>
  <c r="K177" i="21"/>
  <c r="L178" i="21"/>
  <c r="K223" i="21"/>
  <c r="I281" i="21"/>
  <c r="P136" i="21"/>
  <c r="J218" i="21"/>
  <c r="O53" i="21"/>
  <c r="M20" i="21"/>
  <c r="K8" i="21"/>
  <c r="N86" i="21"/>
  <c r="G222" i="21"/>
  <c r="I41" i="21"/>
  <c r="G32" i="21"/>
  <c r="D285" i="21"/>
  <c r="S260" i="21"/>
  <c r="N187" i="21"/>
  <c r="J91" i="21"/>
  <c r="C176" i="21"/>
  <c r="E232" i="21"/>
  <c r="Q214" i="21"/>
  <c r="S138" i="21"/>
  <c r="S200" i="21"/>
  <c r="F21" i="21"/>
  <c r="E148" i="21"/>
  <c r="M51" i="21"/>
  <c r="E220" i="21"/>
  <c r="T66" i="21"/>
  <c r="K336" i="21"/>
  <c r="D326" i="21"/>
  <c r="I346" i="21"/>
  <c r="C264" i="21"/>
  <c r="Q178" i="21"/>
  <c r="P58" i="21"/>
  <c r="J262" i="21"/>
  <c r="C166" i="21"/>
  <c r="O188" i="21"/>
  <c r="D176" i="21"/>
  <c r="G69" i="21"/>
  <c r="S52" i="21"/>
  <c r="S209" i="21"/>
  <c r="S58" i="21"/>
  <c r="G16" i="21"/>
  <c r="E355" i="21"/>
  <c r="T422" i="21"/>
  <c r="K291" i="21"/>
  <c r="K287" i="21"/>
  <c r="J136" i="21"/>
  <c r="E154" i="21"/>
  <c r="S184" i="21"/>
  <c r="P88" i="21"/>
  <c r="L168" i="21"/>
  <c r="F183" i="21"/>
  <c r="H237" i="21"/>
  <c r="O68" i="21"/>
  <c r="T171" i="21"/>
  <c r="I77" i="21"/>
  <c r="N51" i="21"/>
  <c r="K549" i="21"/>
  <c r="R362" i="21"/>
  <c r="K258" i="21"/>
  <c r="C231" i="21"/>
  <c r="I341" i="21"/>
  <c r="L180" i="21"/>
  <c r="P124" i="21"/>
  <c r="E200" i="21"/>
  <c r="G132" i="21"/>
  <c r="C413" i="21"/>
  <c r="S331" i="21"/>
  <c r="R260" i="21"/>
  <c r="Q173" i="21"/>
  <c r="M255" i="21"/>
  <c r="R178" i="21"/>
  <c r="F219" i="21"/>
  <c r="M133" i="21"/>
  <c r="F225" i="21"/>
  <c r="S360" i="21"/>
  <c r="D54" i="21"/>
  <c r="C210" i="21"/>
  <c r="P17" i="21"/>
  <c r="M44" i="21"/>
  <c r="G201" i="21"/>
  <c r="H76" i="21"/>
  <c r="S47" i="21"/>
  <c r="P5" i="21"/>
  <c r="T420" i="21"/>
  <c r="Q269" i="21"/>
  <c r="H200" i="21"/>
  <c r="C293" i="21"/>
  <c r="S246" i="21"/>
  <c r="S352" i="21"/>
  <c r="M173" i="21"/>
  <c r="O309" i="21"/>
  <c r="H190" i="21"/>
  <c r="D296" i="21"/>
  <c r="K141" i="21"/>
  <c r="N176" i="21"/>
  <c r="J88" i="21"/>
  <c r="H62" i="21"/>
  <c r="E71" i="21"/>
  <c r="M137" i="21"/>
  <c r="L201" i="21"/>
  <c r="J84" i="21"/>
  <c r="D392" i="21"/>
  <c r="E315" i="21"/>
  <c r="P239" i="21"/>
  <c r="K158" i="21"/>
  <c r="D201" i="21"/>
  <c r="T164" i="21"/>
  <c r="J133" i="21"/>
  <c r="E229" i="21"/>
  <c r="J187" i="21"/>
  <c r="M307" i="21"/>
  <c r="R239" i="21"/>
  <c r="Q220" i="21"/>
  <c r="F141" i="21"/>
  <c r="I257" i="21"/>
  <c r="L213" i="21"/>
  <c r="O67" i="21"/>
  <c r="L2" i="21"/>
  <c r="I34" i="21"/>
  <c r="N503" i="21"/>
  <c r="S340" i="21"/>
  <c r="S343" i="21"/>
  <c r="I224" i="21"/>
  <c r="P201" i="21"/>
  <c r="E203" i="21"/>
  <c r="C332" i="21"/>
  <c r="P204" i="21"/>
  <c r="J57" i="21"/>
  <c r="P218" i="21"/>
  <c r="G148" i="21"/>
  <c r="C180" i="21"/>
  <c r="S92" i="21"/>
  <c r="M77" i="21"/>
  <c r="I92" i="21"/>
  <c r="L36" i="21"/>
  <c r="M50" i="21"/>
  <c r="D45" i="21"/>
  <c r="M65" i="21"/>
  <c r="P365" i="21"/>
  <c r="M417" i="21"/>
  <c r="E300" i="21"/>
  <c r="I323" i="21"/>
  <c r="N219" i="21"/>
  <c r="D222" i="21"/>
  <c r="R219" i="21"/>
  <c r="Q168" i="21"/>
  <c r="D304" i="21"/>
  <c r="D242" i="21"/>
  <c r="M338" i="21"/>
  <c r="O58" i="21"/>
  <c r="I4" i="21"/>
  <c r="C88" i="21"/>
  <c r="N257" i="21"/>
  <c r="J228" i="21"/>
  <c r="E350" i="21"/>
  <c r="O80" i="21"/>
  <c r="T315" i="21"/>
  <c r="J115" i="21"/>
  <c r="D202" i="21"/>
  <c r="K205" i="21"/>
  <c r="L265" i="21"/>
  <c r="Q62" i="21"/>
  <c r="S59" i="21"/>
  <c r="F27" i="21"/>
  <c r="H85" i="21"/>
  <c r="I42" i="21"/>
  <c r="K393" i="21"/>
  <c r="H333" i="21"/>
  <c r="J212" i="21"/>
  <c r="K255" i="21"/>
  <c r="D190" i="21"/>
  <c r="O149" i="21"/>
  <c r="O86" i="21"/>
  <c r="D256" i="21"/>
  <c r="T215" i="21"/>
  <c r="I179" i="21"/>
  <c r="R200" i="21"/>
  <c r="E9" i="21"/>
  <c r="G67" i="21"/>
  <c r="C44" i="21"/>
  <c r="C64" i="21"/>
  <c r="H441" i="21"/>
  <c r="J335" i="21"/>
  <c r="C201" i="21"/>
  <c r="K164" i="21"/>
  <c r="O155" i="21"/>
  <c r="J173" i="21"/>
  <c r="J269" i="21"/>
  <c r="E213" i="21"/>
  <c r="G207" i="21"/>
  <c r="D70" i="21"/>
  <c r="F189" i="21"/>
  <c r="F51" i="21"/>
  <c r="S19" i="21"/>
  <c r="M90" i="21"/>
  <c r="S17" i="21"/>
  <c r="J392" i="21"/>
  <c r="S339" i="21"/>
  <c r="P307" i="21"/>
  <c r="S288" i="21"/>
  <c r="S264" i="21"/>
  <c r="J67" i="21"/>
  <c r="F235" i="21"/>
  <c r="J219" i="21"/>
  <c r="Q190" i="21"/>
  <c r="T350" i="21"/>
  <c r="S326" i="21"/>
  <c r="N93" i="21"/>
  <c r="I158" i="21"/>
  <c r="O345" i="21"/>
  <c r="R278" i="21"/>
  <c r="D82" i="21"/>
  <c r="E192" i="21"/>
  <c r="H123" i="21"/>
  <c r="O164" i="21"/>
  <c r="S202" i="21"/>
  <c r="H221" i="21"/>
  <c r="L67" i="21"/>
  <c r="R189" i="21"/>
  <c r="N148" i="21"/>
  <c r="E66" i="21"/>
  <c r="K30" i="21"/>
  <c r="J419" i="21"/>
  <c r="Q423" i="21"/>
  <c r="G328" i="21"/>
  <c r="Q282" i="21"/>
  <c r="O288" i="21"/>
  <c r="G314" i="21"/>
  <c r="L164" i="21"/>
  <c r="K201" i="21"/>
  <c r="L202" i="21"/>
  <c r="K239" i="21"/>
  <c r="T284" i="21"/>
  <c r="P168" i="21"/>
  <c r="E280" i="21"/>
  <c r="O69" i="21"/>
  <c r="Q36" i="21"/>
  <c r="K24" i="21"/>
  <c r="S205" i="21"/>
  <c r="L64" i="21"/>
  <c r="O65" i="21"/>
  <c r="T348" i="21"/>
  <c r="D345" i="21"/>
  <c r="R371" i="21"/>
  <c r="C127" i="21"/>
  <c r="I220" i="21"/>
  <c r="C311" i="21"/>
  <c r="O160" i="21"/>
  <c r="G126" i="21"/>
  <c r="O207" i="21"/>
  <c r="D260" i="21"/>
  <c r="M182" i="21"/>
  <c r="Q251" i="21"/>
  <c r="D36" i="21"/>
  <c r="N88" i="21"/>
  <c r="L74" i="21"/>
  <c r="H137" i="21"/>
  <c r="Q39" i="21"/>
  <c r="N7" i="21"/>
  <c r="M441" i="21"/>
  <c r="I374" i="21"/>
  <c r="N347" i="21"/>
  <c r="R332" i="21"/>
  <c r="H236" i="21"/>
  <c r="J208" i="21"/>
  <c r="T85" i="21"/>
  <c r="C224" i="21"/>
  <c r="R138" i="21"/>
  <c r="C222" i="21"/>
  <c r="E214" i="21"/>
  <c r="H183" i="21"/>
  <c r="K179" i="21"/>
  <c r="G187" i="21"/>
  <c r="D25" i="21"/>
  <c r="P68" i="21"/>
  <c r="T177" i="21"/>
  <c r="L169" i="21"/>
  <c r="K60" i="21"/>
  <c r="L431" i="21"/>
  <c r="H341" i="21"/>
  <c r="S430" i="21"/>
  <c r="D203" i="21"/>
  <c r="J40" i="21"/>
  <c r="M59" i="21"/>
  <c r="J36" i="21"/>
  <c r="G253" i="21"/>
  <c r="C340" i="21"/>
  <c r="G296" i="21"/>
  <c r="M267" i="21"/>
  <c r="F123" i="21"/>
  <c r="O126" i="21"/>
  <c r="I213" i="21"/>
  <c r="C236" i="21"/>
  <c r="K115" i="21"/>
  <c r="O13" i="21"/>
  <c r="M184" i="21"/>
  <c r="C12" i="21"/>
  <c r="H175" i="21"/>
  <c r="F9" i="21"/>
  <c r="I348" i="21"/>
  <c r="T333" i="21"/>
  <c r="G244" i="21"/>
  <c r="I164" i="21"/>
  <c r="I185" i="21"/>
  <c r="K241" i="21"/>
  <c r="C301" i="21"/>
  <c r="F272" i="21"/>
  <c r="P46" i="21"/>
  <c r="N198" i="21"/>
  <c r="S177" i="21"/>
  <c r="H37" i="21"/>
  <c r="F154" i="21"/>
  <c r="C35" i="21"/>
  <c r="G65" i="21"/>
  <c r="H398" i="21"/>
  <c r="I272" i="21"/>
  <c r="F399" i="21"/>
  <c r="K257" i="21"/>
  <c r="T146" i="21"/>
  <c r="O192" i="21"/>
  <c r="D148" i="21"/>
  <c r="P261" i="21"/>
  <c r="E126" i="21"/>
  <c r="T236" i="21"/>
  <c r="D68" i="21"/>
  <c r="P39" i="21"/>
  <c r="L57" i="21"/>
  <c r="P45" i="21"/>
  <c r="E50" i="21"/>
  <c r="C421" i="21"/>
  <c r="S358" i="21"/>
  <c r="S284" i="21"/>
  <c r="I166" i="21"/>
  <c r="S383" i="21"/>
  <c r="O56" i="21"/>
  <c r="D90" i="21"/>
  <c r="O238" i="21"/>
  <c r="I173" i="21"/>
  <c r="M373" i="21"/>
  <c r="S253" i="21"/>
  <c r="J182" i="21"/>
  <c r="P303" i="21"/>
  <c r="Q252" i="21"/>
  <c r="H246" i="21"/>
  <c r="S248" i="21"/>
  <c r="J211" i="21"/>
  <c r="I289" i="21"/>
  <c r="D292" i="21"/>
  <c r="Q236" i="21"/>
  <c r="F157" i="21"/>
  <c r="M11" i="21"/>
  <c r="N58" i="21"/>
  <c r="O83" i="21"/>
  <c r="L18" i="21"/>
  <c r="E65" i="21"/>
  <c r="S495" i="21"/>
  <c r="F262" i="21"/>
  <c r="J349" i="21"/>
  <c r="D141" i="21"/>
  <c r="P233" i="21"/>
  <c r="E219" i="21"/>
  <c r="J51" i="21"/>
  <c r="P220" i="21"/>
  <c r="J73" i="21"/>
  <c r="E261" i="21"/>
  <c r="S168" i="21"/>
  <c r="C196" i="21"/>
  <c r="S136" i="21"/>
  <c r="M114" i="21"/>
  <c r="L4" i="21"/>
  <c r="E73" i="21"/>
  <c r="M66" i="21"/>
  <c r="D61" i="21"/>
  <c r="M81" i="21"/>
  <c r="M413" i="21"/>
  <c r="C273" i="21"/>
  <c r="Q320" i="21"/>
  <c r="N350" i="21"/>
  <c r="P266" i="21"/>
  <c r="J281" i="21"/>
  <c r="D268" i="21"/>
  <c r="Q192" i="21"/>
  <c r="T209" i="21"/>
  <c r="Q158" i="21"/>
  <c r="C84" i="21"/>
  <c r="R264" i="21"/>
  <c r="J79" i="21"/>
  <c r="M52" i="21"/>
  <c r="D63" i="21"/>
  <c r="G11" i="21"/>
  <c r="I21" i="21"/>
  <c r="O218" i="21"/>
  <c r="J352" i="21"/>
  <c r="T290" i="21"/>
  <c r="Q275" i="21"/>
  <c r="L287" i="21"/>
  <c r="K359" i="21"/>
  <c r="O235" i="21"/>
  <c r="H158" i="21"/>
  <c r="H235" i="21"/>
  <c r="O229" i="21"/>
  <c r="H233" i="21"/>
  <c r="J225" i="21"/>
  <c r="F119" i="21"/>
  <c r="P198" i="21"/>
  <c r="Q33" i="21"/>
  <c r="R64" i="21"/>
  <c r="T49" i="21"/>
  <c r="C83" i="21"/>
  <c r="G66" i="21"/>
  <c r="Q21" i="21"/>
  <c r="F486" i="21"/>
  <c r="P310" i="21"/>
  <c r="K136" i="21"/>
  <c r="N157" i="21"/>
  <c r="H278" i="21"/>
  <c r="Q244" i="21"/>
  <c r="E237" i="21"/>
  <c r="I215" i="21"/>
  <c r="G179" i="21"/>
  <c r="P296" i="21"/>
  <c r="H238" i="21"/>
  <c r="P190" i="21"/>
  <c r="Q23" i="21"/>
  <c r="O52" i="21"/>
  <c r="D75" i="21"/>
  <c r="Q27" i="21"/>
  <c r="L22" i="21"/>
  <c r="O42" i="21"/>
  <c r="N20" i="21"/>
  <c r="S28" i="21"/>
  <c r="T9" i="21"/>
  <c r="M203" i="21"/>
  <c r="R54" i="21"/>
  <c r="S32" i="21"/>
  <c r="O433" i="21"/>
  <c r="M246" i="21"/>
  <c r="O151" i="21"/>
  <c r="Q294" i="21"/>
  <c r="L305" i="21"/>
  <c r="F187" i="21"/>
  <c r="F185" i="21"/>
  <c r="O236" i="21"/>
  <c r="F210" i="21"/>
  <c r="K78" i="21"/>
  <c r="S18" i="21"/>
  <c r="H52" i="21"/>
  <c r="E43" i="21"/>
  <c r="O33" i="21"/>
  <c r="Q361" i="21"/>
  <c r="M221" i="21"/>
  <c r="C312" i="21"/>
  <c r="L228" i="21"/>
  <c r="R236" i="21"/>
  <c r="G182" i="21"/>
  <c r="L208" i="21"/>
  <c r="M160" i="21"/>
  <c r="N66" i="21"/>
  <c r="M64" i="21"/>
  <c r="K54" i="21"/>
  <c r="S22" i="21"/>
  <c r="E6" i="21"/>
  <c r="R66" i="21"/>
  <c r="T30" i="21"/>
  <c r="S173" i="21"/>
  <c r="E285" i="21"/>
  <c r="I279" i="21"/>
  <c r="M210" i="21"/>
  <c r="K191" i="21"/>
  <c r="J154" i="21"/>
  <c r="C67" i="21"/>
  <c r="G88" i="21"/>
  <c r="J127" i="21"/>
  <c r="E62" i="21"/>
  <c r="L27" i="21"/>
  <c r="O59" i="21"/>
  <c r="T307" i="21"/>
  <c r="L384" i="21"/>
  <c r="S157" i="21"/>
  <c r="J41" i="21"/>
  <c r="M115" i="21"/>
  <c r="J77" i="21"/>
  <c r="T90" i="21"/>
  <c r="I73" i="21"/>
  <c r="J11" i="21"/>
  <c r="Q12" i="21"/>
  <c r="M36" i="21"/>
  <c r="K25" i="21"/>
  <c r="E72" i="21"/>
  <c r="R38" i="21"/>
  <c r="O6" i="21"/>
  <c r="T297" i="21"/>
  <c r="H180" i="21"/>
  <c r="T69" i="21"/>
  <c r="T83" i="21"/>
  <c r="E198" i="21"/>
  <c r="Q25" i="21"/>
  <c r="Q5" i="21"/>
  <c r="J66" i="21"/>
  <c r="T7" i="21"/>
  <c r="E49" i="21"/>
  <c r="S2" i="21"/>
  <c r="T40" i="21"/>
  <c r="R37" i="21"/>
  <c r="D31" i="21"/>
  <c r="O289" i="21"/>
  <c r="C285" i="21"/>
  <c r="S218" i="21"/>
  <c r="T196" i="21"/>
  <c r="J201" i="21"/>
  <c r="H69" i="21"/>
  <c r="E204" i="21"/>
  <c r="O47" i="21"/>
  <c r="I83" i="21"/>
  <c r="L7" i="21"/>
  <c r="R13" i="21"/>
  <c r="S81" i="21"/>
  <c r="T271" i="21"/>
  <c r="D169" i="21"/>
  <c r="D254" i="21"/>
  <c r="J155" i="21"/>
  <c r="R215" i="21"/>
  <c r="H93" i="21"/>
  <c r="P35" i="21"/>
  <c r="M79" i="21"/>
  <c r="H44" i="21"/>
  <c r="M126" i="21"/>
  <c r="L48" i="21"/>
  <c r="H269" i="21"/>
  <c r="I196" i="21"/>
  <c r="G334" i="21"/>
  <c r="O182" i="21"/>
  <c r="O506" i="21"/>
  <c r="N77" i="21"/>
  <c r="H90" i="21"/>
  <c r="C8" i="21"/>
  <c r="O37" i="21"/>
  <c r="E53" i="21"/>
  <c r="C24" i="21"/>
  <c r="E322" i="21"/>
  <c r="S232" i="21"/>
  <c r="P90" i="21"/>
  <c r="R121" i="21"/>
  <c r="Q241" i="21"/>
  <c r="K89" i="21"/>
  <c r="S56" i="21"/>
  <c r="F176" i="21"/>
  <c r="L239" i="21"/>
  <c r="R30" i="21"/>
  <c r="H25" i="21"/>
  <c r="S69" i="21"/>
  <c r="K3" i="21"/>
  <c r="S239" i="21"/>
  <c r="J68" i="21"/>
  <c r="C123" i="21"/>
  <c r="E179" i="21"/>
  <c r="P188" i="21"/>
  <c r="P202" i="21"/>
  <c r="O128" i="21"/>
  <c r="T135" i="21"/>
  <c r="C33" i="21"/>
  <c r="G121" i="21"/>
  <c r="K65" i="21"/>
  <c r="O49" i="21"/>
  <c r="Q93" i="21"/>
  <c r="J192" i="21"/>
  <c r="C200" i="21"/>
  <c r="C207" i="21"/>
  <c r="D270" i="21"/>
  <c r="S219" i="21"/>
  <c r="R237" i="21"/>
  <c r="R204" i="21"/>
  <c r="J12" i="21"/>
  <c r="H27" i="21"/>
  <c r="D406" i="21"/>
  <c r="I168" i="21"/>
  <c r="O211" i="21"/>
  <c r="H211" i="21"/>
  <c r="H209" i="21"/>
  <c r="O190" i="21"/>
  <c r="F52" i="21"/>
  <c r="H73" i="21"/>
  <c r="T48" i="21"/>
  <c r="T246" i="21"/>
  <c r="S405" i="21"/>
  <c r="I367" i="21"/>
  <c r="M187" i="21"/>
  <c r="O141" i="21"/>
  <c r="T188" i="21"/>
  <c r="J297" i="21"/>
  <c r="S8" i="21"/>
  <c r="G149" i="21"/>
  <c r="L401" i="21"/>
  <c r="P235" i="21"/>
  <c r="Q218" i="21"/>
  <c r="F244" i="21"/>
  <c r="K248" i="21"/>
  <c r="M228" i="21"/>
  <c r="R180" i="21"/>
  <c r="S7" i="21"/>
  <c r="I9" i="21"/>
  <c r="N386" i="21"/>
  <c r="D357" i="21"/>
  <c r="I233" i="21"/>
  <c r="D196" i="21"/>
  <c r="I237" i="21"/>
  <c r="D224" i="21"/>
  <c r="T127" i="21"/>
  <c r="N46" i="21"/>
  <c r="I14" i="21"/>
  <c r="E41" i="21"/>
  <c r="L13" i="21"/>
  <c r="I27" i="21"/>
  <c r="I23" i="23"/>
  <c r="G23" i="23"/>
  <c r="Q17" i="23"/>
  <c r="W23" i="23"/>
  <c r="K19" i="23"/>
  <c r="E17" i="23"/>
  <c r="S10" i="23"/>
  <c r="O9" i="23"/>
  <c r="W17" i="23"/>
  <c r="S6" i="23"/>
  <c r="K3" i="23"/>
  <c r="G11" i="23"/>
  <c r="K6" i="23"/>
  <c r="C3" i="23"/>
  <c r="C6" i="23"/>
  <c r="O10" i="23"/>
  <c r="U215" i="20"/>
  <c r="U477" i="20"/>
  <c r="U247" i="20"/>
  <c r="U423" i="20"/>
  <c r="U95" i="20"/>
  <c r="U476" i="20"/>
  <c r="U223" i="20"/>
  <c r="U405" i="20"/>
  <c r="U502" i="20"/>
  <c r="U31" i="20"/>
  <c r="U383" i="20"/>
  <c r="U488" i="20"/>
  <c r="U63" i="20"/>
  <c r="U436" i="20"/>
  <c r="U11" i="20"/>
  <c r="U55" i="20"/>
  <c r="U468" i="20"/>
  <c r="U351" i="20"/>
  <c r="U503" i="20"/>
  <c r="U305" i="20"/>
  <c r="U149" i="20"/>
  <c r="U5" i="20"/>
  <c r="U130" i="20"/>
  <c r="U348" i="20"/>
  <c r="U382" i="20"/>
  <c r="U310" i="20"/>
  <c r="U232" i="20"/>
  <c r="U160" i="20"/>
  <c r="U16" i="20"/>
  <c r="U378" i="20"/>
  <c r="U309" i="20"/>
  <c r="U165" i="20"/>
  <c r="U9" i="20"/>
  <c r="U176" i="20"/>
  <c r="U32" i="20"/>
  <c r="U518" i="20"/>
  <c r="U368" i="20"/>
  <c r="U290" i="20"/>
  <c r="U218" i="20"/>
  <c r="U98" i="20"/>
  <c r="U294" i="20"/>
  <c r="U337" i="20"/>
  <c r="U193" i="20"/>
  <c r="U49" i="20"/>
  <c r="U102" i="20"/>
  <c r="U42" i="20"/>
  <c r="U364" i="20"/>
  <c r="U129" i="20"/>
  <c r="U446" i="20"/>
  <c r="U200" i="20"/>
  <c r="U157" i="20"/>
  <c r="E215" i="21"/>
  <c r="M9" i="21"/>
  <c r="J209" i="21"/>
  <c r="F173" i="21"/>
  <c r="H40" i="21"/>
  <c r="F74" i="21"/>
  <c r="N62" i="21"/>
  <c r="D39" i="21"/>
  <c r="P85" i="21"/>
  <c r="H88" i="21"/>
  <c r="F33" i="21"/>
  <c r="G93" i="21"/>
  <c r="M8" i="21"/>
  <c r="P19" i="21"/>
  <c r="M208" i="21"/>
  <c r="M146" i="21"/>
  <c r="R48" i="21"/>
  <c r="D35" i="21"/>
  <c r="G19" i="23"/>
  <c r="K4" i="23"/>
  <c r="U519" i="20"/>
  <c r="U219" i="20"/>
  <c r="U30" i="20"/>
  <c r="U213" i="20"/>
  <c r="U450" i="20"/>
  <c r="T381" i="21"/>
  <c r="H179" i="21"/>
  <c r="K57" i="21"/>
  <c r="T82" i="21"/>
  <c r="R141" i="21"/>
  <c r="R158" i="21"/>
  <c r="R5" i="21"/>
  <c r="D10" i="21"/>
  <c r="F32" i="21"/>
  <c r="K85" i="21"/>
  <c r="E75" i="21"/>
  <c r="T256" i="21"/>
  <c r="Q78" i="21"/>
  <c r="T63" i="21"/>
  <c r="S43" i="21"/>
  <c r="H80" i="21"/>
  <c r="D208" i="21"/>
  <c r="T309" i="21"/>
  <c r="J69" i="21"/>
  <c r="I93" i="21"/>
  <c r="J289" i="21"/>
  <c r="L86" i="21"/>
  <c r="K84" i="21"/>
  <c r="I6" i="21"/>
  <c r="R42" i="21"/>
  <c r="K38" i="21"/>
  <c r="E35" i="21"/>
  <c r="F66" i="21"/>
  <c r="M15" i="21"/>
  <c r="H20" i="21"/>
  <c r="L32" i="21"/>
  <c r="Q264" i="21"/>
  <c r="P182" i="21"/>
  <c r="Q15" i="21"/>
  <c r="R93" i="21"/>
  <c r="D67" i="21"/>
  <c r="Q19" i="21"/>
  <c r="E11" i="21"/>
  <c r="L33" i="21"/>
  <c r="N4" i="21"/>
  <c r="J39" i="21"/>
  <c r="G87" i="21"/>
  <c r="N235" i="21"/>
  <c r="M128" i="21"/>
  <c r="H57" i="21"/>
  <c r="M56" i="21"/>
  <c r="I48" i="21"/>
  <c r="L40" i="21"/>
  <c r="G12" i="21"/>
  <c r="R128" i="21"/>
  <c r="F288" i="21"/>
  <c r="I44" i="21"/>
  <c r="K63" i="21"/>
  <c r="D238" i="21"/>
  <c r="J56" i="21"/>
  <c r="C59" i="21"/>
  <c r="L175" i="21"/>
  <c r="G80" i="21"/>
  <c r="O178" i="21"/>
  <c r="G40" i="21"/>
  <c r="R41" i="21"/>
  <c r="N43" i="21"/>
  <c r="S46" i="21"/>
  <c r="L19" i="21"/>
  <c r="Q72" i="21"/>
  <c r="H34" i="21"/>
  <c r="R235" i="21"/>
  <c r="Q17" i="21"/>
  <c r="R39" i="21"/>
  <c r="F196" i="21"/>
  <c r="O14" i="21"/>
  <c r="F136" i="21"/>
  <c r="J3" i="21"/>
  <c r="I24" i="21"/>
  <c r="K58" i="21"/>
  <c r="F124" i="21"/>
  <c r="E46" i="21"/>
  <c r="H17" i="21"/>
  <c r="L5" i="21"/>
  <c r="N17" i="21"/>
  <c r="M38" i="21"/>
  <c r="Q176" i="21"/>
  <c r="H59" i="21"/>
  <c r="Q63" i="21"/>
  <c r="H82" i="21"/>
  <c r="N36" i="21"/>
  <c r="S61" i="21"/>
  <c r="D18" i="21"/>
  <c r="E91" i="21"/>
  <c r="D32" i="21"/>
  <c r="R46" i="21"/>
  <c r="O50" i="21"/>
  <c r="K17" i="21"/>
  <c r="T185" i="21"/>
  <c r="S84" i="21"/>
  <c r="R148" i="21"/>
  <c r="S48" i="21"/>
  <c r="O60" i="21"/>
  <c r="R164" i="21"/>
  <c r="F85" i="21"/>
  <c r="K29" i="21"/>
  <c r="M180" i="21"/>
  <c r="F45" i="21"/>
  <c r="J305" i="21"/>
  <c r="P78" i="21"/>
  <c r="S75" i="21"/>
  <c r="I2" i="21"/>
  <c r="G183" i="21"/>
  <c r="R61" i="21"/>
  <c r="N63" i="21"/>
  <c r="F10" i="21"/>
  <c r="J231" i="21"/>
  <c r="T12" i="21"/>
  <c r="T46" i="21"/>
  <c r="E254" i="21"/>
  <c r="N69" i="21"/>
  <c r="G89" i="21"/>
  <c r="C25" i="21"/>
  <c r="J58" i="21"/>
  <c r="I38" i="21"/>
  <c r="P34" i="21"/>
  <c r="N27" i="21"/>
  <c r="R22" i="21"/>
  <c r="E57" i="21"/>
  <c r="G91" i="21"/>
  <c r="M71" i="21"/>
  <c r="C72" i="21"/>
  <c r="Q4" i="21"/>
  <c r="G22" i="23"/>
  <c r="E22" i="23"/>
  <c r="C23" i="23"/>
  <c r="U22" i="23"/>
  <c r="I18" i="23"/>
  <c r="C16" i="23"/>
  <c r="Q9" i="23"/>
  <c r="M8" i="23"/>
  <c r="W9" i="23"/>
  <c r="Q5" i="23"/>
  <c r="G21" i="23"/>
  <c r="G9" i="23"/>
  <c r="I5" i="23"/>
  <c r="M19" i="23"/>
  <c r="W4" i="23"/>
  <c r="U8" i="23"/>
  <c r="U179" i="20"/>
  <c r="U472" i="20"/>
  <c r="U211" i="20"/>
  <c r="U464" i="20"/>
  <c r="U59" i="20"/>
  <c r="U466" i="20"/>
  <c r="U167" i="20"/>
  <c r="U401" i="20"/>
  <c r="U535" i="20"/>
  <c r="U533" i="20"/>
  <c r="U335" i="20"/>
  <c r="U454" i="20"/>
  <c r="U19" i="20"/>
  <c r="U417" i="20"/>
  <c r="U517" i="20"/>
  <c r="U23" i="20"/>
  <c r="U458" i="20"/>
  <c r="U311" i="20"/>
  <c r="U491" i="20"/>
  <c r="U293" i="20"/>
  <c r="U137" i="20"/>
  <c r="U486" i="20"/>
  <c r="U112" i="20"/>
  <c r="U282" i="20"/>
  <c r="U376" i="20"/>
  <c r="U304" i="20"/>
  <c r="U226" i="20"/>
  <c r="U148" i="20"/>
  <c r="U4" i="20"/>
  <c r="U150" i="20"/>
  <c r="U297" i="20"/>
  <c r="U153" i="20"/>
  <c r="U26" i="20"/>
  <c r="U164" i="20"/>
  <c r="U14" i="20"/>
  <c r="U494" i="20"/>
  <c r="U362" i="20"/>
  <c r="U284" i="20"/>
  <c r="U212" i="20"/>
  <c r="U86" i="20"/>
  <c r="U246" i="20"/>
  <c r="U325" i="20"/>
  <c r="U181" i="20"/>
  <c r="U37" i="20"/>
  <c r="U60" i="20"/>
  <c r="U313" i="20"/>
  <c r="U173" i="20"/>
  <c r="U214" i="20"/>
  <c r="U273" i="20"/>
  <c r="U414" i="20"/>
  <c r="U272" i="20"/>
  <c r="U144" i="20"/>
  <c r="U510" i="20"/>
  <c r="M326" i="21"/>
  <c r="K90" i="21"/>
  <c r="P254" i="21"/>
  <c r="C30" i="21"/>
  <c r="L6" i="21"/>
  <c r="G53" i="21"/>
  <c r="I11" i="21"/>
  <c r="R133" i="21"/>
  <c r="R19" i="21"/>
  <c r="E18" i="21"/>
  <c r="R10" i="21"/>
  <c r="S65" i="21"/>
  <c r="R194" i="21"/>
  <c r="F71" i="21"/>
  <c r="S187" i="21"/>
  <c r="E196" i="21"/>
  <c r="L42" i="21"/>
  <c r="M21" i="23"/>
  <c r="U367" i="20"/>
  <c r="U195" i="20"/>
  <c r="U207" i="20"/>
  <c r="U334" i="20"/>
  <c r="U72" i="20"/>
  <c r="U241" i="20"/>
  <c r="C407" i="21"/>
  <c r="D62" i="21"/>
  <c r="J8" i="21"/>
  <c r="H129" i="21"/>
  <c r="J47" i="21"/>
  <c r="R126" i="21"/>
  <c r="O32" i="21"/>
  <c r="R52" i="21"/>
  <c r="F24" i="21"/>
  <c r="K53" i="21"/>
  <c r="E47" i="21"/>
  <c r="M244" i="21"/>
  <c r="D160" i="21"/>
  <c r="G51" i="21"/>
  <c r="P13" i="21"/>
  <c r="N54" i="21"/>
  <c r="M63" i="21"/>
  <c r="J34" i="21"/>
  <c r="H149" i="21"/>
  <c r="Q90" i="21"/>
  <c r="T8" i="21"/>
  <c r="K9" i="21"/>
  <c r="H53" i="21"/>
  <c r="T6" i="21"/>
  <c r="G30" i="21"/>
  <c r="K21" i="21"/>
  <c r="G79" i="21"/>
  <c r="D30" i="21"/>
  <c r="T184" i="21"/>
  <c r="M342" i="21"/>
  <c r="T52" i="21"/>
  <c r="O210" i="21"/>
  <c r="L78" i="21"/>
  <c r="K52" i="21"/>
  <c r="C46" i="21"/>
  <c r="T28" i="21"/>
  <c r="T29" i="21"/>
  <c r="M46" i="21"/>
  <c r="F44" i="21"/>
  <c r="S4" i="21"/>
  <c r="T25" i="21"/>
  <c r="E40" i="21"/>
  <c r="N5" i="21"/>
  <c r="D219" i="21"/>
  <c r="C218" i="21"/>
  <c r="M40" i="21"/>
  <c r="H83" i="21"/>
  <c r="D59" i="21"/>
  <c r="Q11" i="21"/>
  <c r="D27" i="21"/>
  <c r="L25" i="21"/>
  <c r="S155" i="21"/>
  <c r="T45" i="21"/>
  <c r="K67" i="21"/>
  <c r="Q254" i="21"/>
  <c r="J119" i="21"/>
  <c r="M82" i="21"/>
  <c r="S241" i="21"/>
  <c r="L129" i="21"/>
  <c r="O31" i="21"/>
  <c r="G44" i="21"/>
  <c r="E64" i="21"/>
  <c r="M14" i="21"/>
  <c r="Q34" i="21"/>
  <c r="L11" i="21"/>
  <c r="S9" i="21"/>
  <c r="I241" i="21"/>
  <c r="O85" i="21"/>
  <c r="H84" i="21"/>
  <c r="M212" i="21"/>
  <c r="G72" i="21"/>
  <c r="T229" i="21"/>
  <c r="K31" i="21"/>
  <c r="P49" i="21"/>
  <c r="F264" i="21"/>
  <c r="T133" i="21"/>
  <c r="P25" i="21"/>
  <c r="C6" i="21"/>
  <c r="G127" i="21"/>
  <c r="E87" i="21"/>
  <c r="T89" i="21"/>
  <c r="O20" i="21"/>
  <c r="L91" i="21"/>
  <c r="R176" i="21"/>
  <c r="S70" i="21"/>
  <c r="F36" i="21"/>
  <c r="R84" i="21"/>
  <c r="M39" i="21"/>
  <c r="N12" i="21"/>
  <c r="L24" i="21"/>
  <c r="R14" i="21"/>
  <c r="D204" i="21"/>
  <c r="M76" i="21"/>
  <c r="T173" i="21"/>
  <c r="H74" i="21"/>
  <c r="K28" i="21"/>
  <c r="S53" i="21"/>
  <c r="E59" i="21"/>
  <c r="D24" i="21"/>
  <c r="H9" i="21"/>
  <c r="M148" i="21"/>
  <c r="E85" i="21"/>
  <c r="R129" i="21"/>
  <c r="E74" i="21"/>
  <c r="D77" i="21"/>
  <c r="E90" i="21"/>
  <c r="G316" i="21"/>
  <c r="R132" i="21"/>
  <c r="P89" i="21"/>
  <c r="G39" i="21"/>
  <c r="T17" i="21"/>
  <c r="D246" i="21"/>
  <c r="F214" i="21"/>
  <c r="G133" i="21"/>
  <c r="N31" i="21"/>
  <c r="E76" i="21"/>
  <c r="R53" i="21"/>
  <c r="N55" i="21"/>
  <c r="F2" i="21"/>
  <c r="E69" i="21"/>
  <c r="P184" i="21"/>
  <c r="J92" i="21"/>
  <c r="Q258" i="21"/>
  <c r="C17" i="21"/>
  <c r="J50" i="21"/>
  <c r="S29" i="21"/>
  <c r="P26" i="21"/>
  <c r="H14" i="21"/>
  <c r="E21" i="23"/>
  <c r="C21" i="23"/>
  <c r="W21" i="23"/>
  <c r="S21" i="23"/>
  <c r="G17" i="23"/>
  <c r="W11" i="23"/>
  <c r="O8" i="23"/>
  <c r="K7" i="23"/>
  <c r="E8" i="23"/>
  <c r="O4" i="23"/>
  <c r="U16" i="23"/>
  <c r="S7" i="23"/>
  <c r="G4" i="23"/>
  <c r="K10" i="23"/>
  <c r="U3" i="23"/>
  <c r="M7" i="23"/>
  <c r="U139" i="20"/>
  <c r="U453" i="20"/>
  <c r="U175" i="20"/>
  <c r="U416" i="20"/>
  <c r="U27" i="20"/>
  <c r="U457" i="20"/>
  <c r="U123" i="20"/>
  <c r="U397" i="20"/>
  <c r="U487" i="20"/>
  <c r="U528" i="20"/>
  <c r="U303" i="20"/>
  <c r="U430" i="20"/>
  <c r="U546" i="20"/>
  <c r="U511" i="20"/>
  <c r="U478" i="20"/>
  <c r="U545" i="20"/>
  <c r="U449" i="20"/>
  <c r="U271" i="20"/>
  <c r="U479" i="20"/>
  <c r="U281" i="20"/>
  <c r="U125" i="20"/>
  <c r="U366" i="20"/>
  <c r="U100" i="20"/>
  <c r="U228" i="20"/>
  <c r="U370" i="20"/>
  <c r="U298" i="20"/>
  <c r="U220" i="20"/>
  <c r="U136" i="20"/>
  <c r="U402" i="20"/>
  <c r="U36" i="20"/>
  <c r="U285" i="20"/>
  <c r="U141" i="20"/>
  <c r="U474" i="20"/>
  <c r="U152" i="20"/>
  <c r="U462" i="20"/>
  <c r="U470" i="20"/>
  <c r="U356" i="20"/>
  <c r="U278" i="20"/>
  <c r="U206" i="20"/>
  <c r="U74" i="20"/>
  <c r="U198" i="20"/>
  <c r="U169" i="20"/>
  <c r="U25" i="20"/>
  <c r="U124" i="20"/>
  <c r="U354" i="20"/>
  <c r="U350" i="20"/>
  <c r="U62" i="20"/>
  <c r="U13" i="20"/>
  <c r="J345" i="21"/>
  <c r="N16" i="21"/>
  <c r="O133" i="21"/>
  <c r="T37" i="21"/>
  <c r="L183" i="21"/>
  <c r="S6" i="21"/>
  <c r="C38" i="21"/>
  <c r="M25" i="21"/>
  <c r="D5" i="21"/>
  <c r="E32" i="21"/>
  <c r="N182" i="21"/>
  <c r="F22" i="21"/>
  <c r="I33" i="21"/>
  <c r="F92" i="21"/>
  <c r="O82" i="21"/>
  <c r="K68" i="21"/>
  <c r="Q40" i="21"/>
  <c r="J55" i="21"/>
  <c r="P67" i="21"/>
  <c r="O79" i="21"/>
  <c r="K18" i="21"/>
  <c r="I11" i="23"/>
  <c r="M17" i="23"/>
  <c r="O7" i="23"/>
  <c r="U243" i="20"/>
  <c r="U199" i="20"/>
  <c r="U34" i="20"/>
  <c r="U357" i="20"/>
  <c r="U242" i="20"/>
  <c r="F391" i="21"/>
  <c r="C385" i="21"/>
  <c r="I28" i="21"/>
  <c r="M57" i="21"/>
  <c r="S133" i="21"/>
  <c r="T88" i="21"/>
  <c r="S123" i="21"/>
  <c r="H23" i="21"/>
  <c r="F16" i="21"/>
  <c r="F40" i="21"/>
  <c r="E37" i="21"/>
  <c r="E334" i="21"/>
  <c r="I235" i="21"/>
  <c r="R65" i="21"/>
  <c r="O25" i="21"/>
  <c r="K262" i="21"/>
  <c r="M55" i="21"/>
  <c r="J26" i="21"/>
  <c r="F77" i="21"/>
  <c r="G46" i="21"/>
  <c r="G219" i="21"/>
  <c r="N34" i="21"/>
  <c r="R202" i="21"/>
  <c r="G129" i="21"/>
  <c r="I86" i="21"/>
  <c r="Q58" i="21"/>
  <c r="K160" i="21"/>
  <c r="O173" i="21"/>
  <c r="M83" i="21"/>
  <c r="O114" i="21"/>
  <c r="L70" i="21"/>
  <c r="S39" i="21"/>
  <c r="F70" i="21"/>
  <c r="T16" i="21"/>
  <c r="T21" i="21"/>
  <c r="S10" i="21"/>
  <c r="N221" i="21"/>
  <c r="C154" i="21"/>
  <c r="F166" i="21"/>
  <c r="T73" i="21"/>
  <c r="D51" i="21"/>
  <c r="Q3" i="21"/>
  <c r="O39" i="21"/>
  <c r="L17" i="21"/>
  <c r="T27" i="21"/>
  <c r="G119" i="21"/>
  <c r="G71" i="21"/>
  <c r="H302" i="21"/>
  <c r="S93" i="21"/>
  <c r="S127" i="21"/>
  <c r="G185" i="21"/>
  <c r="N89" i="21"/>
  <c r="O23" i="21"/>
  <c r="E67" i="21"/>
  <c r="K43" i="21"/>
  <c r="F68" i="21"/>
  <c r="Q26" i="21"/>
  <c r="N49" i="21"/>
  <c r="P272" i="21"/>
  <c r="G239" i="21"/>
  <c r="N166" i="21"/>
  <c r="T169" i="21"/>
  <c r="G64" i="21"/>
  <c r="R213" i="21"/>
  <c r="K23" i="21"/>
  <c r="E180" i="21"/>
  <c r="G18" i="21"/>
  <c r="J87" i="21"/>
  <c r="L3" i="21"/>
  <c r="K66" i="21"/>
  <c r="S185" i="21"/>
  <c r="S191" i="21"/>
  <c r="L128" i="21"/>
  <c r="O352" i="21"/>
  <c r="M48" i="21"/>
  <c r="D23" i="21"/>
  <c r="C89" i="21"/>
  <c r="E55" i="21"/>
  <c r="N80" i="21"/>
  <c r="F90" i="21"/>
  <c r="C42" i="21"/>
  <c r="F72" i="21"/>
  <c r="Q81" i="21"/>
  <c r="D28" i="21"/>
  <c r="G173" i="21"/>
  <c r="S41" i="21"/>
  <c r="G28" i="21"/>
  <c r="M196" i="21"/>
  <c r="R33" i="21"/>
  <c r="I223" i="21"/>
  <c r="S135" i="21"/>
  <c r="I65" i="21"/>
  <c r="H66" i="21"/>
  <c r="E188" i="21"/>
  <c r="H31" i="21"/>
  <c r="D16" i="21"/>
  <c r="K13" i="21"/>
  <c r="N30" i="21"/>
  <c r="P40" i="21"/>
  <c r="M12" i="21"/>
  <c r="D37" i="21"/>
  <c r="E58" i="21"/>
  <c r="C79" i="21"/>
  <c r="D22" i="21"/>
  <c r="I125" i="21"/>
  <c r="C68" i="21"/>
  <c r="L58" i="21"/>
  <c r="Q88" i="21"/>
  <c r="K47" i="21"/>
  <c r="R45" i="21"/>
  <c r="T179" i="21"/>
  <c r="I13" i="21"/>
  <c r="M86" i="21"/>
  <c r="E78" i="21"/>
  <c r="P128" i="21"/>
  <c r="G52" i="21"/>
  <c r="R71" i="21"/>
  <c r="C9" i="21"/>
  <c r="J42" i="21"/>
  <c r="S21" i="21"/>
  <c r="P18" i="21"/>
  <c r="N3" i="21"/>
  <c r="R6" i="21"/>
  <c r="L59" i="21"/>
  <c r="E89" i="21"/>
  <c r="I5" i="21"/>
  <c r="P6" i="21"/>
  <c r="L16" i="21"/>
  <c r="C20" i="23"/>
  <c r="W19" i="23"/>
  <c r="U20" i="23"/>
  <c r="Q20" i="23"/>
  <c r="E16" i="23"/>
  <c r="U10" i="23"/>
  <c r="M23" i="23"/>
  <c r="S22" i="23"/>
  <c r="U6" i="23"/>
  <c r="M3" i="23"/>
  <c r="K11" i="23"/>
  <c r="M6" i="23"/>
  <c r="E3" i="23"/>
  <c r="S8" i="23"/>
  <c r="O18" i="23"/>
  <c r="G6" i="23"/>
  <c r="U99" i="20"/>
  <c r="U448" i="20"/>
  <c r="U131" i="20"/>
  <c r="U439" i="20"/>
  <c r="U548" i="20"/>
  <c r="U452" i="20"/>
  <c r="U79" i="20"/>
  <c r="U393" i="20"/>
  <c r="U395" i="20"/>
  <c r="U509" i="20"/>
  <c r="U267" i="20"/>
  <c r="U463" i="20"/>
  <c r="U537" i="20"/>
  <c r="U399" i="20"/>
  <c r="U387" i="20"/>
  <c r="U540" i="20"/>
  <c r="U444" i="20"/>
  <c r="U231" i="20"/>
  <c r="U467" i="20"/>
  <c r="U269" i="20"/>
  <c r="U113" i="20"/>
  <c r="U300" i="20"/>
  <c r="U94" i="20"/>
  <c r="U180" i="20"/>
  <c r="U292" i="20"/>
  <c r="U360" i="20"/>
  <c r="U531" i="20"/>
  <c r="U140" i="20"/>
  <c r="U301" i="20"/>
  <c r="M136" i="21"/>
  <c r="G45" i="21"/>
  <c r="L127" i="21"/>
  <c r="W7" i="23"/>
  <c r="U484" i="20"/>
  <c r="U80" i="20"/>
  <c r="S406" i="21"/>
  <c r="M337" i="21"/>
  <c r="I20" i="21"/>
  <c r="M49" i="21"/>
  <c r="I85" i="21"/>
  <c r="T80" i="21"/>
  <c r="L65" i="21"/>
  <c r="H7" i="21"/>
  <c r="F8" i="21"/>
  <c r="J31" i="21"/>
  <c r="R28" i="21"/>
  <c r="J18" i="21"/>
  <c r="Q41" i="21"/>
  <c r="K77" i="21"/>
  <c r="H15" i="21"/>
  <c r="G151" i="21"/>
  <c r="C344" i="21"/>
  <c r="I219" i="21"/>
  <c r="R57" i="21"/>
  <c r="O17" i="21"/>
  <c r="L189" i="21"/>
  <c r="F280" i="21"/>
  <c r="P81" i="21"/>
  <c r="R58" i="21"/>
  <c r="R32" i="21"/>
  <c r="M229" i="21"/>
  <c r="T220" i="21"/>
  <c r="M75" i="21"/>
  <c r="R246" i="21"/>
  <c r="L62" i="21"/>
  <c r="F31" i="21"/>
  <c r="L45" i="21"/>
  <c r="T4" i="21"/>
  <c r="T13" i="21"/>
  <c r="I8" i="21"/>
  <c r="N26" i="21"/>
  <c r="E54" i="21"/>
  <c r="J239" i="21"/>
  <c r="M299" i="21"/>
  <c r="C146" i="21"/>
  <c r="K70" i="21"/>
  <c r="N64" i="21"/>
  <c r="D43" i="21"/>
  <c r="Q70" i="21"/>
  <c r="G203" i="21"/>
  <c r="L9" i="21"/>
  <c r="I3" i="21"/>
  <c r="K80" i="21"/>
  <c r="H72" i="21"/>
  <c r="C54" i="21"/>
  <c r="T339" i="21"/>
  <c r="C82" i="21"/>
  <c r="F89" i="21"/>
  <c r="S151" i="21"/>
  <c r="N81" i="21"/>
  <c r="O15" i="21"/>
  <c r="K44" i="21"/>
  <c r="D34" i="21"/>
  <c r="K73" i="21"/>
  <c r="Q18" i="21"/>
  <c r="F91" i="21"/>
  <c r="L236" i="21"/>
  <c r="S183" i="21"/>
  <c r="S90" i="21"/>
  <c r="T137" i="21"/>
  <c r="G56" i="21"/>
  <c r="R125" i="21"/>
  <c r="K15" i="21"/>
  <c r="C60" i="21"/>
  <c r="G6" i="21"/>
  <c r="T32" i="21"/>
  <c r="I23" i="21"/>
  <c r="F46" i="21"/>
  <c r="D20" i="21"/>
  <c r="H58" i="21"/>
  <c r="D8" i="21"/>
  <c r="D14" i="21"/>
  <c r="D274" i="21"/>
  <c r="E38" i="21"/>
  <c r="D15" i="21"/>
  <c r="C81" i="21"/>
  <c r="O40" i="21"/>
  <c r="H71" i="21"/>
  <c r="F58" i="21"/>
  <c r="H28" i="21"/>
  <c r="E27" i="21"/>
  <c r="G141" i="21"/>
  <c r="S194" i="21"/>
  <c r="M4" i="21"/>
  <c r="F204" i="21"/>
  <c r="M41" i="21"/>
  <c r="H91" i="21"/>
  <c r="H127" i="21"/>
  <c r="H56" i="21"/>
  <c r="K5" i="21"/>
  <c r="C36" i="21"/>
  <c r="F64" i="21"/>
  <c r="L224" i="21"/>
  <c r="E173" i="21"/>
  <c r="R25" i="21"/>
  <c r="L8" i="21"/>
  <c r="G63" i="21"/>
  <c r="I78" i="21"/>
  <c r="G34" i="21"/>
  <c r="N22" i="21"/>
  <c r="S86" i="21"/>
  <c r="R424" i="21"/>
  <c r="L50" i="21"/>
  <c r="Q56" i="21"/>
  <c r="I37" i="21"/>
  <c r="R212" i="21"/>
  <c r="T147" i="21"/>
  <c r="R82" i="21"/>
  <c r="F61" i="21"/>
  <c r="Q42" i="21"/>
  <c r="T71" i="21"/>
  <c r="O334" i="21"/>
  <c r="L155" i="21"/>
  <c r="R63" i="21"/>
  <c r="L93" i="21"/>
  <c r="J251" i="21"/>
  <c r="S13" i="21"/>
  <c r="P10" i="21"/>
  <c r="K83" i="21"/>
  <c r="Q50" i="21"/>
  <c r="N33" i="21"/>
  <c r="N218" i="21"/>
  <c r="S14" i="21"/>
  <c r="W18" i="23"/>
  <c r="U18" i="23"/>
  <c r="S19" i="23"/>
  <c r="O19" i="23"/>
  <c r="W10" i="23"/>
  <c r="O23" i="23"/>
  <c r="K22" i="23"/>
  <c r="K18" i="23"/>
  <c r="S5" i="23"/>
  <c r="Q21" i="23"/>
  <c r="I9" i="23"/>
  <c r="K5" i="23"/>
  <c r="E20" i="23"/>
  <c r="I7" i="23"/>
  <c r="E10" i="23"/>
  <c r="E5" i="23"/>
  <c r="U51" i="20"/>
  <c r="U429" i="20"/>
  <c r="U87" i="20"/>
  <c r="U403" i="20"/>
  <c r="U538" i="20"/>
  <c r="U442" i="20"/>
  <c r="U35" i="20"/>
  <c r="U389" i="20"/>
  <c r="U359" i="20"/>
  <c r="U504" i="20"/>
  <c r="U227" i="20"/>
  <c r="U375" i="20"/>
  <c r="U532" i="20"/>
  <c r="U363" i="20"/>
  <c r="U355" i="20"/>
  <c r="U530" i="20"/>
  <c r="U434" i="20"/>
  <c r="U191" i="20"/>
  <c r="U455" i="20"/>
  <c r="U257" i="20"/>
  <c r="U101" i="20"/>
  <c r="U240" i="20"/>
  <c r="U82" i="20"/>
  <c r="U120" i="20"/>
  <c r="U358" i="20"/>
  <c r="U280" i="20"/>
  <c r="U208" i="20"/>
  <c r="U118" i="20"/>
  <c r="U318" i="20"/>
  <c r="U507" i="20"/>
  <c r="U261" i="20"/>
  <c r="U117" i="20"/>
  <c r="U288" i="20"/>
  <c r="U128" i="20"/>
  <c r="U372" i="20"/>
  <c r="U422" i="20"/>
  <c r="U344" i="20"/>
  <c r="U266" i="20"/>
  <c r="U188" i="20"/>
  <c r="U50" i="20"/>
  <c r="U90" i="20"/>
  <c r="U289" i="20"/>
  <c r="U145" i="20"/>
  <c r="U534" i="20"/>
  <c r="U438" i="20"/>
  <c r="C324" i="21"/>
  <c r="F284" i="21"/>
  <c r="Q22" i="21"/>
  <c r="F220" i="21"/>
  <c r="N146" i="21"/>
  <c r="L51" i="21"/>
  <c r="R50" i="21"/>
  <c r="C47" i="21"/>
  <c r="M10" i="23"/>
  <c r="C19" i="23"/>
  <c r="U451" i="20"/>
  <c r="U497" i="20"/>
  <c r="U406" i="20"/>
  <c r="U64" i="20"/>
  <c r="U314" i="20"/>
  <c r="D402" i="21"/>
  <c r="C212" i="21"/>
  <c r="K71" i="21"/>
  <c r="R55" i="21"/>
  <c r="O4" i="21"/>
  <c r="F188" i="21"/>
  <c r="S5" i="21"/>
  <c r="P2" i="21"/>
  <c r="H46" i="21"/>
  <c r="R160" i="21"/>
  <c r="N21" i="21"/>
  <c r="C48" i="21"/>
  <c r="N18" i="21"/>
  <c r="Q71" i="21"/>
  <c r="R314" i="21"/>
  <c r="H126" i="21"/>
  <c r="I12" i="21"/>
  <c r="F93" i="21"/>
  <c r="C74" i="21"/>
  <c r="T72" i="21"/>
  <c r="T43" i="21"/>
  <c r="I25" i="21"/>
  <c r="E77" i="21"/>
  <c r="J23" i="21"/>
  <c r="R20" i="21"/>
  <c r="R72" i="21"/>
  <c r="F88" i="21"/>
  <c r="T11" i="21"/>
  <c r="L288" i="21"/>
  <c r="I155" i="21"/>
  <c r="R49" i="21"/>
  <c r="O9" i="21"/>
  <c r="N154" i="21"/>
  <c r="Q84" i="21"/>
  <c r="J10" i="21"/>
  <c r="C71" i="21"/>
  <c r="P32" i="21"/>
  <c r="Q74" i="21"/>
  <c r="L49" i="21"/>
  <c r="G229" i="21"/>
  <c r="C268" i="21"/>
  <c r="G164" i="21"/>
  <c r="M67" i="21"/>
  <c r="R149" i="21"/>
  <c r="L54" i="21"/>
  <c r="F23" i="21"/>
  <c r="D348" i="21"/>
  <c r="H48" i="21"/>
  <c r="T5" i="21"/>
  <c r="Q44" i="21"/>
  <c r="G350" i="21"/>
  <c r="H229" i="21"/>
  <c r="M45" i="21"/>
  <c r="H55" i="21"/>
  <c r="F292" i="21"/>
  <c r="N45" i="21"/>
  <c r="H47" i="21"/>
  <c r="I7" i="21"/>
  <c r="H19" i="21"/>
  <c r="F276" i="21"/>
  <c r="L43" i="21"/>
  <c r="I287" i="21"/>
  <c r="H89" i="21"/>
  <c r="F81" i="21"/>
  <c r="S119" i="21"/>
  <c r="N73" i="21"/>
  <c r="O7" i="21"/>
  <c r="R34" i="21"/>
  <c r="D26" i="21"/>
  <c r="J4" i="21"/>
  <c r="Q10" i="21"/>
  <c r="F37" i="21"/>
  <c r="I17" i="21"/>
  <c r="G4" i="21"/>
  <c r="M6" i="21"/>
  <c r="L124" i="21"/>
  <c r="L223" i="21"/>
  <c r="S82" i="21"/>
  <c r="Q91" i="21"/>
  <c r="G48" i="21"/>
  <c r="P84" i="21"/>
  <c r="K7" i="21"/>
  <c r="F69" i="21"/>
  <c r="G177" i="21"/>
  <c r="D6" i="21"/>
  <c r="K169" i="21"/>
  <c r="S147" i="21"/>
  <c r="D7" i="21"/>
  <c r="C73" i="21"/>
  <c r="R31" i="21"/>
  <c r="H61" i="21"/>
  <c r="N41" i="21"/>
  <c r="T14" i="21"/>
  <c r="G36" i="21"/>
  <c r="D12" i="21"/>
  <c r="L154" i="21"/>
  <c r="F43" i="21"/>
  <c r="S201" i="21"/>
  <c r="H50" i="21"/>
  <c r="O194" i="21"/>
  <c r="P92" i="21"/>
  <c r="N6" i="21"/>
  <c r="R24" i="21"/>
  <c r="K215" i="21"/>
  <c r="L20" i="21"/>
  <c r="M164" i="21"/>
  <c r="M32" i="21"/>
  <c r="T81" i="21"/>
  <c r="D89" i="21"/>
  <c r="K50" i="21"/>
  <c r="Q260" i="21"/>
  <c r="M155" i="21"/>
  <c r="R17" i="21"/>
  <c r="E61" i="21"/>
  <c r="G55" i="21"/>
  <c r="I70" i="21"/>
  <c r="G22" i="21"/>
  <c r="N14" i="21"/>
  <c r="J146" i="21"/>
  <c r="F300" i="21"/>
  <c r="F41" i="21"/>
  <c r="D29" i="21"/>
  <c r="F138" i="21"/>
  <c r="G86" i="21"/>
  <c r="E51" i="21"/>
  <c r="P65" i="21"/>
  <c r="M29" i="21"/>
  <c r="G221" i="21"/>
  <c r="K61" i="21"/>
  <c r="U17" i="23"/>
  <c r="S17" i="23"/>
  <c r="Q18" i="23"/>
  <c r="M18" i="23"/>
  <c r="U9" i="23"/>
  <c r="M22" i="23"/>
  <c r="I21" i="23"/>
  <c r="C10" i="23"/>
  <c r="Q4" i="23"/>
  <c r="I17" i="23"/>
  <c r="U7" i="23"/>
  <c r="I4" i="23"/>
  <c r="I16" i="23"/>
  <c r="E6" i="23"/>
  <c r="K8" i="23"/>
  <c r="C4" i="23"/>
  <c r="U15" i="20"/>
  <c r="U424" i="20"/>
  <c r="U47" i="20"/>
  <c r="U371" i="20"/>
  <c r="U529" i="20"/>
  <c r="U433" i="20"/>
  <c r="U523" i="20"/>
  <c r="U385" i="20"/>
  <c r="U323" i="20"/>
  <c r="U485" i="20"/>
  <c r="U187" i="20"/>
  <c r="U339" i="20"/>
  <c r="U513" i="20"/>
  <c r="U319" i="20"/>
  <c r="U315" i="20"/>
  <c r="U521" i="20"/>
  <c r="U425" i="20"/>
  <c r="U151" i="20"/>
  <c r="U443" i="20"/>
  <c r="U245" i="20"/>
  <c r="U89" i="20"/>
  <c r="U192" i="20"/>
  <c r="U70" i="20"/>
  <c r="U66" i="20"/>
  <c r="U352" i="20"/>
  <c r="U274" i="20"/>
  <c r="U202" i="20"/>
  <c r="U106" i="20"/>
  <c r="U270" i="20"/>
  <c r="U483" i="20"/>
  <c r="U249" i="20"/>
  <c r="U105" i="20"/>
  <c r="U234" i="20"/>
  <c r="U116" i="20"/>
  <c r="U324" i="20"/>
  <c r="U410" i="20"/>
  <c r="U338" i="20"/>
  <c r="U260" i="20"/>
  <c r="U182" i="20"/>
  <c r="U38" i="20"/>
  <c r="U48" i="20"/>
  <c r="U277" i="20"/>
  <c r="U133" i="20"/>
  <c r="U426" i="20"/>
  <c r="U396" i="20"/>
  <c r="Q267" i="21"/>
  <c r="H6" i="21"/>
  <c r="N38" i="21"/>
  <c r="H125" i="21"/>
  <c r="H3" i="21"/>
  <c r="H219" i="21"/>
  <c r="J20" i="21"/>
  <c r="J25" i="21"/>
  <c r="H13" i="21"/>
  <c r="I88" i="21"/>
  <c r="L273" i="21"/>
  <c r="Q47" i="21"/>
  <c r="K37" i="21"/>
  <c r="M19" i="21"/>
  <c r="N132" i="21"/>
  <c r="J54" i="21"/>
  <c r="J28" i="21"/>
  <c r="O91" i="21"/>
  <c r="M189" i="21"/>
  <c r="H12" i="21"/>
  <c r="G62" i="21"/>
  <c r="C22" i="23"/>
  <c r="U5" i="23"/>
  <c r="K16" i="23"/>
  <c r="U415" i="20"/>
  <c r="U373" i="20"/>
  <c r="U456" i="20"/>
  <c r="U493" i="20"/>
  <c r="U256" i="20"/>
  <c r="U168" i="20"/>
  <c r="U97" i="20"/>
  <c r="N480" i="21"/>
  <c r="C172" i="21"/>
  <c r="S11" i="21"/>
  <c r="N172" i="21"/>
  <c r="T124" i="21"/>
  <c r="S121" i="21"/>
  <c r="G211" i="21"/>
  <c r="I15" i="21"/>
  <c r="S30" i="21"/>
  <c r="L69" i="21"/>
  <c r="N9" i="21"/>
  <c r="Q37" i="21"/>
  <c r="O38" i="21"/>
  <c r="R16" i="21"/>
  <c r="K312" i="21"/>
  <c r="S146" i="21"/>
  <c r="J191" i="21"/>
  <c r="G17" i="21"/>
  <c r="I61" i="21"/>
  <c r="T64" i="21"/>
  <c r="K34" i="21"/>
  <c r="H35" i="21"/>
  <c r="R198" i="21"/>
  <c r="J15" i="21"/>
  <c r="R12" i="21"/>
  <c r="C20" i="21"/>
  <c r="Q83" i="21"/>
  <c r="H11" i="21"/>
  <c r="S335" i="21"/>
  <c r="F248" i="21"/>
  <c r="N180" i="21"/>
  <c r="C10" i="21"/>
  <c r="S87" i="21"/>
  <c r="Q52" i="21"/>
  <c r="J2" i="21"/>
  <c r="M238" i="21"/>
  <c r="P24" i="21"/>
  <c r="T237" i="21"/>
  <c r="N2" i="21"/>
  <c r="D4" i="21"/>
  <c r="E34" i="21"/>
  <c r="I184" i="21"/>
  <c r="D286" i="21"/>
  <c r="G35" i="21"/>
  <c r="T141" i="21"/>
  <c r="L46" i="21"/>
  <c r="F15" i="21"/>
  <c r="G123" i="21"/>
  <c r="M33" i="21"/>
  <c r="K36" i="21"/>
  <c r="H36" i="21"/>
  <c r="P177" i="21"/>
  <c r="D276" i="21"/>
  <c r="O3" i="21"/>
  <c r="O308" i="21"/>
  <c r="F192" i="21"/>
  <c r="Q35" i="21"/>
  <c r="H30" i="21"/>
  <c r="F80" i="21"/>
  <c r="E19" i="21"/>
  <c r="L30" i="21"/>
  <c r="T3" i="21"/>
  <c r="E187" i="21"/>
  <c r="L221" i="21"/>
  <c r="G241" i="21"/>
  <c r="F87" i="21"/>
  <c r="N65" i="21"/>
  <c r="K74" i="21"/>
  <c r="R26" i="21"/>
  <c r="D2" i="21"/>
  <c r="I16" i="21"/>
  <c r="Q2" i="21"/>
  <c r="M23" i="21"/>
  <c r="Q85" i="21"/>
  <c r="M42" i="21"/>
  <c r="F194" i="21"/>
  <c r="M69" i="21"/>
  <c r="F126" i="21"/>
  <c r="P83" i="21"/>
  <c r="K87" i="21"/>
  <c r="P36" i="21"/>
  <c r="M158" i="21"/>
  <c r="P73" i="21"/>
  <c r="Q24" i="21"/>
  <c r="P196" i="21"/>
  <c r="T18" i="21"/>
  <c r="C19" i="21"/>
  <c r="C65" i="21"/>
  <c r="R23" i="21"/>
  <c r="N52" i="21"/>
  <c r="N32" i="21"/>
  <c r="H4" i="21"/>
  <c r="E28" i="21"/>
  <c r="O41" i="21"/>
  <c r="J49" i="21"/>
  <c r="P87" i="21"/>
  <c r="N56" i="21"/>
  <c r="N158" i="21"/>
  <c r="C247" i="21"/>
  <c r="L84" i="21"/>
  <c r="T19" i="21"/>
  <c r="G223" i="21"/>
  <c r="P210" i="21"/>
  <c r="F60" i="21"/>
  <c r="I66" i="21"/>
  <c r="M24" i="21"/>
  <c r="N72" i="21"/>
  <c r="D81" i="21"/>
  <c r="L14" i="21"/>
  <c r="M123" i="21"/>
  <c r="T205" i="21"/>
  <c r="C39" i="21"/>
  <c r="F76" i="21"/>
  <c r="S225" i="21"/>
  <c r="I62" i="21"/>
  <c r="G10" i="21"/>
  <c r="R44" i="21"/>
  <c r="M179" i="21"/>
  <c r="D87" i="21"/>
  <c r="T228" i="21"/>
  <c r="D21" i="21"/>
  <c r="M204" i="21"/>
  <c r="G78" i="21"/>
  <c r="K39" i="21"/>
  <c r="C55" i="21"/>
  <c r="M17" i="21"/>
  <c r="L135" i="21"/>
  <c r="F56" i="21"/>
  <c r="G191" i="21"/>
  <c r="S16" i="23"/>
  <c r="Q16" i="23"/>
  <c r="O17" i="23"/>
  <c r="K17" i="23"/>
  <c r="Q23" i="23"/>
  <c r="K21" i="23"/>
  <c r="G20" i="23"/>
  <c r="G8" i="23"/>
  <c r="O3" i="23"/>
  <c r="M11" i="23"/>
  <c r="O6" i="23"/>
  <c r="G3" i="23"/>
  <c r="C11" i="23"/>
  <c r="C5" i="23"/>
  <c r="C7" i="23"/>
  <c r="U512" i="20"/>
  <c r="U549" i="20"/>
  <c r="U536" i="20"/>
  <c r="U7" i="20"/>
  <c r="U331" i="20"/>
  <c r="U524" i="20"/>
  <c r="U428" i="20"/>
  <c r="U499" i="20"/>
  <c r="U381" i="20"/>
  <c r="U283" i="20"/>
  <c r="U480" i="20"/>
  <c r="U155" i="20"/>
  <c r="U295" i="20"/>
  <c r="U508" i="20"/>
  <c r="U279" i="20"/>
  <c r="U275" i="20"/>
  <c r="U516" i="20"/>
  <c r="U420" i="20"/>
  <c r="U111" i="20"/>
  <c r="U431" i="20"/>
  <c r="U233" i="20"/>
  <c r="U77" i="20"/>
  <c r="U138" i="20"/>
  <c r="U58" i="20"/>
  <c r="U12" i="20"/>
  <c r="U346" i="20"/>
  <c r="U268" i="20"/>
  <c r="U196" i="20"/>
  <c r="U88" i="20"/>
  <c r="U216" i="20"/>
  <c r="U459" i="20"/>
  <c r="U237" i="20"/>
  <c r="U93" i="20"/>
  <c r="U186" i="20"/>
  <c r="U104" i="20"/>
  <c r="U276" i="20"/>
  <c r="U404" i="20"/>
  <c r="U332" i="20"/>
  <c r="U254" i="20"/>
  <c r="U170" i="20"/>
  <c r="U20" i="20"/>
  <c r="U522" i="20"/>
  <c r="U265" i="20"/>
  <c r="U121" i="20"/>
  <c r="U390" i="20"/>
  <c r="U342" i="20"/>
  <c r="U312" i="20"/>
  <c r="O219" i="21"/>
  <c r="G47" i="21"/>
  <c r="D3" i="21"/>
  <c r="S189" i="21"/>
  <c r="S49" i="21"/>
  <c r="H231" i="21"/>
  <c r="P8" i="21"/>
  <c r="F48" i="21"/>
  <c r="R7" i="21"/>
  <c r="G29" i="21"/>
  <c r="T20" i="21"/>
  <c r="L68" i="21"/>
  <c r="O90" i="21"/>
  <c r="E248" i="21"/>
  <c r="K81" i="21"/>
  <c r="C49" i="21"/>
  <c r="L55" i="21"/>
  <c r="S23" i="23"/>
  <c r="U525" i="20"/>
  <c r="U353" i="20"/>
  <c r="U132" i="20"/>
  <c r="U146" i="20"/>
  <c r="S398" i="21"/>
  <c r="C164" i="21"/>
  <c r="R27" i="21"/>
  <c r="J60" i="21"/>
  <c r="D290" i="21"/>
  <c r="O87" i="21"/>
  <c r="E79" i="21"/>
  <c r="L87" i="21"/>
  <c r="G20" i="21"/>
  <c r="H45" i="21"/>
  <c r="O2" i="21"/>
  <c r="J29" i="21"/>
  <c r="S54" i="21"/>
  <c r="E20" i="21"/>
  <c r="E68" i="21"/>
  <c r="M364" i="21"/>
  <c r="G138" i="21"/>
  <c r="M168" i="21"/>
  <c r="H42" i="21"/>
  <c r="C52" i="21"/>
  <c r="T56" i="21"/>
  <c r="K26" i="21"/>
  <c r="E39" i="21"/>
  <c r="R74" i="21"/>
  <c r="J7" i="21"/>
  <c r="R4" i="21"/>
  <c r="H29" i="21"/>
  <c r="P12" i="21"/>
  <c r="R76" i="21"/>
  <c r="R415" i="21"/>
  <c r="N238" i="21"/>
  <c r="J62" i="21"/>
  <c r="L83" i="21"/>
  <c r="S79" i="21"/>
  <c r="T39" i="21"/>
  <c r="E81" i="21"/>
  <c r="F39" i="21"/>
  <c r="P16" i="21"/>
  <c r="N90" i="21"/>
  <c r="K12" i="21"/>
  <c r="C26" i="21"/>
  <c r="Q51" i="21"/>
  <c r="G281" i="21"/>
  <c r="O248" i="21"/>
  <c r="G137" i="21"/>
  <c r="P52" i="21"/>
  <c r="R172" i="21"/>
  <c r="F7" i="21"/>
  <c r="O93" i="21"/>
  <c r="M21" i="21"/>
  <c r="T22" i="21"/>
  <c r="Q16" i="21"/>
  <c r="H220" i="21"/>
  <c r="F237" i="21"/>
  <c r="J183" i="21"/>
  <c r="H157" i="21"/>
  <c r="M124" i="21"/>
  <c r="P27" i="21"/>
  <c r="N19" i="21"/>
  <c r="K49" i="21"/>
  <c r="F20" i="21"/>
  <c r="F30" i="21"/>
  <c r="J33" i="21"/>
  <c r="J200" i="21"/>
  <c r="T175" i="21"/>
  <c r="C115" i="21"/>
  <c r="F79" i="21"/>
  <c r="N57" i="21"/>
  <c r="S300" i="21"/>
  <c r="R18" i="21"/>
  <c r="O10" i="21"/>
  <c r="F78" i="21"/>
  <c r="Q82" i="21"/>
  <c r="S12" i="21"/>
  <c r="Q53" i="21"/>
  <c r="Q77" i="21"/>
  <c r="E26" i="21"/>
  <c r="T77" i="21"/>
  <c r="M61" i="21"/>
  <c r="M18" i="21"/>
  <c r="P75" i="21"/>
  <c r="K55" i="21"/>
  <c r="S115" i="21"/>
  <c r="K69" i="21"/>
  <c r="C63" i="21"/>
  <c r="C41" i="21"/>
  <c r="C45" i="21"/>
  <c r="C208" i="21"/>
  <c r="T10" i="21"/>
  <c r="R56" i="21"/>
  <c r="C57" i="21"/>
  <c r="R15" i="21"/>
  <c r="N178" i="21"/>
  <c r="N24" i="21"/>
  <c r="E86" i="21"/>
  <c r="C7" i="21"/>
  <c r="C92" i="21"/>
  <c r="P79" i="21"/>
  <c r="S73" i="21"/>
  <c r="N126" i="21"/>
  <c r="R229" i="21"/>
  <c r="L76" i="21"/>
  <c r="N10" i="21"/>
  <c r="C214" i="21"/>
  <c r="G42" i="21"/>
  <c r="L137" i="21"/>
  <c r="M16" i="21"/>
  <c r="H63" i="21"/>
  <c r="D73" i="21"/>
  <c r="K4" i="21"/>
  <c r="E207" i="21"/>
  <c r="I91" i="21"/>
  <c r="S237" i="21"/>
  <c r="L47" i="21"/>
  <c r="M178" i="21"/>
  <c r="I54" i="21"/>
  <c r="S36" i="21"/>
  <c r="O34" i="21"/>
  <c r="G168" i="21"/>
  <c r="D47" i="21"/>
  <c r="R157" i="21"/>
  <c r="D13" i="21"/>
  <c r="N164" i="21"/>
  <c r="G70" i="21"/>
  <c r="Q30" i="21"/>
  <c r="M22" i="21"/>
  <c r="M5" i="21"/>
  <c r="F184" i="21"/>
  <c r="R8" i="21"/>
  <c r="O11" i="23"/>
  <c r="E23" i="23"/>
  <c r="M16" i="23"/>
  <c r="U23" i="23"/>
  <c r="O22" i="23"/>
  <c r="I20" i="23"/>
  <c r="E19" i="23"/>
  <c r="W6" i="23"/>
  <c r="U21" i="23"/>
  <c r="M9" i="23"/>
  <c r="M5" i="23"/>
  <c r="O20" i="23"/>
  <c r="W8" i="23"/>
  <c r="W3" i="23"/>
  <c r="W5" i="23"/>
  <c r="U411" i="20"/>
  <c r="U544" i="20"/>
  <c r="U445" i="20"/>
  <c r="U543" i="20"/>
  <c r="U287" i="20"/>
  <c r="U514" i="20"/>
  <c r="U418" i="20"/>
  <c r="U475" i="20"/>
  <c r="U377" i="20"/>
  <c r="U251" i="20"/>
  <c r="U461" i="20"/>
  <c r="U119" i="20"/>
  <c r="U255" i="20"/>
  <c r="U489" i="20"/>
  <c r="U235" i="20"/>
  <c r="U239" i="20"/>
  <c r="U506" i="20"/>
  <c r="U526" i="20"/>
  <c r="U75" i="20"/>
  <c r="U419" i="20"/>
  <c r="U221" i="20"/>
  <c r="U65" i="20"/>
  <c r="U84" i="20"/>
  <c r="U46" i="20"/>
  <c r="U412" i="20"/>
  <c r="U340" i="20"/>
  <c r="U262" i="20"/>
  <c r="U190" i="20"/>
  <c r="U76" i="20"/>
  <c r="U174" i="20"/>
  <c r="U435" i="20"/>
  <c r="U225" i="20"/>
  <c r="U81" i="20"/>
  <c r="U126" i="20"/>
  <c r="U92" i="20"/>
  <c r="U222" i="20"/>
  <c r="U398" i="20"/>
  <c r="U326" i="20"/>
  <c r="U248" i="20"/>
  <c r="U158" i="20"/>
  <c r="U8" i="20"/>
  <c r="U252" i="20"/>
  <c r="U253" i="20"/>
  <c r="U109" i="20"/>
  <c r="U336" i="20"/>
  <c r="T282" i="21"/>
  <c r="K64" i="21"/>
  <c r="R136" i="21"/>
  <c r="S88" i="21"/>
  <c r="D65" i="21"/>
  <c r="H225" i="21"/>
  <c r="C40" i="21"/>
  <c r="E12" i="21"/>
  <c r="M62" i="21"/>
  <c r="G31" i="21"/>
  <c r="K219" i="21"/>
  <c r="Q64" i="21"/>
  <c r="T53" i="21"/>
  <c r="C80" i="21"/>
  <c r="S71" i="21"/>
  <c r="O138" i="21"/>
  <c r="T129" i="21"/>
  <c r="J52" i="21"/>
  <c r="P28" i="21"/>
  <c r="C18" i="23"/>
  <c r="U4" i="23"/>
  <c r="U407" i="20"/>
  <c r="U53" i="20"/>
  <c r="U69" i="20"/>
  <c r="U114" i="20"/>
  <c r="O425" i="21"/>
  <c r="D288" i="21"/>
  <c r="R11" i="21"/>
  <c r="J44" i="21"/>
  <c r="J151" i="21"/>
  <c r="O71" i="21"/>
  <c r="H38" i="21"/>
  <c r="R40" i="21"/>
  <c r="C22" i="21"/>
  <c r="K27" i="21"/>
  <c r="Q38" i="21"/>
  <c r="C14" i="21"/>
  <c r="R221" i="21"/>
  <c r="T33" i="21"/>
  <c r="O362" i="21"/>
  <c r="Q204" i="21"/>
  <c r="C78" i="21"/>
  <c r="F25" i="21"/>
  <c r="L149" i="21"/>
  <c r="L187" i="21"/>
  <c r="K10" i="21"/>
  <c r="F12" i="21"/>
  <c r="C37" i="21"/>
  <c r="N28" i="21"/>
  <c r="L61" i="21"/>
  <c r="J13" i="21"/>
  <c r="G2" i="21"/>
  <c r="E24" i="21"/>
  <c r="S37" i="21"/>
  <c r="T373" i="21"/>
  <c r="L214" i="21"/>
  <c r="J46" i="21"/>
  <c r="N39" i="21"/>
  <c r="S63" i="21"/>
  <c r="G23" i="21"/>
  <c r="S38" i="21"/>
  <c r="E3" i="21"/>
  <c r="K82" i="21"/>
  <c r="R208" i="21"/>
  <c r="F14" i="21"/>
  <c r="R60" i="21"/>
  <c r="C15" i="21"/>
  <c r="P286" i="21"/>
  <c r="K171" i="21"/>
  <c r="S44" i="21"/>
  <c r="C86" i="21"/>
  <c r="H135" i="21"/>
  <c r="R70" i="21"/>
  <c r="C87" i="21"/>
  <c r="C32" i="21"/>
  <c r="O16" i="21"/>
  <c r="N35" i="21"/>
  <c r="E10" i="21"/>
  <c r="Q278" i="21"/>
  <c r="F125" i="21"/>
  <c r="T189" i="21"/>
  <c r="M88" i="21"/>
  <c r="I80" i="21"/>
  <c r="P11" i="21"/>
  <c r="L179" i="21"/>
  <c r="E30" i="21"/>
  <c r="J135" i="21"/>
  <c r="H41" i="21"/>
  <c r="F4" i="21"/>
  <c r="T218" i="21"/>
  <c r="R75" i="21"/>
  <c r="P77" i="21"/>
  <c r="F63" i="21"/>
  <c r="L191" i="21"/>
  <c r="L231" i="21"/>
  <c r="R2" i="21"/>
  <c r="O30" i="21"/>
  <c r="N25" i="21"/>
  <c r="I39" i="21"/>
  <c r="Q69" i="21"/>
  <c r="L31" i="21"/>
  <c r="N37" i="21"/>
  <c r="M200" i="21"/>
  <c r="E242" i="21"/>
  <c r="K76" i="21"/>
  <c r="M2" i="21"/>
  <c r="P59" i="21"/>
  <c r="S31" i="21"/>
  <c r="C70" i="21"/>
  <c r="J35" i="21"/>
  <c r="M30" i="21"/>
  <c r="J17" i="21"/>
  <c r="F179" i="21"/>
  <c r="Q309" i="21"/>
  <c r="H32" i="21"/>
  <c r="S203" i="21"/>
  <c r="G49" i="21"/>
  <c r="L115" i="21"/>
  <c r="N8" i="21"/>
  <c r="M31" i="21"/>
  <c r="E4" i="21"/>
  <c r="Q55" i="21"/>
  <c r="L243" i="21"/>
  <c r="C69" i="21"/>
  <c r="S57" i="21"/>
  <c r="S80" i="21"/>
  <c r="D93" i="21"/>
  <c r="L60" i="21"/>
  <c r="F28" i="21"/>
  <c r="F177" i="21"/>
  <c r="D17" i="21"/>
  <c r="N83" i="21"/>
  <c r="O22" i="21"/>
  <c r="M242" i="21"/>
  <c r="D57" i="21"/>
  <c r="I32" i="21"/>
  <c r="O228" i="21"/>
  <c r="I67" i="21"/>
  <c r="C50" i="21"/>
  <c r="E29" i="21"/>
  <c r="H115" i="21"/>
  <c r="L121" i="21"/>
  <c r="M43" i="21"/>
  <c r="K237" i="21"/>
  <c r="M172" i="21"/>
  <c r="S141" i="21"/>
  <c r="R91" i="21"/>
  <c r="J90" i="21"/>
  <c r="G54" i="21"/>
  <c r="Q14" i="21"/>
  <c r="D11" i="21"/>
  <c r="E83" i="21"/>
  <c r="S62" i="21"/>
  <c r="R222" i="21"/>
  <c r="K9" i="23"/>
  <c r="W20" i="23"/>
  <c r="G10" i="23"/>
  <c r="Q22" i="23"/>
  <c r="K20" i="23"/>
  <c r="E18" i="23"/>
  <c r="W16" i="23"/>
  <c r="S4" i="23"/>
  <c r="Q11" i="23"/>
  <c r="Q6" i="23"/>
  <c r="I3" i="23"/>
  <c r="E11" i="23"/>
  <c r="I6" i="23"/>
  <c r="I10" i="23"/>
  <c r="S3" i="23"/>
  <c r="U327" i="20"/>
  <c r="U520" i="20"/>
  <c r="U379" i="20"/>
  <c r="U495" i="20"/>
  <c r="U203" i="20"/>
  <c r="U500" i="20"/>
  <c r="U347" i="20"/>
  <c r="U427" i="20"/>
  <c r="U369" i="20"/>
  <c r="U147" i="20"/>
  <c r="U437" i="20"/>
  <c r="U43" i="20"/>
  <c r="U183" i="20"/>
  <c r="U465" i="20"/>
  <c r="U159" i="20"/>
  <c r="U163" i="20"/>
  <c r="U492" i="20"/>
  <c r="U469" i="20"/>
  <c r="U539" i="20"/>
  <c r="U341" i="20"/>
  <c r="U197" i="20"/>
  <c r="U41" i="20"/>
  <c r="U286" i="20"/>
  <c r="U22" i="20"/>
  <c r="U400" i="20"/>
  <c r="U328" i="20"/>
  <c r="U250" i="20"/>
  <c r="U178" i="20"/>
  <c r="U52" i="20"/>
  <c r="U78" i="20"/>
  <c r="U345" i="20"/>
  <c r="U201" i="20"/>
  <c r="U57" i="20"/>
  <c r="U6" i="20"/>
  <c r="U68" i="20"/>
  <c r="U108" i="20"/>
  <c r="U386" i="20"/>
  <c r="U308" i="20"/>
  <c r="U236" i="20"/>
  <c r="U134" i="20"/>
  <c r="U408" i="20"/>
  <c r="U18" i="20"/>
  <c r="U229" i="20"/>
  <c r="U85" i="20"/>
  <c r="U258" i="20"/>
  <c r="U210" i="20"/>
  <c r="U447" i="20"/>
  <c r="U135" i="20"/>
  <c r="U409" i="20"/>
  <c r="U67" i="20"/>
  <c r="U541" i="20"/>
  <c r="U441" i="20"/>
  <c r="U91" i="20"/>
  <c r="U391" i="20"/>
  <c r="U317" i="20"/>
  <c r="U17" i="20"/>
  <c r="U498" i="20"/>
  <c r="U316" i="20"/>
  <c r="U166" i="20"/>
  <c r="U21" i="20"/>
  <c r="U177" i="20"/>
  <c r="U194" i="20"/>
  <c r="U44" i="20"/>
  <c r="U374" i="20"/>
  <c r="U224" i="20"/>
  <c r="U330" i="20"/>
  <c r="U205" i="20"/>
  <c r="U156" i="20"/>
  <c r="G41" i="21"/>
  <c r="F62" i="21"/>
  <c r="U209" i="20"/>
  <c r="R427" i="21"/>
  <c r="F239" i="21"/>
  <c r="K41" i="21"/>
  <c r="O81" i="21"/>
  <c r="O202" i="21"/>
  <c r="O63" i="21"/>
  <c r="R29" i="21"/>
  <c r="T31" i="21"/>
  <c r="K88" i="21"/>
  <c r="K19" i="21"/>
  <c r="G26" i="21"/>
  <c r="P41" i="21"/>
  <c r="R90" i="21"/>
  <c r="S229" i="21"/>
  <c r="C2" i="21"/>
  <c r="J376" i="21"/>
  <c r="Q196" i="21"/>
  <c r="H87" i="21"/>
  <c r="R78" i="21"/>
  <c r="R92" i="21"/>
  <c r="H121" i="21"/>
  <c r="K2" i="21"/>
  <c r="Q8" i="21"/>
  <c r="Q28" i="21"/>
  <c r="O8" i="21"/>
  <c r="N42" i="21"/>
  <c r="S171" i="21"/>
  <c r="H22" i="21"/>
  <c r="H300" i="21"/>
  <c r="L207" i="21"/>
  <c r="P91" i="21"/>
  <c r="T172" i="21"/>
  <c r="S55" i="21"/>
  <c r="G15" i="21"/>
  <c r="I30" i="21"/>
  <c r="D19" i="21"/>
  <c r="G215" i="21"/>
  <c r="J5" i="21"/>
  <c r="E16" i="21"/>
  <c r="J9" i="21"/>
  <c r="M279" i="21"/>
  <c r="K155" i="21"/>
  <c r="F3" i="21"/>
  <c r="O74" i="21"/>
  <c r="D91" i="21"/>
  <c r="O45" i="21"/>
  <c r="H64" i="21"/>
  <c r="L119" i="21"/>
  <c r="K75" i="21"/>
  <c r="H43" i="21"/>
  <c r="Q155" i="21"/>
  <c r="M214" i="21"/>
  <c r="C66" i="21"/>
  <c r="M80" i="21"/>
  <c r="I72" i="21"/>
  <c r="P3" i="21"/>
  <c r="K51" i="21"/>
  <c r="E22" i="21"/>
  <c r="M78" i="21"/>
  <c r="F6" i="21"/>
  <c r="L75" i="21"/>
  <c r="G224" i="21"/>
  <c r="R67" i="21"/>
  <c r="P37" i="21"/>
  <c r="F55" i="21"/>
  <c r="T155" i="21"/>
  <c r="E172" i="21"/>
  <c r="C18" i="21"/>
  <c r="R68" i="21"/>
  <c r="N13" i="21"/>
  <c r="P30" i="21"/>
  <c r="I45" i="21"/>
  <c r="H39" i="21"/>
  <c r="H81" i="21"/>
  <c r="K42" i="21"/>
  <c r="E2" i="21"/>
  <c r="J237" i="21"/>
  <c r="M47" i="21"/>
  <c r="L26" i="21"/>
  <c r="P51" i="21"/>
  <c r="S23" i="21"/>
  <c r="I59" i="21"/>
  <c r="J27" i="21"/>
  <c r="L23" i="21"/>
  <c r="L29" i="21"/>
  <c r="D50" i="21"/>
  <c r="T213" i="21"/>
  <c r="K91" i="21"/>
  <c r="F164" i="21"/>
  <c r="R168" i="21"/>
  <c r="S85" i="21"/>
  <c r="E45" i="21"/>
  <c r="S20" i="21"/>
  <c r="E88" i="21"/>
  <c r="H21" i="21"/>
  <c r="E160" i="21"/>
  <c r="C61" i="21"/>
  <c r="L80" i="21"/>
  <c r="S72" i="21"/>
  <c r="P44" i="21"/>
  <c r="L52" i="21"/>
  <c r="P4" i="21"/>
  <c r="L77" i="21"/>
  <c r="D64" i="21"/>
  <c r="D9" i="21"/>
  <c r="L203" i="21"/>
  <c r="Q89" i="21"/>
  <c r="L185" i="21"/>
  <c r="D49" i="21"/>
  <c r="S179" i="21"/>
  <c r="P292" i="21"/>
  <c r="N68" i="21"/>
  <c r="J6" i="21"/>
  <c r="E21" i="21"/>
  <c r="R85" i="21"/>
  <c r="N87" i="21"/>
  <c r="F34" i="21"/>
  <c r="Q49" i="21"/>
  <c r="K229" i="21"/>
  <c r="I60" i="21"/>
  <c r="R154" i="21"/>
  <c r="Q59" i="21"/>
  <c r="J82" i="21"/>
  <c r="R214" i="21"/>
  <c r="Q6" i="21"/>
  <c r="C23" i="21"/>
  <c r="I51" i="21"/>
  <c r="F50" i="21"/>
  <c r="K72" i="21"/>
  <c r="I8" i="23"/>
  <c r="U19" i="23"/>
  <c r="E9" i="23"/>
  <c r="O21" i="23"/>
  <c r="I19" i="23"/>
  <c r="C17" i="23"/>
  <c r="S11" i="23"/>
  <c r="Q3" i="23"/>
  <c r="S9" i="23"/>
  <c r="O5" i="23"/>
  <c r="S20" i="23"/>
  <c r="C9" i="23"/>
  <c r="G5" i="23"/>
  <c r="Q8" i="23"/>
  <c r="Q19" i="23"/>
  <c r="U291" i="20"/>
  <c r="U501" i="20"/>
  <c r="U343" i="20"/>
  <c r="U471" i="20"/>
  <c r="U171" i="20"/>
  <c r="U490" i="20"/>
  <c r="U307" i="20"/>
  <c r="U413" i="20"/>
  <c r="U365" i="20"/>
  <c r="U107" i="20"/>
  <c r="U432" i="20"/>
  <c r="U3" i="20"/>
  <c r="U143" i="20"/>
  <c r="U460" i="20"/>
  <c r="U115" i="20"/>
  <c r="U127" i="20"/>
  <c r="U482" i="20"/>
  <c r="U421" i="20"/>
  <c r="U527" i="20"/>
  <c r="U329" i="20"/>
  <c r="U185" i="20"/>
  <c r="U29" i="20"/>
  <c r="U154" i="20"/>
  <c r="U10" i="20"/>
  <c r="U394" i="20"/>
  <c r="U322" i="20"/>
  <c r="U244" i="20"/>
  <c r="U172" i="20"/>
  <c r="U40" i="20"/>
  <c r="U24" i="20"/>
  <c r="U333" i="20"/>
  <c r="U189" i="20"/>
  <c r="U45" i="20"/>
  <c r="U320" i="20"/>
  <c r="U56" i="20"/>
  <c r="U54" i="20"/>
  <c r="U380" i="20"/>
  <c r="U302" i="20"/>
  <c r="U230" i="20"/>
  <c r="U122" i="20"/>
  <c r="U384" i="20"/>
  <c r="U547" i="20"/>
  <c r="U217" i="20"/>
  <c r="U73" i="20"/>
  <c r="U204" i="20"/>
  <c r="U162" i="20"/>
  <c r="U299" i="20"/>
  <c r="U481" i="20"/>
  <c r="U263" i="20"/>
  <c r="U361" i="20"/>
  <c r="U440" i="20"/>
  <c r="U103" i="20"/>
  <c r="U71" i="20"/>
  <c r="U473" i="20"/>
  <c r="U515" i="20"/>
  <c r="U161" i="20"/>
  <c r="U142" i="20"/>
  <c r="U388" i="20"/>
  <c r="U238" i="20"/>
  <c r="U28" i="20"/>
  <c r="U321" i="20"/>
  <c r="U33" i="20"/>
  <c r="U542" i="20"/>
  <c r="U296" i="20"/>
  <c r="U110" i="20"/>
  <c r="U349" i="20"/>
  <c r="U61" i="20"/>
  <c r="U96" i="20"/>
  <c r="M10" i="21"/>
  <c r="K35" i="21"/>
  <c r="U83" i="20"/>
  <c r="U306" i="20"/>
  <c r="N439" i="21"/>
  <c r="F175" i="21"/>
  <c r="I19" i="21"/>
  <c r="R166" i="21"/>
  <c r="P280" i="21"/>
  <c r="O55" i="21"/>
  <c r="R21" i="21"/>
  <c r="T15" i="21"/>
  <c r="K56" i="21"/>
  <c r="K11" i="21"/>
  <c r="G14" i="21"/>
  <c r="S78" i="21"/>
  <c r="T36" i="21"/>
  <c r="E8" i="21"/>
  <c r="C4" i="21"/>
  <c r="J292" i="21"/>
  <c r="Q132" i="21"/>
  <c r="L209" i="21"/>
  <c r="Q13" i="21"/>
  <c r="N82" i="21"/>
  <c r="M87" i="21"/>
  <c r="L123" i="21"/>
  <c r="L63" i="21"/>
  <c r="Q20" i="21"/>
  <c r="L71" i="21"/>
  <c r="K33" i="21"/>
  <c r="E36" i="21"/>
  <c r="I40" i="21"/>
  <c r="N11" i="21"/>
  <c r="Q32" i="21"/>
  <c r="J263" i="21"/>
  <c r="L126" i="21"/>
  <c r="O51" i="21"/>
  <c r="M93" i="21"/>
  <c r="S233" i="21"/>
  <c r="G7" i="21"/>
  <c r="I22" i="21"/>
  <c r="C31" i="21"/>
  <c r="L79" i="21"/>
  <c r="K48" i="21"/>
  <c r="H5" i="21"/>
  <c r="J267" i="21"/>
  <c r="P238" i="21"/>
  <c r="Q31" i="21"/>
  <c r="C62" i="21"/>
  <c r="D83" i="21"/>
  <c r="R35" i="21"/>
  <c r="E82" i="21"/>
  <c r="Q61" i="21"/>
  <c r="R36" i="21"/>
  <c r="L21" i="21"/>
  <c r="D177" i="21"/>
  <c r="D60" i="21"/>
  <c r="N76" i="21"/>
  <c r="M72" i="21"/>
  <c r="I64" i="21"/>
  <c r="K86" i="21"/>
  <c r="I36" i="21"/>
  <c r="E14" i="21"/>
  <c r="F53" i="21"/>
  <c r="I43" i="21"/>
  <c r="M13" i="21"/>
  <c r="G200" i="21"/>
  <c r="M192" i="21"/>
  <c r="C75" i="21"/>
  <c r="F47" i="21"/>
  <c r="T123" i="21"/>
  <c r="J223" i="21"/>
  <c r="L85" i="21"/>
  <c r="S175" i="21"/>
  <c r="R218" i="21"/>
  <c r="P22" i="21"/>
  <c r="L35" i="21"/>
  <c r="M166" i="21"/>
  <c r="M54" i="21"/>
  <c r="L141" i="21"/>
  <c r="R296" i="21"/>
  <c r="C28" i="21"/>
  <c r="F84" i="21"/>
  <c r="P43" i="21"/>
  <c r="S15" i="21"/>
  <c r="G243" i="21"/>
  <c r="J19" i="21"/>
  <c r="L15" i="21"/>
  <c r="E80" i="21"/>
  <c r="O237" i="21"/>
  <c r="C58" i="21"/>
  <c r="S16" i="21"/>
  <c r="F132" i="21"/>
  <c r="L73" i="21"/>
  <c r="S77" i="21"/>
  <c r="T23" i="21"/>
  <c r="M7" i="21"/>
  <c r="E56" i="21"/>
  <c r="H33" i="21"/>
  <c r="J171" i="21"/>
  <c r="H78" i="21"/>
  <c r="G233" i="21"/>
  <c r="S64" i="21"/>
  <c r="O84" i="21"/>
  <c r="L44" i="21"/>
  <c r="G202" i="21"/>
  <c r="E48" i="21"/>
  <c r="G376" i="21"/>
  <c r="C21" i="21"/>
  <c r="G58" i="21"/>
  <c r="Q57" i="21"/>
  <c r="T151" i="21"/>
  <c r="D41" i="21"/>
  <c r="I46" i="21"/>
  <c r="R223" i="21"/>
  <c r="T91" i="21"/>
  <c r="I18" i="21"/>
  <c r="E13" i="21"/>
  <c r="R77" i="21"/>
  <c r="N79" i="21"/>
  <c r="F26" i="21"/>
  <c r="K157" i="21"/>
  <c r="N85" i="21"/>
  <c r="T47" i="21"/>
  <c r="E42" i="21"/>
  <c r="J74" i="21"/>
  <c r="K79" i="21"/>
  <c r="Q66" i="21"/>
  <c r="R80" i="21"/>
  <c r="L39" i="21"/>
  <c r="K20" i="21"/>
  <c r="G37" i="21"/>
  <c r="K23" i="23"/>
  <c r="G7" i="23"/>
  <c r="S18" i="23"/>
  <c r="W22" i="23"/>
  <c r="M20" i="23"/>
  <c r="G18" i="23"/>
  <c r="U11" i="23"/>
  <c r="Q10" i="23"/>
  <c r="I22" i="23"/>
  <c r="C8" i="23"/>
  <c r="M4" i="23"/>
  <c r="O16" i="23"/>
  <c r="Q7" i="23"/>
  <c r="E4" i="23"/>
  <c r="E7" i="23"/>
  <c r="G16" i="23"/>
  <c r="U259" i="20"/>
  <c r="U496" i="20"/>
  <c r="J21" i="21"/>
  <c r="U505" i="20"/>
  <c r="U39" i="20"/>
  <c r="U184" i="20"/>
  <c r="U392" i="20"/>
  <c r="U264" i="20"/>
  <c r="U94" i="21" l="1"/>
  <c r="V94" i="21"/>
  <c r="V111" i="21"/>
  <c r="U111" i="21"/>
  <c r="V102" i="21"/>
  <c r="U102" i="21"/>
  <c r="V106" i="21"/>
  <c r="U106" i="21"/>
  <c r="V103" i="21"/>
  <c r="U103" i="21"/>
  <c r="V117" i="21"/>
  <c r="U117" i="21"/>
  <c r="V110" i="21"/>
  <c r="U110" i="21"/>
  <c r="U116" i="21"/>
  <c r="V116" i="21"/>
  <c r="V118" i="21"/>
  <c r="U118" i="21"/>
  <c r="V120" i="21"/>
  <c r="U120" i="21"/>
  <c r="V122" i="21"/>
  <c r="U122" i="21"/>
  <c r="V130" i="21"/>
  <c r="U130" i="21"/>
  <c r="V134" i="21"/>
  <c r="U134" i="21"/>
  <c r="V140" i="21"/>
  <c r="U140" i="21"/>
  <c r="V142" i="21"/>
  <c r="U142" i="21"/>
  <c r="U145" i="21"/>
  <c r="V145" i="21"/>
  <c r="V150" i="21"/>
  <c r="U150" i="21"/>
  <c r="V153" i="21"/>
  <c r="U153" i="21"/>
  <c r="V156" i="21"/>
  <c r="U156" i="21"/>
  <c r="V162" i="21"/>
  <c r="U162" i="21"/>
  <c r="U170" i="21"/>
  <c r="V170" i="21"/>
  <c r="U174" i="21"/>
  <c r="V174" i="21"/>
  <c r="V186" i="21"/>
  <c r="U186" i="21"/>
  <c r="V216" i="21"/>
  <c r="U216" i="21"/>
  <c r="V226" i="21"/>
  <c r="U226" i="21"/>
  <c r="U230" i="21"/>
  <c r="V230" i="21"/>
  <c r="V234" i="21"/>
  <c r="U234" i="21"/>
  <c r="V240" i="21"/>
  <c r="U240" i="21"/>
  <c r="V245" i="21"/>
  <c r="U245" i="21"/>
  <c r="U131" i="21"/>
  <c r="V131" i="21"/>
  <c r="V139" i="21"/>
  <c r="U139" i="21"/>
  <c r="V143" i="21"/>
  <c r="U143" i="21"/>
  <c r="U144" i="21"/>
  <c r="V144" i="21"/>
  <c r="V152" i="21"/>
  <c r="U152" i="21"/>
  <c r="U159" i="21"/>
  <c r="V159" i="21"/>
  <c r="U161" i="21"/>
  <c r="V161" i="21"/>
  <c r="V163" i="21"/>
  <c r="U163" i="21"/>
  <c r="V165" i="21"/>
  <c r="U165" i="21"/>
  <c r="V167" i="21"/>
  <c r="U167" i="21"/>
  <c r="V181" i="21"/>
  <c r="U181" i="21"/>
  <c r="V193" i="21"/>
  <c r="U193" i="21"/>
  <c r="V195" i="21"/>
  <c r="U195" i="21"/>
  <c r="U197" i="21"/>
  <c r="V197" i="21"/>
  <c r="V199" i="21"/>
  <c r="U199" i="21"/>
  <c r="V206" i="21"/>
  <c r="U206" i="21"/>
  <c r="V217" i="21"/>
  <c r="U217" i="21"/>
  <c r="U227" i="21"/>
  <c r="V227" i="21"/>
  <c r="V249" i="21"/>
  <c r="U249" i="21"/>
  <c r="U250" i="21"/>
  <c r="V250" i="21"/>
  <c r="V318" i="21"/>
  <c r="U318" i="21"/>
  <c r="U259" i="21"/>
  <c r="V259" i="21"/>
  <c r="V375" i="21"/>
  <c r="U375" i="21"/>
  <c r="W37" i="24"/>
  <c r="K38" i="24"/>
  <c r="AI38" i="24"/>
  <c r="W39" i="24"/>
  <c r="K40" i="24"/>
  <c r="AI40" i="24"/>
  <c r="Y37" i="24"/>
  <c r="C37" i="24"/>
  <c r="AA37" i="24"/>
  <c r="O38" i="24"/>
  <c r="C39" i="24"/>
  <c r="AA39" i="24"/>
  <c r="O40" i="24"/>
  <c r="E37" i="24"/>
  <c r="AC37" i="24"/>
  <c r="Q38" i="24"/>
  <c r="E39" i="24"/>
  <c r="AC39" i="24"/>
  <c r="Q40" i="24"/>
  <c r="M40" i="24"/>
  <c r="G37" i="24"/>
  <c r="AE37" i="24"/>
  <c r="S38" i="24"/>
  <c r="G39" i="24"/>
  <c r="AE39" i="24"/>
  <c r="S40" i="24"/>
  <c r="M38" i="24"/>
  <c r="M10" i="24" s="1"/>
  <c r="I37" i="24"/>
  <c r="AG37" i="24"/>
  <c r="U38" i="24"/>
  <c r="I39" i="24"/>
  <c r="AG39" i="24"/>
  <c r="U40" i="24"/>
  <c r="K37" i="24"/>
  <c r="AI37" i="24"/>
  <c r="W38" i="24"/>
  <c r="K39" i="24"/>
  <c r="AI39" i="24"/>
  <c r="W40" i="24"/>
  <c r="W21" i="24" s="1"/>
  <c r="M37" i="24"/>
  <c r="AK37" i="24"/>
  <c r="Y38" i="24"/>
  <c r="M39" i="24"/>
  <c r="AK39" i="24"/>
  <c r="Y40" i="24"/>
  <c r="O37" i="24"/>
  <c r="C38" i="24"/>
  <c r="AA38" i="24"/>
  <c r="O39" i="24"/>
  <c r="C40" i="24"/>
  <c r="AA40" i="24"/>
  <c r="AA21" i="24" s="1"/>
  <c r="AK38" i="24"/>
  <c r="Q37" i="24"/>
  <c r="E38" i="24"/>
  <c r="AC38" i="24"/>
  <c r="Q39" i="24"/>
  <c r="E40" i="24"/>
  <c r="AC40" i="24"/>
  <c r="Y39" i="24"/>
  <c r="S37" i="24"/>
  <c r="G38" i="24"/>
  <c r="AE38" i="24"/>
  <c r="S39" i="24"/>
  <c r="S11" i="24" s="1"/>
  <c r="G40" i="24"/>
  <c r="AE40" i="24"/>
  <c r="AK40" i="24"/>
  <c r="U37" i="24"/>
  <c r="I38" i="24"/>
  <c r="AG38" i="24"/>
  <c r="U39" i="24"/>
  <c r="I40" i="24"/>
  <c r="AG40" i="24"/>
  <c r="V105" i="21"/>
  <c r="U105" i="21"/>
  <c r="V219" i="21"/>
  <c r="U219" i="21"/>
  <c r="V112" i="21"/>
  <c r="U112" i="21"/>
  <c r="V121" i="21"/>
  <c r="U121" i="21"/>
  <c r="V4" i="21"/>
  <c r="U4" i="21"/>
  <c r="V7" i="21"/>
  <c r="U7" i="21"/>
  <c r="V10" i="21"/>
  <c r="U10" i="21"/>
  <c r="V13" i="21"/>
  <c r="U13" i="21"/>
  <c r="V16" i="21"/>
  <c r="U16" i="21"/>
  <c r="V19" i="21"/>
  <c r="U19" i="21"/>
  <c r="V22" i="21"/>
  <c r="U22" i="21"/>
  <c r="V25" i="21"/>
  <c r="U25" i="21"/>
  <c r="V28" i="21"/>
  <c r="U28" i="21"/>
  <c r="V31" i="21"/>
  <c r="U31" i="21"/>
  <c r="V34" i="21"/>
  <c r="U34" i="21"/>
  <c r="V37" i="21"/>
  <c r="U37" i="21"/>
  <c r="V40" i="21"/>
  <c r="U40" i="21"/>
  <c r="V43" i="21"/>
  <c r="U43" i="21"/>
  <c r="V46" i="21"/>
  <c r="U46" i="21"/>
  <c r="V49" i="21"/>
  <c r="U49" i="21"/>
  <c r="V52" i="21"/>
  <c r="U52" i="21"/>
  <c r="V55" i="21"/>
  <c r="U55" i="21"/>
  <c r="V58" i="21"/>
  <c r="U58" i="21"/>
  <c r="V61" i="21"/>
  <c r="U61" i="21"/>
  <c r="V64" i="21"/>
  <c r="U64" i="21"/>
  <c r="V67" i="21"/>
  <c r="U67" i="21"/>
  <c r="V70" i="21"/>
  <c r="U70" i="21"/>
  <c r="V73" i="21"/>
  <c r="U73" i="21"/>
  <c r="V76" i="21"/>
  <c r="U76" i="21"/>
  <c r="V79" i="21"/>
  <c r="U79" i="21"/>
  <c r="V82" i="21"/>
  <c r="U82" i="21"/>
  <c r="V85" i="21"/>
  <c r="U85" i="21"/>
  <c r="V88" i="21"/>
  <c r="U88" i="21"/>
  <c r="V91" i="21"/>
  <c r="U91" i="21"/>
  <c r="V104" i="21"/>
  <c r="U104" i="21"/>
  <c r="U107" i="21"/>
  <c r="V107" i="21"/>
  <c r="V97" i="21"/>
  <c r="U97" i="21"/>
  <c r="V148" i="21"/>
  <c r="U148" i="21"/>
  <c r="V169" i="21"/>
  <c r="U169" i="21"/>
  <c r="V95" i="21"/>
  <c r="U95" i="21"/>
  <c r="V157" i="21"/>
  <c r="U157" i="21"/>
  <c r="U3" i="21"/>
  <c r="V3" i="21"/>
  <c r="V6" i="21"/>
  <c r="U6" i="21"/>
  <c r="V9" i="21"/>
  <c r="U9" i="21"/>
  <c r="V12" i="21"/>
  <c r="U12" i="21"/>
  <c r="V15" i="21"/>
  <c r="U15" i="21"/>
  <c r="V18" i="21"/>
  <c r="U18" i="21"/>
  <c r="V21" i="21"/>
  <c r="U21" i="21"/>
  <c r="V24" i="21"/>
  <c r="U24" i="21"/>
  <c r="V27" i="21"/>
  <c r="U27" i="21"/>
  <c r="V30" i="21"/>
  <c r="U30" i="21"/>
  <c r="V33" i="21"/>
  <c r="U33" i="21"/>
  <c r="V36" i="21"/>
  <c r="U36" i="21"/>
  <c r="U39" i="21"/>
  <c r="V39" i="21"/>
  <c r="V42" i="21"/>
  <c r="U42" i="21"/>
  <c r="V45" i="21"/>
  <c r="U45" i="21"/>
  <c r="V48" i="21"/>
  <c r="U48" i="21"/>
  <c r="V51" i="21"/>
  <c r="U51" i="21"/>
  <c r="V54" i="21"/>
  <c r="U54" i="21"/>
  <c r="U57" i="21"/>
  <c r="V57" i="21"/>
  <c r="V60" i="21"/>
  <c r="U60" i="21"/>
  <c r="V63" i="21"/>
  <c r="U63" i="21"/>
  <c r="V66" i="21"/>
  <c r="U66" i="21"/>
  <c r="V69" i="21"/>
  <c r="U69" i="21"/>
  <c r="V72" i="21"/>
  <c r="U72" i="21"/>
  <c r="U75" i="21"/>
  <c r="V75" i="21"/>
  <c r="V78" i="21"/>
  <c r="U78" i="21"/>
  <c r="V81" i="21"/>
  <c r="U81" i="21"/>
  <c r="V84" i="21"/>
  <c r="U84" i="21"/>
  <c r="V87" i="21"/>
  <c r="U87" i="21"/>
  <c r="V90" i="21"/>
  <c r="U90" i="21"/>
  <c r="U93" i="21"/>
  <c r="V93" i="21"/>
  <c r="V98" i="21"/>
  <c r="U98" i="21"/>
  <c r="V198" i="21"/>
  <c r="U198" i="21"/>
  <c r="V99" i="21"/>
  <c r="U99" i="21"/>
  <c r="V178" i="21"/>
  <c r="U178" i="21"/>
  <c r="V109" i="21"/>
  <c r="U109" i="21"/>
  <c r="V115" i="21"/>
  <c r="U115" i="21"/>
  <c r="V136" i="21"/>
  <c r="U136" i="21"/>
  <c r="V175" i="21"/>
  <c r="U175" i="21"/>
  <c r="V2" i="21"/>
  <c r="U2" i="21"/>
  <c r="V5" i="21"/>
  <c r="U5" i="21"/>
  <c r="V8" i="21"/>
  <c r="U8" i="21"/>
  <c r="V11" i="21"/>
  <c r="U11" i="21"/>
  <c r="V14" i="21"/>
  <c r="U14" i="21"/>
  <c r="V17" i="21"/>
  <c r="U17" i="21"/>
  <c r="V20" i="21"/>
  <c r="U20" i="21"/>
  <c r="V23" i="21"/>
  <c r="U23" i="21"/>
  <c r="V26" i="21"/>
  <c r="U26" i="21"/>
  <c r="V29" i="21"/>
  <c r="U29" i="21"/>
  <c r="V32" i="21"/>
  <c r="U32" i="21"/>
  <c r="V35" i="21"/>
  <c r="U35" i="21"/>
  <c r="V38" i="21"/>
  <c r="U38" i="21"/>
  <c r="V41" i="21"/>
  <c r="U41" i="21"/>
  <c r="V44" i="21"/>
  <c r="U44" i="21"/>
  <c r="V47" i="21"/>
  <c r="U47" i="21"/>
  <c r="V50" i="21"/>
  <c r="U50" i="21"/>
  <c r="V53" i="21"/>
  <c r="U53" i="21"/>
  <c r="V56" i="21"/>
  <c r="U56" i="21"/>
  <c r="V59" i="21"/>
  <c r="U59" i="21"/>
  <c r="V62" i="21"/>
  <c r="U62" i="21"/>
  <c r="V65" i="21"/>
  <c r="U65" i="21"/>
  <c r="V68" i="21"/>
  <c r="U68" i="21"/>
  <c r="V71" i="21"/>
  <c r="U71" i="21"/>
  <c r="V74" i="21"/>
  <c r="U74" i="21"/>
  <c r="V77" i="21"/>
  <c r="U77" i="21"/>
  <c r="V80" i="21"/>
  <c r="U80" i="21"/>
  <c r="V83" i="21"/>
  <c r="U83" i="21"/>
  <c r="V86" i="21"/>
  <c r="U86" i="21"/>
  <c r="V89" i="21"/>
  <c r="U89" i="21"/>
  <c r="V92" i="21"/>
  <c r="U92" i="21"/>
  <c r="V96" i="21"/>
  <c r="U96" i="21"/>
  <c r="V101" i="21"/>
  <c r="U101" i="21"/>
  <c r="V212" i="21"/>
  <c r="U212" i="21"/>
  <c r="V236" i="21"/>
  <c r="U236" i="21"/>
  <c r="V267" i="21"/>
  <c r="U267" i="21"/>
  <c r="V383" i="21"/>
  <c r="U383" i="21"/>
  <c r="V119" i="21"/>
  <c r="U119" i="21"/>
  <c r="V125" i="21"/>
  <c r="U125" i="21"/>
  <c r="V128" i="21"/>
  <c r="U128" i="21"/>
  <c r="V155" i="21"/>
  <c r="U155" i="21"/>
  <c r="V173" i="21"/>
  <c r="U173" i="21"/>
  <c r="V221" i="21"/>
  <c r="U221" i="21"/>
  <c r="V239" i="21"/>
  <c r="U239" i="21"/>
  <c r="V270" i="21"/>
  <c r="U270" i="21"/>
  <c r="V179" i="21"/>
  <c r="U179" i="21"/>
  <c r="V180" i="21"/>
  <c r="U180" i="21"/>
  <c r="V185" i="21"/>
  <c r="U185" i="21"/>
  <c r="V189" i="21"/>
  <c r="U189" i="21"/>
  <c r="V194" i="21"/>
  <c r="U194" i="21"/>
  <c r="V209" i="21"/>
  <c r="U209" i="21"/>
  <c r="V231" i="21"/>
  <c r="U231" i="21"/>
  <c r="U108" i="21"/>
  <c r="V108" i="21"/>
  <c r="U114" i="21"/>
  <c r="V114" i="21"/>
  <c r="U135" i="21"/>
  <c r="V135" i="21"/>
  <c r="U138" i="21"/>
  <c r="V138" i="21"/>
  <c r="U141" i="21"/>
  <c r="V141" i="21"/>
  <c r="U147" i="21"/>
  <c r="V147" i="21"/>
  <c r="U168" i="21"/>
  <c r="V168" i="21"/>
  <c r="U177" i="21"/>
  <c r="V177" i="21"/>
  <c r="V182" i="21"/>
  <c r="U182" i="21"/>
  <c r="V183" i="21"/>
  <c r="U183" i="21"/>
  <c r="V184" i="21"/>
  <c r="U184" i="21"/>
  <c r="V251" i="21"/>
  <c r="U251" i="21"/>
  <c r="V187" i="21"/>
  <c r="U187" i="21"/>
  <c r="V192" i="21"/>
  <c r="U192" i="21"/>
  <c r="V225" i="21"/>
  <c r="U225" i="21"/>
  <c r="V262" i="21"/>
  <c r="U262" i="21"/>
  <c r="V273" i="21"/>
  <c r="U273" i="21"/>
  <c r="V100" i="21"/>
  <c r="U100" i="21"/>
  <c r="U124" i="21"/>
  <c r="V124" i="21"/>
  <c r="V127" i="21"/>
  <c r="U127" i="21"/>
  <c r="V133" i="21"/>
  <c r="U133" i="21"/>
  <c r="V151" i="21"/>
  <c r="U151" i="21"/>
  <c r="U154" i="21"/>
  <c r="V154" i="21"/>
  <c r="V160" i="21"/>
  <c r="U160" i="21"/>
  <c r="V166" i="21"/>
  <c r="U166" i="21"/>
  <c r="V172" i="21"/>
  <c r="U172" i="21"/>
  <c r="V213" i="21"/>
  <c r="U213" i="21"/>
  <c r="V218" i="21"/>
  <c r="U218" i="21"/>
  <c r="V248" i="21"/>
  <c r="U248" i="21"/>
  <c r="V277" i="21"/>
  <c r="U277" i="21"/>
  <c r="V215" i="21"/>
  <c r="U215" i="21"/>
  <c r="V254" i="21"/>
  <c r="U254" i="21"/>
  <c r="V366" i="21"/>
  <c r="U366" i="21"/>
  <c r="V113" i="21"/>
  <c r="U113" i="21"/>
  <c r="V137" i="21"/>
  <c r="U137" i="21"/>
  <c r="V146" i="21"/>
  <c r="U146" i="21"/>
  <c r="V149" i="21"/>
  <c r="U149" i="21"/>
  <c r="V158" i="21"/>
  <c r="U158" i="21"/>
  <c r="V164" i="21"/>
  <c r="U164" i="21"/>
  <c r="V176" i="21"/>
  <c r="U176" i="21"/>
  <c r="V201" i="21"/>
  <c r="U201" i="21"/>
  <c r="V264" i="21"/>
  <c r="U264" i="21"/>
  <c r="V319" i="21"/>
  <c r="U319" i="21"/>
  <c r="V204" i="21"/>
  <c r="U204" i="21"/>
  <c r="V222" i="21"/>
  <c r="U222" i="21"/>
  <c r="V243" i="21"/>
  <c r="U243" i="21"/>
  <c r="V278" i="21"/>
  <c r="U278" i="21"/>
  <c r="V283" i="21"/>
  <c r="U283" i="21"/>
  <c r="V123" i="21"/>
  <c r="U123" i="21"/>
  <c r="V126" i="21"/>
  <c r="U126" i="21"/>
  <c r="V129" i="21"/>
  <c r="U129" i="21"/>
  <c r="V132" i="21"/>
  <c r="U132" i="21"/>
  <c r="V171" i="21"/>
  <c r="U171" i="21"/>
  <c r="V210" i="21"/>
  <c r="U210" i="21"/>
  <c r="V224" i="21"/>
  <c r="U224" i="21"/>
  <c r="V257" i="21"/>
  <c r="U257" i="21"/>
  <c r="V282" i="21"/>
  <c r="U282" i="21"/>
  <c r="V341" i="21"/>
  <c r="U341" i="21"/>
  <c r="V208" i="21"/>
  <c r="U208" i="21"/>
  <c r="V211" i="21"/>
  <c r="U211" i="21"/>
  <c r="V214" i="21"/>
  <c r="U214" i="21"/>
  <c r="V220" i="21"/>
  <c r="U220" i="21"/>
  <c r="V223" i="21"/>
  <c r="U223" i="21"/>
  <c r="V229" i="21"/>
  <c r="U229" i="21"/>
  <c r="V235" i="21"/>
  <c r="U235" i="21"/>
  <c r="V238" i="21"/>
  <c r="U238" i="21"/>
  <c r="V247" i="21"/>
  <c r="U247" i="21"/>
  <c r="V253" i="21"/>
  <c r="U253" i="21"/>
  <c r="V256" i="21"/>
  <c r="U256" i="21"/>
  <c r="V354" i="21"/>
  <c r="U354" i="21"/>
  <c r="V188" i="21"/>
  <c r="U188" i="21"/>
  <c r="V191" i="21"/>
  <c r="U191" i="21"/>
  <c r="V200" i="21"/>
  <c r="U200" i="21"/>
  <c r="V203" i="21"/>
  <c r="U203" i="21"/>
  <c r="V207" i="21"/>
  <c r="U207" i="21"/>
  <c r="V233" i="21"/>
  <c r="U233" i="21"/>
  <c r="V242" i="21"/>
  <c r="U242" i="21"/>
  <c r="V260" i="21"/>
  <c r="U260" i="21"/>
  <c r="V263" i="21"/>
  <c r="U263" i="21"/>
  <c r="V266" i="21"/>
  <c r="U266" i="21"/>
  <c r="V269" i="21"/>
  <c r="U269" i="21"/>
  <c r="V272" i="21"/>
  <c r="U272" i="21"/>
  <c r="V328" i="21"/>
  <c r="U328" i="21"/>
  <c r="V228" i="21"/>
  <c r="U228" i="21"/>
  <c r="V237" i="21"/>
  <c r="U237" i="21"/>
  <c r="V246" i="21"/>
  <c r="U246" i="21"/>
  <c r="V252" i="21"/>
  <c r="U252" i="21"/>
  <c r="V255" i="21"/>
  <c r="U255" i="21"/>
  <c r="V258" i="21"/>
  <c r="U258" i="21"/>
  <c r="V274" i="21"/>
  <c r="U274" i="21"/>
  <c r="V281" i="21"/>
  <c r="U281" i="21"/>
  <c r="V325" i="21"/>
  <c r="U325" i="21"/>
  <c r="V391" i="21"/>
  <c r="U391" i="21"/>
  <c r="V284" i="21"/>
  <c r="U284" i="21"/>
  <c r="V190" i="21"/>
  <c r="U190" i="21"/>
  <c r="V196" i="21"/>
  <c r="U196" i="21"/>
  <c r="V202" i="21"/>
  <c r="U202" i="21"/>
  <c r="V205" i="21"/>
  <c r="U205" i="21"/>
  <c r="V232" i="21"/>
  <c r="U232" i="21"/>
  <c r="V241" i="21"/>
  <c r="U241" i="21"/>
  <c r="V244" i="21"/>
  <c r="U244" i="21"/>
  <c r="V261" i="21"/>
  <c r="U261" i="21"/>
  <c r="V265" i="21"/>
  <c r="U265" i="21"/>
  <c r="V268" i="21"/>
  <c r="U268" i="21"/>
  <c r="V271" i="21"/>
  <c r="U271" i="21"/>
  <c r="V275" i="21"/>
  <c r="U275" i="21"/>
  <c r="V280" i="21"/>
  <c r="U280" i="21"/>
  <c r="V322" i="21"/>
  <c r="U322" i="21"/>
  <c r="V276" i="21"/>
  <c r="U276" i="21"/>
  <c r="V279" i="21"/>
  <c r="U279" i="21"/>
  <c r="V417" i="21"/>
  <c r="U417" i="21"/>
  <c r="V285" i="21"/>
  <c r="U285" i="21"/>
  <c r="V288" i="21"/>
  <c r="U288" i="21"/>
  <c r="V291" i="21"/>
  <c r="U291" i="21"/>
  <c r="V294" i="21"/>
  <c r="U294" i="21"/>
  <c r="V297" i="21"/>
  <c r="U297" i="21"/>
  <c r="V300" i="21"/>
  <c r="U300" i="21"/>
  <c r="V303" i="21"/>
  <c r="U303" i="21"/>
  <c r="V306" i="21"/>
  <c r="U306" i="21"/>
  <c r="V309" i="21"/>
  <c r="U309" i="21"/>
  <c r="V312" i="21"/>
  <c r="U312" i="21"/>
  <c r="V315" i="21"/>
  <c r="U315" i="21"/>
  <c r="V435" i="21"/>
  <c r="U435" i="21"/>
  <c r="V331" i="21"/>
  <c r="U331" i="21"/>
  <c r="V335" i="21"/>
  <c r="U335" i="21"/>
  <c r="V379" i="21"/>
  <c r="U379" i="21"/>
  <c r="V287" i="21"/>
  <c r="U287" i="21"/>
  <c r="V290" i="21"/>
  <c r="U290" i="21"/>
  <c r="V293" i="21"/>
  <c r="U293" i="21"/>
  <c r="V296" i="21"/>
  <c r="U296" i="21"/>
  <c r="V299" i="21"/>
  <c r="U299" i="21"/>
  <c r="V302" i="21"/>
  <c r="U302" i="21"/>
  <c r="V305" i="21"/>
  <c r="U305" i="21"/>
  <c r="V308" i="21"/>
  <c r="U308" i="21"/>
  <c r="V311" i="21"/>
  <c r="U311" i="21"/>
  <c r="V314" i="21"/>
  <c r="U314" i="21"/>
  <c r="V317" i="21"/>
  <c r="U317" i="21"/>
  <c r="V347" i="21"/>
  <c r="U347" i="21"/>
  <c r="V338" i="21"/>
  <c r="U338" i="21"/>
  <c r="V356" i="21"/>
  <c r="U356" i="21"/>
  <c r="V369" i="21"/>
  <c r="U369" i="21"/>
  <c r="V376" i="21"/>
  <c r="U376" i="21"/>
  <c r="U321" i="21"/>
  <c r="V321" i="21"/>
  <c r="U324" i="21"/>
  <c r="V324" i="21"/>
  <c r="U327" i="21"/>
  <c r="V327" i="21"/>
  <c r="U333" i="21"/>
  <c r="V333" i="21"/>
  <c r="V330" i="21"/>
  <c r="U330" i="21"/>
  <c r="V392" i="21"/>
  <c r="U392" i="21"/>
  <c r="V286" i="21"/>
  <c r="U286" i="21"/>
  <c r="V289" i="21"/>
  <c r="U289" i="21"/>
  <c r="V292" i="21"/>
  <c r="U292" i="21"/>
  <c r="V295" i="21"/>
  <c r="U295" i="21"/>
  <c r="V298" i="21"/>
  <c r="U298" i="21"/>
  <c r="V301" i="21"/>
  <c r="U301" i="21"/>
  <c r="V304" i="21"/>
  <c r="U304" i="21"/>
  <c r="V307" i="21"/>
  <c r="U307" i="21"/>
  <c r="V310" i="21"/>
  <c r="U310" i="21"/>
  <c r="V313" i="21"/>
  <c r="U313" i="21"/>
  <c r="V316" i="21"/>
  <c r="U316" i="21"/>
  <c r="V360" i="21"/>
  <c r="U360" i="21"/>
  <c r="V388" i="21"/>
  <c r="U388" i="21"/>
  <c r="V320" i="21"/>
  <c r="U320" i="21"/>
  <c r="V323" i="21"/>
  <c r="U323" i="21"/>
  <c r="V326" i="21"/>
  <c r="U326" i="21"/>
  <c r="V329" i="21"/>
  <c r="U329" i="21"/>
  <c r="V332" i="21"/>
  <c r="U332" i="21"/>
  <c r="V345" i="21"/>
  <c r="U345" i="21"/>
  <c r="V351" i="21"/>
  <c r="U351" i="21"/>
  <c r="V363" i="21"/>
  <c r="U363" i="21"/>
  <c r="V385" i="21"/>
  <c r="U385" i="21"/>
  <c r="U400" i="21"/>
  <c r="V400" i="21"/>
  <c r="V438" i="21"/>
  <c r="U438" i="21"/>
  <c r="V449" i="21"/>
  <c r="U449" i="21"/>
  <c r="V454" i="21"/>
  <c r="U454" i="21"/>
  <c r="V350" i="21"/>
  <c r="U350" i="21"/>
  <c r="V353" i="21"/>
  <c r="U353" i="21"/>
  <c r="V357" i="21"/>
  <c r="U357" i="21"/>
  <c r="V359" i="21"/>
  <c r="U359" i="21"/>
  <c r="V362" i="21"/>
  <c r="U362" i="21"/>
  <c r="V365" i="21"/>
  <c r="U365" i="21"/>
  <c r="V368" i="21"/>
  <c r="U368" i="21"/>
  <c r="V371" i="21"/>
  <c r="U371" i="21"/>
  <c r="V373" i="21"/>
  <c r="U373" i="21"/>
  <c r="V414" i="21"/>
  <c r="U414" i="21"/>
  <c r="V432" i="21"/>
  <c r="U432" i="21"/>
  <c r="U378" i="21"/>
  <c r="V378" i="21"/>
  <c r="U380" i="21"/>
  <c r="V380" i="21"/>
  <c r="U384" i="21"/>
  <c r="V384" i="21"/>
  <c r="U387" i="21"/>
  <c r="V387" i="21"/>
  <c r="U390" i="21"/>
  <c r="V390" i="21"/>
  <c r="V405" i="21"/>
  <c r="U405" i="21"/>
  <c r="V411" i="21"/>
  <c r="U411" i="21"/>
  <c r="V334" i="21"/>
  <c r="U334" i="21"/>
  <c r="U337" i="21"/>
  <c r="V337" i="21"/>
  <c r="U340" i="21"/>
  <c r="V340" i="21"/>
  <c r="U343" i="21"/>
  <c r="V343" i="21"/>
  <c r="U344" i="21"/>
  <c r="V344" i="21"/>
  <c r="U349" i="21"/>
  <c r="V349" i="21"/>
  <c r="V447" i="21"/>
  <c r="U447" i="21"/>
  <c r="V352" i="21"/>
  <c r="U352" i="21"/>
  <c r="U355" i="21"/>
  <c r="V355" i="21"/>
  <c r="V358" i="21"/>
  <c r="U358" i="21"/>
  <c r="V361" i="21"/>
  <c r="U361" i="21"/>
  <c r="V364" i="21"/>
  <c r="U364" i="21"/>
  <c r="U367" i="21"/>
  <c r="V367" i="21"/>
  <c r="V370" i="21"/>
  <c r="U370" i="21"/>
  <c r="U374" i="21"/>
  <c r="V374" i="21"/>
  <c r="V394" i="21"/>
  <c r="U394" i="21"/>
  <c r="V401" i="21"/>
  <c r="U401" i="21"/>
  <c r="V408" i="21"/>
  <c r="U408" i="21"/>
  <c r="V444" i="21"/>
  <c r="U444" i="21"/>
  <c r="V377" i="21"/>
  <c r="U377" i="21"/>
  <c r="V381" i="21"/>
  <c r="U381" i="21"/>
  <c r="V382" i="21"/>
  <c r="U382" i="21"/>
  <c r="V386" i="21"/>
  <c r="U386" i="21"/>
  <c r="V389" i="21"/>
  <c r="U389" i="21"/>
  <c r="V393" i="21"/>
  <c r="U393" i="21"/>
  <c r="V336" i="21"/>
  <c r="U336" i="21"/>
  <c r="V339" i="21"/>
  <c r="U339" i="21"/>
  <c r="V342" i="21"/>
  <c r="U342" i="21"/>
  <c r="V346" i="21"/>
  <c r="U346" i="21"/>
  <c r="V348" i="21"/>
  <c r="U348" i="21"/>
  <c r="V395" i="21"/>
  <c r="U395" i="21"/>
  <c r="V398" i="21"/>
  <c r="U398" i="21"/>
  <c r="V441" i="21"/>
  <c r="U441" i="21"/>
  <c r="V372" i="21"/>
  <c r="U372" i="21"/>
  <c r="V402" i="21"/>
  <c r="U402" i="21"/>
  <c r="V451" i="21"/>
  <c r="U451" i="21"/>
  <c r="V420" i="21"/>
  <c r="U420" i="21"/>
  <c r="V423" i="21"/>
  <c r="U423" i="21"/>
  <c r="V426" i="21"/>
  <c r="U426" i="21"/>
  <c r="V429" i="21"/>
  <c r="U429" i="21"/>
  <c r="V452" i="21"/>
  <c r="U452" i="21"/>
  <c r="V493" i="21"/>
  <c r="U493" i="21"/>
  <c r="V502" i="21"/>
  <c r="U502" i="21"/>
  <c r="U404" i="21"/>
  <c r="V404" i="21"/>
  <c r="U407" i="21"/>
  <c r="V407" i="21"/>
  <c r="U409" i="21"/>
  <c r="V409" i="21"/>
  <c r="U413" i="21"/>
  <c r="V413" i="21"/>
  <c r="U416" i="21"/>
  <c r="V416" i="21"/>
  <c r="V491" i="21"/>
  <c r="U491" i="21"/>
  <c r="V500" i="21"/>
  <c r="U500" i="21"/>
  <c r="U419" i="21"/>
  <c r="V419" i="21"/>
  <c r="U422" i="21"/>
  <c r="V422" i="21"/>
  <c r="U425" i="21"/>
  <c r="V425" i="21"/>
  <c r="U428" i="21"/>
  <c r="V428" i="21"/>
  <c r="V397" i="21"/>
  <c r="U397" i="21"/>
  <c r="V431" i="21"/>
  <c r="U431" i="21"/>
  <c r="V434" i="21"/>
  <c r="U434" i="21"/>
  <c r="V437" i="21"/>
  <c r="U437" i="21"/>
  <c r="V440" i="21"/>
  <c r="U440" i="21"/>
  <c r="V443" i="21"/>
  <c r="U443" i="21"/>
  <c r="V446" i="21"/>
  <c r="U446" i="21"/>
  <c r="V488" i="21"/>
  <c r="U488" i="21"/>
  <c r="V450" i="21"/>
  <c r="U450" i="21"/>
  <c r="V457" i="21"/>
  <c r="U457" i="21"/>
  <c r="V541" i="21"/>
  <c r="U541" i="21"/>
  <c r="V564" i="21"/>
  <c r="U564" i="21"/>
  <c r="U403" i="21"/>
  <c r="V403" i="21"/>
  <c r="V406" i="21"/>
  <c r="U406" i="21"/>
  <c r="V410" i="21"/>
  <c r="U410" i="21"/>
  <c r="V412" i="21"/>
  <c r="U412" i="21"/>
  <c r="V415" i="21"/>
  <c r="U415" i="21"/>
  <c r="V485" i="21"/>
  <c r="U485" i="21"/>
  <c r="V418" i="21"/>
  <c r="U418" i="21"/>
  <c r="V421" i="21"/>
  <c r="U421" i="21"/>
  <c r="V424" i="21"/>
  <c r="U424" i="21"/>
  <c r="V427" i="21"/>
  <c r="U427" i="21"/>
  <c r="V430" i="21"/>
  <c r="U430" i="21"/>
  <c r="V448" i="21"/>
  <c r="U448" i="21"/>
  <c r="V396" i="21"/>
  <c r="U396" i="21"/>
  <c r="V399" i="21"/>
  <c r="U399" i="21"/>
  <c r="V433" i="21"/>
  <c r="U433" i="21"/>
  <c r="V436" i="21"/>
  <c r="U436" i="21"/>
  <c r="V439" i="21"/>
  <c r="U439" i="21"/>
  <c r="V442" i="21"/>
  <c r="U442" i="21"/>
  <c r="V445" i="21"/>
  <c r="U445" i="21"/>
  <c r="V467" i="21"/>
  <c r="U467" i="21"/>
  <c r="V470" i="21"/>
  <c r="U470" i="21"/>
  <c r="V473" i="21"/>
  <c r="U473" i="21"/>
  <c r="V476" i="21"/>
  <c r="U476" i="21"/>
  <c r="V480" i="21"/>
  <c r="U480" i="21"/>
  <c r="V482" i="21"/>
  <c r="U482" i="21"/>
  <c r="U507" i="21"/>
  <c r="V507" i="21"/>
  <c r="V508" i="21"/>
  <c r="U508" i="21"/>
  <c r="V543" i="21"/>
  <c r="U543" i="21"/>
  <c r="V460" i="21"/>
  <c r="U460" i="21"/>
  <c r="V463" i="21"/>
  <c r="U463" i="21"/>
  <c r="V504" i="21"/>
  <c r="U504" i="21"/>
  <c r="V537" i="21"/>
  <c r="U537" i="21"/>
  <c r="V572" i="21"/>
  <c r="U572" i="21"/>
  <c r="V466" i="21"/>
  <c r="U466" i="21"/>
  <c r="V469" i="21"/>
  <c r="U469" i="21"/>
  <c r="V472" i="21"/>
  <c r="U472" i="21"/>
  <c r="V475" i="21"/>
  <c r="U475" i="21"/>
  <c r="V478" i="21"/>
  <c r="U478" i="21"/>
  <c r="V481" i="21"/>
  <c r="U481" i="21"/>
  <c r="V484" i="21"/>
  <c r="U484" i="21"/>
  <c r="V497" i="21"/>
  <c r="U497" i="21"/>
  <c r="U487" i="21"/>
  <c r="V487" i="21"/>
  <c r="U490" i="21"/>
  <c r="V490" i="21"/>
  <c r="U499" i="21"/>
  <c r="V499" i="21"/>
  <c r="V534" i="21"/>
  <c r="U534" i="21"/>
  <c r="V453" i="21"/>
  <c r="U453" i="21"/>
  <c r="U456" i="21"/>
  <c r="V456" i="21"/>
  <c r="U494" i="21"/>
  <c r="V494" i="21"/>
  <c r="U503" i="21"/>
  <c r="V503" i="21"/>
  <c r="V459" i="21"/>
  <c r="U459" i="21"/>
  <c r="V462" i="21"/>
  <c r="U462" i="21"/>
  <c r="V465" i="21"/>
  <c r="U465" i="21"/>
  <c r="V496" i="21"/>
  <c r="U496" i="21"/>
  <c r="V506" i="21"/>
  <c r="U506" i="21"/>
  <c r="V532" i="21"/>
  <c r="U532" i="21"/>
  <c r="V468" i="21"/>
  <c r="U468" i="21"/>
  <c r="V471" i="21"/>
  <c r="U471" i="21"/>
  <c r="V474" i="21"/>
  <c r="U474" i="21"/>
  <c r="V477" i="21"/>
  <c r="U477" i="21"/>
  <c r="V479" i="21"/>
  <c r="U479" i="21"/>
  <c r="V483" i="21"/>
  <c r="U483" i="21"/>
  <c r="V562" i="21"/>
  <c r="U562" i="21"/>
  <c r="V486" i="21"/>
  <c r="U486" i="21"/>
  <c r="V489" i="21"/>
  <c r="U489" i="21"/>
  <c r="V492" i="21"/>
  <c r="U492" i="21"/>
  <c r="V498" i="21"/>
  <c r="U498" i="21"/>
  <c r="V577" i="21"/>
  <c r="U577" i="21"/>
  <c r="V455" i="21"/>
  <c r="U455" i="21"/>
  <c r="V458" i="21"/>
  <c r="U458" i="21"/>
  <c r="V501" i="21"/>
  <c r="U501" i="21"/>
  <c r="V461" i="21"/>
  <c r="U461" i="21"/>
  <c r="V464" i="21"/>
  <c r="U464" i="21"/>
  <c r="V495" i="21"/>
  <c r="U495" i="21"/>
  <c r="V505" i="21"/>
  <c r="U505" i="21"/>
  <c r="V509" i="21"/>
  <c r="U509" i="21"/>
  <c r="V570" i="21"/>
  <c r="U570" i="21"/>
  <c r="V512" i="21"/>
  <c r="U512" i="21"/>
  <c r="V515" i="21"/>
  <c r="U515" i="21"/>
  <c r="V518" i="21"/>
  <c r="U518" i="21"/>
  <c r="V521" i="21"/>
  <c r="U521" i="21"/>
  <c r="V523" i="21"/>
  <c r="U523" i="21"/>
  <c r="V527" i="21"/>
  <c r="U527" i="21"/>
  <c r="V547" i="21"/>
  <c r="U547" i="21"/>
  <c r="V548" i="21"/>
  <c r="U548" i="21"/>
  <c r="V552" i="21"/>
  <c r="U552" i="21"/>
  <c r="V589" i="21"/>
  <c r="U589" i="21"/>
  <c r="V531" i="21"/>
  <c r="U531" i="21"/>
  <c r="V555" i="21"/>
  <c r="U555" i="21"/>
  <c r="V567" i="21"/>
  <c r="U567" i="21"/>
  <c r="V533" i="21"/>
  <c r="U533" i="21"/>
  <c r="V536" i="21"/>
  <c r="U536" i="21"/>
  <c r="V559" i="21"/>
  <c r="U559" i="21"/>
  <c r="U539" i="21"/>
  <c r="V539" i="21"/>
  <c r="U542" i="21"/>
  <c r="V542" i="21"/>
  <c r="U545" i="21"/>
  <c r="V545" i="21"/>
  <c r="V560" i="21"/>
  <c r="U560" i="21"/>
  <c r="U591" i="21"/>
  <c r="V591" i="21"/>
  <c r="V511" i="21"/>
  <c r="U511" i="21"/>
  <c r="V514" i="21"/>
  <c r="U514" i="21"/>
  <c r="U517" i="21"/>
  <c r="V517" i="21"/>
  <c r="V520" i="21"/>
  <c r="U520" i="21"/>
  <c r="U524" i="21"/>
  <c r="V524" i="21"/>
  <c r="V526" i="21"/>
  <c r="U526" i="21"/>
  <c r="V529" i="21"/>
  <c r="U529" i="21"/>
  <c r="V550" i="21"/>
  <c r="U550" i="21"/>
  <c r="V551" i="21"/>
  <c r="U551" i="21"/>
  <c r="V561" i="21"/>
  <c r="U561" i="21"/>
  <c r="U563" i="21"/>
  <c r="V563" i="21"/>
  <c r="V554" i="21"/>
  <c r="U554" i="21"/>
  <c r="V530" i="21"/>
  <c r="U530" i="21"/>
  <c r="V535" i="21"/>
  <c r="U535" i="21"/>
  <c r="V538" i="21"/>
  <c r="U538" i="21"/>
  <c r="U565" i="21"/>
  <c r="V565" i="21"/>
  <c r="U568" i="21"/>
  <c r="V568" i="21"/>
  <c r="V510" i="21"/>
  <c r="U510" i="21"/>
  <c r="V540" i="21"/>
  <c r="U540" i="21"/>
  <c r="V544" i="21"/>
  <c r="U544" i="21"/>
  <c r="V556" i="21"/>
  <c r="U556" i="21"/>
  <c r="V513" i="21"/>
  <c r="U513" i="21"/>
  <c r="V516" i="21"/>
  <c r="U516" i="21"/>
  <c r="V519" i="21"/>
  <c r="U519" i="21"/>
  <c r="V522" i="21"/>
  <c r="U522" i="21"/>
  <c r="V525" i="21"/>
  <c r="U525" i="21"/>
  <c r="V528" i="21"/>
  <c r="U528" i="21"/>
  <c r="V546" i="21"/>
  <c r="U546" i="21"/>
  <c r="V549" i="21"/>
  <c r="U549" i="21"/>
  <c r="V553" i="21"/>
  <c r="U553" i="21"/>
  <c r="V558" i="21"/>
  <c r="U558" i="21"/>
  <c r="U566" i="21"/>
  <c r="V566" i="21"/>
  <c r="V569" i="21"/>
  <c r="U569" i="21"/>
  <c r="U573" i="21"/>
  <c r="V573" i="21"/>
  <c r="V584" i="21"/>
  <c r="U584" i="21"/>
  <c r="V557" i="21"/>
  <c r="U557" i="21"/>
  <c r="V578" i="21"/>
  <c r="U578" i="21"/>
  <c r="V581" i="21"/>
  <c r="U581" i="21"/>
  <c r="V596" i="21"/>
  <c r="U596" i="21"/>
  <c r="V599" i="21"/>
  <c r="U599" i="21"/>
  <c r="S14" i="23"/>
  <c r="V583" i="21"/>
  <c r="U583" i="21"/>
  <c r="V586" i="21"/>
  <c r="U586" i="21"/>
  <c r="V588" i="21"/>
  <c r="U588" i="21"/>
  <c r="U14" i="23"/>
  <c r="V593" i="21"/>
  <c r="U593" i="21"/>
  <c r="W14" i="23"/>
  <c r="U579" i="21"/>
  <c r="V579" i="21"/>
  <c r="U580" i="21"/>
  <c r="V580" i="21"/>
  <c r="V595" i="21"/>
  <c r="U595" i="21"/>
  <c r="V598" i="21"/>
  <c r="U598" i="21"/>
  <c r="C14" i="23"/>
  <c r="E14" i="23"/>
  <c r="V575" i="21"/>
  <c r="U575" i="21"/>
  <c r="G14" i="23"/>
  <c r="V594" i="21"/>
  <c r="U594" i="21"/>
  <c r="I14" i="23"/>
  <c r="V571" i="21"/>
  <c r="U571" i="21"/>
  <c r="U576" i="21"/>
  <c r="V576" i="21"/>
  <c r="U582" i="21"/>
  <c r="V582" i="21"/>
  <c r="U597" i="21"/>
  <c r="V597" i="21"/>
  <c r="U600" i="21"/>
  <c r="V600" i="21"/>
  <c r="K14" i="23"/>
  <c r="V585" i="21"/>
  <c r="U585" i="21"/>
  <c r="V587" i="21"/>
  <c r="U587" i="21"/>
  <c r="V590" i="21"/>
  <c r="U590" i="21"/>
  <c r="M14" i="23"/>
  <c r="U574" i="21"/>
  <c r="V574" i="21"/>
  <c r="U592" i="21"/>
  <c r="V592" i="21"/>
  <c r="O14" i="23"/>
  <c r="Q14" i="23"/>
  <c r="B571" i="21"/>
  <c r="B594" i="21"/>
  <c r="B572" i="21"/>
  <c r="B577" i="21"/>
  <c r="B593" i="21"/>
  <c r="B573" i="21"/>
  <c r="B583" i="21"/>
  <c r="B532" i="21"/>
  <c r="B569" i="21"/>
  <c r="B595" i="21"/>
  <c r="B565" i="21"/>
  <c r="B578" i="21"/>
  <c r="B554" i="21"/>
  <c r="B511" i="21"/>
  <c r="B560" i="21"/>
  <c r="B539" i="21"/>
  <c r="B531" i="21"/>
  <c r="B510" i="21"/>
  <c r="B547" i="21"/>
  <c r="B495" i="21"/>
  <c r="B459" i="21"/>
  <c r="B494" i="21"/>
  <c r="B497" i="21"/>
  <c r="B466" i="21"/>
  <c r="B500" i="21"/>
  <c r="B485" i="21"/>
  <c r="B418" i="21"/>
  <c r="B403" i="21"/>
  <c r="B564" i="21"/>
  <c r="B400" i="21"/>
  <c r="B431" i="21"/>
  <c r="B504" i="21"/>
  <c r="B502" i="21"/>
  <c r="B350" i="21"/>
  <c r="B330" i="21"/>
  <c r="I25" i="24"/>
  <c r="AG25" i="24"/>
  <c r="U26" i="24"/>
  <c r="I27" i="24"/>
  <c r="AG27" i="24"/>
  <c r="U28" i="24"/>
  <c r="I29" i="24"/>
  <c r="AG29" i="24"/>
  <c r="U30" i="24"/>
  <c r="I31" i="24"/>
  <c r="AG31" i="24"/>
  <c r="U32" i="24"/>
  <c r="I33" i="24"/>
  <c r="AG33" i="24"/>
  <c r="U34" i="24"/>
  <c r="C25" i="24"/>
  <c r="AA25" i="24"/>
  <c r="O26" i="24"/>
  <c r="C27" i="24"/>
  <c r="AA27" i="24"/>
  <c r="O28" i="24"/>
  <c r="C29" i="24"/>
  <c r="AA29" i="24"/>
  <c r="O30" i="24"/>
  <c r="C31" i="24"/>
  <c r="AA31" i="24"/>
  <c r="O32" i="24"/>
  <c r="C33" i="24"/>
  <c r="AA33" i="24"/>
  <c r="O34" i="24"/>
  <c r="C35" i="24"/>
  <c r="AA35" i="24"/>
  <c r="O36" i="24"/>
  <c r="C20" i="24"/>
  <c r="C10" i="24"/>
  <c r="AA20" i="24"/>
  <c r="AA10" i="24"/>
  <c r="C11" i="24"/>
  <c r="C21" i="24"/>
  <c r="E25" i="24"/>
  <c r="AC25" i="24"/>
  <c r="Q26" i="24"/>
  <c r="E27" i="24"/>
  <c r="AC27" i="24"/>
  <c r="Q28" i="24"/>
  <c r="E29" i="24"/>
  <c r="AC29" i="24"/>
  <c r="Q30" i="24"/>
  <c r="E31" i="24"/>
  <c r="AC31" i="24"/>
  <c r="Q32" i="24"/>
  <c r="E33" i="24"/>
  <c r="AC33" i="24"/>
  <c r="Q34" i="24"/>
  <c r="E35" i="24"/>
  <c r="AC35" i="24"/>
  <c r="Q36" i="24"/>
  <c r="E20" i="24"/>
  <c r="E10" i="24"/>
  <c r="E11" i="24"/>
  <c r="E21" i="24"/>
  <c r="AC11" i="24"/>
  <c r="AC21" i="24"/>
  <c r="G25" i="24"/>
  <c r="AE25" i="24"/>
  <c r="S26" i="24"/>
  <c r="G27" i="24"/>
  <c r="AE27" i="24"/>
  <c r="S28" i="24"/>
  <c r="G29" i="24"/>
  <c r="AE29" i="24"/>
  <c r="S30" i="24"/>
  <c r="G31" i="24"/>
  <c r="AE31" i="24"/>
  <c r="S32" i="24"/>
  <c r="G33" i="24"/>
  <c r="AE33" i="24"/>
  <c r="S34" i="24"/>
  <c r="G35" i="24"/>
  <c r="AE35" i="24"/>
  <c r="S36" i="24"/>
  <c r="G20" i="24"/>
  <c r="G10" i="24"/>
  <c r="AE20" i="24"/>
  <c r="AE10" i="24"/>
  <c r="G11" i="24"/>
  <c r="G21" i="24"/>
  <c r="AE11" i="24"/>
  <c r="AE21" i="24"/>
  <c r="I35" i="24"/>
  <c r="AG35" i="24"/>
  <c r="U36" i="24"/>
  <c r="I20" i="24"/>
  <c r="I10" i="24"/>
  <c r="AG20" i="24"/>
  <c r="AG10" i="24"/>
  <c r="I11" i="24"/>
  <c r="I21" i="24"/>
  <c r="AG11" i="24"/>
  <c r="AG21" i="24"/>
  <c r="K25" i="24"/>
  <c r="AI25" i="24"/>
  <c r="W26" i="24"/>
  <c r="K27" i="24"/>
  <c r="AI27" i="24"/>
  <c r="W28" i="24"/>
  <c r="K29" i="24"/>
  <c r="AI29" i="24"/>
  <c r="W30" i="24"/>
  <c r="K31" i="24"/>
  <c r="AI31" i="24"/>
  <c r="W32" i="24"/>
  <c r="K33" i="24"/>
  <c r="AI33" i="24"/>
  <c r="W34" i="24"/>
  <c r="K35" i="24"/>
  <c r="AI35" i="24"/>
  <c r="W36" i="24"/>
  <c r="K20" i="24"/>
  <c r="K10" i="24"/>
  <c r="K11" i="24"/>
  <c r="K21" i="24"/>
  <c r="AI11" i="24"/>
  <c r="AI21" i="24"/>
  <c r="M25" i="24"/>
  <c r="AK25" i="24"/>
  <c r="Y26" i="24"/>
  <c r="M27" i="24"/>
  <c r="AK27" i="24"/>
  <c r="Y28" i="24"/>
  <c r="M29" i="24"/>
  <c r="AK29" i="24"/>
  <c r="Y30" i="24"/>
  <c r="M31" i="24"/>
  <c r="AK31" i="24"/>
  <c r="Y32" i="24"/>
  <c r="M33" i="24"/>
  <c r="AK33" i="24"/>
  <c r="Y34" i="24"/>
  <c r="M35" i="24"/>
  <c r="AK35" i="24"/>
  <c r="Y36" i="24"/>
  <c r="AK20" i="24"/>
  <c r="AK10" i="24"/>
  <c r="M11" i="24"/>
  <c r="M21" i="24"/>
  <c r="AK11" i="24"/>
  <c r="AK21" i="24"/>
  <c r="O25" i="24"/>
  <c r="C26" i="24"/>
  <c r="AA26" i="24"/>
  <c r="O27" i="24"/>
  <c r="C28" i="24"/>
  <c r="AA28" i="24"/>
  <c r="O29" i="24"/>
  <c r="C30" i="24"/>
  <c r="AA30" i="24"/>
  <c r="O31" i="24"/>
  <c r="C32" i="24"/>
  <c r="AA32" i="24"/>
  <c r="O33" i="24"/>
  <c r="C34" i="24"/>
  <c r="AA34" i="24"/>
  <c r="O35" i="24"/>
  <c r="C36" i="24"/>
  <c r="AA36" i="24"/>
  <c r="O10" i="24"/>
  <c r="O20" i="24"/>
  <c r="O21" i="24"/>
  <c r="O11" i="24"/>
  <c r="Q25" i="24"/>
  <c r="E26" i="24"/>
  <c r="AC26" i="24"/>
  <c r="Q27" i="24"/>
  <c r="E28" i="24"/>
  <c r="AC28" i="24"/>
  <c r="Q29" i="24"/>
  <c r="E30" i="24"/>
  <c r="AC30" i="24"/>
  <c r="Q31" i="24"/>
  <c r="E32" i="24"/>
  <c r="AC32" i="24"/>
  <c r="Q33" i="24"/>
  <c r="E34" i="24"/>
  <c r="AC34" i="24"/>
  <c r="Q35" i="24"/>
  <c r="E36" i="24"/>
  <c r="AC36" i="24"/>
  <c r="Q10" i="24"/>
  <c r="Q20" i="24"/>
  <c r="Q21" i="24"/>
  <c r="Q11" i="24"/>
  <c r="S25" i="24"/>
  <c r="G26" i="24"/>
  <c r="AE26" i="24"/>
  <c r="S27" i="24"/>
  <c r="G28" i="24"/>
  <c r="AE28" i="24"/>
  <c r="S29" i="24"/>
  <c r="G30" i="24"/>
  <c r="AE30" i="24"/>
  <c r="S31" i="24"/>
  <c r="G32" i="24"/>
  <c r="AE32" i="24"/>
  <c r="S33" i="24"/>
  <c r="G34" i="24"/>
  <c r="AE34" i="24"/>
  <c r="S35" i="24"/>
  <c r="G36" i="24"/>
  <c r="AE36" i="24"/>
  <c r="S10" i="24"/>
  <c r="S20" i="24"/>
  <c r="U25" i="24"/>
  <c r="I26" i="24"/>
  <c r="AG26" i="24"/>
  <c r="U27" i="24"/>
  <c r="I28" i="24"/>
  <c r="AG28" i="24"/>
  <c r="U29" i="24"/>
  <c r="I30" i="24"/>
  <c r="AG30" i="24"/>
  <c r="U31" i="24"/>
  <c r="I32" i="24"/>
  <c r="AG32" i="24"/>
  <c r="U33" i="24"/>
  <c r="I34" i="24"/>
  <c r="AG34" i="24"/>
  <c r="U35" i="24"/>
  <c r="I36" i="24"/>
  <c r="AG36" i="24"/>
  <c r="U10" i="24"/>
  <c r="U20" i="24"/>
  <c r="U21" i="24"/>
  <c r="U11" i="24"/>
  <c r="W25" i="24"/>
  <c r="K26" i="24"/>
  <c r="AI26" i="24"/>
  <c r="W27" i="24"/>
  <c r="K28" i="24"/>
  <c r="AI28" i="24"/>
  <c r="W29" i="24"/>
  <c r="K30" i="24"/>
  <c r="AI30" i="24"/>
  <c r="W31" i="24"/>
  <c r="K32" i="24"/>
  <c r="AI32" i="24"/>
  <c r="W33" i="24"/>
  <c r="K34" i="24"/>
  <c r="AI34" i="24"/>
  <c r="W35" i="24"/>
  <c r="K36" i="24"/>
  <c r="AI36" i="24"/>
  <c r="W10" i="24"/>
  <c r="W20" i="24"/>
  <c r="Y25" i="24"/>
  <c r="M26" i="24"/>
  <c r="AK26" i="24"/>
  <c r="Y27" i="24"/>
  <c r="M28" i="24"/>
  <c r="AK28" i="24"/>
  <c r="Y29" i="24"/>
  <c r="M30" i="24"/>
  <c r="AK30" i="24"/>
  <c r="Y31" i="24"/>
  <c r="M32" i="24"/>
  <c r="AK32" i="24"/>
  <c r="Y33" i="24"/>
  <c r="M34" i="24"/>
  <c r="AK34" i="24"/>
  <c r="Y35" i="24"/>
  <c r="M36" i="24"/>
  <c r="AK36" i="24"/>
  <c r="Y10" i="24"/>
  <c r="Y20" i="24"/>
  <c r="Y21" i="24"/>
  <c r="Y11" i="24"/>
  <c r="AI10" i="24" l="1"/>
  <c r="AC20" i="24"/>
  <c r="AI20" i="24"/>
  <c r="M20" i="24"/>
  <c r="S21" i="24"/>
  <c r="AC10" i="24"/>
  <c r="W11" i="24"/>
  <c r="AA11" i="24"/>
  <c r="M14" i="24"/>
  <c r="M3" i="24"/>
  <c r="M19" i="24"/>
  <c r="M8" i="24"/>
  <c r="Y17" i="24"/>
  <c r="Y6" i="24"/>
  <c r="Y18" i="24"/>
  <c r="Y7" i="24"/>
  <c r="S19" i="24"/>
  <c r="S8" i="24"/>
  <c r="S15" i="24"/>
  <c r="S4" i="24"/>
  <c r="S16" i="24"/>
  <c r="S5" i="24"/>
  <c r="AK14" i="24"/>
  <c r="AK3" i="24"/>
  <c r="K19" i="24"/>
  <c r="K8" i="24"/>
  <c r="K16" i="24"/>
  <c r="K5" i="24"/>
  <c r="K15" i="24"/>
  <c r="K4" i="24"/>
  <c r="AE19" i="24"/>
  <c r="AE8" i="24"/>
  <c r="AE16" i="24"/>
  <c r="AE5" i="24"/>
  <c r="AE15" i="24"/>
  <c r="AE4" i="24"/>
  <c r="G19" i="24"/>
  <c r="G8" i="24"/>
  <c r="G16" i="24"/>
  <c r="G5" i="24"/>
  <c r="G15" i="24"/>
  <c r="G4" i="24"/>
  <c r="AG19" i="24"/>
  <c r="AG8" i="24"/>
  <c r="O17" i="24"/>
  <c r="O6" i="24"/>
  <c r="O18" i="24"/>
  <c r="O7" i="24"/>
  <c r="AI14" i="24"/>
  <c r="AI3" i="24"/>
  <c r="AC19" i="24"/>
  <c r="AC8" i="24"/>
  <c r="AC16" i="24"/>
  <c r="AC5" i="24"/>
  <c r="AC15" i="24"/>
  <c r="AC4" i="24"/>
  <c r="I18" i="24"/>
  <c r="I7" i="24"/>
  <c r="I17" i="24"/>
  <c r="I6" i="24"/>
  <c r="U15" i="24"/>
  <c r="U4" i="24"/>
  <c r="U16" i="24"/>
  <c r="U5" i="24"/>
  <c r="I19" i="24"/>
  <c r="I8" i="24"/>
  <c r="S14" i="24"/>
  <c r="S3" i="24"/>
  <c r="AK18" i="24"/>
  <c r="AK7" i="24"/>
  <c r="AK17" i="24"/>
  <c r="AK6" i="24"/>
  <c r="K14" i="24"/>
  <c r="K3" i="24"/>
  <c r="AE14" i="24"/>
  <c r="AE3" i="24"/>
  <c r="E19" i="24"/>
  <c r="E8" i="24"/>
  <c r="E16" i="24"/>
  <c r="E5" i="24"/>
  <c r="E15" i="24"/>
  <c r="E4" i="24"/>
  <c r="AG18" i="24"/>
  <c r="AG7" i="24"/>
  <c r="AG17" i="24"/>
  <c r="AG6" i="24"/>
  <c r="W15" i="24"/>
  <c r="W4" i="24"/>
  <c r="W16" i="24"/>
  <c r="W5" i="24"/>
  <c r="Q17" i="24"/>
  <c r="Q6" i="24"/>
  <c r="Q18" i="24"/>
  <c r="Q7" i="24"/>
  <c r="AA19" i="24"/>
  <c r="AA8" i="24"/>
  <c r="AA16" i="24"/>
  <c r="AA5" i="24"/>
  <c r="AA15" i="24"/>
  <c r="AA4" i="24"/>
  <c r="U19" i="24"/>
  <c r="U8" i="24"/>
  <c r="W19" i="24"/>
  <c r="W8" i="24"/>
  <c r="M18" i="24"/>
  <c r="M7" i="24"/>
  <c r="M17" i="24"/>
  <c r="M6" i="24"/>
  <c r="G14" i="24"/>
  <c r="G3" i="24"/>
  <c r="U14" i="24"/>
  <c r="U3" i="24"/>
  <c r="AI18" i="24"/>
  <c r="AI7" i="24"/>
  <c r="AI17" i="24"/>
  <c r="AI6" i="24"/>
  <c r="AC14" i="24"/>
  <c r="AC3" i="24"/>
  <c r="C19" i="24"/>
  <c r="C8" i="24"/>
  <c r="C16" i="24"/>
  <c r="C5" i="24"/>
  <c r="C15" i="24"/>
  <c r="C4" i="24"/>
  <c r="K18" i="24"/>
  <c r="K7" i="24"/>
  <c r="K17" i="24"/>
  <c r="K6" i="24"/>
  <c r="AE18" i="24"/>
  <c r="AE7" i="24"/>
  <c r="AE17" i="24"/>
  <c r="AE6" i="24"/>
  <c r="E14" i="24"/>
  <c r="E3" i="24"/>
  <c r="Y19" i="24"/>
  <c r="Y8" i="24"/>
  <c r="W14" i="24"/>
  <c r="W3" i="24"/>
  <c r="G18" i="24"/>
  <c r="G7" i="24"/>
  <c r="G17" i="24"/>
  <c r="G6" i="24"/>
  <c r="AA14" i="24"/>
  <c r="AA3" i="24"/>
  <c r="AG16" i="24"/>
  <c r="AG5" i="24"/>
  <c r="AG15" i="24"/>
  <c r="AG4" i="24"/>
  <c r="Y15" i="24"/>
  <c r="Y4" i="24"/>
  <c r="Y16" i="24"/>
  <c r="Y5" i="24"/>
  <c r="S17" i="24"/>
  <c r="S6" i="24"/>
  <c r="S18" i="24"/>
  <c r="S7" i="24"/>
  <c r="AC18" i="24"/>
  <c r="AC7" i="24"/>
  <c r="AC17" i="24"/>
  <c r="AC6" i="24"/>
  <c r="C14" i="24"/>
  <c r="C3" i="24"/>
  <c r="I16" i="24"/>
  <c r="I5" i="24"/>
  <c r="I15" i="24"/>
  <c r="I4" i="24"/>
  <c r="Y14" i="24"/>
  <c r="Y3" i="24"/>
  <c r="AK19" i="24"/>
  <c r="AK8" i="24"/>
  <c r="AK16" i="24"/>
  <c r="AK5" i="24"/>
  <c r="AK15" i="24"/>
  <c r="AK4" i="24"/>
  <c r="E18" i="24"/>
  <c r="E7" i="24"/>
  <c r="E17" i="24"/>
  <c r="E6" i="24"/>
  <c r="O19" i="24"/>
  <c r="O8" i="24"/>
  <c r="Q15" i="24"/>
  <c r="Q4" i="24"/>
  <c r="Q16" i="24"/>
  <c r="Q5" i="24"/>
  <c r="M16" i="24"/>
  <c r="M5" i="24"/>
  <c r="M15" i="24"/>
  <c r="M4" i="24"/>
  <c r="Q14" i="24"/>
  <c r="Q3" i="24"/>
  <c r="U17" i="24"/>
  <c r="U6" i="24"/>
  <c r="U18" i="24"/>
  <c r="U7" i="24"/>
  <c r="O15" i="24"/>
  <c r="O4" i="24"/>
  <c r="O16" i="24"/>
  <c r="O5" i="24"/>
  <c r="W17" i="24"/>
  <c r="W6" i="24"/>
  <c r="W18" i="24"/>
  <c r="W7" i="24"/>
  <c r="Q19" i="24"/>
  <c r="Q8" i="24"/>
  <c r="AA18" i="24"/>
  <c r="AA7" i="24"/>
  <c r="AA17" i="24"/>
  <c r="AA6" i="24"/>
  <c r="AG14" i="24"/>
  <c r="AG3" i="24"/>
  <c r="O14" i="24"/>
  <c r="O3" i="24"/>
  <c r="AI19" i="24"/>
  <c r="AI8" i="24"/>
  <c r="AI16" i="24"/>
  <c r="AI5" i="24"/>
  <c r="AI15" i="24"/>
  <c r="AI4" i="24"/>
  <c r="C18" i="24"/>
  <c r="C7" i="24"/>
  <c r="C17" i="24"/>
  <c r="C6" i="24"/>
  <c r="I14" i="24"/>
  <c r="I3" i="24"/>
  <c r="M9" i="24" l="1"/>
  <c r="M22" i="24" s="1"/>
  <c r="X26" i="22"/>
  <c r="O9" i="24"/>
  <c r="AG9" i="24"/>
  <c r="AG12" i="24" s="1"/>
  <c r="X17" i="22" s="1"/>
  <c r="X28" i="22"/>
  <c r="O12" i="24"/>
  <c r="X8" i="22" s="1"/>
  <c r="AC9" i="24"/>
  <c r="AC22" i="24" s="1"/>
  <c r="S9" i="24"/>
  <c r="S12" i="24" s="1"/>
  <c r="X10" i="22" s="1"/>
  <c r="G9" i="24"/>
  <c r="G22" i="24" s="1"/>
  <c r="K9" i="24"/>
  <c r="K22" i="24" s="1"/>
  <c r="AK9" i="24"/>
  <c r="AK22" i="24" s="1"/>
  <c r="Y9" i="24"/>
  <c r="Y22" i="24" s="1"/>
  <c r="X27" i="22"/>
  <c r="C9" i="24"/>
  <c r="C22" i="24" s="1"/>
  <c r="AA9" i="24"/>
  <c r="AA12" i="24" s="1"/>
  <c r="X14" i="22" s="1"/>
  <c r="W9" i="24"/>
  <c r="W12" i="24" s="1"/>
  <c r="X12" i="22" s="1"/>
  <c r="O22" i="24"/>
  <c r="AI9" i="24"/>
  <c r="AI22" i="24" s="1"/>
  <c r="Q9" i="24"/>
  <c r="Q22" i="24" s="1"/>
  <c r="U9" i="24"/>
  <c r="U22" i="24" s="1"/>
  <c r="AE9" i="24"/>
  <c r="AE12" i="24" s="1"/>
  <c r="X16" i="22" s="1"/>
  <c r="AC12" i="24"/>
  <c r="X15" i="22" s="1"/>
  <c r="M12" i="24"/>
  <c r="X7" i="22" s="1"/>
  <c r="I9" i="24"/>
  <c r="I12" i="24" s="1"/>
  <c r="X5" i="22" s="1"/>
  <c r="E9" i="24"/>
  <c r="E12" i="24" s="1"/>
  <c r="X3" i="22" s="1"/>
  <c r="C12" i="24"/>
  <c r="X2" i="22" s="1"/>
  <c r="X25" i="22"/>
  <c r="AG22" i="24"/>
  <c r="AA22" i="24"/>
  <c r="E22" i="24"/>
  <c r="S22" i="24" l="1"/>
  <c r="AE22" i="24"/>
  <c r="W22" i="24"/>
  <c r="I22" i="24"/>
  <c r="G12" i="24"/>
  <c r="X4" i="22" s="1"/>
  <c r="U12" i="24"/>
  <c r="X11" i="22" s="1"/>
  <c r="Q12" i="24"/>
  <c r="X9" i="22" s="1"/>
  <c r="Y12" i="24"/>
  <c r="X13" i="22" s="1"/>
  <c r="AI12" i="24"/>
  <c r="X18" i="22" s="1"/>
  <c r="K12" i="24"/>
  <c r="X6" i="22" s="1"/>
  <c r="AK12" i="24"/>
  <c r="X19" i="22" s="1"/>
  <c r="X22" i="22" l="1"/>
  <c r="X21" i="22"/>
  <c r="X23" i="22"/>
</calcChain>
</file>

<file path=xl/sharedStrings.xml><?xml version="1.0" encoding="utf-8"?>
<sst xmlns="http://schemas.openxmlformats.org/spreadsheetml/2006/main" count="25902" uniqueCount="966">
  <si>
    <t>Passing</t>
  </si>
  <si>
    <t>Rushing</t>
  </si>
  <si>
    <t>Receiving</t>
  </si>
  <si>
    <t>Fumbles</t>
  </si>
  <si>
    <t>Player</t>
  </si>
  <si>
    <t>Position</t>
  </si>
  <si>
    <t>Game</t>
  </si>
  <si>
    <t>Pts*</t>
  </si>
  <si>
    <t>Att</t>
  </si>
  <si>
    <t>Cmp</t>
  </si>
  <si>
    <t>Yds</t>
  </si>
  <si>
    <t>TD</t>
  </si>
  <si>
    <t>Int</t>
  </si>
  <si>
    <t>2Pt</t>
  </si>
  <si>
    <t>Rec</t>
  </si>
  <si>
    <t>FL</t>
  </si>
  <si>
    <t>Tua Tagovailoa</t>
  </si>
  <si>
    <t>QB</t>
  </si>
  <si>
    <t>MIA@LAC</t>
  </si>
  <si>
    <t>Mac Jones</t>
  </si>
  <si>
    <t>PHI@NE</t>
  </si>
  <si>
    <t>Jordan Love</t>
  </si>
  <si>
    <t>GB@CHI</t>
  </si>
  <si>
    <t>Patrick Mahomes</t>
  </si>
  <si>
    <t>DET@KC</t>
  </si>
  <si>
    <t>Justin Herbert</t>
  </si>
  <si>
    <t>Anthony Richardson</t>
  </si>
  <si>
    <t>JAX@IND</t>
  </si>
  <si>
    <t>Deshaun Watson</t>
  </si>
  <si>
    <t>CIN@CLE</t>
  </si>
  <si>
    <t>Kirk Cousins</t>
  </si>
  <si>
    <t>TB@MIN</t>
  </si>
  <si>
    <t>Trevor Lawrence</t>
  </si>
  <si>
    <t>Brock Purdy</t>
  </si>
  <si>
    <t>SF@PIT</t>
  </si>
  <si>
    <t>Jimmy Garoppolo</t>
  </si>
  <si>
    <t>LV@DEN</t>
  </si>
  <si>
    <t>Baker Mayfield</t>
  </si>
  <si>
    <t>Russell Wilson</t>
  </si>
  <si>
    <t>Sam Howell</t>
  </si>
  <si>
    <t>ARI@WAS</t>
  </si>
  <si>
    <t>Derek Carr</t>
  </si>
  <si>
    <t>TEN@NO</t>
  </si>
  <si>
    <t>Justin Fields</t>
  </si>
  <si>
    <t>Jared Goff</t>
  </si>
  <si>
    <t>Jalen Hurts</t>
  </si>
  <si>
    <t>Matthew Stafford</t>
  </si>
  <si>
    <t>LA@SEA</t>
  </si>
  <si>
    <t>Josh Allen</t>
  </si>
  <si>
    <t>BUF@NYJ</t>
  </si>
  <si>
    <t>Kenny Pickett</t>
  </si>
  <si>
    <t>Desmond Ridder</t>
  </si>
  <si>
    <t>CAR@ATL</t>
  </si>
  <si>
    <t>C.J. Stroud</t>
  </si>
  <si>
    <t>HOU@BAL</t>
  </si>
  <si>
    <t>Geno Smith</t>
  </si>
  <si>
    <t>Zach Wilson</t>
  </si>
  <si>
    <t>Bryce Young</t>
  </si>
  <si>
    <t>Lamar Jackson</t>
  </si>
  <si>
    <t>Dak Prescott</t>
  </si>
  <si>
    <t>DAL@NYG</t>
  </si>
  <si>
    <t>Daniel Jones</t>
  </si>
  <si>
    <t>Joe Burrow</t>
  </si>
  <si>
    <t>Joshua Dobbs</t>
  </si>
  <si>
    <t>Ryan Tannehill</t>
  </si>
  <si>
    <t>Jake Browning</t>
  </si>
  <si>
    <t>Sean Clifford</t>
  </si>
  <si>
    <t>Sam Darnold</t>
  </si>
  <si>
    <t>Taysom Hill</t>
  </si>
  <si>
    <t>TE</t>
  </si>
  <si>
    <t>Gardner Minshew</t>
  </si>
  <si>
    <t>Aaron Rodgers</t>
  </si>
  <si>
    <t>Cooper Rush</t>
  </si>
  <si>
    <t>Tyrod Taylor</t>
  </si>
  <si>
    <t>Aaron Jones</t>
  </si>
  <si>
    <t>RB</t>
  </si>
  <si>
    <t>Austin Ekeler</t>
  </si>
  <si>
    <t>Christian McCaffrey</t>
  </si>
  <si>
    <t>Tyler Allgeier</t>
  </si>
  <si>
    <t>Tony Pollard</t>
  </si>
  <si>
    <t>Travis Etienne</t>
  </si>
  <si>
    <t>Bijan Robinson</t>
  </si>
  <si>
    <t>Roschon Johnson</t>
  </si>
  <si>
    <t>Kyren Williams</t>
  </si>
  <si>
    <t>Nick Chubb</t>
  </si>
  <si>
    <t>Breece Hall</t>
  </si>
  <si>
    <t>Joshua Kelley</t>
  </si>
  <si>
    <t>Rhamondre Stevenson</t>
  </si>
  <si>
    <t>Derrick Henry</t>
  </si>
  <si>
    <t>Alexander Mattison</t>
  </si>
  <si>
    <t>David Montgomery</t>
  </si>
  <si>
    <t>Justice Hill</t>
  </si>
  <si>
    <t>Raheem Mostert</t>
  </si>
  <si>
    <t>Brian Robinson</t>
  </si>
  <si>
    <t>Miles Sanders</t>
  </si>
  <si>
    <t>James Conner</t>
  </si>
  <si>
    <t>J.K. Dobbins</t>
  </si>
  <si>
    <t>Kenny Gainwell</t>
  </si>
  <si>
    <t>Samaje Perine</t>
  </si>
  <si>
    <t>Khalil Herbert</t>
  </si>
  <si>
    <t>Kenneth Walker</t>
  </si>
  <si>
    <t>Saquon Barkley</t>
  </si>
  <si>
    <t>James Cook</t>
  </si>
  <si>
    <t>Joe Mixon</t>
  </si>
  <si>
    <t>Isiah Pacheco</t>
  </si>
  <si>
    <t>Javonte Williams</t>
  </si>
  <si>
    <t>Cam Akers</t>
  </si>
  <si>
    <t>Dalvin Cook</t>
  </si>
  <si>
    <t>Chuba Hubbard</t>
  </si>
  <si>
    <t>Josh Jacobs</t>
  </si>
  <si>
    <t>Ezekiel Elliott</t>
  </si>
  <si>
    <t>Jahmyr Gibbs</t>
  </si>
  <si>
    <t>Cartavious Bigsby</t>
  </si>
  <si>
    <t>Jaylen Warren</t>
  </si>
  <si>
    <t>Rachaad White</t>
  </si>
  <si>
    <t>Jamaal Williams</t>
  </si>
  <si>
    <t>Gus Edwards</t>
  </si>
  <si>
    <t>Najee Harris</t>
  </si>
  <si>
    <t>Alec Ingold</t>
  </si>
  <si>
    <t>Deon Jackson</t>
  </si>
  <si>
    <t>Dameon Pierce</t>
  </si>
  <si>
    <t>Mike Boone</t>
  </si>
  <si>
    <t>AJ Dillon</t>
  </si>
  <si>
    <t>Michael Carter</t>
  </si>
  <si>
    <t>Clyde Edwards-Helaire</t>
  </si>
  <si>
    <t>D'Onta Foreman</t>
  </si>
  <si>
    <t>Jake Funk</t>
  </si>
  <si>
    <t>Damien Harris</t>
  </si>
  <si>
    <t>Anthony McFarland</t>
  </si>
  <si>
    <t>Tyjae Spears</t>
  </si>
  <si>
    <t>Sean Tucker</t>
  </si>
  <si>
    <t>Gary Brightwell</t>
  </si>
  <si>
    <t>Ty Chandler</t>
  </si>
  <si>
    <t>DeeJay Dallas</t>
  </si>
  <si>
    <t>Rico Dowdle</t>
  </si>
  <si>
    <t>Chris Evans</t>
  </si>
  <si>
    <t>Jerome Ford</t>
  </si>
  <si>
    <t>C.J. Ham</t>
  </si>
  <si>
    <t>Jerick McKinnon</t>
  </si>
  <si>
    <t>Ty Montgomery</t>
  </si>
  <si>
    <t>Patrick Taylor</t>
  </si>
  <si>
    <t>Salvon Ahmed</t>
  </si>
  <si>
    <t>Matt Breida</t>
  </si>
  <si>
    <t>Michael Burton</t>
  </si>
  <si>
    <t>Zach Charbonnet</t>
  </si>
  <si>
    <t>Antonio Gibson</t>
  </si>
  <si>
    <t>Evan Hull</t>
  </si>
  <si>
    <t>Jaleel McLaughlin</t>
  </si>
  <si>
    <t>Elijah Mitchell</t>
  </si>
  <si>
    <t>Latavius Murray</t>
  </si>
  <si>
    <t>Boston Scott</t>
  </si>
  <si>
    <t>Devin Singletary</t>
  </si>
  <si>
    <t>D'Andre Swift</t>
  </si>
  <si>
    <t>Zamir White</t>
  </si>
  <si>
    <t>Chase Edmonds</t>
  </si>
  <si>
    <t>Keaontay Ingram</t>
  </si>
  <si>
    <t>D'Ernest Johnson</t>
  </si>
  <si>
    <t>Tony Jones</t>
  </si>
  <si>
    <t>Christopher Rodriguez</t>
  </si>
  <si>
    <t>Deuce Vaughn</t>
  </si>
  <si>
    <t>Trayveon Williams</t>
  </si>
  <si>
    <t>Tyreek Hill</t>
  </si>
  <si>
    <t>WR</t>
  </si>
  <si>
    <t>Brandon Aiyuk</t>
  </si>
  <si>
    <t>Jakobi Meyers</t>
  </si>
  <si>
    <t>Stefon Diggs</t>
  </si>
  <si>
    <t>Kendrick Bourne</t>
  </si>
  <si>
    <t>Justin Jefferson</t>
  </si>
  <si>
    <t>Calvin Ridley</t>
  </si>
  <si>
    <t>Michael Pittman</t>
  </si>
  <si>
    <t>Puka Nacua</t>
  </si>
  <si>
    <t>Chris Olave</t>
  </si>
  <si>
    <t>Rashid Shaheed</t>
  </si>
  <si>
    <t>Amon-Ra St. Brown</t>
  </si>
  <si>
    <t>Romeo Doubs</t>
  </si>
  <si>
    <t>Mike Evans</t>
  </si>
  <si>
    <t>Chatarius Atwell</t>
  </si>
  <si>
    <t>DeVonta Smith</t>
  </si>
  <si>
    <t>Jordan Addison</t>
  </si>
  <si>
    <t>Zay Flowers</t>
  </si>
  <si>
    <t>Zay Jones</t>
  </si>
  <si>
    <t>Darnell Mooney</t>
  </si>
  <si>
    <t>A.J. Brown</t>
  </si>
  <si>
    <t>Nico Collins</t>
  </si>
  <si>
    <t>Garrett Wilson</t>
  </si>
  <si>
    <t>Keenan Allen</t>
  </si>
  <si>
    <t>River Cracraft</t>
  </si>
  <si>
    <t>DeAndre Hopkins</t>
  </si>
  <si>
    <t>D.K. Metcalf</t>
  </si>
  <si>
    <t>Courtland Sutton</t>
  </si>
  <si>
    <t>Davante Adams</t>
  </si>
  <si>
    <t>Josh Reynolds</t>
  </si>
  <si>
    <t>CeeDee Lamb</t>
  </si>
  <si>
    <t>Rashee Rice</t>
  </si>
  <si>
    <t>Allen Robinson</t>
  </si>
  <si>
    <t>Michael Thomas</t>
  </si>
  <si>
    <t>Jaylen Waddle</t>
  </si>
  <si>
    <t>Robert Woods</t>
  </si>
  <si>
    <t>Chris Godwin</t>
  </si>
  <si>
    <t>Curtis Samuel</t>
  </si>
  <si>
    <t>Deebo Samuel</t>
  </si>
  <si>
    <t>KaVontae Turpin</t>
  </si>
  <si>
    <t>Calvin Austin</t>
  </si>
  <si>
    <t>Jahan Dotson</t>
  </si>
  <si>
    <t>Lil'Jordan Humphrey</t>
  </si>
  <si>
    <t>Nick Westbrook</t>
  </si>
  <si>
    <t>Ja'Marr Chase</t>
  </si>
  <si>
    <t>Demario Douglas</t>
  </si>
  <si>
    <t>Elijah Moore</t>
  </si>
  <si>
    <t>Trey Palmer</t>
  </si>
  <si>
    <t>George Pickens</t>
  </si>
  <si>
    <t>Mike Williams</t>
  </si>
  <si>
    <t>Braxton Berrios</t>
  </si>
  <si>
    <t>Marquise Brown</t>
  </si>
  <si>
    <t>Diontae Johnson</t>
  </si>
  <si>
    <t>Rondale Moore</t>
  </si>
  <si>
    <t>JuJu Smith-Schuster</t>
  </si>
  <si>
    <t>Rashod Bateman</t>
  </si>
  <si>
    <t>Amari Cooper</t>
  </si>
  <si>
    <t>Nathaniel Dell</t>
  </si>
  <si>
    <t>Josh Downs</t>
  </si>
  <si>
    <t>Mack Hollins</t>
  </si>
  <si>
    <t>Van Jefferson</t>
  </si>
  <si>
    <t>Allen Lazard</t>
  </si>
  <si>
    <t>K.J. Osborn</t>
  </si>
  <si>
    <t>Jayden Reed</t>
  </si>
  <si>
    <t>Marquez Valdes-Scantling</t>
  </si>
  <si>
    <t>Justin Watson</t>
  </si>
  <si>
    <t>Odell Beckham Jr.</t>
  </si>
  <si>
    <t>Noah Brown</t>
  </si>
  <si>
    <t>Gabriel Davis</t>
  </si>
  <si>
    <t>Brandon Johnson</t>
  </si>
  <si>
    <t>Terry McLaurin</t>
  </si>
  <si>
    <t>Brandin Cooks</t>
  </si>
  <si>
    <t>Terrace Marshall</t>
  </si>
  <si>
    <t>D.J. Moore</t>
  </si>
  <si>
    <t>Darius Slayton</t>
  </si>
  <si>
    <t>Jaxon Smith-Njigba</t>
  </si>
  <si>
    <t>Tyler Boyd</t>
  </si>
  <si>
    <t>Treylon Burks</t>
  </si>
  <si>
    <t>Deonte Harty</t>
  </si>
  <si>
    <t>Tyler Lockett</t>
  </si>
  <si>
    <t>Jonathan Mingo</t>
  </si>
  <si>
    <t>Kalif Raymond</t>
  </si>
  <si>
    <t>Tyler Scott</t>
  </si>
  <si>
    <t>Laviska Shenault</t>
  </si>
  <si>
    <t>Adam Thielen</t>
  </si>
  <si>
    <t>Deven Thompkins</t>
  </si>
  <si>
    <t>Samori Toure</t>
  </si>
  <si>
    <t>Quez Watkins</t>
  </si>
  <si>
    <t>Michael Wilson</t>
  </si>
  <si>
    <t>Michael Gallup</t>
  </si>
  <si>
    <t>Isaiah Hodgins</t>
  </si>
  <si>
    <t>Quentin Johnston</t>
  </si>
  <si>
    <t>Marvin Mims</t>
  </si>
  <si>
    <t>Donovan Peoples-Jones</t>
  </si>
  <si>
    <t>Parris Campbell</t>
  </si>
  <si>
    <t>DeAndre Carter</t>
  </si>
  <si>
    <t>Derius Davis</t>
  </si>
  <si>
    <t>Erik Ezukanma</t>
  </si>
  <si>
    <t>Xavier Hutchinson</t>
  </si>
  <si>
    <t>Richie James</t>
  </si>
  <si>
    <t>Marvin Jones</t>
  </si>
  <si>
    <t>Christian Kirk</t>
  </si>
  <si>
    <t>Josh Palmer</t>
  </si>
  <si>
    <t>Alec Pierce</t>
  </si>
  <si>
    <t>Justyn Ross</t>
  </si>
  <si>
    <t>Kadarius Toney</t>
  </si>
  <si>
    <t>Jamal Agnew</t>
  </si>
  <si>
    <t>Rakim Jarrett</t>
  </si>
  <si>
    <t>Skyy Moore</t>
  </si>
  <si>
    <t>Hunter Henry</t>
  </si>
  <si>
    <t>Hayden Hurst</t>
  </si>
  <si>
    <t>T.J. Hockenson</t>
  </si>
  <si>
    <t>Donald Parham</t>
  </si>
  <si>
    <t>Blake Bell</t>
  </si>
  <si>
    <t>Evan Engram</t>
  </si>
  <si>
    <t>Cole Kmet</t>
  </si>
  <si>
    <t>Harrison Bryant</t>
  </si>
  <si>
    <t>Zach Ertz</t>
  </si>
  <si>
    <t>Sam LaPorta</t>
  </si>
  <si>
    <t>Luke Musgrave</t>
  </si>
  <si>
    <t>Logan Thomas</t>
  </si>
  <si>
    <t>Adam Trautman</t>
  </si>
  <si>
    <t>Pat Freiermuth</t>
  </si>
  <si>
    <t>Kylen Granson</t>
  </si>
  <si>
    <t>Tyler Higbee</t>
  </si>
  <si>
    <t>Durham Smythe</t>
  </si>
  <si>
    <t>Mike Gesicki</t>
  </si>
  <si>
    <t>Noah Gray</t>
  </si>
  <si>
    <t>Juwan Johnson</t>
  </si>
  <si>
    <t>Dalton Kincaid</t>
  </si>
  <si>
    <t>Josh Oliver</t>
  </si>
  <si>
    <t>Kyle Pitts</t>
  </si>
  <si>
    <t>Darren Waller</t>
  </si>
  <si>
    <t>Dawson Knox</t>
  </si>
  <si>
    <t>Greg Dulcich</t>
  </si>
  <si>
    <t>Gerald Everett</t>
  </si>
  <si>
    <t>George Kittle</t>
  </si>
  <si>
    <t>Trey McBride</t>
  </si>
  <si>
    <t>David Njoku</t>
  </si>
  <si>
    <t>Irv Smith</t>
  </si>
  <si>
    <t>Lawrence Cager</t>
  </si>
  <si>
    <t>Will Dissly</t>
  </si>
  <si>
    <t>Jake Ferguson</t>
  </si>
  <si>
    <t>Connor Heyward</t>
  </si>
  <si>
    <t>Austin Hooper</t>
  </si>
  <si>
    <t>Brycen Hopkins</t>
  </si>
  <si>
    <t>Andrew Ogletree</t>
  </si>
  <si>
    <t>Cade Otton</t>
  </si>
  <si>
    <t>Brock Wright</t>
  </si>
  <si>
    <t>Jordan Akins</t>
  </si>
  <si>
    <t>Teagan Quitoriano</t>
  </si>
  <si>
    <t>Dalton Schultz</t>
  </si>
  <si>
    <t>Cole Turner</t>
  </si>
  <si>
    <t>Daniel Bellinger</t>
  </si>
  <si>
    <t>Tyler Conklin</t>
  </si>
  <si>
    <t>Isaiah Likely</t>
  </si>
  <si>
    <t>Colby Parkinson</t>
  </si>
  <si>
    <t>Giovanni Ricci</t>
  </si>
  <si>
    <t>N/A</t>
  </si>
  <si>
    <t>LAC@TEN</t>
  </si>
  <si>
    <t>NYG@ARI</t>
  </si>
  <si>
    <t>SF@LA</t>
  </si>
  <si>
    <t>CHI@TB</t>
  </si>
  <si>
    <t>WAS@DEN</t>
  </si>
  <si>
    <t>Tee Higgins</t>
  </si>
  <si>
    <t>BAL@CIN</t>
  </si>
  <si>
    <t>MIN@PHI</t>
  </si>
  <si>
    <t>IND@HOU</t>
  </si>
  <si>
    <t>SEA@DET</t>
  </si>
  <si>
    <t>MIA@NE</t>
  </si>
  <si>
    <t>NYJ@DAL</t>
  </si>
  <si>
    <t>CLE@PIT</t>
  </si>
  <si>
    <t>LV@BUF</t>
  </si>
  <si>
    <t>KC@JAX</t>
  </si>
  <si>
    <t>GB@ATL</t>
  </si>
  <si>
    <t>Zack Moss</t>
  </si>
  <si>
    <t>NO@CAR</t>
  </si>
  <si>
    <t>Drake London</t>
  </si>
  <si>
    <t>Nelson Agholor</t>
  </si>
  <si>
    <t>Mark Andrews</t>
  </si>
  <si>
    <t>Chase Claypool</t>
  </si>
  <si>
    <t>Travis Kelce</t>
  </si>
  <si>
    <t>Dontayvion Wicks</t>
  </si>
  <si>
    <t>DeVante Parker</t>
  </si>
  <si>
    <t>Jalin Hyatt</t>
  </si>
  <si>
    <t>Noah Fant</t>
  </si>
  <si>
    <t>Jonnu Smith</t>
  </si>
  <si>
    <t>Dallas Goedert</t>
  </si>
  <si>
    <t>Khalil Shakir</t>
  </si>
  <si>
    <t>John Bates</t>
  </si>
  <si>
    <t>Chigoziem Okonkwo</t>
  </si>
  <si>
    <t>Jauan Jennings</t>
  </si>
  <si>
    <t>Luke Schoonmaker</t>
  </si>
  <si>
    <t>Will Mallory</t>
  </si>
  <si>
    <t>Pierre Strong</t>
  </si>
  <si>
    <t>Chris Moore</t>
  </si>
  <si>
    <t>David Bell</t>
  </si>
  <si>
    <t>Dyami Brown</t>
  </si>
  <si>
    <t>Jerry Jeudy</t>
  </si>
  <si>
    <t>Jalen Tolbert</t>
  </si>
  <si>
    <t>Brevin Jordan</t>
  </si>
  <si>
    <t>Foster Moreau</t>
  </si>
  <si>
    <t>Elijah Dotson</t>
  </si>
  <si>
    <t>Tre Tucker</t>
  </si>
  <si>
    <t>Stone Smartt</t>
  </si>
  <si>
    <t>Hunter Renfrow</t>
  </si>
  <si>
    <t>Bennett Skowronek</t>
  </si>
  <si>
    <t>John Metchie</t>
  </si>
  <si>
    <t>Emari Demercado</t>
  </si>
  <si>
    <t>D.J. Chark</t>
  </si>
  <si>
    <t>Mo Alie-Cox</t>
  </si>
  <si>
    <t>Josiah Deguara</t>
  </si>
  <si>
    <t>Rashaad Penny</t>
  </si>
  <si>
    <t>De'Von Achane</t>
  </si>
  <si>
    <t>Zach Pascal</t>
  </si>
  <si>
    <t>Isaiah McKenzie</t>
  </si>
  <si>
    <t>Mecole Hardman</t>
  </si>
  <si>
    <t>Craig Reynolds</t>
  </si>
  <si>
    <t>Ameer Abdullah</t>
  </si>
  <si>
    <t>Miles Boykin</t>
  </si>
  <si>
    <t>Devin Duvernay</t>
  </si>
  <si>
    <t>Ronnie Rivers</t>
  </si>
  <si>
    <t>Byron Pringle</t>
  </si>
  <si>
    <t>Sterling Shepard</t>
  </si>
  <si>
    <t>Reggie Gilliam</t>
  </si>
  <si>
    <t>Jake Bobo</t>
  </si>
  <si>
    <t>Antoine Green</t>
  </si>
  <si>
    <t>Michael Mayer</t>
  </si>
  <si>
    <t>David Wells</t>
  </si>
  <si>
    <t>Emanuel Wilson</t>
  </si>
  <si>
    <t>Dare Ogunbowale</t>
  </si>
  <si>
    <t>Isaiah Spiller</t>
  </si>
  <si>
    <t>Andrew Beck</t>
  </si>
  <si>
    <t>Chase Brown</t>
  </si>
  <si>
    <t>Peyton Hendershot</t>
  </si>
  <si>
    <t>Kyle Allen</t>
  </si>
  <si>
    <t>Velus Jones</t>
  </si>
  <si>
    <t>Gunner Olszewski</t>
  </si>
  <si>
    <t>Brandon Powell</t>
  </si>
  <si>
    <t>DEN@MIA</t>
  </si>
  <si>
    <t>LAC@MIN</t>
  </si>
  <si>
    <t>PIT@LV</t>
  </si>
  <si>
    <t>CAR@SEA</t>
  </si>
  <si>
    <t>IND@BAL</t>
  </si>
  <si>
    <t>LA@CIN</t>
  </si>
  <si>
    <t>CHI@KC</t>
  </si>
  <si>
    <t>HOU@JAX</t>
  </si>
  <si>
    <t>NYG@SF</t>
  </si>
  <si>
    <t>TEN@CLE</t>
  </si>
  <si>
    <t>NO@GB</t>
  </si>
  <si>
    <t>Andy Dalton</t>
  </si>
  <si>
    <t>ATL@DET</t>
  </si>
  <si>
    <t>PHI@TB</t>
  </si>
  <si>
    <t>BUF@WAS</t>
  </si>
  <si>
    <t>DAL@ARI</t>
  </si>
  <si>
    <t>Pharaoh Brown</t>
  </si>
  <si>
    <t>NE@NYJ</t>
  </si>
  <si>
    <t>Robbie Chosen</t>
  </si>
  <si>
    <t>Olamide Zaccheaus</t>
  </si>
  <si>
    <t>Ronnie Bell</t>
  </si>
  <si>
    <t>Jimmy Graham</t>
  </si>
  <si>
    <t>Melvin Gordon</t>
  </si>
  <si>
    <t>Christopher Brooks</t>
  </si>
  <si>
    <t>Mike White</t>
  </si>
  <si>
    <t>Nick Bawden</t>
  </si>
  <si>
    <t>Wan'Dale Robinson</t>
  </si>
  <si>
    <t>Kareem Hunt</t>
  </si>
  <si>
    <t>Tanner Hudson</t>
  </si>
  <si>
    <t>Kendre Miller</t>
  </si>
  <si>
    <t>Jameis Winston</t>
  </si>
  <si>
    <t>Trent Sherfield</t>
  </si>
  <si>
    <t>Hunter Luepke</t>
  </si>
  <si>
    <t>Trey Sermon</t>
  </si>
  <si>
    <t>Tim Jones</t>
  </si>
  <si>
    <t>Kenyan Drake</t>
  </si>
  <si>
    <t>Mitchell Wilcox</t>
  </si>
  <si>
    <t>Brenton Strange</t>
  </si>
  <si>
    <t>Khadarel Hodge</t>
  </si>
  <si>
    <t>Tommy Tremble</t>
  </si>
  <si>
    <t>Randall Cobb</t>
  </si>
  <si>
    <t>Nate Adkins</t>
  </si>
  <si>
    <t>MyCole Pruitt</t>
  </si>
  <si>
    <t>C.J. Uzomah</t>
  </si>
  <si>
    <t>Ian Thomas</t>
  </si>
  <si>
    <t>Drew Sample</t>
  </si>
  <si>
    <t>Charlie Jones</t>
  </si>
  <si>
    <t>Jack Stoll</t>
  </si>
  <si>
    <t>Luke Farrell</t>
  </si>
  <si>
    <t>Zonovan Knight</t>
  </si>
  <si>
    <t>Jordan Mason</t>
  </si>
  <si>
    <t>C.J. Beathard</t>
  </si>
  <si>
    <t>Kyle Juszczyk</t>
  </si>
  <si>
    <t>Marquise Goodwin</t>
  </si>
  <si>
    <t>Jason Cabinda</t>
  </si>
  <si>
    <t>Blaine Gabbert</t>
  </si>
  <si>
    <t>ARI@SF</t>
  </si>
  <si>
    <t>WAS@PHI</t>
  </si>
  <si>
    <t>MIA@BUF</t>
  </si>
  <si>
    <t>PIT@HOU</t>
  </si>
  <si>
    <t>DET@GB</t>
  </si>
  <si>
    <t>LA@IND</t>
  </si>
  <si>
    <t>BAL@CLE</t>
  </si>
  <si>
    <t>DEN@CHI</t>
  </si>
  <si>
    <t>LV@LAC</t>
  </si>
  <si>
    <t>MIN@CAR</t>
  </si>
  <si>
    <t>KC@NYJ</t>
  </si>
  <si>
    <t>CIN@TEN</t>
  </si>
  <si>
    <t>TB@NO</t>
  </si>
  <si>
    <t>Alvin Kamara</t>
  </si>
  <si>
    <t>ATL@JAX</t>
  </si>
  <si>
    <t>NE@DAL</t>
  </si>
  <si>
    <t>SEA@NYG</t>
  </si>
  <si>
    <t>Josh Whyle</t>
  </si>
  <si>
    <t>Christian Watson</t>
  </si>
  <si>
    <t>Aidan O'Connell</t>
  </si>
  <si>
    <t>Jeremy Ruckert</t>
  </si>
  <si>
    <t>Ray Ray McCloud</t>
  </si>
  <si>
    <t>Robert Tonyan</t>
  </si>
  <si>
    <t>Drew Lock</t>
  </si>
  <si>
    <t>Equanimeous St. Brown</t>
  </si>
  <si>
    <t>Ke'Shawn Vaughn</t>
  </si>
  <si>
    <t>Trenton Irwin</t>
  </si>
  <si>
    <t>Xavier Gipson</t>
  </si>
  <si>
    <t>Cedrick Wilson</t>
  </si>
  <si>
    <t>Tucker Kraft</t>
  </si>
  <si>
    <t>Patrick Ricard</t>
  </si>
  <si>
    <t>Bailey Zappe</t>
  </si>
  <si>
    <t>Jakob Johnson</t>
  </si>
  <si>
    <t>Cody Thompson</t>
  </si>
  <si>
    <t>Chris Manhertz</t>
  </si>
  <si>
    <t>Darnell Washington</t>
  </si>
  <si>
    <t>Willie Snead</t>
  </si>
  <si>
    <t>Marcedes Lewis</t>
  </si>
  <si>
    <t>Cedric Tillman</t>
  </si>
  <si>
    <t>Dorian Thompson-Robinson</t>
  </si>
  <si>
    <t>Tyler Huntley</t>
  </si>
  <si>
    <t>Mitchell Trubisky</t>
  </si>
  <si>
    <t>Adam Prentice</t>
  </si>
  <si>
    <t>CIN@ARI</t>
  </si>
  <si>
    <t>CHI@WAS</t>
  </si>
  <si>
    <t>JAX@BUF</t>
  </si>
  <si>
    <t>TEN@IND</t>
  </si>
  <si>
    <t>NYG@MIA</t>
  </si>
  <si>
    <t>NYJ@DEN</t>
  </si>
  <si>
    <t>CAR@DET</t>
  </si>
  <si>
    <t>DAL@SF</t>
  </si>
  <si>
    <t>PHI@LA</t>
  </si>
  <si>
    <t>BAL@PIT</t>
  </si>
  <si>
    <t>HOU@ATL</t>
  </si>
  <si>
    <t>KC@MIN</t>
  </si>
  <si>
    <t>GB@LV</t>
  </si>
  <si>
    <t>Cooper Kupp</t>
  </si>
  <si>
    <t>NO@NE</t>
  </si>
  <si>
    <t>Jonathan Taylor</t>
  </si>
  <si>
    <t>Geoff Swaim</t>
  </si>
  <si>
    <t>Jamison Crowder</t>
  </si>
  <si>
    <t>Keith Smith</t>
  </si>
  <si>
    <t>Eric Gray</t>
  </si>
  <si>
    <t>Trevon Wesco</t>
  </si>
  <si>
    <t>Scott Miller</t>
  </si>
  <si>
    <t>Khari Blasingame</t>
  </si>
  <si>
    <t>Jameson Williams</t>
  </si>
  <si>
    <t>Ben Sims</t>
  </si>
  <si>
    <t>Tyrion Davis-Price</t>
  </si>
  <si>
    <t>John Mundt</t>
  </si>
  <si>
    <t>Andrei Iosivas</t>
  </si>
  <si>
    <t>Cordarrelle Patterson</t>
  </si>
  <si>
    <t>Kwamie Lassiter</t>
  </si>
  <si>
    <t>Keith Kirkwood</t>
  </si>
  <si>
    <t>Teddy Bridgewater</t>
  </si>
  <si>
    <t>CAR@MIA</t>
  </si>
  <si>
    <t>DET@TB</t>
  </si>
  <si>
    <t>ARI@LA</t>
  </si>
  <si>
    <t>DAL@LAC</t>
  </si>
  <si>
    <t>IND@JAX</t>
  </si>
  <si>
    <t>WAS@ATL</t>
  </si>
  <si>
    <t>DEN@KC</t>
  </si>
  <si>
    <t>PHI@NYJ</t>
  </si>
  <si>
    <t>NYG@BUF</t>
  </si>
  <si>
    <t>BAL@TEN</t>
  </si>
  <si>
    <t>NE@LV</t>
  </si>
  <si>
    <t>NO@HOU</t>
  </si>
  <si>
    <t>SEA@CIN</t>
  </si>
  <si>
    <t>SF@CLE</t>
  </si>
  <si>
    <t>MIN@CHI</t>
  </si>
  <si>
    <t>Quintin Morris</t>
  </si>
  <si>
    <t>Tyson Bagent</t>
  </si>
  <si>
    <t>Damien Williams</t>
  </si>
  <si>
    <t>Malik Willis</t>
  </si>
  <si>
    <t>Darrynton Evans</t>
  </si>
  <si>
    <t>Brian Hoyer</t>
  </si>
  <si>
    <t>Phillip Walker</t>
  </si>
  <si>
    <t>Raheem Blackshear</t>
  </si>
  <si>
    <t>Devine Ozigbo</t>
  </si>
  <si>
    <t>Payne Durham</t>
  </si>
  <si>
    <t>Tyquan Thornton</t>
  </si>
  <si>
    <t>Zach Evans</t>
  </si>
  <si>
    <t>Kyle Philips</t>
  </si>
  <si>
    <t>Austin Trammell</t>
  </si>
  <si>
    <t>LAC@KC</t>
  </si>
  <si>
    <t>DET@BAL</t>
  </si>
  <si>
    <t>LV@CHI</t>
  </si>
  <si>
    <t>SF@MIN</t>
  </si>
  <si>
    <t>MIA@PHI</t>
  </si>
  <si>
    <t>JAX@NO</t>
  </si>
  <si>
    <t>CLE@IND</t>
  </si>
  <si>
    <t>BUF@NE</t>
  </si>
  <si>
    <t>PIT@LA</t>
  </si>
  <si>
    <t>WAS@NYG</t>
  </si>
  <si>
    <t>ATL@TB</t>
  </si>
  <si>
    <t>GB@DEN</t>
  </si>
  <si>
    <t>ARI@SEA</t>
  </si>
  <si>
    <t>Darrell Henderson</t>
  </si>
  <si>
    <t>Royce Freeman</t>
  </si>
  <si>
    <t>Ross Dwelley</t>
  </si>
  <si>
    <t>Jalen Reagor</t>
  </si>
  <si>
    <t>Keaton Mitchell</t>
  </si>
  <si>
    <t>Trishton Jackson</t>
  </si>
  <si>
    <t>Jeffery Wilson</t>
  </si>
  <si>
    <t>Jesper Horsted</t>
  </si>
  <si>
    <t>Julio Jones</t>
  </si>
  <si>
    <t>Elijah Higgins</t>
  </si>
  <si>
    <t>Clayton Tune</t>
  </si>
  <si>
    <t>Nathan Peterman</t>
  </si>
  <si>
    <t>LA@DAL</t>
  </si>
  <si>
    <t>ATL@TEN</t>
  </si>
  <si>
    <t>PHI@WAS</t>
  </si>
  <si>
    <t>LV@DET</t>
  </si>
  <si>
    <t>CIN@SF</t>
  </si>
  <si>
    <t>BAL@ARI</t>
  </si>
  <si>
    <t>TB@BUF</t>
  </si>
  <si>
    <t>NO@IND</t>
  </si>
  <si>
    <t>Will Levis</t>
  </si>
  <si>
    <t>JAX@PIT</t>
  </si>
  <si>
    <t>NE@MIA</t>
  </si>
  <si>
    <t>CHI@LAC</t>
  </si>
  <si>
    <t>CLE@SEA</t>
  </si>
  <si>
    <t>MIN@GB</t>
  </si>
  <si>
    <t>NYJ@NYG</t>
  </si>
  <si>
    <t>KC@DEN</t>
  </si>
  <si>
    <t>HOU@CAR</t>
  </si>
  <si>
    <t>Taylor Heinicke</t>
  </si>
  <si>
    <t>Simi Fehoko</t>
  </si>
  <si>
    <t>Tommy DeVito</t>
  </si>
  <si>
    <t>Stephen Sullivan</t>
  </si>
  <si>
    <t>Brett Rypien</t>
  </si>
  <si>
    <t>Julian Hill</t>
  </si>
  <si>
    <t>Alex Armah</t>
  </si>
  <si>
    <t>Trent Taylor</t>
  </si>
  <si>
    <t>D'Wayne Eskridge</t>
  </si>
  <si>
    <t>Jaren Hall</t>
  </si>
  <si>
    <t>TB@HOU</t>
  </si>
  <si>
    <t>DAL@PHI</t>
  </si>
  <si>
    <t>MIN@ATL</t>
  </si>
  <si>
    <t>ARI@CLE</t>
  </si>
  <si>
    <t>BUF@CIN</t>
  </si>
  <si>
    <t>CHI@NO</t>
  </si>
  <si>
    <t>WAS@NE</t>
  </si>
  <si>
    <t>TEN@PIT</t>
  </si>
  <si>
    <t>NYG@LV</t>
  </si>
  <si>
    <t>LAC@NYJ</t>
  </si>
  <si>
    <t>SEA@BAL</t>
  </si>
  <si>
    <t>LA@GB</t>
  </si>
  <si>
    <t>IND@CAR</t>
  </si>
  <si>
    <t>MIA@KC</t>
  </si>
  <si>
    <t>Demarcus Robinson</t>
  </si>
  <si>
    <t>Malik Taylor</t>
  </si>
  <si>
    <t>Greg Dortch</t>
  </si>
  <si>
    <t>Lamical Perine</t>
  </si>
  <si>
    <t>DET@LAC</t>
  </si>
  <si>
    <t>NYG@DAL</t>
  </si>
  <si>
    <t>NO@MIN</t>
  </si>
  <si>
    <t>WAS@SEA</t>
  </si>
  <si>
    <t>TEN@TB</t>
  </si>
  <si>
    <t>HOU@CIN</t>
  </si>
  <si>
    <t>SF@JAX</t>
  </si>
  <si>
    <t>ATL@ARI</t>
  </si>
  <si>
    <t>DEN@BUF</t>
  </si>
  <si>
    <t>GB@PIT</t>
  </si>
  <si>
    <t>NYJ@LV</t>
  </si>
  <si>
    <t>Kyler Murray</t>
  </si>
  <si>
    <t>CAR@CHI</t>
  </si>
  <si>
    <t>IND@NE</t>
  </si>
  <si>
    <t>CLE@BAL</t>
  </si>
  <si>
    <t>Jalen Guyton</t>
  </si>
  <si>
    <t>A.T. Perry</t>
  </si>
  <si>
    <t>Jalen Brooks</t>
  </si>
  <si>
    <t>Mike Strachan</t>
  </si>
  <si>
    <t>Jashaun Corbin</t>
  </si>
  <si>
    <t>Jalen Nailor</t>
  </si>
  <si>
    <t>Lynn Bowden</t>
  </si>
  <si>
    <t>Kayshon Boutte</t>
  </si>
  <si>
    <t>Kene Nwangwu</t>
  </si>
  <si>
    <t>Ty Johnson</t>
  </si>
  <si>
    <t>Kyle Trask</t>
  </si>
  <si>
    <t>James Proche</t>
  </si>
  <si>
    <t>Pts</t>
  </si>
  <si>
    <t>TEN@JAX</t>
  </si>
  <si>
    <t>TB@SF</t>
  </si>
  <si>
    <t>LAC@GB</t>
  </si>
  <si>
    <t>NYJ@BUF</t>
  </si>
  <si>
    <t>NYG@WAS</t>
  </si>
  <si>
    <t>CIN@BAL</t>
  </si>
  <si>
    <t>ARI@HOU</t>
  </si>
  <si>
    <t>CHI@DET</t>
  </si>
  <si>
    <t>LV@MIA</t>
  </si>
  <si>
    <t>PHI@KC</t>
  </si>
  <si>
    <t>MIN@DEN</t>
  </si>
  <si>
    <t>DAL@CAR</t>
  </si>
  <si>
    <t>SEA@LA</t>
  </si>
  <si>
    <t>PIT@CLE</t>
  </si>
  <si>
    <t>Davis Mills</t>
  </si>
  <si>
    <t>Tim Boyle</t>
  </si>
  <si>
    <t>Derrick Gore</t>
  </si>
  <si>
    <t>Israel Abanikanda</t>
  </si>
  <si>
    <t>Steven Sims</t>
  </si>
  <si>
    <t>Alex Erickson</t>
  </si>
  <si>
    <t>Malik Heath</t>
  </si>
  <si>
    <t>Charlie Kolar</t>
  </si>
  <si>
    <t>BUF@PHI</t>
  </si>
  <si>
    <t>WAS@DAL</t>
  </si>
  <si>
    <t>JAX@HOU</t>
  </si>
  <si>
    <t>GB@DET</t>
  </si>
  <si>
    <t>LA@ARI</t>
  </si>
  <si>
    <t>KC@LV</t>
  </si>
  <si>
    <t>CLE@DEN</t>
  </si>
  <si>
    <t>TB@IND</t>
  </si>
  <si>
    <t>BAL@LAC</t>
  </si>
  <si>
    <t>PIT@CIN</t>
  </si>
  <si>
    <t>NE@NYG</t>
  </si>
  <si>
    <t>SF@SEA</t>
  </si>
  <si>
    <t>CHI@MIN</t>
  </si>
  <si>
    <t>NO@ATL</t>
  </si>
  <si>
    <t>MIA@NYJ</t>
  </si>
  <si>
    <t>CAR@TEN</t>
  </si>
  <si>
    <t>Jason Brownlee</t>
  </si>
  <si>
    <t>Ihmir Smith-Marsette</t>
  </si>
  <si>
    <t>Davis Allen</t>
  </si>
  <si>
    <t>Charlie Woerner</t>
  </si>
  <si>
    <t>SEA@DAL</t>
  </si>
  <si>
    <t>SF@PHI</t>
  </si>
  <si>
    <t>DEN@HOU</t>
  </si>
  <si>
    <t>MIA@WAS</t>
  </si>
  <si>
    <t>CIN@JAX</t>
  </si>
  <si>
    <t>CAR@TB</t>
  </si>
  <si>
    <t>DET@NO</t>
  </si>
  <si>
    <t>KC@GB</t>
  </si>
  <si>
    <t>IND@TEN</t>
  </si>
  <si>
    <t>CLE@LA</t>
  </si>
  <si>
    <t>ARI@PIT</t>
  </si>
  <si>
    <t>Parker Washington</t>
  </si>
  <si>
    <t>Joe Flacco</t>
  </si>
  <si>
    <t>LAC@NE</t>
  </si>
  <si>
    <t>ATL@NYJ</t>
  </si>
  <si>
    <t>Tyler Goodson</t>
  </si>
  <si>
    <t>Eric Saubert</t>
  </si>
  <si>
    <t>Trevor Siemian</t>
  </si>
  <si>
    <t>Marcus Mariota</t>
  </si>
  <si>
    <t>James Robinson</t>
  </si>
  <si>
    <t>SEA@SF</t>
  </si>
  <si>
    <t>JAX@CLE</t>
  </si>
  <si>
    <t>LA@BAL</t>
  </si>
  <si>
    <t>TB@ATL</t>
  </si>
  <si>
    <t>NE@PIT</t>
  </si>
  <si>
    <t>DET@CHI</t>
  </si>
  <si>
    <t>HOU@NYJ</t>
  </si>
  <si>
    <t>TEN@MIA</t>
  </si>
  <si>
    <t>BUF@KC</t>
  </si>
  <si>
    <t>IND@CIN</t>
  </si>
  <si>
    <t>GB@NYG</t>
  </si>
  <si>
    <t>DEN@LAC</t>
  </si>
  <si>
    <t>PHI@DAL</t>
  </si>
  <si>
    <t>CAR@NO</t>
  </si>
  <si>
    <t>MIN@LV</t>
  </si>
  <si>
    <t>Easton Stick</t>
  </si>
  <si>
    <t>Lucas Krull</t>
  </si>
  <si>
    <t>Nick Mullens</t>
  </si>
  <si>
    <t>David Moore</t>
  </si>
  <si>
    <t>A.J. McCarron</t>
  </si>
  <si>
    <t>DEN@DET</t>
  </si>
  <si>
    <t>TB@GB</t>
  </si>
  <si>
    <t>LAC@LV</t>
  </si>
  <si>
    <t>SF@ARI</t>
  </si>
  <si>
    <t>NYG@NO</t>
  </si>
  <si>
    <t>PIT@IND</t>
  </si>
  <si>
    <t>MIN@CIN</t>
  </si>
  <si>
    <t>WAS@LA</t>
  </si>
  <si>
    <t>PHI@SEA</t>
  </si>
  <si>
    <t>CHI@CLE</t>
  </si>
  <si>
    <t>KC@NE</t>
  </si>
  <si>
    <t>BAL@JAX</t>
  </si>
  <si>
    <t>DAL@BUF</t>
  </si>
  <si>
    <t>Jacoby Brissett</t>
  </si>
  <si>
    <t>NYJ@MIA</t>
  </si>
  <si>
    <t>Case Keenum</t>
  </si>
  <si>
    <t>HOU@TEN</t>
  </si>
  <si>
    <t>ATL@CAR</t>
  </si>
  <si>
    <t>Mason Rudolph</t>
  </si>
  <si>
    <t>Brandon Bolden</t>
  </si>
  <si>
    <t>Kevin Harris</t>
  </si>
  <si>
    <t>Jonathan Williams</t>
  </si>
  <si>
    <t>D.J. Montgomery</t>
  </si>
  <si>
    <t>Bo Melton</t>
  </si>
  <si>
    <t>Ko Kieft</t>
  </si>
  <si>
    <t>Tucker Fisk</t>
  </si>
  <si>
    <t>NO@LA</t>
  </si>
  <si>
    <t>CLE@HOU</t>
  </si>
  <si>
    <t>GB@CAR</t>
  </si>
  <si>
    <t>NE@DEN</t>
  </si>
  <si>
    <t>BUF@LAC</t>
  </si>
  <si>
    <t>BAL@SF</t>
  </si>
  <si>
    <t>ARI@CHI</t>
  </si>
  <si>
    <t>NYG@PHI</t>
  </si>
  <si>
    <t>JAX@TB</t>
  </si>
  <si>
    <t>DAL@MIA</t>
  </si>
  <si>
    <t>CIN@PIT</t>
  </si>
  <si>
    <t>SEA@TEN</t>
  </si>
  <si>
    <t>DET@MIN</t>
  </si>
  <si>
    <t>LV@KC</t>
  </si>
  <si>
    <t>IND@ATL</t>
  </si>
  <si>
    <t>WAS@NYJ</t>
  </si>
  <si>
    <t>Leonard Fournette</t>
  </si>
  <si>
    <t>Elijah Cooks</t>
  </si>
  <si>
    <t>Britain Covey</t>
  </si>
  <si>
    <t>Colton Dowell</t>
  </si>
  <si>
    <t>Mason Kinsey</t>
  </si>
  <si>
    <t>Grant Calcaterra</t>
  </si>
  <si>
    <t>Cole Fotheringham</t>
  </si>
  <si>
    <t>MIA@BAL</t>
  </si>
  <si>
    <t>GB@MIN</t>
  </si>
  <si>
    <t>ARI@PHI</t>
  </si>
  <si>
    <t>NYJ@CLE</t>
  </si>
  <si>
    <t>ATL@CHI</t>
  </si>
  <si>
    <t>LV@IND</t>
  </si>
  <si>
    <t>DET@DAL</t>
  </si>
  <si>
    <t>CIN@KC</t>
  </si>
  <si>
    <t>SF@WAS</t>
  </si>
  <si>
    <t>NE@BUF</t>
  </si>
  <si>
    <t>NO@TB</t>
  </si>
  <si>
    <t>LA@NYG</t>
  </si>
  <si>
    <t>PIT@SEA</t>
  </si>
  <si>
    <t>Jarrett Stidham</t>
  </si>
  <si>
    <t>LAC@DEN</t>
  </si>
  <si>
    <t>TEN@HOU</t>
  </si>
  <si>
    <t>CAR@JAX</t>
  </si>
  <si>
    <t>Matt Barkley</t>
  </si>
  <si>
    <t>Jonathan Ward</t>
  </si>
  <si>
    <t>Keelan Doss</t>
  </si>
  <si>
    <t>Collin Johnson</t>
  </si>
  <si>
    <t>Kenny Yeboah</t>
  </si>
  <si>
    <t>James Mitchell</t>
  </si>
  <si>
    <t>Kevin Rader</t>
  </si>
  <si>
    <t>ATL@NO</t>
  </si>
  <si>
    <t>DAL@WAS</t>
  </si>
  <si>
    <t>Carson Wentz</t>
  </si>
  <si>
    <t>LA@SF</t>
  </si>
  <si>
    <t>BUF@MIA</t>
  </si>
  <si>
    <t>MIN@DET</t>
  </si>
  <si>
    <t>HOU@IND</t>
  </si>
  <si>
    <t>CLE@CIN</t>
  </si>
  <si>
    <t>CHI@GB</t>
  </si>
  <si>
    <t>SEA@ARI</t>
  </si>
  <si>
    <t>DEN@LV</t>
  </si>
  <si>
    <t>JAX@TEN</t>
  </si>
  <si>
    <t>PHI@NYG</t>
  </si>
  <si>
    <t>Jeff Driskel</t>
  </si>
  <si>
    <t>KC@LAC</t>
  </si>
  <si>
    <t>PIT@BAL</t>
  </si>
  <si>
    <t>TB@CAR</t>
  </si>
  <si>
    <t>NYJ@NE</t>
  </si>
  <si>
    <t>Logan Woodside</t>
  </si>
  <si>
    <t>Chris Conley</t>
  </si>
  <si>
    <t>Tyler Johnson</t>
  </si>
  <si>
    <t>Laquon Treadwell</t>
  </si>
  <si>
    <t>Tylan Wallace</t>
  </si>
  <si>
    <t>Nick Muse</t>
  </si>
  <si>
    <t>John FitzPatrick</t>
  </si>
  <si>
    <t>Nick Vannett</t>
  </si>
  <si>
    <t>Start</t>
  </si>
  <si>
    <t>Name</t>
  </si>
  <si>
    <t>Pos</t>
  </si>
  <si>
    <t># Performances</t>
  </si>
  <si>
    <t>Total</t>
  </si>
  <si>
    <t>Interested</t>
  </si>
  <si>
    <t>Drafted</t>
  </si>
  <si>
    <t>U</t>
  </si>
  <si>
    <t>Brandon Aubrey</t>
  </si>
  <si>
    <t>K</t>
  </si>
  <si>
    <t>Cowboys</t>
  </si>
  <si>
    <t>D/ST</t>
  </si>
  <si>
    <t>Ravens</t>
  </si>
  <si>
    <t>Browns</t>
  </si>
  <si>
    <t>Jets</t>
  </si>
  <si>
    <t>Bills</t>
  </si>
  <si>
    <t>Justin Tucker</t>
  </si>
  <si>
    <t>Jake Elliot</t>
  </si>
  <si>
    <t>Cairo Santos</t>
  </si>
  <si>
    <t>Harrison Butker</t>
  </si>
  <si>
    <t>Jason Myers</t>
  </si>
  <si>
    <t>Matt Gay</t>
  </si>
  <si>
    <t>Cameron Dicker</t>
  </si>
  <si>
    <t>Dustin Hopkins</t>
  </si>
  <si>
    <t>Blake Brupe</t>
  </si>
  <si>
    <t>Jason Sangers</t>
  </si>
  <si>
    <t>Chiefs</t>
  </si>
  <si>
    <t>Greg Zuerlain</t>
  </si>
  <si>
    <t>Brandon McManus</t>
  </si>
  <si>
    <t>Dolphins</t>
  </si>
  <si>
    <t>49ers</t>
  </si>
  <si>
    <t>Evan McPherson</t>
  </si>
  <si>
    <t>Raiders</t>
  </si>
  <si>
    <t>Chase McLaughlin</t>
  </si>
  <si>
    <t>Younghoe Koo</t>
  </si>
  <si>
    <t>Chris Boswell</t>
  </si>
  <si>
    <t>Saints</t>
  </si>
  <si>
    <t>Nick Folk</t>
  </si>
  <si>
    <t>Tyler Bass</t>
  </si>
  <si>
    <t>Jake Moody</t>
  </si>
  <si>
    <t>Steelers</t>
  </si>
  <si>
    <t>Colts</t>
  </si>
  <si>
    <t>Texans</t>
  </si>
  <si>
    <t>Giants</t>
  </si>
  <si>
    <t>Vikings</t>
  </si>
  <si>
    <t>Bears</t>
  </si>
  <si>
    <t>Patriots</t>
  </si>
  <si>
    <t>Buccaneers</t>
  </si>
  <si>
    <t>Jaguars</t>
  </si>
  <si>
    <t>Packers</t>
  </si>
  <si>
    <t>Broncos</t>
  </si>
  <si>
    <t>Lions</t>
  </si>
  <si>
    <t>Falcons</t>
  </si>
  <si>
    <t>Bengals</t>
  </si>
  <si>
    <t>Titans</t>
  </si>
  <si>
    <t>Chargers</t>
  </si>
  <si>
    <t>Panthers</t>
  </si>
  <si>
    <t>Eagles</t>
  </si>
  <si>
    <t>Seahawks</t>
  </si>
  <si>
    <t>Rams</t>
  </si>
  <si>
    <t>Cardinals</t>
  </si>
  <si>
    <t>Commanders</t>
  </si>
  <si>
    <t>Round</t>
  </si>
  <si>
    <t>Slot</t>
  </si>
  <si>
    <t>Originally Drafted At</t>
  </si>
  <si>
    <t>Players</t>
  </si>
  <si>
    <t>Week</t>
  </si>
  <si>
    <t>Current Set</t>
  </si>
  <si>
    <t>Original Set</t>
  </si>
  <si>
    <t>Set #2</t>
  </si>
  <si>
    <t>Steelers D/ST</t>
  </si>
  <si>
    <t>Original:</t>
  </si>
  <si>
    <t>Tagovailoa</t>
  </si>
  <si>
    <t>Etienne</t>
  </si>
  <si>
    <t>Diggs</t>
  </si>
  <si>
    <t>Andrews</t>
  </si>
  <si>
    <t>Goff</t>
  </si>
  <si>
    <t>Kamara</t>
  </si>
  <si>
    <t>Keenan</t>
  </si>
  <si>
    <t>LaPorta</t>
  </si>
  <si>
    <t>Mostert</t>
  </si>
  <si>
    <t>Thielen</t>
  </si>
  <si>
    <t>Nacua</t>
  </si>
  <si>
    <t>Total:</t>
  </si>
  <si>
    <t>Avg:</t>
  </si>
  <si>
    <t>StdDev:</t>
  </si>
  <si>
    <t>QB Avg</t>
  </si>
  <si>
    <t>Josh Allen:</t>
  </si>
  <si>
    <t>WR Avg</t>
  </si>
  <si>
    <t>RB Avg</t>
  </si>
  <si>
    <t>TE Avg</t>
  </si>
  <si>
    <t>https://www.footballdb.com/fantasy-football/</t>
  </si>
  <si>
    <t>Points</t>
  </si>
  <si>
    <t>RB1</t>
  </si>
  <si>
    <t>RB2</t>
  </si>
  <si>
    <t>WR1</t>
  </si>
  <si>
    <t>WR2</t>
  </si>
  <si>
    <t>Flex (RB)</t>
  </si>
  <si>
    <t>Flex (WR)</t>
  </si>
  <si>
    <t>Flex (TE)</t>
  </si>
  <si>
    <t>Folk</t>
  </si>
  <si>
    <t>Gay</t>
  </si>
  <si>
    <t>B1 (QB)</t>
  </si>
  <si>
    <t>B2 (RB)</t>
  </si>
  <si>
    <t>B3 (RB)</t>
  </si>
  <si>
    <t>B4 (WR)</t>
  </si>
  <si>
    <t>B5 (WR)</t>
  </si>
  <si>
    <t>B6 (TE)</t>
  </si>
  <si>
    <t>B7 (D/ST)</t>
  </si>
  <si>
    <t>B8 (K)</t>
  </si>
  <si>
    <t>IR</t>
  </si>
  <si>
    <t>Williams (Kyren)</t>
  </si>
  <si>
    <t>FLEX</t>
  </si>
  <si>
    <t>B Total</t>
  </si>
  <si>
    <t>QB1</t>
  </si>
  <si>
    <t>QB2</t>
  </si>
  <si>
    <t>RB3</t>
  </si>
  <si>
    <t>RB4</t>
  </si>
  <si>
    <t>WR3</t>
  </si>
  <si>
    <t>WR4</t>
  </si>
  <si>
    <t>TE1</t>
  </si>
  <si>
    <t>TE2</t>
  </si>
  <si>
    <t>D/ST 1</t>
  </si>
  <si>
    <t>D/ST 2</t>
  </si>
  <si>
    <t>K1</t>
  </si>
  <si>
    <t>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</si>
</sst>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sz val="10"/>
      <name val="Arial"/>
    </font>
    <font>
      <sz val="10"/>
      <color theme="1"/>
      <name val="Arial"/>
      <scheme val="minor"/>
    </font>
    <font>
      <b/>
      <sz val="10"/>
      <color theme="1"/>
      <name val="Arial"/>
      <scheme val="minor"/>
    </font>
    <font>
      <sz val="10"/>
      <color theme="1"/>
      <name val="Arial"/>
    </font>
    <font>
      <sz val="9"/>
      <color rgb="FF7E3794"/>
      <name val="Arial"/>
      <scheme val="minor"/>
    </font>
    <font>
      <sz val="10"/>
      <color rgb="FFFFFFFF"/>
      <name val="Arial"/>
      <scheme val="minor"/>
    </font>
    <font>
      <sz val="10"/>
      <color rgb="FF000000"/>
      <name val="Arial"/>
      <scheme val="minor"/>
    </font>
    <font>
      <sz val="9"/>
      <color rgb="FF000000"/>
      <name val="Arial"/>
      <scheme val="minor"/>
    </font>
    <font>
      <b/>
      <sz val="10"/>
      <color theme="1"/>
      <name val="Arial"/>
    </font>
  </fonts>
  <fills count="3">
    <fill>
      <patternFill patternType="none"/>
    </fill>
    <fill>
      <patternFill patternType="gray125"/>
    </fill>
    <fill>
      <patternFill patternType="solid">
        <fgColor rgb="FF000000"/>
        <bgColor rgb="FF000000"/>
      </patternFill>
    </fill>
  </fills>
  <borders count="13">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double">
        <color rgb="FF000000"/>
      </right>
      <top/>
      <bottom/>
      <diagonal/>
    </border>
    <border>
      <left style="double">
        <color rgb="FF000000"/>
      </left>
      <right/>
      <top/>
      <bottom/>
      <diagonal/>
    </border>
  </borders>
  <cellStyleXfs count="1">
    <xf numFmtId="0" fontId="0" fillId="0" borderId="0"/>
  </cellStyleXfs>
  <cellXfs count="69">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xf numFmtId="0" fontId="1" fillId="0" borderId="1" xfId="0" applyFont="1" applyBorder="1"/>
    <xf numFmtId="0" fontId="4" fillId="0" borderId="3" xfId="0" applyFont="1" applyBorder="1"/>
    <xf numFmtId="0" fontId="2" fillId="0" borderId="1" xfId="0" applyFont="1" applyBorder="1"/>
    <xf numFmtId="0" fontId="2" fillId="0" borderId="2" xfId="0" applyFont="1" applyBorder="1"/>
    <xf numFmtId="0" fontId="2" fillId="0" borderId="3" xfId="0" applyFont="1" applyBorder="1"/>
    <xf numFmtId="0" fontId="1" fillId="0" borderId="3" xfId="0" applyFont="1" applyBorder="1" applyAlignment="1">
      <alignment horizontal="center"/>
    </xf>
    <xf numFmtId="0" fontId="1" fillId="0" borderId="4" xfId="0" applyFont="1" applyBorder="1" applyAlignment="1">
      <alignment horizontal="center"/>
    </xf>
    <xf numFmtId="0" fontId="2"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3" xfId="0" applyFont="1" applyBorder="1"/>
    <xf numFmtId="0" fontId="1" fillId="0" borderId="0" xfId="0" applyFont="1"/>
    <xf numFmtId="0" fontId="5" fillId="0" borderId="3" xfId="0" applyFont="1" applyBorder="1" applyAlignment="1">
      <alignment horizontal="center"/>
    </xf>
    <xf numFmtId="0" fontId="5" fillId="0" borderId="5" xfId="0" applyFont="1" applyBorder="1" applyAlignment="1">
      <alignment horizontal="center"/>
    </xf>
    <xf numFmtId="0" fontId="2" fillId="0" borderId="2"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0" fontId="1" fillId="0" borderId="2" xfId="0" applyFont="1" applyBorder="1"/>
    <xf numFmtId="0" fontId="2" fillId="0" borderId="3" xfId="0" applyFont="1" applyBorder="1" applyAlignment="1">
      <alignment horizontal="center"/>
    </xf>
    <xf numFmtId="0" fontId="2" fillId="0" borderId="5" xfId="0" applyFont="1" applyBorder="1" applyAlignment="1">
      <alignment horizontal="center"/>
    </xf>
    <xf numFmtId="0" fontId="6" fillId="0" borderId="0" xfId="0" applyFont="1"/>
    <xf numFmtId="0" fontId="6" fillId="0" borderId="2" xfId="0" applyFont="1" applyBorder="1"/>
    <xf numFmtId="0" fontId="6" fillId="0" borderId="4" xfId="0" applyFont="1" applyBorder="1" applyAlignment="1">
      <alignment horizontal="center"/>
    </xf>
    <xf numFmtId="0" fontId="6" fillId="0" borderId="7" xfId="0" applyFont="1" applyBorder="1" applyAlignment="1">
      <alignment horizontal="center"/>
    </xf>
    <xf numFmtId="0" fontId="4" fillId="0" borderId="0" xfId="0" applyFont="1"/>
    <xf numFmtId="0" fontId="7" fillId="0" borderId="0" xfId="0" applyFont="1"/>
    <xf numFmtId="0" fontId="8" fillId="2" borderId="0" xfId="0" applyFont="1" applyFill="1"/>
    <xf numFmtId="0" fontId="8" fillId="2" borderId="0" xfId="0" applyFont="1" applyFill="1" applyAlignment="1">
      <alignment horizontal="left"/>
    </xf>
    <xf numFmtId="0" fontId="8" fillId="2" borderId="1" xfId="0" applyFont="1" applyFill="1" applyBorder="1" applyAlignment="1">
      <alignment horizontal="left"/>
    </xf>
    <xf numFmtId="0" fontId="9" fillId="0" borderId="0" xfId="0" applyFont="1"/>
    <xf numFmtId="0" fontId="10" fillId="0" borderId="0" xfId="0" applyFont="1"/>
    <xf numFmtId="0" fontId="9" fillId="0" borderId="1" xfId="0" applyFont="1" applyBorder="1" applyAlignment="1">
      <alignment horizontal="right"/>
    </xf>
    <xf numFmtId="0" fontId="9" fillId="0" borderId="0" xfId="0" applyFont="1" applyAlignment="1">
      <alignment horizontal="right"/>
    </xf>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4" fontId="2" fillId="0" borderId="0" xfId="0" applyNumberFormat="1" applyFont="1" applyAlignment="1">
      <alignment horizontal="right"/>
    </xf>
    <xf numFmtId="4" fontId="2" fillId="0" borderId="0" xfId="0" applyNumberFormat="1" applyFont="1"/>
    <xf numFmtId="0" fontId="7" fillId="0" borderId="2" xfId="0" applyFont="1" applyBorder="1"/>
    <xf numFmtId="0" fontId="1" fillId="0" borderId="11" xfId="0" applyFont="1" applyBorder="1"/>
    <xf numFmtId="0" fontId="1" fillId="0" borderId="12" xfId="0" applyFont="1" applyBorder="1"/>
    <xf numFmtId="0" fontId="11" fillId="0" borderId="0" xfId="0" applyFont="1"/>
    <xf numFmtId="0" fontId="11" fillId="0" borderId="12" xfId="0" applyFont="1" applyBorder="1"/>
    <xf numFmtId="0" fontId="11" fillId="0" borderId="11" xfId="0" applyFont="1" applyBorder="1"/>
    <xf numFmtId="0" fontId="7" fillId="0" borderId="11" xfId="0" applyFont="1" applyBorder="1"/>
    <xf numFmtId="0" fontId="2" fillId="0" borderId="11" xfId="0" applyFont="1" applyBorder="1"/>
    <xf numFmtId="0" fontId="1" fillId="0" borderId="1" xfId="0" applyFont="1" applyBorder="1" applyAlignment="1">
      <alignment horizontal="center"/>
    </xf>
    <xf numFmtId="0" fontId="0" fillId="0" borderId="0" xfId="0"/>
    <xf numFmtId="0" fontId="3" fillId="0" borderId="2" xfId="0" applyFont="1" applyBorder="1"/>
    <xf numFmtId="0" fontId="1" fillId="0" borderId="0" xfId="0" applyFont="1" applyAlignment="1">
      <alignment horizontal="center"/>
    </xf>
    <xf numFmtId="0" fontId="2" fillId="0" borderId="1"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3" fillId="0" borderId="9" xfId="0" applyFont="1" applyBorder="1"/>
    <xf numFmtId="0" fontId="3" fillId="0" borderId="10" xfId="0" applyFont="1" applyBorder="1"/>
    <xf numFmtId="0" fontId="11" fillId="0" borderId="0" xfId="0" applyFont="1" applyAlignment="1">
      <alignment horizontal="center"/>
    </xf>
    <xf numFmtId="0" fontId="1" fillId="0" borderId="12" xfId="0" applyFont="1" applyBorder="1" applyAlignment="1">
      <alignment horizontal="center"/>
    </xf>
    <xf numFmtId="0" fontId="3" fillId="0" borderId="11" xfId="0" applyFont="1" applyBorder="1"/>
    <xf numFmtId="0" fontId="11" fillId="0" borderId="12" xfId="0" applyFont="1" applyBorder="1" applyAlignment="1">
      <alignment horizontal="center"/>
    </xf>
    <xf numFmtId="0" fontId="9" fillId="0" borderId="0" xfId="0" applyFont="1" applyBorder="1" applyAlignment="1">
      <alignment horizontal="right"/>
    </xf>
  </cellXfs>
  <cellStyles count="1">
    <cellStyle name="Normal" xfId="0" builtinId="0"/>
  </cellStyles>
  <dxfs count="12">
    <dxf>
      <fill>
        <patternFill patternType="solid">
          <fgColor rgb="FFB4A7D6"/>
          <bgColor rgb="FFB4A7D6"/>
        </patternFill>
      </fill>
    </dxf>
    <dxf>
      <fill>
        <patternFill patternType="solid">
          <fgColor rgb="FFC9DAF8"/>
          <bgColor rgb="FFC9DAF8"/>
        </patternFill>
      </fill>
    </dxf>
    <dxf>
      <font>
        <color rgb="FF000000"/>
      </font>
      <fill>
        <patternFill patternType="solid">
          <fgColor rgb="FFD0E0E3"/>
          <bgColor rgb="FFD0E0E3"/>
        </patternFill>
      </fill>
    </dxf>
    <dxf>
      <font>
        <color rgb="FF000000"/>
      </font>
      <fill>
        <patternFill patternType="solid">
          <fgColor rgb="FFB6D7A8"/>
          <bgColor rgb="FFB6D7A8"/>
        </patternFill>
      </fill>
    </dxf>
    <dxf>
      <font>
        <color rgb="FF000000"/>
      </font>
      <fill>
        <patternFill patternType="solid">
          <fgColor rgb="FFD9EAD3"/>
          <bgColor rgb="FFD9EAD3"/>
        </patternFill>
      </fill>
    </dxf>
    <dxf>
      <font>
        <color rgb="FF000000"/>
      </font>
      <fill>
        <patternFill patternType="solid">
          <fgColor rgb="FFFFF2CC"/>
          <bgColor rgb="FFFFF2CC"/>
        </patternFill>
      </fill>
    </dxf>
    <dxf>
      <font>
        <color rgb="FF000000"/>
      </font>
      <fill>
        <patternFill patternType="solid">
          <fgColor rgb="FFFFE599"/>
          <bgColor rgb="FFFFE599"/>
        </patternFill>
      </fill>
    </dxf>
    <dxf>
      <font>
        <color rgb="FF000000"/>
      </font>
      <fill>
        <patternFill patternType="solid">
          <fgColor rgb="FFF4CCCC"/>
          <bgColor rgb="FFF4CCCC"/>
        </patternFill>
      </fill>
    </dxf>
    <dxf>
      <font>
        <color rgb="FF000000"/>
      </font>
      <fill>
        <patternFill patternType="solid">
          <fgColor rgb="FFEA9999"/>
          <bgColor rgb="FFEA9999"/>
        </patternFill>
      </fill>
    </dxf>
    <dxf>
      <font>
        <color rgb="FFFFFFFF"/>
      </font>
      <fill>
        <patternFill patternType="solid">
          <fgColor rgb="FFCC0000"/>
          <bgColor rgb="FFCC0000"/>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90"/>
  <sheetViews>
    <sheetView workbookViewId="0">
      <selection activeCell="R16" sqref="R16"/>
    </sheetView>
  </sheetViews>
  <sheetFormatPr defaultColWidth="12.5703125" defaultRowHeight="15.75" customHeight="1" x14ac:dyDescent="0.2"/>
  <cols>
    <col min="1" max="1" width="19.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3"/>
      <c r="D1" s="3"/>
      <c r="E1" s="54" t="s">
        <v>0</v>
      </c>
      <c r="F1" s="55"/>
      <c r="G1" s="55"/>
      <c r="H1" s="55"/>
      <c r="I1" s="55"/>
      <c r="J1" s="56"/>
      <c r="K1" s="54" t="s">
        <v>1</v>
      </c>
      <c r="L1" s="55"/>
      <c r="M1" s="55"/>
      <c r="N1" s="56"/>
      <c r="O1" s="54" t="s">
        <v>2</v>
      </c>
      <c r="P1" s="55"/>
      <c r="Q1" s="55"/>
      <c r="R1" s="56"/>
      <c r="S1" s="54" t="s">
        <v>3</v>
      </c>
      <c r="T1" s="56"/>
    </row>
    <row r="2" spans="1:20" x14ac:dyDescent="0.2">
      <c r="A2" s="1" t="s">
        <v>4</v>
      </c>
      <c r="B2" s="2" t="s">
        <v>5</v>
      </c>
      <c r="C2" s="3" t="s">
        <v>6</v>
      </c>
      <c r="D2" s="3" t="s">
        <v>7</v>
      </c>
      <c r="E2" s="3" t="s">
        <v>8</v>
      </c>
      <c r="F2" s="1" t="s">
        <v>9</v>
      </c>
      <c r="G2" s="1" t="s">
        <v>10</v>
      </c>
      <c r="H2" s="1" t="s">
        <v>11</v>
      </c>
      <c r="I2" s="1" t="s">
        <v>12</v>
      </c>
      <c r="J2" s="4" t="s">
        <v>13</v>
      </c>
      <c r="K2" s="3" t="s">
        <v>8</v>
      </c>
      <c r="L2" s="1" t="s">
        <v>10</v>
      </c>
      <c r="M2" s="1" t="s">
        <v>11</v>
      </c>
      <c r="N2" s="4" t="s">
        <v>13</v>
      </c>
      <c r="O2" s="3" t="s">
        <v>14</v>
      </c>
      <c r="P2" s="1" t="s">
        <v>10</v>
      </c>
      <c r="Q2" s="1" t="s">
        <v>11</v>
      </c>
      <c r="R2" s="4" t="s">
        <v>13</v>
      </c>
      <c r="S2" s="3" t="s">
        <v>15</v>
      </c>
      <c r="T2" s="4" t="s">
        <v>11</v>
      </c>
    </row>
    <row r="3" spans="1:20" x14ac:dyDescent="0.2">
      <c r="A3" s="5" t="s">
        <v>16</v>
      </c>
      <c r="B3" s="5" t="s">
        <v>17</v>
      </c>
      <c r="C3" s="6" t="s">
        <v>18</v>
      </c>
      <c r="D3" s="7">
        <f t="shared" ref="D3:D257" si="0">0.04*G3+4*H3-2*I3+2*J3+0.1*L3+6*M3+2*N3+1*O3+0.1*P3+6*Q3+2*R3-2*S3</f>
        <v>27.14</v>
      </c>
      <c r="E3" s="8">
        <v>45</v>
      </c>
      <c r="F3" s="5">
        <v>28</v>
      </c>
      <c r="G3" s="5">
        <v>466</v>
      </c>
      <c r="H3" s="5">
        <v>3</v>
      </c>
      <c r="I3" s="5">
        <v>1</v>
      </c>
      <c r="J3" s="9">
        <v>0</v>
      </c>
      <c r="K3" s="8">
        <v>5</v>
      </c>
      <c r="L3" s="5">
        <v>5</v>
      </c>
      <c r="M3" s="5">
        <v>0</v>
      </c>
      <c r="N3" s="9">
        <v>0</v>
      </c>
      <c r="O3" s="8">
        <v>0</v>
      </c>
      <c r="P3" s="5">
        <v>0</v>
      </c>
      <c r="Q3" s="5">
        <v>0</v>
      </c>
      <c r="R3" s="9">
        <v>0</v>
      </c>
      <c r="S3" s="8">
        <v>1</v>
      </c>
      <c r="T3" s="9">
        <v>0</v>
      </c>
    </row>
    <row r="4" spans="1:20" x14ac:dyDescent="0.2">
      <c r="A4" s="5" t="s">
        <v>19</v>
      </c>
      <c r="B4" s="5" t="s">
        <v>17</v>
      </c>
      <c r="C4" s="8" t="s">
        <v>20</v>
      </c>
      <c r="D4" s="7">
        <f t="shared" si="0"/>
        <v>24.14</v>
      </c>
      <c r="E4" s="8">
        <v>54</v>
      </c>
      <c r="F4" s="5">
        <v>35</v>
      </c>
      <c r="G4" s="5">
        <v>316</v>
      </c>
      <c r="H4" s="5">
        <v>3</v>
      </c>
      <c r="I4" s="5">
        <v>1</v>
      </c>
      <c r="J4" s="9">
        <v>0</v>
      </c>
      <c r="K4" s="8">
        <v>2</v>
      </c>
      <c r="L4" s="5">
        <v>15</v>
      </c>
      <c r="M4" s="5">
        <v>0</v>
      </c>
      <c r="N4" s="9">
        <v>0</v>
      </c>
      <c r="O4" s="8">
        <v>0</v>
      </c>
      <c r="P4" s="5">
        <v>0</v>
      </c>
      <c r="Q4" s="5">
        <v>0</v>
      </c>
      <c r="R4" s="9">
        <v>0</v>
      </c>
      <c r="S4" s="8">
        <v>0</v>
      </c>
      <c r="T4" s="9">
        <v>0</v>
      </c>
    </row>
    <row r="5" spans="1:20" x14ac:dyDescent="0.2">
      <c r="A5" s="5" t="s">
        <v>21</v>
      </c>
      <c r="B5" s="5" t="s">
        <v>17</v>
      </c>
      <c r="C5" s="6" t="s">
        <v>22</v>
      </c>
      <c r="D5" s="7">
        <f t="shared" si="0"/>
        <v>23</v>
      </c>
      <c r="E5" s="8">
        <v>27</v>
      </c>
      <c r="F5" s="5">
        <v>15</v>
      </c>
      <c r="G5" s="5">
        <v>245</v>
      </c>
      <c r="H5" s="5">
        <v>3</v>
      </c>
      <c r="I5" s="5">
        <v>0</v>
      </c>
      <c r="J5" s="9">
        <v>0</v>
      </c>
      <c r="K5" s="8">
        <v>3</v>
      </c>
      <c r="L5" s="5">
        <v>12</v>
      </c>
      <c r="M5" s="5">
        <v>0</v>
      </c>
      <c r="N5" s="9">
        <v>0</v>
      </c>
      <c r="O5" s="8">
        <v>0</v>
      </c>
      <c r="P5" s="5">
        <v>0</v>
      </c>
      <c r="Q5" s="5">
        <v>0</v>
      </c>
      <c r="R5" s="9">
        <v>0</v>
      </c>
      <c r="S5" s="8">
        <v>0</v>
      </c>
      <c r="T5" s="9">
        <v>0</v>
      </c>
    </row>
    <row r="6" spans="1:20" x14ac:dyDescent="0.2">
      <c r="A6" s="5" t="s">
        <v>23</v>
      </c>
      <c r="B6" s="5" t="s">
        <v>17</v>
      </c>
      <c r="C6" s="8" t="s">
        <v>24</v>
      </c>
      <c r="D6" s="7">
        <f t="shared" si="0"/>
        <v>19.54</v>
      </c>
      <c r="E6" s="8">
        <v>39</v>
      </c>
      <c r="F6" s="5">
        <v>21</v>
      </c>
      <c r="G6" s="5">
        <v>226</v>
      </c>
      <c r="H6" s="5">
        <v>2</v>
      </c>
      <c r="I6" s="5">
        <v>1</v>
      </c>
      <c r="J6" s="9">
        <v>0</v>
      </c>
      <c r="K6" s="8">
        <v>6</v>
      </c>
      <c r="L6" s="5">
        <v>45</v>
      </c>
      <c r="M6" s="5">
        <v>0</v>
      </c>
      <c r="N6" s="9">
        <v>0</v>
      </c>
      <c r="O6" s="8">
        <v>0</v>
      </c>
      <c r="P6" s="5">
        <v>0</v>
      </c>
      <c r="Q6" s="5">
        <v>0</v>
      </c>
      <c r="R6" s="9">
        <v>0</v>
      </c>
      <c r="S6" s="8">
        <v>0</v>
      </c>
      <c r="T6" s="9">
        <v>0</v>
      </c>
    </row>
    <row r="7" spans="1:20" x14ac:dyDescent="0.2">
      <c r="A7" s="5" t="s">
        <v>25</v>
      </c>
      <c r="B7" s="5" t="s">
        <v>17</v>
      </c>
      <c r="C7" s="8" t="s">
        <v>18</v>
      </c>
      <c r="D7" s="7">
        <f t="shared" si="0"/>
        <v>20.86</v>
      </c>
      <c r="E7" s="8">
        <v>33</v>
      </c>
      <c r="F7" s="5">
        <v>23</v>
      </c>
      <c r="G7" s="5">
        <v>229</v>
      </c>
      <c r="H7" s="5">
        <v>1</v>
      </c>
      <c r="I7" s="5">
        <v>0</v>
      </c>
      <c r="J7" s="9">
        <v>0</v>
      </c>
      <c r="K7" s="8">
        <v>5</v>
      </c>
      <c r="L7" s="5">
        <v>17</v>
      </c>
      <c r="M7" s="5">
        <v>1</v>
      </c>
      <c r="N7" s="9">
        <v>0</v>
      </c>
      <c r="O7" s="8">
        <v>0</v>
      </c>
      <c r="P7" s="5">
        <v>0</v>
      </c>
      <c r="Q7" s="5">
        <v>0</v>
      </c>
      <c r="R7" s="9">
        <v>0</v>
      </c>
      <c r="S7" s="8">
        <v>0</v>
      </c>
      <c r="T7" s="9">
        <v>0</v>
      </c>
    </row>
    <row r="8" spans="1:20" x14ac:dyDescent="0.2">
      <c r="A8" s="5" t="s">
        <v>26</v>
      </c>
      <c r="B8" s="5" t="s">
        <v>17</v>
      </c>
      <c r="C8" s="8" t="s">
        <v>27</v>
      </c>
      <c r="D8" s="7">
        <f t="shared" si="0"/>
        <v>20.92</v>
      </c>
      <c r="E8" s="8">
        <v>37</v>
      </c>
      <c r="F8" s="5">
        <v>24</v>
      </c>
      <c r="G8" s="5">
        <v>223</v>
      </c>
      <c r="H8" s="5">
        <v>1</v>
      </c>
      <c r="I8" s="5">
        <v>1</v>
      </c>
      <c r="J8" s="9">
        <v>0</v>
      </c>
      <c r="K8" s="8">
        <v>10</v>
      </c>
      <c r="L8" s="5">
        <v>40</v>
      </c>
      <c r="M8" s="5">
        <v>1</v>
      </c>
      <c r="N8" s="9">
        <v>0</v>
      </c>
      <c r="O8" s="8">
        <v>0</v>
      </c>
      <c r="P8" s="5">
        <v>0</v>
      </c>
      <c r="Q8" s="5">
        <v>0</v>
      </c>
      <c r="R8" s="9">
        <v>0</v>
      </c>
      <c r="S8" s="8">
        <v>0</v>
      </c>
      <c r="T8" s="9">
        <v>0</v>
      </c>
    </row>
    <row r="9" spans="1:20" x14ac:dyDescent="0.2">
      <c r="A9" s="5" t="s">
        <v>28</v>
      </c>
      <c r="B9" s="5" t="s">
        <v>17</v>
      </c>
      <c r="C9" s="8" t="s">
        <v>29</v>
      </c>
      <c r="D9" s="7">
        <f t="shared" si="0"/>
        <v>20.66</v>
      </c>
      <c r="E9" s="8">
        <v>29</v>
      </c>
      <c r="F9" s="5">
        <v>16</v>
      </c>
      <c r="G9" s="5">
        <v>154</v>
      </c>
      <c r="H9" s="5">
        <v>1</v>
      </c>
      <c r="I9" s="5">
        <v>1</v>
      </c>
      <c r="J9" s="9">
        <v>0</v>
      </c>
      <c r="K9" s="8">
        <v>5</v>
      </c>
      <c r="L9" s="5">
        <v>45</v>
      </c>
      <c r="M9" s="5">
        <v>1</v>
      </c>
      <c r="N9" s="9">
        <v>1</v>
      </c>
      <c r="O9" s="8">
        <v>0</v>
      </c>
      <c r="P9" s="5">
        <v>0</v>
      </c>
      <c r="Q9" s="5">
        <v>0</v>
      </c>
      <c r="R9" s="9">
        <v>0</v>
      </c>
      <c r="S9" s="8">
        <v>0</v>
      </c>
      <c r="T9" s="9">
        <v>0</v>
      </c>
    </row>
    <row r="10" spans="1:20" x14ac:dyDescent="0.2">
      <c r="A10" s="5" t="s">
        <v>30</v>
      </c>
      <c r="B10" s="5" t="s">
        <v>17</v>
      </c>
      <c r="C10" s="8" t="s">
        <v>31</v>
      </c>
      <c r="D10" s="7">
        <f t="shared" si="0"/>
        <v>16.459999999999997</v>
      </c>
      <c r="E10" s="8">
        <v>44</v>
      </c>
      <c r="F10" s="5">
        <v>33</v>
      </c>
      <c r="G10" s="5">
        <v>344</v>
      </c>
      <c r="H10" s="5">
        <v>2</v>
      </c>
      <c r="I10" s="5">
        <v>1</v>
      </c>
      <c r="J10" s="9">
        <v>0</v>
      </c>
      <c r="K10" s="8">
        <v>3</v>
      </c>
      <c r="L10" s="5">
        <v>7</v>
      </c>
      <c r="M10" s="5">
        <v>0</v>
      </c>
      <c r="N10" s="9">
        <v>0</v>
      </c>
      <c r="O10" s="8">
        <v>0</v>
      </c>
      <c r="P10" s="5">
        <v>0</v>
      </c>
      <c r="Q10" s="5">
        <v>0</v>
      </c>
      <c r="R10" s="9">
        <v>0</v>
      </c>
      <c r="S10" s="8">
        <v>2</v>
      </c>
      <c r="T10" s="9">
        <v>0</v>
      </c>
    </row>
    <row r="11" spans="1:20" x14ac:dyDescent="0.2">
      <c r="A11" s="5" t="s">
        <v>32</v>
      </c>
      <c r="B11" s="5" t="s">
        <v>17</v>
      </c>
      <c r="C11" s="6" t="s">
        <v>27</v>
      </c>
      <c r="D11" s="7">
        <f t="shared" si="0"/>
        <v>17.740000000000002</v>
      </c>
      <c r="E11" s="8">
        <v>32</v>
      </c>
      <c r="F11" s="5">
        <v>24</v>
      </c>
      <c r="G11" s="5">
        <v>241</v>
      </c>
      <c r="H11" s="5">
        <v>2</v>
      </c>
      <c r="I11" s="5">
        <v>1</v>
      </c>
      <c r="J11" s="9">
        <v>0</v>
      </c>
      <c r="K11" s="8">
        <v>7</v>
      </c>
      <c r="L11" s="5">
        <v>21</v>
      </c>
      <c r="M11" s="5">
        <v>0</v>
      </c>
      <c r="N11" s="9">
        <v>0</v>
      </c>
      <c r="O11" s="8">
        <v>0</v>
      </c>
      <c r="P11" s="5">
        <v>0</v>
      </c>
      <c r="Q11" s="5">
        <v>0</v>
      </c>
      <c r="R11" s="9">
        <v>0</v>
      </c>
      <c r="S11" s="8">
        <v>0</v>
      </c>
      <c r="T11" s="9">
        <v>0</v>
      </c>
    </row>
    <row r="12" spans="1:20" x14ac:dyDescent="0.2">
      <c r="A12" s="5" t="s">
        <v>33</v>
      </c>
      <c r="B12" s="5" t="s">
        <v>17</v>
      </c>
      <c r="C12" s="6" t="s">
        <v>34</v>
      </c>
      <c r="D12" s="7">
        <f t="shared" si="0"/>
        <v>16.8</v>
      </c>
      <c r="E12" s="8">
        <v>29</v>
      </c>
      <c r="F12" s="5">
        <v>19</v>
      </c>
      <c r="G12" s="5">
        <v>220</v>
      </c>
      <c r="H12" s="5">
        <v>2</v>
      </c>
      <c r="I12" s="5">
        <v>0</v>
      </c>
      <c r="J12" s="9">
        <v>0</v>
      </c>
      <c r="K12" s="8">
        <v>3</v>
      </c>
      <c r="L12" s="5">
        <v>20</v>
      </c>
      <c r="M12" s="5">
        <v>0</v>
      </c>
      <c r="N12" s="9">
        <v>0</v>
      </c>
      <c r="O12" s="8">
        <v>0</v>
      </c>
      <c r="P12" s="5">
        <v>0</v>
      </c>
      <c r="Q12" s="5">
        <v>0</v>
      </c>
      <c r="R12" s="9">
        <v>0</v>
      </c>
      <c r="S12" s="8">
        <v>1</v>
      </c>
      <c r="T12" s="9">
        <v>0</v>
      </c>
    </row>
    <row r="13" spans="1:20" x14ac:dyDescent="0.2">
      <c r="A13" s="5" t="s">
        <v>35</v>
      </c>
      <c r="B13" s="5" t="s">
        <v>17</v>
      </c>
      <c r="C13" s="6" t="s">
        <v>36</v>
      </c>
      <c r="D13" s="7">
        <f t="shared" si="0"/>
        <v>15.1</v>
      </c>
      <c r="E13" s="8">
        <v>26</v>
      </c>
      <c r="F13" s="5">
        <v>20</v>
      </c>
      <c r="G13" s="5">
        <v>200</v>
      </c>
      <c r="H13" s="5">
        <v>2</v>
      </c>
      <c r="I13" s="5">
        <v>1</v>
      </c>
      <c r="J13" s="9">
        <v>0</v>
      </c>
      <c r="K13" s="8">
        <v>9</v>
      </c>
      <c r="L13" s="5">
        <v>11</v>
      </c>
      <c r="M13" s="5">
        <v>0</v>
      </c>
      <c r="N13" s="9">
        <v>0</v>
      </c>
      <c r="O13" s="8">
        <v>0</v>
      </c>
      <c r="P13" s="5">
        <v>0</v>
      </c>
      <c r="Q13" s="5">
        <v>0</v>
      </c>
      <c r="R13" s="9">
        <v>0</v>
      </c>
      <c r="S13" s="8">
        <v>0</v>
      </c>
      <c r="T13" s="9">
        <v>0</v>
      </c>
    </row>
    <row r="14" spans="1:20" x14ac:dyDescent="0.2">
      <c r="A14" s="5" t="s">
        <v>37</v>
      </c>
      <c r="B14" s="5" t="s">
        <v>17</v>
      </c>
      <c r="C14" s="6" t="s">
        <v>31</v>
      </c>
      <c r="D14" s="7">
        <f t="shared" si="0"/>
        <v>16.02</v>
      </c>
      <c r="E14" s="8">
        <v>34</v>
      </c>
      <c r="F14" s="5">
        <v>21</v>
      </c>
      <c r="G14" s="5">
        <v>173</v>
      </c>
      <c r="H14" s="5">
        <v>2</v>
      </c>
      <c r="I14" s="5">
        <v>0</v>
      </c>
      <c r="J14" s="9">
        <v>0</v>
      </c>
      <c r="K14" s="8">
        <v>8</v>
      </c>
      <c r="L14" s="5">
        <v>11</v>
      </c>
      <c r="M14" s="5">
        <v>0</v>
      </c>
      <c r="N14" s="9">
        <v>0</v>
      </c>
      <c r="O14" s="8">
        <v>0</v>
      </c>
      <c r="P14" s="5">
        <v>0</v>
      </c>
      <c r="Q14" s="5">
        <v>0</v>
      </c>
      <c r="R14" s="9">
        <v>0</v>
      </c>
      <c r="S14" s="8">
        <v>0</v>
      </c>
      <c r="T14" s="9">
        <v>0</v>
      </c>
    </row>
    <row r="15" spans="1:20" x14ac:dyDescent="0.2">
      <c r="A15" s="5" t="s">
        <v>38</v>
      </c>
      <c r="B15" s="5" t="s">
        <v>17</v>
      </c>
      <c r="C15" s="8" t="s">
        <v>36</v>
      </c>
      <c r="D15" s="7">
        <f t="shared" si="0"/>
        <v>15.18</v>
      </c>
      <c r="E15" s="8">
        <v>34</v>
      </c>
      <c r="F15" s="5">
        <v>27</v>
      </c>
      <c r="G15" s="5">
        <v>177</v>
      </c>
      <c r="H15" s="5">
        <v>2</v>
      </c>
      <c r="I15" s="5">
        <v>0</v>
      </c>
      <c r="J15" s="9">
        <v>0</v>
      </c>
      <c r="K15" s="8">
        <v>1</v>
      </c>
      <c r="L15" s="5">
        <v>1</v>
      </c>
      <c r="M15" s="5">
        <v>0</v>
      </c>
      <c r="N15" s="9">
        <v>0</v>
      </c>
      <c r="O15" s="8">
        <v>0</v>
      </c>
      <c r="P15" s="5">
        <v>0</v>
      </c>
      <c r="Q15" s="5">
        <v>0</v>
      </c>
      <c r="R15" s="9">
        <v>0</v>
      </c>
      <c r="S15" s="8">
        <v>0</v>
      </c>
      <c r="T15" s="9">
        <v>0</v>
      </c>
    </row>
    <row r="16" spans="1:20" x14ac:dyDescent="0.2">
      <c r="A16" s="5" t="s">
        <v>39</v>
      </c>
      <c r="B16" s="5" t="s">
        <v>17</v>
      </c>
      <c r="C16" s="8" t="s">
        <v>40</v>
      </c>
      <c r="D16" s="7">
        <f t="shared" si="0"/>
        <v>15.18</v>
      </c>
      <c r="E16" s="8">
        <v>31</v>
      </c>
      <c r="F16" s="5">
        <v>19</v>
      </c>
      <c r="G16" s="5">
        <v>202</v>
      </c>
      <c r="H16" s="5">
        <v>1</v>
      </c>
      <c r="I16" s="5">
        <v>1</v>
      </c>
      <c r="J16" s="9">
        <v>0</v>
      </c>
      <c r="K16" s="8">
        <v>2</v>
      </c>
      <c r="L16" s="5">
        <v>11</v>
      </c>
      <c r="M16" s="5">
        <v>1</v>
      </c>
      <c r="N16" s="9">
        <v>0</v>
      </c>
      <c r="O16" s="8">
        <v>0</v>
      </c>
      <c r="P16" s="5">
        <v>0</v>
      </c>
      <c r="Q16" s="5">
        <v>0</v>
      </c>
      <c r="R16" s="9">
        <v>0</v>
      </c>
      <c r="S16" s="8">
        <v>1</v>
      </c>
      <c r="T16" s="9">
        <v>0</v>
      </c>
    </row>
    <row r="17" spans="1:20" x14ac:dyDescent="0.2">
      <c r="A17" s="5" t="s">
        <v>41</v>
      </c>
      <c r="B17" s="5" t="s">
        <v>17</v>
      </c>
      <c r="C17" s="8" t="s">
        <v>42</v>
      </c>
      <c r="D17" s="7">
        <f t="shared" si="0"/>
        <v>14.600000000000003</v>
      </c>
      <c r="E17" s="8">
        <v>33</v>
      </c>
      <c r="F17" s="5">
        <v>23</v>
      </c>
      <c r="G17" s="5">
        <v>305</v>
      </c>
      <c r="H17" s="5">
        <v>1</v>
      </c>
      <c r="I17" s="5">
        <v>1</v>
      </c>
      <c r="J17" s="9">
        <v>0</v>
      </c>
      <c r="K17" s="8">
        <v>3</v>
      </c>
      <c r="L17" s="5">
        <v>4</v>
      </c>
      <c r="M17" s="5">
        <v>0</v>
      </c>
      <c r="N17" s="9">
        <v>0</v>
      </c>
      <c r="O17" s="8">
        <v>0</v>
      </c>
      <c r="P17" s="5">
        <v>0</v>
      </c>
      <c r="Q17" s="5">
        <v>0</v>
      </c>
      <c r="R17" s="9">
        <v>0</v>
      </c>
      <c r="S17" s="8">
        <v>0</v>
      </c>
      <c r="T17" s="9">
        <v>0</v>
      </c>
    </row>
    <row r="18" spans="1:20" x14ac:dyDescent="0.2">
      <c r="A18" s="5" t="s">
        <v>43</v>
      </c>
      <c r="B18" s="5" t="s">
        <v>17</v>
      </c>
      <c r="C18" s="8" t="s">
        <v>22</v>
      </c>
      <c r="D18" s="7">
        <f t="shared" si="0"/>
        <v>14.54</v>
      </c>
      <c r="E18" s="8">
        <v>37</v>
      </c>
      <c r="F18" s="5">
        <v>24</v>
      </c>
      <c r="G18" s="5">
        <v>216</v>
      </c>
      <c r="H18" s="5">
        <v>1</v>
      </c>
      <c r="I18" s="5">
        <v>1</v>
      </c>
      <c r="J18" s="9">
        <v>0</v>
      </c>
      <c r="K18" s="8">
        <v>9</v>
      </c>
      <c r="L18" s="5">
        <v>59</v>
      </c>
      <c r="M18" s="5">
        <v>0</v>
      </c>
      <c r="N18" s="9">
        <v>0</v>
      </c>
      <c r="O18" s="8">
        <v>0</v>
      </c>
      <c r="P18" s="5">
        <v>0</v>
      </c>
      <c r="Q18" s="5">
        <v>0</v>
      </c>
      <c r="R18" s="9">
        <v>0</v>
      </c>
      <c r="S18" s="8">
        <v>1</v>
      </c>
      <c r="T18" s="9">
        <v>0</v>
      </c>
    </row>
    <row r="19" spans="1:20" x14ac:dyDescent="0.2">
      <c r="A19" s="5" t="s">
        <v>44</v>
      </c>
      <c r="B19" s="5" t="s">
        <v>17</v>
      </c>
      <c r="C19" s="6" t="s">
        <v>24</v>
      </c>
      <c r="D19" s="7">
        <f t="shared" si="0"/>
        <v>14.020000000000001</v>
      </c>
      <c r="E19" s="8">
        <v>35</v>
      </c>
      <c r="F19" s="5">
        <v>22</v>
      </c>
      <c r="G19" s="5">
        <v>253</v>
      </c>
      <c r="H19" s="5">
        <v>1</v>
      </c>
      <c r="I19" s="5">
        <v>0</v>
      </c>
      <c r="J19" s="9">
        <v>0</v>
      </c>
      <c r="K19" s="8">
        <v>5</v>
      </c>
      <c r="L19" s="5">
        <v>-1</v>
      </c>
      <c r="M19" s="5">
        <v>0</v>
      </c>
      <c r="N19" s="9">
        <v>0</v>
      </c>
      <c r="O19" s="8">
        <v>0</v>
      </c>
      <c r="P19" s="5">
        <v>0</v>
      </c>
      <c r="Q19" s="5">
        <v>0</v>
      </c>
      <c r="R19" s="9">
        <v>0</v>
      </c>
      <c r="S19" s="8">
        <v>0</v>
      </c>
      <c r="T19" s="9">
        <v>0</v>
      </c>
    </row>
    <row r="20" spans="1:20" x14ac:dyDescent="0.2">
      <c r="A20" s="5" t="s">
        <v>45</v>
      </c>
      <c r="B20" s="5" t="s">
        <v>17</v>
      </c>
      <c r="C20" s="6" t="s">
        <v>20</v>
      </c>
      <c r="D20" s="7">
        <f t="shared" si="0"/>
        <v>12.5</v>
      </c>
      <c r="E20" s="8">
        <v>33</v>
      </c>
      <c r="F20" s="5">
        <v>22</v>
      </c>
      <c r="G20" s="5">
        <v>170</v>
      </c>
      <c r="H20" s="5">
        <v>1</v>
      </c>
      <c r="I20" s="5">
        <v>0</v>
      </c>
      <c r="J20" s="9">
        <v>0</v>
      </c>
      <c r="K20" s="8">
        <v>9</v>
      </c>
      <c r="L20" s="5">
        <v>37</v>
      </c>
      <c r="M20" s="5">
        <v>0</v>
      </c>
      <c r="N20" s="9">
        <v>0</v>
      </c>
      <c r="O20" s="8">
        <v>0</v>
      </c>
      <c r="P20" s="5">
        <v>0</v>
      </c>
      <c r="Q20" s="5">
        <v>0</v>
      </c>
      <c r="R20" s="9">
        <v>0</v>
      </c>
      <c r="S20" s="8">
        <v>1</v>
      </c>
      <c r="T20" s="9">
        <v>0</v>
      </c>
    </row>
    <row r="21" spans="1:20" x14ac:dyDescent="0.2">
      <c r="A21" s="5" t="s">
        <v>46</v>
      </c>
      <c r="B21" s="5" t="s">
        <v>17</v>
      </c>
      <c r="C21" s="6" t="s">
        <v>47</v>
      </c>
      <c r="D21" s="7">
        <f t="shared" si="0"/>
        <v>14.459999999999999</v>
      </c>
      <c r="E21" s="8">
        <v>38</v>
      </c>
      <c r="F21" s="5">
        <v>24</v>
      </c>
      <c r="G21" s="5">
        <v>334</v>
      </c>
      <c r="H21" s="5">
        <v>0</v>
      </c>
      <c r="I21" s="5">
        <v>0</v>
      </c>
      <c r="J21" s="9">
        <v>0</v>
      </c>
      <c r="K21" s="8">
        <v>3</v>
      </c>
      <c r="L21" s="5">
        <v>11</v>
      </c>
      <c r="M21" s="5">
        <v>0</v>
      </c>
      <c r="N21" s="9">
        <v>0</v>
      </c>
      <c r="O21" s="8">
        <v>0</v>
      </c>
      <c r="P21" s="5">
        <v>0</v>
      </c>
      <c r="Q21" s="5">
        <v>0</v>
      </c>
      <c r="R21" s="9">
        <v>0</v>
      </c>
      <c r="S21" s="8">
        <v>0</v>
      </c>
      <c r="T21" s="9">
        <v>0</v>
      </c>
    </row>
    <row r="22" spans="1:20" x14ac:dyDescent="0.2">
      <c r="A22" s="5" t="s">
        <v>48</v>
      </c>
      <c r="B22" s="5" t="s">
        <v>17</v>
      </c>
      <c r="C22" s="6" t="s">
        <v>49</v>
      </c>
      <c r="D22" s="7">
        <f t="shared" si="0"/>
        <v>9.0399999999999991</v>
      </c>
      <c r="E22" s="8">
        <v>41</v>
      </c>
      <c r="F22" s="5">
        <v>29</v>
      </c>
      <c r="G22" s="5">
        <v>236</v>
      </c>
      <c r="H22" s="5">
        <v>1</v>
      </c>
      <c r="I22" s="5">
        <v>3</v>
      </c>
      <c r="J22" s="9">
        <v>0</v>
      </c>
      <c r="K22" s="8">
        <v>6</v>
      </c>
      <c r="L22" s="5">
        <v>36</v>
      </c>
      <c r="M22" s="5">
        <v>0</v>
      </c>
      <c r="N22" s="9">
        <v>0</v>
      </c>
      <c r="O22" s="8">
        <v>0</v>
      </c>
      <c r="P22" s="5">
        <v>0</v>
      </c>
      <c r="Q22" s="5">
        <v>0</v>
      </c>
      <c r="R22" s="9">
        <v>0</v>
      </c>
      <c r="S22" s="8">
        <v>1</v>
      </c>
      <c r="T22" s="9">
        <v>0</v>
      </c>
    </row>
    <row r="23" spans="1:20" x14ac:dyDescent="0.2">
      <c r="A23" s="5" t="s">
        <v>50</v>
      </c>
      <c r="B23" s="5" t="s">
        <v>17</v>
      </c>
      <c r="C23" s="8" t="s">
        <v>34</v>
      </c>
      <c r="D23" s="7">
        <f t="shared" si="0"/>
        <v>9.68</v>
      </c>
      <c r="E23" s="8">
        <v>46</v>
      </c>
      <c r="F23" s="5">
        <v>31</v>
      </c>
      <c r="G23" s="5">
        <v>232</v>
      </c>
      <c r="H23" s="5">
        <v>1</v>
      </c>
      <c r="I23" s="5">
        <v>2</v>
      </c>
      <c r="J23" s="9">
        <v>0</v>
      </c>
      <c r="K23" s="8">
        <v>1</v>
      </c>
      <c r="L23" s="5">
        <v>4</v>
      </c>
      <c r="M23" s="5">
        <v>0</v>
      </c>
      <c r="N23" s="9">
        <v>0</v>
      </c>
      <c r="O23" s="8">
        <v>0</v>
      </c>
      <c r="P23" s="5">
        <v>0</v>
      </c>
      <c r="Q23" s="5">
        <v>0</v>
      </c>
      <c r="R23" s="9">
        <v>0</v>
      </c>
      <c r="S23" s="8">
        <v>0</v>
      </c>
      <c r="T23" s="9">
        <v>0</v>
      </c>
    </row>
    <row r="24" spans="1:20" x14ac:dyDescent="0.2">
      <c r="A24" s="5" t="s">
        <v>51</v>
      </c>
      <c r="B24" s="5" t="s">
        <v>17</v>
      </c>
      <c r="C24" s="8" t="s">
        <v>52</v>
      </c>
      <c r="D24" s="7">
        <f t="shared" si="0"/>
        <v>8.9000000000000021</v>
      </c>
      <c r="E24" s="8">
        <v>18</v>
      </c>
      <c r="F24" s="5">
        <v>15</v>
      </c>
      <c r="G24" s="5">
        <v>115</v>
      </c>
      <c r="H24" s="5">
        <v>1</v>
      </c>
      <c r="I24" s="5">
        <v>0</v>
      </c>
      <c r="J24" s="9">
        <v>0</v>
      </c>
      <c r="K24" s="8">
        <v>1</v>
      </c>
      <c r="L24" s="5">
        <v>-1</v>
      </c>
      <c r="M24" s="5">
        <v>0</v>
      </c>
      <c r="N24" s="9">
        <v>0</v>
      </c>
      <c r="O24" s="8">
        <v>1</v>
      </c>
      <c r="P24" s="5">
        <v>-6</v>
      </c>
      <c r="Q24" s="5">
        <v>0</v>
      </c>
      <c r="R24" s="9">
        <v>0</v>
      </c>
      <c r="S24" s="8">
        <v>0</v>
      </c>
      <c r="T24" s="9">
        <v>0</v>
      </c>
    </row>
    <row r="25" spans="1:20" x14ac:dyDescent="0.2">
      <c r="A25" s="5" t="s">
        <v>53</v>
      </c>
      <c r="B25" s="5" t="s">
        <v>17</v>
      </c>
      <c r="C25" s="6" t="s">
        <v>54</v>
      </c>
      <c r="D25" s="7">
        <f t="shared" si="0"/>
        <v>10.68</v>
      </c>
      <c r="E25" s="8">
        <v>44</v>
      </c>
      <c r="F25" s="5">
        <v>28</v>
      </c>
      <c r="G25" s="5">
        <v>242</v>
      </c>
      <c r="H25" s="5">
        <v>0</v>
      </c>
      <c r="I25" s="5">
        <v>0</v>
      </c>
      <c r="J25" s="9">
        <v>0</v>
      </c>
      <c r="K25" s="8">
        <v>4</v>
      </c>
      <c r="L25" s="5">
        <v>20</v>
      </c>
      <c r="M25" s="5">
        <v>0</v>
      </c>
      <c r="N25" s="9">
        <v>0</v>
      </c>
      <c r="O25" s="8">
        <v>1</v>
      </c>
      <c r="P25" s="5">
        <v>0</v>
      </c>
      <c r="Q25" s="5">
        <v>0</v>
      </c>
      <c r="R25" s="9">
        <v>0</v>
      </c>
      <c r="S25" s="8">
        <v>1</v>
      </c>
      <c r="T25" s="9">
        <v>0</v>
      </c>
    </row>
    <row r="26" spans="1:20" x14ac:dyDescent="0.2">
      <c r="A26" s="5" t="s">
        <v>55</v>
      </c>
      <c r="B26" s="5" t="s">
        <v>17</v>
      </c>
      <c r="C26" s="8" t="s">
        <v>47</v>
      </c>
      <c r="D26" s="7">
        <f t="shared" si="0"/>
        <v>9.08</v>
      </c>
      <c r="E26" s="8">
        <v>26</v>
      </c>
      <c r="F26" s="5">
        <v>16</v>
      </c>
      <c r="G26" s="5">
        <v>112</v>
      </c>
      <c r="H26" s="5">
        <v>1</v>
      </c>
      <c r="I26" s="5">
        <v>0</v>
      </c>
      <c r="J26" s="9">
        <v>0</v>
      </c>
      <c r="K26" s="8">
        <v>1</v>
      </c>
      <c r="L26" s="5">
        <v>6</v>
      </c>
      <c r="M26" s="5">
        <v>0</v>
      </c>
      <c r="N26" s="9">
        <v>0</v>
      </c>
      <c r="O26" s="8">
        <v>0</v>
      </c>
      <c r="P26" s="5">
        <v>0</v>
      </c>
      <c r="Q26" s="5">
        <v>0</v>
      </c>
      <c r="R26" s="9">
        <v>0</v>
      </c>
      <c r="S26" s="8">
        <v>0</v>
      </c>
      <c r="T26" s="9">
        <v>0</v>
      </c>
    </row>
    <row r="27" spans="1:20" x14ac:dyDescent="0.2">
      <c r="A27" s="5" t="s">
        <v>56</v>
      </c>
      <c r="B27" s="5" t="s">
        <v>17</v>
      </c>
      <c r="C27" s="8" t="s">
        <v>49</v>
      </c>
      <c r="D27" s="7">
        <f t="shared" si="0"/>
        <v>8.2000000000000011</v>
      </c>
      <c r="E27" s="8">
        <v>21</v>
      </c>
      <c r="F27" s="5">
        <v>14</v>
      </c>
      <c r="G27" s="5">
        <v>140</v>
      </c>
      <c r="H27" s="5">
        <v>1</v>
      </c>
      <c r="I27" s="5">
        <v>1</v>
      </c>
      <c r="J27" s="9">
        <v>0</v>
      </c>
      <c r="K27" s="8">
        <v>4</v>
      </c>
      <c r="L27" s="5">
        <v>6</v>
      </c>
      <c r="M27" s="5">
        <v>0</v>
      </c>
      <c r="N27" s="9">
        <v>0</v>
      </c>
      <c r="O27" s="8">
        <v>0</v>
      </c>
      <c r="P27" s="5">
        <v>0</v>
      </c>
      <c r="Q27" s="5">
        <v>0</v>
      </c>
      <c r="R27" s="9">
        <v>0</v>
      </c>
      <c r="S27" s="8">
        <v>0</v>
      </c>
      <c r="T27" s="9">
        <v>0</v>
      </c>
    </row>
    <row r="28" spans="1:20" x14ac:dyDescent="0.2">
      <c r="A28" s="5" t="s">
        <v>57</v>
      </c>
      <c r="B28" s="5" t="s">
        <v>17</v>
      </c>
      <c r="C28" s="6" t="s">
        <v>52</v>
      </c>
      <c r="D28" s="7">
        <f t="shared" si="0"/>
        <v>7.54</v>
      </c>
      <c r="E28" s="8">
        <v>38</v>
      </c>
      <c r="F28" s="5">
        <v>20</v>
      </c>
      <c r="G28" s="5">
        <v>146</v>
      </c>
      <c r="H28" s="5">
        <v>1</v>
      </c>
      <c r="I28" s="5">
        <v>2</v>
      </c>
      <c r="J28" s="9">
        <v>0</v>
      </c>
      <c r="K28" s="8">
        <v>3</v>
      </c>
      <c r="L28" s="5">
        <v>17</v>
      </c>
      <c r="M28" s="5">
        <v>0</v>
      </c>
      <c r="N28" s="9">
        <v>0</v>
      </c>
      <c r="O28" s="8">
        <v>0</v>
      </c>
      <c r="P28" s="5">
        <v>0</v>
      </c>
      <c r="Q28" s="5">
        <v>0</v>
      </c>
      <c r="R28" s="9">
        <v>0</v>
      </c>
      <c r="S28" s="8">
        <v>0</v>
      </c>
      <c r="T28" s="9">
        <v>0</v>
      </c>
    </row>
    <row r="29" spans="1:20" x14ac:dyDescent="0.2">
      <c r="A29" s="5" t="s">
        <v>58</v>
      </c>
      <c r="B29" s="5" t="s">
        <v>17</v>
      </c>
      <c r="C29" s="8" t="s">
        <v>54</v>
      </c>
      <c r="D29" s="7">
        <f t="shared" si="0"/>
        <v>6.5600000000000005</v>
      </c>
      <c r="E29" s="8">
        <v>22</v>
      </c>
      <c r="F29" s="5">
        <v>17</v>
      </c>
      <c r="G29" s="5">
        <v>169</v>
      </c>
      <c r="H29" s="5">
        <v>0</v>
      </c>
      <c r="I29" s="5">
        <v>1</v>
      </c>
      <c r="J29" s="9">
        <v>0</v>
      </c>
      <c r="K29" s="8">
        <v>6</v>
      </c>
      <c r="L29" s="5">
        <v>38</v>
      </c>
      <c r="M29" s="5">
        <v>0</v>
      </c>
      <c r="N29" s="9">
        <v>0</v>
      </c>
      <c r="O29" s="8">
        <v>0</v>
      </c>
      <c r="P29" s="5">
        <v>0</v>
      </c>
      <c r="Q29" s="5">
        <v>0</v>
      </c>
      <c r="R29" s="9">
        <v>0</v>
      </c>
      <c r="S29" s="8">
        <v>1</v>
      </c>
      <c r="T29" s="9">
        <v>0</v>
      </c>
    </row>
    <row r="30" spans="1:20" x14ac:dyDescent="0.2">
      <c r="A30" s="5" t="s">
        <v>59</v>
      </c>
      <c r="B30" s="5" t="s">
        <v>17</v>
      </c>
      <c r="C30" s="6" t="s">
        <v>60</v>
      </c>
      <c r="D30" s="7">
        <f t="shared" si="0"/>
        <v>6.32</v>
      </c>
      <c r="E30" s="8">
        <v>24</v>
      </c>
      <c r="F30" s="5">
        <v>13</v>
      </c>
      <c r="G30" s="5">
        <v>143</v>
      </c>
      <c r="H30" s="5">
        <v>0</v>
      </c>
      <c r="I30" s="5">
        <v>0</v>
      </c>
      <c r="J30" s="9">
        <v>0</v>
      </c>
      <c r="K30" s="8">
        <v>1</v>
      </c>
      <c r="L30" s="5">
        <v>6</v>
      </c>
      <c r="M30" s="5">
        <v>0</v>
      </c>
      <c r="N30" s="9">
        <v>0</v>
      </c>
      <c r="O30" s="8">
        <v>0</v>
      </c>
      <c r="P30" s="5">
        <v>0</v>
      </c>
      <c r="Q30" s="5">
        <v>0</v>
      </c>
      <c r="R30" s="9">
        <v>0</v>
      </c>
      <c r="S30" s="8">
        <v>0</v>
      </c>
      <c r="T30" s="9">
        <v>0</v>
      </c>
    </row>
    <row r="31" spans="1:20" x14ac:dyDescent="0.2">
      <c r="A31" s="5" t="s">
        <v>61</v>
      </c>
      <c r="B31" s="5" t="s">
        <v>17</v>
      </c>
      <c r="C31" s="8" t="s">
        <v>60</v>
      </c>
      <c r="D31" s="7">
        <f t="shared" si="0"/>
        <v>4.46</v>
      </c>
      <c r="E31" s="8">
        <v>28</v>
      </c>
      <c r="F31" s="5">
        <v>15</v>
      </c>
      <c r="G31" s="5">
        <v>104</v>
      </c>
      <c r="H31" s="5">
        <v>0</v>
      </c>
      <c r="I31" s="5">
        <v>2</v>
      </c>
      <c r="J31" s="9">
        <v>0</v>
      </c>
      <c r="K31" s="8">
        <v>13</v>
      </c>
      <c r="L31" s="5">
        <v>43</v>
      </c>
      <c r="M31" s="5">
        <v>0</v>
      </c>
      <c r="N31" s="9">
        <v>0</v>
      </c>
      <c r="O31" s="8">
        <v>0</v>
      </c>
      <c r="P31" s="5">
        <v>0</v>
      </c>
      <c r="Q31" s="5">
        <v>0</v>
      </c>
      <c r="R31" s="9">
        <v>0</v>
      </c>
      <c r="S31" s="8">
        <v>0</v>
      </c>
      <c r="T31" s="9">
        <v>0</v>
      </c>
    </row>
    <row r="32" spans="1:20" x14ac:dyDescent="0.2">
      <c r="A32" s="5" t="s">
        <v>62</v>
      </c>
      <c r="B32" s="5" t="s">
        <v>17</v>
      </c>
      <c r="C32" s="6" t="s">
        <v>29</v>
      </c>
      <c r="D32" s="7">
        <f t="shared" si="0"/>
        <v>3.18</v>
      </c>
      <c r="E32" s="8">
        <v>31</v>
      </c>
      <c r="F32" s="5">
        <v>14</v>
      </c>
      <c r="G32" s="5">
        <v>82</v>
      </c>
      <c r="H32" s="5">
        <v>0</v>
      </c>
      <c r="I32" s="5">
        <v>0</v>
      </c>
      <c r="J32" s="9">
        <v>0</v>
      </c>
      <c r="K32" s="8">
        <v>1</v>
      </c>
      <c r="L32" s="5">
        <v>-1</v>
      </c>
      <c r="M32" s="5">
        <v>0</v>
      </c>
      <c r="N32" s="9">
        <v>0</v>
      </c>
      <c r="O32" s="8">
        <v>0</v>
      </c>
      <c r="P32" s="5">
        <v>0</v>
      </c>
      <c r="Q32" s="5">
        <v>0</v>
      </c>
      <c r="R32" s="9">
        <v>0</v>
      </c>
      <c r="S32" s="8">
        <v>0</v>
      </c>
      <c r="T32" s="9">
        <v>0</v>
      </c>
    </row>
    <row r="33" spans="1:20" x14ac:dyDescent="0.2">
      <c r="A33" s="5" t="s">
        <v>63</v>
      </c>
      <c r="B33" s="5" t="s">
        <v>17</v>
      </c>
      <c r="C33" s="6" t="s">
        <v>40</v>
      </c>
      <c r="D33" s="7">
        <f t="shared" si="0"/>
        <v>0.98000000000000043</v>
      </c>
      <c r="E33" s="8">
        <v>30</v>
      </c>
      <c r="F33" s="5">
        <v>21</v>
      </c>
      <c r="G33" s="5">
        <v>132</v>
      </c>
      <c r="H33" s="5">
        <v>0</v>
      </c>
      <c r="I33" s="5">
        <v>0</v>
      </c>
      <c r="J33" s="9">
        <v>0</v>
      </c>
      <c r="K33" s="8">
        <v>3</v>
      </c>
      <c r="L33" s="5">
        <v>-3</v>
      </c>
      <c r="M33" s="5">
        <v>0</v>
      </c>
      <c r="N33" s="9">
        <v>0</v>
      </c>
      <c r="O33" s="8">
        <v>0</v>
      </c>
      <c r="P33" s="5">
        <v>0</v>
      </c>
      <c r="Q33" s="5">
        <v>0</v>
      </c>
      <c r="R33" s="9">
        <v>0</v>
      </c>
      <c r="S33" s="8">
        <v>2</v>
      </c>
      <c r="T33" s="9">
        <v>0</v>
      </c>
    </row>
    <row r="34" spans="1:20" x14ac:dyDescent="0.2">
      <c r="A34" s="5" t="s">
        <v>64</v>
      </c>
      <c r="B34" s="5" t="s">
        <v>17</v>
      </c>
      <c r="C34" s="6" t="s">
        <v>42</v>
      </c>
      <c r="D34" s="7">
        <f t="shared" si="0"/>
        <v>2.42</v>
      </c>
      <c r="E34" s="8">
        <v>34</v>
      </c>
      <c r="F34" s="5">
        <v>16</v>
      </c>
      <c r="G34" s="5">
        <v>198</v>
      </c>
      <c r="H34" s="5">
        <v>0</v>
      </c>
      <c r="I34" s="5">
        <v>3</v>
      </c>
      <c r="J34" s="9">
        <v>0</v>
      </c>
      <c r="K34" s="8">
        <v>3</v>
      </c>
      <c r="L34" s="5">
        <v>5</v>
      </c>
      <c r="M34" s="5">
        <v>0</v>
      </c>
      <c r="N34" s="9">
        <v>0</v>
      </c>
      <c r="O34" s="8">
        <v>0</v>
      </c>
      <c r="P34" s="5">
        <v>0</v>
      </c>
      <c r="Q34" s="5">
        <v>0</v>
      </c>
      <c r="R34" s="9">
        <v>0</v>
      </c>
      <c r="S34" s="8">
        <v>0</v>
      </c>
      <c r="T34" s="9">
        <v>0</v>
      </c>
    </row>
    <row r="35" spans="1:20" x14ac:dyDescent="0.2">
      <c r="A35" s="5" t="s">
        <v>65</v>
      </c>
      <c r="B35" s="5" t="s">
        <v>17</v>
      </c>
      <c r="C35" s="6" t="s">
        <v>29</v>
      </c>
      <c r="D35" s="7">
        <f t="shared" si="0"/>
        <v>-0.1</v>
      </c>
      <c r="E35" s="8">
        <v>1</v>
      </c>
      <c r="F35" s="5">
        <v>0</v>
      </c>
      <c r="G35" s="5">
        <v>0</v>
      </c>
      <c r="H35" s="5">
        <v>0</v>
      </c>
      <c r="I35" s="5">
        <v>0</v>
      </c>
      <c r="J35" s="9">
        <v>0</v>
      </c>
      <c r="K35" s="8">
        <v>1</v>
      </c>
      <c r="L35" s="5">
        <v>-1</v>
      </c>
      <c r="M35" s="5">
        <v>0</v>
      </c>
      <c r="N35" s="9">
        <v>0</v>
      </c>
      <c r="O35" s="8">
        <v>0</v>
      </c>
      <c r="P35" s="5">
        <v>0</v>
      </c>
      <c r="Q35" s="5">
        <v>0</v>
      </c>
      <c r="R35" s="9">
        <v>0</v>
      </c>
      <c r="S35" s="8">
        <v>0</v>
      </c>
      <c r="T35" s="9">
        <v>0</v>
      </c>
    </row>
    <row r="36" spans="1:20" x14ac:dyDescent="0.2">
      <c r="A36" s="5" t="s">
        <v>66</v>
      </c>
      <c r="B36" s="5" t="s">
        <v>17</v>
      </c>
      <c r="C36" s="6" t="s">
        <v>22</v>
      </c>
      <c r="D36" s="7">
        <f t="shared" si="0"/>
        <v>0</v>
      </c>
      <c r="E36" s="8">
        <v>0</v>
      </c>
      <c r="F36" s="5">
        <v>0</v>
      </c>
      <c r="G36" s="5">
        <v>0</v>
      </c>
      <c r="H36" s="5">
        <v>0</v>
      </c>
      <c r="I36" s="5">
        <v>0</v>
      </c>
      <c r="J36" s="9">
        <v>0</v>
      </c>
      <c r="K36" s="8">
        <v>1</v>
      </c>
      <c r="L36" s="5">
        <v>0</v>
      </c>
      <c r="M36" s="5">
        <v>0</v>
      </c>
      <c r="N36" s="9">
        <v>0</v>
      </c>
      <c r="O36" s="8">
        <v>0</v>
      </c>
      <c r="P36" s="5">
        <v>0</v>
      </c>
      <c r="Q36" s="5">
        <v>0</v>
      </c>
      <c r="R36" s="9">
        <v>0</v>
      </c>
      <c r="S36" s="8">
        <v>0</v>
      </c>
      <c r="T36" s="9">
        <v>0</v>
      </c>
    </row>
    <row r="37" spans="1:20" x14ac:dyDescent="0.2">
      <c r="A37" s="5" t="s">
        <v>67</v>
      </c>
      <c r="B37" s="5" t="s">
        <v>17</v>
      </c>
      <c r="C37" s="6" t="s">
        <v>34</v>
      </c>
      <c r="D37" s="7">
        <f t="shared" si="0"/>
        <v>-0.2</v>
      </c>
      <c r="E37" s="8">
        <v>0</v>
      </c>
      <c r="F37" s="5">
        <v>0</v>
      </c>
      <c r="G37" s="5">
        <v>0</v>
      </c>
      <c r="H37" s="5">
        <v>0</v>
      </c>
      <c r="I37" s="5">
        <v>0</v>
      </c>
      <c r="J37" s="9">
        <v>0</v>
      </c>
      <c r="K37" s="8">
        <v>2</v>
      </c>
      <c r="L37" s="5">
        <v>-2</v>
      </c>
      <c r="M37" s="5">
        <v>0</v>
      </c>
      <c r="N37" s="9">
        <v>0</v>
      </c>
      <c r="O37" s="8">
        <v>0</v>
      </c>
      <c r="P37" s="5">
        <v>0</v>
      </c>
      <c r="Q37" s="5">
        <v>0</v>
      </c>
      <c r="R37" s="9">
        <v>0</v>
      </c>
      <c r="S37" s="8">
        <v>0</v>
      </c>
      <c r="T37" s="9">
        <v>0</v>
      </c>
    </row>
    <row r="38" spans="1:20" x14ac:dyDescent="0.2">
      <c r="A38" s="5" t="s">
        <v>68</v>
      </c>
      <c r="B38" s="5" t="s">
        <v>69</v>
      </c>
      <c r="C38" s="8" t="s">
        <v>42</v>
      </c>
      <c r="D38" s="7">
        <f t="shared" si="0"/>
        <v>0.4</v>
      </c>
      <c r="E38" s="8">
        <v>0</v>
      </c>
      <c r="F38" s="5">
        <v>0</v>
      </c>
      <c r="G38" s="5">
        <v>0</v>
      </c>
      <c r="H38" s="5">
        <v>0</v>
      </c>
      <c r="I38" s="5">
        <v>0</v>
      </c>
      <c r="J38" s="9">
        <v>0</v>
      </c>
      <c r="K38" s="8">
        <v>3</v>
      </c>
      <c r="L38" s="5">
        <v>4</v>
      </c>
      <c r="M38" s="5">
        <v>0</v>
      </c>
      <c r="N38" s="9">
        <v>0</v>
      </c>
      <c r="O38" s="8">
        <v>0</v>
      </c>
      <c r="P38" s="5">
        <v>0</v>
      </c>
      <c r="Q38" s="5">
        <v>0</v>
      </c>
      <c r="R38" s="9">
        <v>0</v>
      </c>
      <c r="S38" s="8">
        <v>0</v>
      </c>
      <c r="T38" s="9">
        <v>0</v>
      </c>
    </row>
    <row r="39" spans="1:20" x14ac:dyDescent="0.2">
      <c r="A39" s="5" t="s">
        <v>70</v>
      </c>
      <c r="B39" s="5" t="s">
        <v>17</v>
      </c>
      <c r="C39" s="8" t="s">
        <v>27</v>
      </c>
      <c r="D39" s="7">
        <f t="shared" si="0"/>
        <v>0</v>
      </c>
      <c r="E39" s="8">
        <v>2</v>
      </c>
      <c r="F39" s="5">
        <v>0</v>
      </c>
      <c r="G39" s="5">
        <v>0</v>
      </c>
      <c r="H39" s="5">
        <v>0</v>
      </c>
      <c r="I39" s="5">
        <v>0</v>
      </c>
      <c r="J39" s="9">
        <v>0</v>
      </c>
      <c r="K39" s="8">
        <v>0</v>
      </c>
      <c r="L39" s="5">
        <v>0</v>
      </c>
      <c r="M39" s="5">
        <v>0</v>
      </c>
      <c r="N39" s="9">
        <v>0</v>
      </c>
      <c r="O39" s="8">
        <v>0</v>
      </c>
      <c r="P39" s="5">
        <v>0</v>
      </c>
      <c r="Q39" s="5">
        <v>0</v>
      </c>
      <c r="R39" s="9">
        <v>0</v>
      </c>
      <c r="S39" s="8">
        <v>0</v>
      </c>
      <c r="T39" s="9">
        <v>0</v>
      </c>
    </row>
    <row r="40" spans="1:20" x14ac:dyDescent="0.2">
      <c r="A40" s="5" t="s">
        <v>71</v>
      </c>
      <c r="B40" s="5" t="s">
        <v>17</v>
      </c>
      <c r="C40" s="8" t="s">
        <v>49</v>
      </c>
      <c r="D40" s="7">
        <f t="shared" si="0"/>
        <v>0</v>
      </c>
      <c r="E40" s="8">
        <v>1</v>
      </c>
      <c r="F40" s="5">
        <v>0</v>
      </c>
      <c r="G40" s="5">
        <v>0</v>
      </c>
      <c r="H40" s="5">
        <v>0</v>
      </c>
      <c r="I40" s="5">
        <v>0</v>
      </c>
      <c r="J40" s="9">
        <v>0</v>
      </c>
      <c r="K40" s="8">
        <v>0</v>
      </c>
      <c r="L40" s="5">
        <v>0</v>
      </c>
      <c r="M40" s="5">
        <v>0</v>
      </c>
      <c r="N40" s="9">
        <v>0</v>
      </c>
      <c r="O40" s="8">
        <v>0</v>
      </c>
      <c r="P40" s="5">
        <v>0</v>
      </c>
      <c r="Q40" s="5">
        <v>0</v>
      </c>
      <c r="R40" s="9">
        <v>0</v>
      </c>
      <c r="S40" s="8">
        <v>0</v>
      </c>
      <c r="T40" s="9">
        <v>0</v>
      </c>
    </row>
    <row r="41" spans="1:20" x14ac:dyDescent="0.2">
      <c r="A41" s="5" t="s">
        <v>72</v>
      </c>
      <c r="B41" s="5" t="s">
        <v>17</v>
      </c>
      <c r="C41" s="6" t="s">
        <v>60</v>
      </c>
      <c r="D41" s="7">
        <f t="shared" si="0"/>
        <v>0</v>
      </c>
      <c r="E41" s="8">
        <v>1</v>
      </c>
      <c r="F41" s="5">
        <v>0</v>
      </c>
      <c r="G41" s="5">
        <v>0</v>
      </c>
      <c r="H41" s="5">
        <v>0</v>
      </c>
      <c r="I41" s="5">
        <v>0</v>
      </c>
      <c r="J41" s="9">
        <v>0</v>
      </c>
      <c r="K41" s="8">
        <v>0</v>
      </c>
      <c r="L41" s="5">
        <v>0</v>
      </c>
      <c r="M41" s="5">
        <v>0</v>
      </c>
      <c r="N41" s="9">
        <v>0</v>
      </c>
      <c r="O41" s="8">
        <v>0</v>
      </c>
      <c r="P41" s="5">
        <v>0</v>
      </c>
      <c r="Q41" s="5">
        <v>0</v>
      </c>
      <c r="R41" s="9">
        <v>0</v>
      </c>
      <c r="S41" s="8">
        <v>0</v>
      </c>
      <c r="T41" s="9">
        <v>0</v>
      </c>
    </row>
    <row r="42" spans="1:20" x14ac:dyDescent="0.2">
      <c r="A42" s="5" t="s">
        <v>73</v>
      </c>
      <c r="B42" s="5" t="s">
        <v>17</v>
      </c>
      <c r="C42" s="8" t="s">
        <v>60</v>
      </c>
      <c r="D42" s="7">
        <f t="shared" si="0"/>
        <v>0.24</v>
      </c>
      <c r="E42" s="8">
        <v>2</v>
      </c>
      <c r="F42" s="5">
        <v>2</v>
      </c>
      <c r="G42" s="5">
        <v>6</v>
      </c>
      <c r="H42" s="5">
        <v>0</v>
      </c>
      <c r="I42" s="5">
        <v>0</v>
      </c>
      <c r="J42" s="9">
        <v>0</v>
      </c>
      <c r="K42" s="8">
        <v>0</v>
      </c>
      <c r="L42" s="5">
        <v>0</v>
      </c>
      <c r="M42" s="5">
        <v>0</v>
      </c>
      <c r="N42" s="9">
        <v>0</v>
      </c>
      <c r="O42" s="8">
        <v>0</v>
      </c>
      <c r="P42" s="5">
        <v>0</v>
      </c>
      <c r="Q42" s="5">
        <v>0</v>
      </c>
      <c r="R42" s="9">
        <v>0</v>
      </c>
      <c r="S42" s="8">
        <v>0</v>
      </c>
      <c r="T42" s="9">
        <v>0</v>
      </c>
    </row>
    <row r="43" spans="1:20" x14ac:dyDescent="0.2">
      <c r="A43" s="5" t="s">
        <v>74</v>
      </c>
      <c r="B43" s="5" t="s">
        <v>75</v>
      </c>
      <c r="C43" s="6" t="s">
        <v>22</v>
      </c>
      <c r="D43" s="7">
        <f t="shared" si="0"/>
        <v>26.700000000000003</v>
      </c>
      <c r="E43" s="8">
        <v>0</v>
      </c>
      <c r="F43" s="5">
        <v>0</v>
      </c>
      <c r="G43" s="5">
        <v>0</v>
      </c>
      <c r="H43" s="5">
        <v>0</v>
      </c>
      <c r="I43" s="5">
        <v>0</v>
      </c>
      <c r="J43" s="9">
        <v>0</v>
      </c>
      <c r="K43" s="8">
        <v>9</v>
      </c>
      <c r="L43" s="5">
        <v>41</v>
      </c>
      <c r="M43" s="5">
        <v>1</v>
      </c>
      <c r="N43" s="9">
        <v>0</v>
      </c>
      <c r="O43" s="8">
        <v>2</v>
      </c>
      <c r="P43" s="5">
        <v>86</v>
      </c>
      <c r="Q43" s="5">
        <v>1</v>
      </c>
      <c r="R43" s="9">
        <v>0</v>
      </c>
      <c r="S43" s="8">
        <v>0</v>
      </c>
      <c r="T43" s="9">
        <v>0</v>
      </c>
    </row>
    <row r="44" spans="1:20" x14ac:dyDescent="0.2">
      <c r="A44" s="5" t="s">
        <v>76</v>
      </c>
      <c r="B44" s="5" t="s">
        <v>75</v>
      </c>
      <c r="C44" s="8" t="s">
        <v>18</v>
      </c>
      <c r="D44" s="7">
        <f t="shared" si="0"/>
        <v>26.400000000000002</v>
      </c>
      <c r="E44" s="8">
        <v>0</v>
      </c>
      <c r="F44" s="5">
        <v>0</v>
      </c>
      <c r="G44" s="5">
        <v>0</v>
      </c>
      <c r="H44" s="5">
        <v>0</v>
      </c>
      <c r="I44" s="5">
        <v>0</v>
      </c>
      <c r="J44" s="9">
        <v>0</v>
      </c>
      <c r="K44" s="8">
        <v>16</v>
      </c>
      <c r="L44" s="5">
        <v>117</v>
      </c>
      <c r="M44" s="5">
        <v>1</v>
      </c>
      <c r="N44" s="9">
        <v>0</v>
      </c>
      <c r="O44" s="8">
        <v>4</v>
      </c>
      <c r="P44" s="5">
        <v>47</v>
      </c>
      <c r="Q44" s="5">
        <v>0</v>
      </c>
      <c r="R44" s="9">
        <v>0</v>
      </c>
      <c r="S44" s="8">
        <v>0</v>
      </c>
      <c r="T44" s="9">
        <v>0</v>
      </c>
    </row>
    <row r="45" spans="1:20" x14ac:dyDescent="0.2">
      <c r="A45" s="5" t="s">
        <v>77</v>
      </c>
      <c r="B45" s="5" t="s">
        <v>75</v>
      </c>
      <c r="C45" s="6" t="s">
        <v>34</v>
      </c>
      <c r="D45" s="7">
        <f t="shared" si="0"/>
        <v>25.900000000000002</v>
      </c>
      <c r="E45" s="8">
        <v>0</v>
      </c>
      <c r="F45" s="5">
        <v>0</v>
      </c>
      <c r="G45" s="5">
        <v>0</v>
      </c>
      <c r="H45" s="5">
        <v>0</v>
      </c>
      <c r="I45" s="5">
        <v>0</v>
      </c>
      <c r="J45" s="9">
        <v>0</v>
      </c>
      <c r="K45" s="8">
        <v>22</v>
      </c>
      <c r="L45" s="5">
        <v>152</v>
      </c>
      <c r="M45" s="5">
        <v>1</v>
      </c>
      <c r="N45" s="9">
        <v>0</v>
      </c>
      <c r="O45" s="8">
        <v>3</v>
      </c>
      <c r="P45" s="5">
        <v>17</v>
      </c>
      <c r="Q45" s="5">
        <v>0</v>
      </c>
      <c r="R45" s="9">
        <v>0</v>
      </c>
      <c r="S45" s="8">
        <v>0</v>
      </c>
      <c r="T45" s="9">
        <v>0</v>
      </c>
    </row>
    <row r="46" spans="1:20" x14ac:dyDescent="0.2">
      <c r="A46" s="5" t="s">
        <v>78</v>
      </c>
      <c r="B46" s="5" t="s">
        <v>75</v>
      </c>
      <c r="C46" s="8" t="s">
        <v>52</v>
      </c>
      <c r="D46" s="7">
        <f t="shared" si="0"/>
        <v>24.4</v>
      </c>
      <c r="E46" s="8">
        <v>0</v>
      </c>
      <c r="F46" s="5">
        <v>0</v>
      </c>
      <c r="G46" s="5">
        <v>0</v>
      </c>
      <c r="H46" s="5">
        <v>0</v>
      </c>
      <c r="I46" s="5">
        <v>0</v>
      </c>
      <c r="J46" s="9">
        <v>0</v>
      </c>
      <c r="K46" s="8">
        <v>15</v>
      </c>
      <c r="L46" s="5">
        <v>75</v>
      </c>
      <c r="M46" s="5">
        <v>2</v>
      </c>
      <c r="N46" s="9">
        <v>0</v>
      </c>
      <c r="O46" s="8">
        <v>3</v>
      </c>
      <c r="P46" s="5">
        <v>19</v>
      </c>
      <c r="Q46" s="5">
        <v>0</v>
      </c>
      <c r="R46" s="9">
        <v>0</v>
      </c>
      <c r="S46" s="8">
        <v>0</v>
      </c>
      <c r="T46" s="9">
        <v>0</v>
      </c>
    </row>
    <row r="47" spans="1:20" x14ac:dyDescent="0.2">
      <c r="A47" s="5" t="s">
        <v>79</v>
      </c>
      <c r="B47" s="5" t="s">
        <v>75</v>
      </c>
      <c r="C47" s="6" t="s">
        <v>60</v>
      </c>
      <c r="D47" s="7">
        <f t="shared" si="0"/>
        <v>22.2</v>
      </c>
      <c r="E47" s="8">
        <v>0</v>
      </c>
      <c r="F47" s="5">
        <v>0</v>
      </c>
      <c r="G47" s="5">
        <v>0</v>
      </c>
      <c r="H47" s="5">
        <v>0</v>
      </c>
      <c r="I47" s="5">
        <v>0</v>
      </c>
      <c r="J47" s="9">
        <v>0</v>
      </c>
      <c r="K47" s="8">
        <v>14</v>
      </c>
      <c r="L47" s="5">
        <v>70</v>
      </c>
      <c r="M47" s="5">
        <v>2</v>
      </c>
      <c r="N47" s="9">
        <v>0</v>
      </c>
      <c r="O47" s="8">
        <v>2</v>
      </c>
      <c r="P47" s="5">
        <v>12</v>
      </c>
      <c r="Q47" s="5">
        <v>0</v>
      </c>
      <c r="R47" s="9">
        <v>0</v>
      </c>
      <c r="S47" s="8">
        <v>0</v>
      </c>
      <c r="T47" s="9">
        <v>0</v>
      </c>
    </row>
    <row r="48" spans="1:20" x14ac:dyDescent="0.2">
      <c r="A48" s="5" t="s">
        <v>80</v>
      </c>
      <c r="B48" s="5" t="s">
        <v>75</v>
      </c>
      <c r="C48" s="6" t="s">
        <v>27</v>
      </c>
      <c r="D48" s="7">
        <f t="shared" si="0"/>
        <v>21.4</v>
      </c>
      <c r="E48" s="8">
        <v>0</v>
      </c>
      <c r="F48" s="5">
        <v>0</v>
      </c>
      <c r="G48" s="5">
        <v>0</v>
      </c>
      <c r="H48" s="5">
        <v>0</v>
      </c>
      <c r="I48" s="5">
        <v>0</v>
      </c>
      <c r="J48" s="9">
        <v>0</v>
      </c>
      <c r="K48" s="8">
        <v>18</v>
      </c>
      <c r="L48" s="5">
        <v>77</v>
      </c>
      <c r="M48" s="5">
        <v>1</v>
      </c>
      <c r="N48" s="9">
        <v>0</v>
      </c>
      <c r="O48" s="8">
        <v>5</v>
      </c>
      <c r="P48" s="5">
        <v>27</v>
      </c>
      <c r="Q48" s="5">
        <v>0</v>
      </c>
      <c r="R48" s="9">
        <v>0</v>
      </c>
      <c r="S48" s="8">
        <v>0</v>
      </c>
      <c r="T48" s="9">
        <v>0</v>
      </c>
    </row>
    <row r="49" spans="1:20" x14ac:dyDescent="0.2">
      <c r="A49" s="5" t="s">
        <v>81</v>
      </c>
      <c r="B49" s="5" t="s">
        <v>75</v>
      </c>
      <c r="C49" s="8" t="s">
        <v>52</v>
      </c>
      <c r="D49" s="7">
        <f t="shared" si="0"/>
        <v>20.3</v>
      </c>
      <c r="E49" s="8">
        <v>0</v>
      </c>
      <c r="F49" s="5">
        <v>0</v>
      </c>
      <c r="G49" s="5">
        <v>0</v>
      </c>
      <c r="H49" s="5">
        <v>0</v>
      </c>
      <c r="I49" s="5">
        <v>0</v>
      </c>
      <c r="J49" s="9">
        <v>0</v>
      </c>
      <c r="K49" s="8">
        <v>10</v>
      </c>
      <c r="L49" s="5">
        <v>56</v>
      </c>
      <c r="M49" s="5">
        <v>0</v>
      </c>
      <c r="N49" s="9">
        <v>0</v>
      </c>
      <c r="O49" s="8">
        <v>6</v>
      </c>
      <c r="P49" s="5">
        <v>27</v>
      </c>
      <c r="Q49" s="5">
        <v>1</v>
      </c>
      <c r="R49" s="9">
        <v>0</v>
      </c>
      <c r="S49" s="8">
        <v>0</v>
      </c>
      <c r="T49" s="9">
        <v>0</v>
      </c>
    </row>
    <row r="50" spans="1:20" x14ac:dyDescent="0.2">
      <c r="A50" s="5" t="s">
        <v>82</v>
      </c>
      <c r="B50" s="5" t="s">
        <v>75</v>
      </c>
      <c r="C50" s="8" t="s">
        <v>22</v>
      </c>
      <c r="D50" s="7">
        <f t="shared" si="0"/>
        <v>17.5</v>
      </c>
      <c r="E50" s="8">
        <v>0</v>
      </c>
      <c r="F50" s="5">
        <v>0</v>
      </c>
      <c r="G50" s="5">
        <v>0</v>
      </c>
      <c r="H50" s="5">
        <v>0</v>
      </c>
      <c r="I50" s="5">
        <v>0</v>
      </c>
      <c r="J50" s="9">
        <v>0</v>
      </c>
      <c r="K50" s="8">
        <v>5</v>
      </c>
      <c r="L50" s="5">
        <v>20</v>
      </c>
      <c r="M50" s="5">
        <v>1</v>
      </c>
      <c r="N50" s="9">
        <v>0</v>
      </c>
      <c r="O50" s="8">
        <v>6</v>
      </c>
      <c r="P50" s="5">
        <v>35</v>
      </c>
      <c r="Q50" s="5">
        <v>0</v>
      </c>
      <c r="R50" s="9">
        <v>0</v>
      </c>
      <c r="S50" s="8">
        <v>0</v>
      </c>
      <c r="T50" s="9">
        <v>0</v>
      </c>
    </row>
    <row r="51" spans="1:20" x14ac:dyDescent="0.2">
      <c r="A51" s="5" t="s">
        <v>83</v>
      </c>
      <c r="B51" s="5" t="s">
        <v>75</v>
      </c>
      <c r="C51" s="6" t="s">
        <v>47</v>
      </c>
      <c r="D51" s="7">
        <f t="shared" si="0"/>
        <v>17.399999999999999</v>
      </c>
      <c r="E51" s="8">
        <v>0</v>
      </c>
      <c r="F51" s="5">
        <v>0</v>
      </c>
      <c r="G51" s="5">
        <v>0</v>
      </c>
      <c r="H51" s="5">
        <v>0</v>
      </c>
      <c r="I51" s="5">
        <v>0</v>
      </c>
      <c r="J51" s="9">
        <v>0</v>
      </c>
      <c r="K51" s="8">
        <v>15</v>
      </c>
      <c r="L51" s="5">
        <v>52</v>
      </c>
      <c r="M51" s="5">
        <v>2</v>
      </c>
      <c r="N51" s="9">
        <v>0</v>
      </c>
      <c r="O51" s="8">
        <v>0</v>
      </c>
      <c r="P51" s="5">
        <v>2</v>
      </c>
      <c r="Q51" s="5">
        <v>0</v>
      </c>
      <c r="R51" s="9">
        <v>0</v>
      </c>
      <c r="S51" s="8">
        <v>0</v>
      </c>
      <c r="T51" s="9">
        <v>0</v>
      </c>
    </row>
    <row r="52" spans="1:20" x14ac:dyDescent="0.2">
      <c r="A52" s="5" t="s">
        <v>84</v>
      </c>
      <c r="B52" s="5" t="s">
        <v>75</v>
      </c>
      <c r="C52" s="8" t="s">
        <v>29</v>
      </c>
      <c r="D52" s="7">
        <f t="shared" si="0"/>
        <v>16.700000000000003</v>
      </c>
      <c r="E52" s="8">
        <v>0</v>
      </c>
      <c r="F52" s="5">
        <v>0</v>
      </c>
      <c r="G52" s="5">
        <v>0</v>
      </c>
      <c r="H52" s="5">
        <v>0</v>
      </c>
      <c r="I52" s="5">
        <v>0</v>
      </c>
      <c r="J52" s="9">
        <v>0</v>
      </c>
      <c r="K52" s="8">
        <v>18</v>
      </c>
      <c r="L52" s="5">
        <v>106</v>
      </c>
      <c r="M52" s="5">
        <v>0</v>
      </c>
      <c r="N52" s="9">
        <v>0</v>
      </c>
      <c r="O52" s="8">
        <v>4</v>
      </c>
      <c r="P52" s="5">
        <v>21</v>
      </c>
      <c r="Q52" s="5">
        <v>0</v>
      </c>
      <c r="R52" s="9">
        <v>0</v>
      </c>
      <c r="S52" s="8">
        <v>0</v>
      </c>
      <c r="T52" s="9">
        <v>0</v>
      </c>
    </row>
    <row r="53" spans="1:20" x14ac:dyDescent="0.2">
      <c r="A53" s="5" t="s">
        <v>85</v>
      </c>
      <c r="B53" s="5" t="s">
        <v>75</v>
      </c>
      <c r="C53" s="8" t="s">
        <v>49</v>
      </c>
      <c r="D53" s="7">
        <f t="shared" si="0"/>
        <v>15.700000000000001</v>
      </c>
      <c r="E53" s="8">
        <v>0</v>
      </c>
      <c r="F53" s="5">
        <v>0</v>
      </c>
      <c r="G53" s="5">
        <v>0</v>
      </c>
      <c r="H53" s="5">
        <v>0</v>
      </c>
      <c r="I53" s="5">
        <v>0</v>
      </c>
      <c r="J53" s="9">
        <v>0</v>
      </c>
      <c r="K53" s="8">
        <v>10</v>
      </c>
      <c r="L53" s="5">
        <v>127</v>
      </c>
      <c r="M53" s="5">
        <v>0</v>
      </c>
      <c r="N53" s="9">
        <v>0</v>
      </c>
      <c r="O53" s="8">
        <v>1</v>
      </c>
      <c r="P53" s="5">
        <v>20</v>
      </c>
      <c r="Q53" s="5">
        <v>0</v>
      </c>
      <c r="R53" s="9">
        <v>0</v>
      </c>
      <c r="S53" s="8">
        <v>0</v>
      </c>
      <c r="T53" s="9">
        <v>0</v>
      </c>
    </row>
    <row r="54" spans="1:20" x14ac:dyDescent="0.2">
      <c r="A54" s="5" t="s">
        <v>86</v>
      </c>
      <c r="B54" s="5" t="s">
        <v>75</v>
      </c>
      <c r="C54" s="8" t="s">
        <v>18</v>
      </c>
      <c r="D54" s="7">
        <f t="shared" si="0"/>
        <v>15.1</v>
      </c>
      <c r="E54" s="8">
        <v>0</v>
      </c>
      <c r="F54" s="5">
        <v>0</v>
      </c>
      <c r="G54" s="5">
        <v>0</v>
      </c>
      <c r="H54" s="5">
        <v>0</v>
      </c>
      <c r="I54" s="5">
        <v>0</v>
      </c>
      <c r="J54" s="9">
        <v>0</v>
      </c>
      <c r="K54" s="8">
        <v>16</v>
      </c>
      <c r="L54" s="5">
        <v>91</v>
      </c>
      <c r="M54" s="5">
        <v>1</v>
      </c>
      <c r="N54" s="9">
        <v>0</v>
      </c>
      <c r="O54" s="8">
        <v>0</v>
      </c>
      <c r="P54" s="5">
        <v>0</v>
      </c>
      <c r="Q54" s="5">
        <v>0</v>
      </c>
      <c r="R54" s="9">
        <v>0</v>
      </c>
      <c r="S54" s="8">
        <v>0</v>
      </c>
      <c r="T54" s="9">
        <v>0</v>
      </c>
    </row>
    <row r="55" spans="1:20" x14ac:dyDescent="0.2">
      <c r="A55" s="5" t="s">
        <v>87</v>
      </c>
      <c r="B55" s="5" t="s">
        <v>75</v>
      </c>
      <c r="C55" s="8" t="s">
        <v>20</v>
      </c>
      <c r="D55" s="7">
        <f t="shared" si="0"/>
        <v>14.9</v>
      </c>
      <c r="E55" s="8">
        <v>0</v>
      </c>
      <c r="F55" s="5">
        <v>0</v>
      </c>
      <c r="G55" s="5">
        <v>0</v>
      </c>
      <c r="H55" s="5">
        <v>0</v>
      </c>
      <c r="I55" s="5">
        <v>0</v>
      </c>
      <c r="J55" s="9">
        <v>0</v>
      </c>
      <c r="K55" s="8">
        <v>12</v>
      </c>
      <c r="L55" s="5">
        <v>25</v>
      </c>
      <c r="M55" s="5">
        <v>0</v>
      </c>
      <c r="N55" s="9">
        <v>0</v>
      </c>
      <c r="O55" s="8">
        <v>6</v>
      </c>
      <c r="P55" s="5">
        <v>64</v>
      </c>
      <c r="Q55" s="5">
        <v>0</v>
      </c>
      <c r="R55" s="9">
        <v>0</v>
      </c>
      <c r="S55" s="8">
        <v>0</v>
      </c>
      <c r="T55" s="9">
        <v>0</v>
      </c>
    </row>
    <row r="56" spans="1:20" x14ac:dyDescent="0.2">
      <c r="A56" s="5" t="s">
        <v>88</v>
      </c>
      <c r="B56" s="5" t="s">
        <v>75</v>
      </c>
      <c r="C56" s="6" t="s">
        <v>42</v>
      </c>
      <c r="D56" s="7">
        <f t="shared" si="0"/>
        <v>13.900000000000002</v>
      </c>
      <c r="E56" s="8">
        <v>0</v>
      </c>
      <c r="F56" s="5">
        <v>0</v>
      </c>
      <c r="G56" s="5">
        <v>0</v>
      </c>
      <c r="H56" s="5">
        <v>0</v>
      </c>
      <c r="I56" s="5">
        <v>0</v>
      </c>
      <c r="J56" s="9">
        <v>0</v>
      </c>
      <c r="K56" s="8">
        <v>15</v>
      </c>
      <c r="L56" s="5">
        <v>63</v>
      </c>
      <c r="M56" s="5">
        <v>0</v>
      </c>
      <c r="N56" s="9">
        <v>0</v>
      </c>
      <c r="O56" s="8">
        <v>2</v>
      </c>
      <c r="P56" s="5">
        <v>56</v>
      </c>
      <c r="Q56" s="5">
        <v>0</v>
      </c>
      <c r="R56" s="9">
        <v>0</v>
      </c>
      <c r="S56" s="8">
        <v>0</v>
      </c>
      <c r="T56" s="9">
        <v>0</v>
      </c>
    </row>
    <row r="57" spans="1:20" x14ac:dyDescent="0.2">
      <c r="A57" s="5" t="s">
        <v>89</v>
      </c>
      <c r="B57" s="5" t="s">
        <v>75</v>
      </c>
      <c r="C57" s="8" t="s">
        <v>31</v>
      </c>
      <c r="D57" s="7">
        <f t="shared" si="0"/>
        <v>13.4</v>
      </c>
      <c r="E57" s="8">
        <v>0</v>
      </c>
      <c r="F57" s="5">
        <v>0</v>
      </c>
      <c r="G57" s="5">
        <v>0</v>
      </c>
      <c r="H57" s="5">
        <v>0</v>
      </c>
      <c r="I57" s="5">
        <v>0</v>
      </c>
      <c r="J57" s="9">
        <v>0</v>
      </c>
      <c r="K57" s="8">
        <v>11</v>
      </c>
      <c r="L57" s="5">
        <v>34</v>
      </c>
      <c r="M57" s="5">
        <v>0</v>
      </c>
      <c r="N57" s="9">
        <v>0</v>
      </c>
      <c r="O57" s="8">
        <v>3</v>
      </c>
      <c r="P57" s="5">
        <v>10</v>
      </c>
      <c r="Q57" s="5">
        <v>1</v>
      </c>
      <c r="R57" s="9">
        <v>0</v>
      </c>
      <c r="S57" s="8">
        <v>0</v>
      </c>
      <c r="T57" s="9">
        <v>0</v>
      </c>
    </row>
    <row r="58" spans="1:20" x14ac:dyDescent="0.2">
      <c r="A58" s="5" t="s">
        <v>90</v>
      </c>
      <c r="B58" s="5" t="s">
        <v>75</v>
      </c>
      <c r="C58" s="6" t="s">
        <v>24</v>
      </c>
      <c r="D58" s="7">
        <f t="shared" si="0"/>
        <v>13.4</v>
      </c>
      <c r="E58" s="8">
        <v>0</v>
      </c>
      <c r="F58" s="5">
        <v>0</v>
      </c>
      <c r="G58" s="5">
        <v>0</v>
      </c>
      <c r="H58" s="5">
        <v>0</v>
      </c>
      <c r="I58" s="5">
        <v>0</v>
      </c>
      <c r="J58" s="9">
        <v>0</v>
      </c>
      <c r="K58" s="8">
        <v>21</v>
      </c>
      <c r="L58" s="5">
        <v>74</v>
      </c>
      <c r="M58" s="5">
        <v>1</v>
      </c>
      <c r="N58" s="9">
        <v>0</v>
      </c>
      <c r="O58" s="8">
        <v>0</v>
      </c>
      <c r="P58" s="5">
        <v>0</v>
      </c>
      <c r="Q58" s="5">
        <v>0</v>
      </c>
      <c r="R58" s="9">
        <v>0</v>
      </c>
      <c r="S58" s="8">
        <v>0</v>
      </c>
      <c r="T58" s="9">
        <v>0</v>
      </c>
    </row>
    <row r="59" spans="1:20" x14ac:dyDescent="0.2">
      <c r="A59" s="5" t="s">
        <v>91</v>
      </c>
      <c r="B59" s="5" t="s">
        <v>75</v>
      </c>
      <c r="C59" s="8" t="s">
        <v>54</v>
      </c>
      <c r="D59" s="7">
        <f t="shared" si="0"/>
        <v>12.9</v>
      </c>
      <c r="E59" s="8">
        <v>0</v>
      </c>
      <c r="F59" s="5">
        <v>0</v>
      </c>
      <c r="G59" s="5">
        <v>0</v>
      </c>
      <c r="H59" s="5">
        <v>0</v>
      </c>
      <c r="I59" s="5">
        <v>0</v>
      </c>
      <c r="J59" s="9">
        <v>0</v>
      </c>
      <c r="K59" s="8">
        <v>8</v>
      </c>
      <c r="L59" s="5">
        <v>9</v>
      </c>
      <c r="M59" s="5">
        <v>2</v>
      </c>
      <c r="N59" s="9">
        <v>0</v>
      </c>
      <c r="O59" s="8">
        <v>0</v>
      </c>
      <c r="P59" s="5">
        <v>0</v>
      </c>
      <c r="Q59" s="5">
        <v>0</v>
      </c>
      <c r="R59" s="9">
        <v>0</v>
      </c>
      <c r="S59" s="8">
        <v>0</v>
      </c>
      <c r="T59" s="9">
        <v>0</v>
      </c>
    </row>
    <row r="60" spans="1:20" x14ac:dyDescent="0.2">
      <c r="A60" s="5" t="s">
        <v>92</v>
      </c>
      <c r="B60" s="5" t="s">
        <v>75</v>
      </c>
      <c r="C60" s="6" t="s">
        <v>18</v>
      </c>
      <c r="D60" s="7">
        <f t="shared" si="0"/>
        <v>13</v>
      </c>
      <c r="E60" s="8">
        <v>0</v>
      </c>
      <c r="F60" s="5">
        <v>0</v>
      </c>
      <c r="G60" s="5">
        <v>0</v>
      </c>
      <c r="H60" s="5">
        <v>0</v>
      </c>
      <c r="I60" s="5">
        <v>0</v>
      </c>
      <c r="J60" s="9">
        <v>0</v>
      </c>
      <c r="K60" s="8">
        <v>10</v>
      </c>
      <c r="L60" s="5">
        <v>37</v>
      </c>
      <c r="M60" s="5">
        <v>1</v>
      </c>
      <c r="N60" s="9">
        <v>0</v>
      </c>
      <c r="O60" s="8">
        <v>2</v>
      </c>
      <c r="P60" s="5">
        <v>13</v>
      </c>
      <c r="Q60" s="5">
        <v>0</v>
      </c>
      <c r="R60" s="9">
        <v>0</v>
      </c>
      <c r="S60" s="8">
        <v>0</v>
      </c>
      <c r="T60" s="9">
        <v>0</v>
      </c>
    </row>
    <row r="61" spans="1:20" x14ac:dyDescent="0.2">
      <c r="A61" s="5" t="s">
        <v>93</v>
      </c>
      <c r="B61" s="5" t="s">
        <v>75</v>
      </c>
      <c r="C61" s="8" t="s">
        <v>40</v>
      </c>
      <c r="D61" s="7">
        <f t="shared" si="0"/>
        <v>13.600000000000001</v>
      </c>
      <c r="E61" s="8">
        <v>0</v>
      </c>
      <c r="F61" s="5">
        <v>0</v>
      </c>
      <c r="G61" s="5">
        <v>0</v>
      </c>
      <c r="H61" s="5">
        <v>0</v>
      </c>
      <c r="I61" s="5">
        <v>0</v>
      </c>
      <c r="J61" s="9">
        <v>0</v>
      </c>
      <c r="K61" s="8">
        <v>19</v>
      </c>
      <c r="L61" s="5">
        <v>59</v>
      </c>
      <c r="M61" s="5">
        <v>0</v>
      </c>
      <c r="N61" s="9">
        <v>0</v>
      </c>
      <c r="O61" s="8">
        <v>1</v>
      </c>
      <c r="P61" s="5">
        <v>7</v>
      </c>
      <c r="Q61" s="5">
        <v>1</v>
      </c>
      <c r="R61" s="9">
        <v>0</v>
      </c>
      <c r="S61" s="8">
        <v>0</v>
      </c>
      <c r="T61" s="9">
        <v>0</v>
      </c>
    </row>
    <row r="62" spans="1:20" x14ac:dyDescent="0.2">
      <c r="A62" s="5" t="s">
        <v>94</v>
      </c>
      <c r="B62" s="5" t="s">
        <v>75</v>
      </c>
      <c r="C62" s="6" t="s">
        <v>52</v>
      </c>
      <c r="D62" s="7">
        <f t="shared" si="0"/>
        <v>11.799999999999999</v>
      </c>
      <c r="E62" s="8">
        <v>0</v>
      </c>
      <c r="F62" s="5">
        <v>0</v>
      </c>
      <c r="G62" s="5">
        <v>0</v>
      </c>
      <c r="H62" s="5">
        <v>0</v>
      </c>
      <c r="I62" s="5">
        <v>0</v>
      </c>
      <c r="J62" s="9">
        <v>0</v>
      </c>
      <c r="K62" s="8">
        <v>18</v>
      </c>
      <c r="L62" s="5">
        <v>72</v>
      </c>
      <c r="M62" s="5">
        <v>0</v>
      </c>
      <c r="N62" s="9">
        <v>0</v>
      </c>
      <c r="O62" s="8">
        <v>4</v>
      </c>
      <c r="P62" s="5">
        <v>26</v>
      </c>
      <c r="Q62" s="5">
        <v>0</v>
      </c>
      <c r="R62" s="9">
        <v>0</v>
      </c>
      <c r="S62" s="8">
        <v>1</v>
      </c>
      <c r="T62" s="9">
        <v>0</v>
      </c>
    </row>
    <row r="63" spans="1:20" x14ac:dyDescent="0.2">
      <c r="A63" s="5" t="s">
        <v>95</v>
      </c>
      <c r="B63" s="5" t="s">
        <v>75</v>
      </c>
      <c r="C63" s="6" t="s">
        <v>40</v>
      </c>
      <c r="D63" s="7">
        <f t="shared" si="0"/>
        <v>12</v>
      </c>
      <c r="E63" s="8">
        <v>0</v>
      </c>
      <c r="F63" s="5">
        <v>0</v>
      </c>
      <c r="G63" s="5">
        <v>0</v>
      </c>
      <c r="H63" s="5">
        <v>0</v>
      </c>
      <c r="I63" s="5">
        <v>0</v>
      </c>
      <c r="J63" s="9">
        <v>0</v>
      </c>
      <c r="K63" s="8">
        <v>14</v>
      </c>
      <c r="L63" s="5">
        <v>62</v>
      </c>
      <c r="M63" s="5">
        <v>0</v>
      </c>
      <c r="N63" s="9">
        <v>0</v>
      </c>
      <c r="O63" s="8">
        <v>5</v>
      </c>
      <c r="P63" s="5">
        <v>8</v>
      </c>
      <c r="Q63" s="5">
        <v>0</v>
      </c>
      <c r="R63" s="9">
        <v>0</v>
      </c>
      <c r="S63" s="8">
        <v>0</v>
      </c>
      <c r="T63" s="9">
        <v>0</v>
      </c>
    </row>
    <row r="64" spans="1:20" x14ac:dyDescent="0.2">
      <c r="A64" s="5" t="s">
        <v>96</v>
      </c>
      <c r="B64" s="5" t="s">
        <v>75</v>
      </c>
      <c r="C64" s="8" t="s">
        <v>54</v>
      </c>
      <c r="D64" s="7">
        <f t="shared" si="0"/>
        <v>11.7</v>
      </c>
      <c r="E64" s="8">
        <v>0</v>
      </c>
      <c r="F64" s="5">
        <v>0</v>
      </c>
      <c r="G64" s="5">
        <v>0</v>
      </c>
      <c r="H64" s="5">
        <v>0</v>
      </c>
      <c r="I64" s="5">
        <v>0</v>
      </c>
      <c r="J64" s="9">
        <v>0</v>
      </c>
      <c r="K64" s="8">
        <v>8</v>
      </c>
      <c r="L64" s="5">
        <v>22</v>
      </c>
      <c r="M64" s="5">
        <v>1</v>
      </c>
      <c r="N64" s="9">
        <v>0</v>
      </c>
      <c r="O64" s="8">
        <v>2</v>
      </c>
      <c r="P64" s="5">
        <v>15</v>
      </c>
      <c r="Q64" s="5">
        <v>0</v>
      </c>
      <c r="R64" s="9">
        <v>0</v>
      </c>
      <c r="S64" s="8">
        <v>0</v>
      </c>
      <c r="T64" s="9">
        <v>0</v>
      </c>
    </row>
    <row r="65" spans="1:20" x14ac:dyDescent="0.2">
      <c r="A65" s="5" t="s">
        <v>97</v>
      </c>
      <c r="B65" s="5" t="s">
        <v>75</v>
      </c>
      <c r="C65" s="6" t="s">
        <v>20</v>
      </c>
      <c r="D65" s="7">
        <f t="shared" si="0"/>
        <v>11.4</v>
      </c>
      <c r="E65" s="8">
        <v>0</v>
      </c>
      <c r="F65" s="5">
        <v>0</v>
      </c>
      <c r="G65" s="5">
        <v>0</v>
      </c>
      <c r="H65" s="5">
        <v>0</v>
      </c>
      <c r="I65" s="5">
        <v>0</v>
      </c>
      <c r="J65" s="9">
        <v>0</v>
      </c>
      <c r="K65" s="8">
        <v>14</v>
      </c>
      <c r="L65" s="5">
        <v>54</v>
      </c>
      <c r="M65" s="5">
        <v>0</v>
      </c>
      <c r="N65" s="9">
        <v>0</v>
      </c>
      <c r="O65" s="8">
        <v>4</v>
      </c>
      <c r="P65" s="5">
        <v>20</v>
      </c>
      <c r="Q65" s="5">
        <v>0</v>
      </c>
      <c r="R65" s="9">
        <v>0</v>
      </c>
      <c r="S65" s="8">
        <v>0</v>
      </c>
      <c r="T65" s="9">
        <v>0</v>
      </c>
    </row>
    <row r="66" spans="1:20" x14ac:dyDescent="0.2">
      <c r="A66" s="5" t="s">
        <v>98</v>
      </c>
      <c r="B66" s="5" t="s">
        <v>75</v>
      </c>
      <c r="C66" s="8" t="s">
        <v>36</v>
      </c>
      <c r="D66" s="7">
        <f t="shared" si="0"/>
        <v>11.8</v>
      </c>
      <c r="E66" s="8">
        <v>0</v>
      </c>
      <c r="F66" s="5">
        <v>0</v>
      </c>
      <c r="G66" s="5">
        <v>0</v>
      </c>
      <c r="H66" s="5">
        <v>0</v>
      </c>
      <c r="I66" s="5">
        <v>0</v>
      </c>
      <c r="J66" s="9">
        <v>0</v>
      </c>
      <c r="K66" s="8">
        <v>8</v>
      </c>
      <c r="L66" s="5">
        <v>41</v>
      </c>
      <c r="M66" s="5">
        <v>0</v>
      </c>
      <c r="N66" s="9">
        <v>0</v>
      </c>
      <c r="O66" s="8">
        <v>4</v>
      </c>
      <c r="P66" s="5">
        <v>37</v>
      </c>
      <c r="Q66" s="5">
        <v>0</v>
      </c>
      <c r="R66" s="9">
        <v>0</v>
      </c>
      <c r="S66" s="8">
        <v>0</v>
      </c>
      <c r="T66" s="9">
        <v>0</v>
      </c>
    </row>
    <row r="67" spans="1:20" x14ac:dyDescent="0.2">
      <c r="A67" s="5" t="s">
        <v>99</v>
      </c>
      <c r="B67" s="5" t="s">
        <v>75</v>
      </c>
      <c r="C67" s="8" t="s">
        <v>22</v>
      </c>
      <c r="D67" s="7">
        <f t="shared" si="0"/>
        <v>11.4</v>
      </c>
      <c r="E67" s="8">
        <v>0</v>
      </c>
      <c r="F67" s="5">
        <v>0</v>
      </c>
      <c r="G67" s="5">
        <v>0</v>
      </c>
      <c r="H67" s="5">
        <v>0</v>
      </c>
      <c r="I67" s="5">
        <v>0</v>
      </c>
      <c r="J67" s="9">
        <v>0</v>
      </c>
      <c r="K67" s="8">
        <v>9</v>
      </c>
      <c r="L67" s="5">
        <v>27</v>
      </c>
      <c r="M67" s="5">
        <v>0</v>
      </c>
      <c r="N67" s="9">
        <v>1</v>
      </c>
      <c r="O67" s="8">
        <v>3</v>
      </c>
      <c r="P67" s="5">
        <v>37</v>
      </c>
      <c r="Q67" s="5">
        <v>0</v>
      </c>
      <c r="R67" s="9">
        <v>0</v>
      </c>
      <c r="S67" s="8">
        <v>0</v>
      </c>
      <c r="T67" s="9">
        <v>0</v>
      </c>
    </row>
    <row r="68" spans="1:20" x14ac:dyDescent="0.2">
      <c r="A68" s="5" t="s">
        <v>100</v>
      </c>
      <c r="B68" s="5" t="s">
        <v>75</v>
      </c>
      <c r="C68" s="8" t="s">
        <v>47</v>
      </c>
      <c r="D68" s="7">
        <f t="shared" si="0"/>
        <v>10.700000000000001</v>
      </c>
      <c r="E68" s="8">
        <v>0</v>
      </c>
      <c r="F68" s="5">
        <v>0</v>
      </c>
      <c r="G68" s="5">
        <v>0</v>
      </c>
      <c r="H68" s="5">
        <v>0</v>
      </c>
      <c r="I68" s="5">
        <v>0</v>
      </c>
      <c r="J68" s="9">
        <v>0</v>
      </c>
      <c r="K68" s="8">
        <v>12</v>
      </c>
      <c r="L68" s="5">
        <v>64</v>
      </c>
      <c r="M68" s="5">
        <v>0</v>
      </c>
      <c r="N68" s="9">
        <v>0</v>
      </c>
      <c r="O68" s="8">
        <v>4</v>
      </c>
      <c r="P68" s="5">
        <v>3</v>
      </c>
      <c r="Q68" s="5">
        <v>0</v>
      </c>
      <c r="R68" s="9">
        <v>0</v>
      </c>
      <c r="S68" s="8">
        <v>0</v>
      </c>
      <c r="T68" s="9">
        <v>0</v>
      </c>
    </row>
    <row r="69" spans="1:20" x14ac:dyDescent="0.2">
      <c r="A69" s="5" t="s">
        <v>101</v>
      </c>
      <c r="B69" s="5" t="s">
        <v>75</v>
      </c>
      <c r="C69" s="8" t="s">
        <v>60</v>
      </c>
      <c r="D69" s="7">
        <f t="shared" si="0"/>
        <v>9.3000000000000007</v>
      </c>
      <c r="E69" s="8">
        <v>0</v>
      </c>
      <c r="F69" s="5">
        <v>0</v>
      </c>
      <c r="G69" s="5">
        <v>0</v>
      </c>
      <c r="H69" s="5">
        <v>0</v>
      </c>
      <c r="I69" s="5">
        <v>0</v>
      </c>
      <c r="J69" s="9">
        <v>0</v>
      </c>
      <c r="K69" s="8">
        <v>12</v>
      </c>
      <c r="L69" s="5">
        <v>51</v>
      </c>
      <c r="M69" s="5">
        <v>0</v>
      </c>
      <c r="N69" s="9">
        <v>0</v>
      </c>
      <c r="O69" s="8">
        <v>3</v>
      </c>
      <c r="P69" s="5">
        <v>12</v>
      </c>
      <c r="Q69" s="5">
        <v>0</v>
      </c>
      <c r="R69" s="9">
        <v>0</v>
      </c>
      <c r="S69" s="8">
        <v>0</v>
      </c>
      <c r="T69" s="9">
        <v>0</v>
      </c>
    </row>
    <row r="70" spans="1:20" x14ac:dyDescent="0.2">
      <c r="A70" s="5" t="s">
        <v>102</v>
      </c>
      <c r="B70" s="5" t="s">
        <v>75</v>
      </c>
      <c r="C70" s="6" t="s">
        <v>49</v>
      </c>
      <c r="D70" s="7">
        <f t="shared" si="0"/>
        <v>10.3</v>
      </c>
      <c r="E70" s="8">
        <v>0</v>
      </c>
      <c r="F70" s="5">
        <v>0</v>
      </c>
      <c r="G70" s="5">
        <v>0</v>
      </c>
      <c r="H70" s="5">
        <v>0</v>
      </c>
      <c r="I70" s="5">
        <v>0</v>
      </c>
      <c r="J70" s="9">
        <v>0</v>
      </c>
      <c r="K70" s="8">
        <v>12</v>
      </c>
      <c r="L70" s="5">
        <v>46</v>
      </c>
      <c r="M70" s="5">
        <v>0</v>
      </c>
      <c r="N70" s="9">
        <v>0</v>
      </c>
      <c r="O70" s="8">
        <v>4</v>
      </c>
      <c r="P70" s="5">
        <v>17</v>
      </c>
      <c r="Q70" s="5">
        <v>0</v>
      </c>
      <c r="R70" s="9">
        <v>0</v>
      </c>
      <c r="S70" s="8">
        <v>0</v>
      </c>
      <c r="T70" s="9">
        <v>0</v>
      </c>
    </row>
    <row r="71" spans="1:20" x14ac:dyDescent="0.2">
      <c r="A71" s="5" t="s">
        <v>103</v>
      </c>
      <c r="B71" s="5" t="s">
        <v>75</v>
      </c>
      <c r="C71" s="6" t="s">
        <v>29</v>
      </c>
      <c r="D71" s="7">
        <f t="shared" si="0"/>
        <v>10.3</v>
      </c>
      <c r="E71" s="8">
        <v>0</v>
      </c>
      <c r="F71" s="5">
        <v>0</v>
      </c>
      <c r="G71" s="5">
        <v>0</v>
      </c>
      <c r="H71" s="5">
        <v>0</v>
      </c>
      <c r="I71" s="5">
        <v>0</v>
      </c>
      <c r="J71" s="9">
        <v>0</v>
      </c>
      <c r="K71" s="8">
        <v>13</v>
      </c>
      <c r="L71" s="5">
        <v>56</v>
      </c>
      <c r="M71" s="5">
        <v>0</v>
      </c>
      <c r="N71" s="9">
        <v>0</v>
      </c>
      <c r="O71" s="8">
        <v>3</v>
      </c>
      <c r="P71" s="5">
        <v>17</v>
      </c>
      <c r="Q71" s="5">
        <v>0</v>
      </c>
      <c r="R71" s="9">
        <v>0</v>
      </c>
      <c r="S71" s="8">
        <v>0</v>
      </c>
      <c r="T71" s="9">
        <v>0</v>
      </c>
    </row>
    <row r="72" spans="1:20" x14ac:dyDescent="0.2">
      <c r="A72" s="5" t="s">
        <v>104</v>
      </c>
      <c r="B72" s="5" t="s">
        <v>75</v>
      </c>
      <c r="C72" s="8" t="s">
        <v>24</v>
      </c>
      <c r="D72" s="7">
        <f t="shared" si="0"/>
        <v>9.4</v>
      </c>
      <c r="E72" s="8">
        <v>0</v>
      </c>
      <c r="F72" s="5">
        <v>0</v>
      </c>
      <c r="G72" s="5">
        <v>0</v>
      </c>
      <c r="H72" s="5">
        <v>0</v>
      </c>
      <c r="I72" s="5">
        <v>0</v>
      </c>
      <c r="J72" s="9">
        <v>0</v>
      </c>
      <c r="K72" s="8">
        <v>8</v>
      </c>
      <c r="L72" s="5">
        <v>23</v>
      </c>
      <c r="M72" s="5">
        <v>0</v>
      </c>
      <c r="N72" s="9">
        <v>0</v>
      </c>
      <c r="O72" s="8">
        <v>4</v>
      </c>
      <c r="P72" s="5">
        <v>31</v>
      </c>
      <c r="Q72" s="5">
        <v>0</v>
      </c>
      <c r="R72" s="9">
        <v>0</v>
      </c>
      <c r="S72" s="8">
        <v>0</v>
      </c>
      <c r="T72" s="9">
        <v>0</v>
      </c>
    </row>
    <row r="73" spans="1:20" x14ac:dyDescent="0.2">
      <c r="A73" s="5" t="s">
        <v>105</v>
      </c>
      <c r="B73" s="5" t="s">
        <v>75</v>
      </c>
      <c r="C73" s="8" t="s">
        <v>36</v>
      </c>
      <c r="D73" s="7">
        <f t="shared" si="0"/>
        <v>9.6999999999999993</v>
      </c>
      <c r="E73" s="8">
        <v>0</v>
      </c>
      <c r="F73" s="5">
        <v>0</v>
      </c>
      <c r="G73" s="5">
        <v>0</v>
      </c>
      <c r="H73" s="5">
        <v>0</v>
      </c>
      <c r="I73" s="5">
        <v>0</v>
      </c>
      <c r="J73" s="9">
        <v>0</v>
      </c>
      <c r="K73" s="8">
        <v>13</v>
      </c>
      <c r="L73" s="5">
        <v>52</v>
      </c>
      <c r="M73" s="5">
        <v>0</v>
      </c>
      <c r="N73" s="9">
        <v>0</v>
      </c>
      <c r="O73" s="8">
        <v>4</v>
      </c>
      <c r="P73" s="5">
        <v>5</v>
      </c>
      <c r="Q73" s="5">
        <v>0</v>
      </c>
      <c r="R73" s="9">
        <v>0</v>
      </c>
      <c r="S73" s="8">
        <v>0</v>
      </c>
      <c r="T73" s="9">
        <v>0</v>
      </c>
    </row>
    <row r="74" spans="1:20" x14ac:dyDescent="0.2">
      <c r="A74" s="5" t="s">
        <v>106</v>
      </c>
      <c r="B74" s="5" t="s">
        <v>75</v>
      </c>
      <c r="C74" s="6" t="s">
        <v>47</v>
      </c>
      <c r="D74" s="7">
        <f t="shared" si="0"/>
        <v>8.9</v>
      </c>
      <c r="E74" s="8">
        <v>0</v>
      </c>
      <c r="F74" s="5">
        <v>0</v>
      </c>
      <c r="G74" s="5">
        <v>0</v>
      </c>
      <c r="H74" s="5">
        <v>0</v>
      </c>
      <c r="I74" s="5">
        <v>0</v>
      </c>
      <c r="J74" s="9">
        <v>0</v>
      </c>
      <c r="K74" s="8">
        <v>22</v>
      </c>
      <c r="L74" s="5">
        <v>29</v>
      </c>
      <c r="M74" s="5">
        <v>1</v>
      </c>
      <c r="N74" s="9">
        <v>0</v>
      </c>
      <c r="O74" s="8">
        <v>0</v>
      </c>
      <c r="P74" s="5">
        <v>0</v>
      </c>
      <c r="Q74" s="5">
        <v>0</v>
      </c>
      <c r="R74" s="9">
        <v>0</v>
      </c>
      <c r="S74" s="8">
        <v>0</v>
      </c>
      <c r="T74" s="9">
        <v>0</v>
      </c>
    </row>
    <row r="75" spans="1:20" x14ac:dyDescent="0.2">
      <c r="A75" s="5" t="s">
        <v>107</v>
      </c>
      <c r="B75" s="5" t="s">
        <v>75</v>
      </c>
      <c r="C75" s="8" t="s">
        <v>49</v>
      </c>
      <c r="D75" s="7">
        <f t="shared" si="0"/>
        <v>8.9</v>
      </c>
      <c r="E75" s="8">
        <v>0</v>
      </c>
      <c r="F75" s="5">
        <v>0</v>
      </c>
      <c r="G75" s="5">
        <v>0</v>
      </c>
      <c r="H75" s="5">
        <v>0</v>
      </c>
      <c r="I75" s="5">
        <v>0</v>
      </c>
      <c r="J75" s="9">
        <v>0</v>
      </c>
      <c r="K75" s="8">
        <v>13</v>
      </c>
      <c r="L75" s="5">
        <v>33</v>
      </c>
      <c r="M75" s="5">
        <v>0</v>
      </c>
      <c r="N75" s="9">
        <v>0</v>
      </c>
      <c r="O75" s="8">
        <v>3</v>
      </c>
      <c r="P75" s="5">
        <v>26</v>
      </c>
      <c r="Q75" s="5">
        <v>0</v>
      </c>
      <c r="R75" s="9">
        <v>0</v>
      </c>
      <c r="S75" s="8">
        <v>0</v>
      </c>
      <c r="T75" s="9">
        <v>0</v>
      </c>
    </row>
    <row r="76" spans="1:20" x14ac:dyDescent="0.2">
      <c r="A76" s="5" t="s">
        <v>108</v>
      </c>
      <c r="B76" s="5" t="s">
        <v>75</v>
      </c>
      <c r="C76" s="6" t="s">
        <v>52</v>
      </c>
      <c r="D76" s="7">
        <f t="shared" si="0"/>
        <v>8.9</v>
      </c>
      <c r="E76" s="8">
        <v>0</v>
      </c>
      <c r="F76" s="5">
        <v>0</v>
      </c>
      <c r="G76" s="5">
        <v>0</v>
      </c>
      <c r="H76" s="5">
        <v>0</v>
      </c>
      <c r="I76" s="5">
        <v>0</v>
      </c>
      <c r="J76" s="9">
        <v>0</v>
      </c>
      <c r="K76" s="8">
        <v>9</v>
      </c>
      <c r="L76" s="5">
        <v>60</v>
      </c>
      <c r="M76" s="5">
        <v>0</v>
      </c>
      <c r="N76" s="9">
        <v>0</v>
      </c>
      <c r="O76" s="8">
        <v>2</v>
      </c>
      <c r="P76" s="5">
        <v>9</v>
      </c>
      <c r="Q76" s="5">
        <v>0</v>
      </c>
      <c r="R76" s="9">
        <v>0</v>
      </c>
      <c r="S76" s="8">
        <v>0</v>
      </c>
      <c r="T76" s="9">
        <v>0</v>
      </c>
    </row>
    <row r="77" spans="1:20" x14ac:dyDescent="0.2">
      <c r="A77" s="5" t="s">
        <v>109</v>
      </c>
      <c r="B77" s="5" t="s">
        <v>75</v>
      </c>
      <c r="C77" s="6" t="s">
        <v>36</v>
      </c>
      <c r="D77" s="7">
        <f t="shared" si="0"/>
        <v>9.1000000000000014</v>
      </c>
      <c r="E77" s="8">
        <v>0</v>
      </c>
      <c r="F77" s="5">
        <v>0</v>
      </c>
      <c r="G77" s="5">
        <v>0</v>
      </c>
      <c r="H77" s="5">
        <v>0</v>
      </c>
      <c r="I77" s="5">
        <v>0</v>
      </c>
      <c r="J77" s="9">
        <v>0</v>
      </c>
      <c r="K77" s="8">
        <v>19</v>
      </c>
      <c r="L77" s="5">
        <v>48</v>
      </c>
      <c r="M77" s="5">
        <v>0</v>
      </c>
      <c r="N77" s="9">
        <v>0</v>
      </c>
      <c r="O77" s="8">
        <v>2</v>
      </c>
      <c r="P77" s="5">
        <v>23</v>
      </c>
      <c r="Q77" s="5">
        <v>0</v>
      </c>
      <c r="R77" s="9">
        <v>0</v>
      </c>
      <c r="S77" s="8">
        <v>0</v>
      </c>
      <c r="T77" s="9">
        <v>0</v>
      </c>
    </row>
    <row r="78" spans="1:20" x14ac:dyDescent="0.2">
      <c r="A78" s="5" t="s">
        <v>110</v>
      </c>
      <c r="B78" s="5" t="s">
        <v>75</v>
      </c>
      <c r="C78" s="8" t="s">
        <v>20</v>
      </c>
      <c r="D78" s="7">
        <f t="shared" si="0"/>
        <v>7.3000000000000007</v>
      </c>
      <c r="E78" s="8">
        <v>0</v>
      </c>
      <c r="F78" s="5">
        <v>0</v>
      </c>
      <c r="G78" s="5">
        <v>0</v>
      </c>
      <c r="H78" s="5">
        <v>0</v>
      </c>
      <c r="I78" s="5">
        <v>0</v>
      </c>
      <c r="J78" s="9">
        <v>0</v>
      </c>
      <c r="K78" s="8">
        <v>7</v>
      </c>
      <c r="L78" s="5">
        <v>29</v>
      </c>
      <c r="M78" s="5">
        <v>0</v>
      </c>
      <c r="N78" s="9">
        <v>0</v>
      </c>
      <c r="O78" s="8">
        <v>5</v>
      </c>
      <c r="P78" s="5">
        <v>14</v>
      </c>
      <c r="Q78" s="5">
        <v>0</v>
      </c>
      <c r="R78" s="9">
        <v>0</v>
      </c>
      <c r="S78" s="8">
        <v>1</v>
      </c>
      <c r="T78" s="9">
        <v>0</v>
      </c>
    </row>
    <row r="79" spans="1:20" x14ac:dyDescent="0.2">
      <c r="A79" s="5" t="s">
        <v>111</v>
      </c>
      <c r="B79" s="5" t="s">
        <v>75</v>
      </c>
      <c r="C79" s="6" t="s">
        <v>24</v>
      </c>
      <c r="D79" s="7">
        <f t="shared" si="0"/>
        <v>8</v>
      </c>
      <c r="E79" s="8">
        <v>0</v>
      </c>
      <c r="F79" s="5">
        <v>0</v>
      </c>
      <c r="G79" s="5">
        <v>0</v>
      </c>
      <c r="H79" s="5">
        <v>0</v>
      </c>
      <c r="I79" s="5">
        <v>0</v>
      </c>
      <c r="J79" s="9">
        <v>0</v>
      </c>
      <c r="K79" s="8">
        <v>7</v>
      </c>
      <c r="L79" s="5">
        <v>42</v>
      </c>
      <c r="M79" s="5">
        <v>0</v>
      </c>
      <c r="N79" s="9">
        <v>0</v>
      </c>
      <c r="O79" s="8">
        <v>2</v>
      </c>
      <c r="P79" s="5">
        <v>18</v>
      </c>
      <c r="Q79" s="5">
        <v>0</v>
      </c>
      <c r="R79" s="9">
        <v>0</v>
      </c>
      <c r="S79" s="8">
        <v>0</v>
      </c>
      <c r="T79" s="9">
        <v>0</v>
      </c>
    </row>
    <row r="80" spans="1:20" x14ac:dyDescent="0.2">
      <c r="A80" s="5" t="s">
        <v>112</v>
      </c>
      <c r="B80" s="5" t="s">
        <v>75</v>
      </c>
      <c r="C80" s="6" t="s">
        <v>27</v>
      </c>
      <c r="D80" s="7">
        <f t="shared" si="0"/>
        <v>5.3</v>
      </c>
      <c r="E80" s="8">
        <v>0</v>
      </c>
      <c r="F80" s="5">
        <v>0</v>
      </c>
      <c r="G80" s="5">
        <v>0</v>
      </c>
      <c r="H80" s="5">
        <v>0</v>
      </c>
      <c r="I80" s="5">
        <v>0</v>
      </c>
      <c r="J80" s="9">
        <v>0</v>
      </c>
      <c r="K80" s="8">
        <v>7</v>
      </c>
      <c r="L80" s="5">
        <v>13</v>
      </c>
      <c r="M80" s="5">
        <v>1</v>
      </c>
      <c r="N80" s="9">
        <v>0</v>
      </c>
      <c r="O80" s="8">
        <v>0</v>
      </c>
      <c r="P80" s="5">
        <v>0</v>
      </c>
      <c r="Q80" s="5">
        <v>0</v>
      </c>
      <c r="R80" s="9">
        <v>0</v>
      </c>
      <c r="S80" s="8">
        <v>1</v>
      </c>
      <c r="T80" s="9">
        <v>0</v>
      </c>
    </row>
    <row r="81" spans="1:20" x14ac:dyDescent="0.2">
      <c r="A81" s="5" t="s">
        <v>113</v>
      </c>
      <c r="B81" s="5" t="s">
        <v>75</v>
      </c>
      <c r="C81" s="8" t="s">
        <v>34</v>
      </c>
      <c r="D81" s="7">
        <f t="shared" si="0"/>
        <v>6.8</v>
      </c>
      <c r="E81" s="8">
        <v>0</v>
      </c>
      <c r="F81" s="5">
        <v>0</v>
      </c>
      <c r="G81" s="5">
        <v>0</v>
      </c>
      <c r="H81" s="5">
        <v>0</v>
      </c>
      <c r="I81" s="5">
        <v>0</v>
      </c>
      <c r="J81" s="9">
        <v>0</v>
      </c>
      <c r="K81" s="8">
        <v>3</v>
      </c>
      <c r="L81" s="5">
        <v>6</v>
      </c>
      <c r="M81" s="5">
        <v>0</v>
      </c>
      <c r="N81" s="9">
        <v>0</v>
      </c>
      <c r="O81" s="8">
        <v>5</v>
      </c>
      <c r="P81" s="5">
        <v>12</v>
      </c>
      <c r="Q81" s="5">
        <v>0</v>
      </c>
      <c r="R81" s="9">
        <v>0</v>
      </c>
      <c r="S81" s="8">
        <v>0</v>
      </c>
      <c r="T81" s="9">
        <v>0</v>
      </c>
    </row>
    <row r="82" spans="1:20" x14ac:dyDescent="0.2">
      <c r="A82" s="5" t="s">
        <v>114</v>
      </c>
      <c r="B82" s="5" t="s">
        <v>75</v>
      </c>
      <c r="C82" s="6" t="s">
        <v>31</v>
      </c>
      <c r="D82" s="7">
        <f t="shared" si="0"/>
        <v>6.9</v>
      </c>
      <c r="E82" s="8">
        <v>0</v>
      </c>
      <c r="F82" s="5">
        <v>0</v>
      </c>
      <c r="G82" s="5">
        <v>0</v>
      </c>
      <c r="H82" s="5">
        <v>0</v>
      </c>
      <c r="I82" s="5">
        <v>0</v>
      </c>
      <c r="J82" s="9">
        <v>0</v>
      </c>
      <c r="K82" s="8">
        <v>17</v>
      </c>
      <c r="L82" s="5">
        <v>39</v>
      </c>
      <c r="M82" s="5">
        <v>0</v>
      </c>
      <c r="N82" s="9">
        <v>0</v>
      </c>
      <c r="O82" s="8">
        <v>2</v>
      </c>
      <c r="P82" s="5">
        <v>10</v>
      </c>
      <c r="Q82" s="5">
        <v>0</v>
      </c>
      <c r="R82" s="9">
        <v>0</v>
      </c>
      <c r="S82" s="8">
        <v>0</v>
      </c>
      <c r="T82" s="9">
        <v>0</v>
      </c>
    </row>
    <row r="83" spans="1:20" x14ac:dyDescent="0.2">
      <c r="A83" s="5" t="s">
        <v>115</v>
      </c>
      <c r="B83" s="5" t="s">
        <v>75</v>
      </c>
      <c r="C83" s="8" t="s">
        <v>42</v>
      </c>
      <c r="D83" s="7">
        <f t="shared" si="0"/>
        <v>7.2</v>
      </c>
      <c r="E83" s="8">
        <v>0</v>
      </c>
      <c r="F83" s="5">
        <v>0</v>
      </c>
      <c r="G83" s="5">
        <v>0</v>
      </c>
      <c r="H83" s="5">
        <v>0</v>
      </c>
      <c r="I83" s="5">
        <v>0</v>
      </c>
      <c r="J83" s="9">
        <v>0</v>
      </c>
      <c r="K83" s="8">
        <v>18</v>
      </c>
      <c r="L83" s="5">
        <v>45</v>
      </c>
      <c r="M83" s="5">
        <v>0</v>
      </c>
      <c r="N83" s="9">
        <v>0</v>
      </c>
      <c r="O83" s="8">
        <v>2</v>
      </c>
      <c r="P83" s="5">
        <v>7</v>
      </c>
      <c r="Q83" s="5">
        <v>0</v>
      </c>
      <c r="R83" s="9">
        <v>0</v>
      </c>
      <c r="S83" s="8">
        <v>0</v>
      </c>
      <c r="T83" s="9">
        <v>0</v>
      </c>
    </row>
    <row r="84" spans="1:20" x14ac:dyDescent="0.2">
      <c r="A84" s="5" t="s">
        <v>116</v>
      </c>
      <c r="B84" s="5" t="s">
        <v>75</v>
      </c>
      <c r="C84" s="8" t="s">
        <v>54</v>
      </c>
      <c r="D84" s="7">
        <f t="shared" si="0"/>
        <v>5.2</v>
      </c>
      <c r="E84" s="8">
        <v>0</v>
      </c>
      <c r="F84" s="5">
        <v>0</v>
      </c>
      <c r="G84" s="5">
        <v>0</v>
      </c>
      <c r="H84" s="5">
        <v>0</v>
      </c>
      <c r="I84" s="5">
        <v>0</v>
      </c>
      <c r="J84" s="9">
        <v>0</v>
      </c>
      <c r="K84" s="8">
        <v>8</v>
      </c>
      <c r="L84" s="5">
        <v>32</v>
      </c>
      <c r="M84" s="5">
        <v>0</v>
      </c>
      <c r="N84" s="9">
        <v>1</v>
      </c>
      <c r="O84" s="8">
        <v>0</v>
      </c>
      <c r="P84" s="5">
        <v>0</v>
      </c>
      <c r="Q84" s="5">
        <v>0</v>
      </c>
      <c r="R84" s="9">
        <v>0</v>
      </c>
      <c r="S84" s="8">
        <v>0</v>
      </c>
      <c r="T84" s="9">
        <v>0</v>
      </c>
    </row>
    <row r="85" spans="1:20" x14ac:dyDescent="0.2">
      <c r="A85" s="5" t="s">
        <v>117</v>
      </c>
      <c r="B85" s="5" t="s">
        <v>75</v>
      </c>
      <c r="C85" s="8" t="s">
        <v>34</v>
      </c>
      <c r="D85" s="7">
        <f t="shared" si="0"/>
        <v>5.3</v>
      </c>
      <c r="E85" s="8">
        <v>0</v>
      </c>
      <c r="F85" s="5">
        <v>0</v>
      </c>
      <c r="G85" s="5">
        <v>0</v>
      </c>
      <c r="H85" s="5">
        <v>0</v>
      </c>
      <c r="I85" s="5">
        <v>0</v>
      </c>
      <c r="J85" s="9">
        <v>0</v>
      </c>
      <c r="K85" s="8">
        <v>6</v>
      </c>
      <c r="L85" s="5">
        <v>31</v>
      </c>
      <c r="M85" s="5">
        <v>0</v>
      </c>
      <c r="N85" s="9">
        <v>0</v>
      </c>
      <c r="O85" s="8">
        <v>2</v>
      </c>
      <c r="P85" s="5">
        <v>2</v>
      </c>
      <c r="Q85" s="5">
        <v>0</v>
      </c>
      <c r="R85" s="9">
        <v>0</v>
      </c>
      <c r="S85" s="8">
        <v>0</v>
      </c>
      <c r="T85" s="9">
        <v>0</v>
      </c>
    </row>
    <row r="86" spans="1:20" x14ac:dyDescent="0.2">
      <c r="A86" s="5" t="s">
        <v>118</v>
      </c>
      <c r="B86" s="5" t="s">
        <v>75</v>
      </c>
      <c r="C86" s="6" t="s">
        <v>18</v>
      </c>
      <c r="D86" s="7">
        <f t="shared" si="0"/>
        <v>5.4</v>
      </c>
      <c r="E86" s="8">
        <v>0</v>
      </c>
      <c r="F86" s="5">
        <v>0</v>
      </c>
      <c r="G86" s="5">
        <v>0</v>
      </c>
      <c r="H86" s="5">
        <v>0</v>
      </c>
      <c r="I86" s="5">
        <v>0</v>
      </c>
      <c r="J86" s="9">
        <v>0</v>
      </c>
      <c r="K86" s="8">
        <v>0</v>
      </c>
      <c r="L86" s="5">
        <v>0</v>
      </c>
      <c r="M86" s="5">
        <v>0</v>
      </c>
      <c r="N86" s="9">
        <v>0</v>
      </c>
      <c r="O86" s="8">
        <v>2</v>
      </c>
      <c r="P86" s="5">
        <v>34</v>
      </c>
      <c r="Q86" s="5">
        <v>0</v>
      </c>
      <c r="R86" s="9">
        <v>0</v>
      </c>
      <c r="S86" s="8">
        <v>0</v>
      </c>
      <c r="T86" s="9">
        <v>0</v>
      </c>
    </row>
    <row r="87" spans="1:20" x14ac:dyDescent="0.2">
      <c r="A87" s="5" t="s">
        <v>119</v>
      </c>
      <c r="B87" s="5" t="s">
        <v>75</v>
      </c>
      <c r="C87" s="6" t="s">
        <v>27</v>
      </c>
      <c r="D87" s="7">
        <f t="shared" si="0"/>
        <v>3.8000000000000007</v>
      </c>
      <c r="E87" s="8">
        <v>0</v>
      </c>
      <c r="F87" s="5">
        <v>0</v>
      </c>
      <c r="G87" s="5">
        <v>0</v>
      </c>
      <c r="H87" s="5">
        <v>0</v>
      </c>
      <c r="I87" s="5">
        <v>0</v>
      </c>
      <c r="J87" s="9">
        <v>0</v>
      </c>
      <c r="K87" s="8">
        <v>13</v>
      </c>
      <c r="L87" s="5">
        <v>14</v>
      </c>
      <c r="M87" s="5">
        <v>0</v>
      </c>
      <c r="N87" s="9">
        <v>0</v>
      </c>
      <c r="O87" s="8">
        <v>5</v>
      </c>
      <c r="P87" s="5">
        <v>14</v>
      </c>
      <c r="Q87" s="5">
        <v>0</v>
      </c>
      <c r="R87" s="9">
        <v>0</v>
      </c>
      <c r="S87" s="8">
        <v>2</v>
      </c>
      <c r="T87" s="9">
        <v>0</v>
      </c>
    </row>
    <row r="88" spans="1:20" x14ac:dyDescent="0.2">
      <c r="A88" s="5" t="s">
        <v>120</v>
      </c>
      <c r="B88" s="5" t="s">
        <v>75</v>
      </c>
      <c r="C88" s="6" t="s">
        <v>54</v>
      </c>
      <c r="D88" s="7">
        <f t="shared" si="0"/>
        <v>6.7000000000000011</v>
      </c>
      <c r="E88" s="8">
        <v>0</v>
      </c>
      <c r="F88" s="5">
        <v>0</v>
      </c>
      <c r="G88" s="5">
        <v>0</v>
      </c>
      <c r="H88" s="5">
        <v>0</v>
      </c>
      <c r="I88" s="5">
        <v>0</v>
      </c>
      <c r="J88" s="9">
        <v>0</v>
      </c>
      <c r="K88" s="8">
        <v>11</v>
      </c>
      <c r="L88" s="5">
        <v>38</v>
      </c>
      <c r="M88" s="5">
        <v>0</v>
      </c>
      <c r="N88" s="9">
        <v>0</v>
      </c>
      <c r="O88" s="8">
        <v>2</v>
      </c>
      <c r="P88" s="5">
        <v>9</v>
      </c>
      <c r="Q88" s="5">
        <v>0</v>
      </c>
      <c r="R88" s="9">
        <v>0</v>
      </c>
      <c r="S88" s="8">
        <v>0</v>
      </c>
      <c r="T88" s="9">
        <v>0</v>
      </c>
    </row>
    <row r="89" spans="1:20" x14ac:dyDescent="0.2">
      <c r="A89" s="5" t="s">
        <v>121</v>
      </c>
      <c r="B89" s="5" t="s">
        <v>75</v>
      </c>
      <c r="C89" s="6" t="s">
        <v>54</v>
      </c>
      <c r="D89" s="7">
        <f t="shared" si="0"/>
        <v>4.8</v>
      </c>
      <c r="E89" s="8">
        <v>0</v>
      </c>
      <c r="F89" s="5">
        <v>0</v>
      </c>
      <c r="G89" s="5">
        <v>0</v>
      </c>
      <c r="H89" s="5">
        <v>0</v>
      </c>
      <c r="I89" s="5">
        <v>0</v>
      </c>
      <c r="J89" s="9">
        <v>0</v>
      </c>
      <c r="K89" s="8">
        <v>0</v>
      </c>
      <c r="L89" s="5">
        <v>0</v>
      </c>
      <c r="M89" s="5">
        <v>0</v>
      </c>
      <c r="N89" s="9">
        <v>0</v>
      </c>
      <c r="O89" s="8">
        <v>3</v>
      </c>
      <c r="P89" s="5">
        <v>18</v>
      </c>
      <c r="Q89" s="5">
        <v>0</v>
      </c>
      <c r="R89" s="9">
        <v>0</v>
      </c>
      <c r="S89" s="8">
        <v>0</v>
      </c>
      <c r="T89" s="9">
        <v>0</v>
      </c>
    </row>
    <row r="90" spans="1:20" x14ac:dyDescent="0.2">
      <c r="A90" s="5" t="s">
        <v>122</v>
      </c>
      <c r="B90" s="5" t="s">
        <v>75</v>
      </c>
      <c r="C90" s="6" t="s">
        <v>22</v>
      </c>
      <c r="D90" s="7">
        <f t="shared" si="0"/>
        <v>5.6000000000000005</v>
      </c>
      <c r="E90" s="8">
        <v>0</v>
      </c>
      <c r="F90" s="5">
        <v>0</v>
      </c>
      <c r="G90" s="5">
        <v>0</v>
      </c>
      <c r="H90" s="5">
        <v>0</v>
      </c>
      <c r="I90" s="5">
        <v>0</v>
      </c>
      <c r="J90" s="9">
        <v>0</v>
      </c>
      <c r="K90" s="8">
        <v>13</v>
      </c>
      <c r="L90" s="5">
        <v>19</v>
      </c>
      <c r="M90" s="5">
        <v>0</v>
      </c>
      <c r="N90" s="9">
        <v>0</v>
      </c>
      <c r="O90" s="8">
        <v>2</v>
      </c>
      <c r="P90" s="5">
        <v>17</v>
      </c>
      <c r="Q90" s="5">
        <v>0</v>
      </c>
      <c r="R90" s="9">
        <v>0</v>
      </c>
      <c r="S90" s="8">
        <v>0</v>
      </c>
      <c r="T90" s="9">
        <v>0</v>
      </c>
    </row>
    <row r="91" spans="1:20" x14ac:dyDescent="0.2">
      <c r="A91" s="5" t="s">
        <v>123</v>
      </c>
      <c r="B91" s="5" t="s">
        <v>75</v>
      </c>
      <c r="C91" s="6" t="s">
        <v>49</v>
      </c>
      <c r="D91" s="7">
        <f t="shared" si="0"/>
        <v>3.8000000000000003</v>
      </c>
      <c r="E91" s="8">
        <v>0</v>
      </c>
      <c r="F91" s="5">
        <v>0</v>
      </c>
      <c r="G91" s="5">
        <v>0</v>
      </c>
      <c r="H91" s="5">
        <v>0</v>
      </c>
      <c r="I91" s="5">
        <v>0</v>
      </c>
      <c r="J91" s="9">
        <v>0</v>
      </c>
      <c r="K91" s="8">
        <v>1</v>
      </c>
      <c r="L91" s="5">
        <v>6</v>
      </c>
      <c r="M91" s="5">
        <v>0</v>
      </c>
      <c r="N91" s="9">
        <v>0</v>
      </c>
      <c r="O91" s="8">
        <v>2</v>
      </c>
      <c r="P91" s="5">
        <v>12</v>
      </c>
      <c r="Q91" s="5">
        <v>0</v>
      </c>
      <c r="R91" s="9">
        <v>0</v>
      </c>
      <c r="S91" s="8">
        <v>0</v>
      </c>
      <c r="T91" s="9">
        <v>0</v>
      </c>
    </row>
    <row r="92" spans="1:20" x14ac:dyDescent="0.2">
      <c r="A92" s="5" t="s">
        <v>124</v>
      </c>
      <c r="B92" s="5" t="s">
        <v>75</v>
      </c>
      <c r="C92" s="8" t="s">
        <v>24</v>
      </c>
      <c r="D92" s="7">
        <f t="shared" si="0"/>
        <v>3.9000000000000004</v>
      </c>
      <c r="E92" s="8">
        <v>0</v>
      </c>
      <c r="F92" s="5">
        <v>0</v>
      </c>
      <c r="G92" s="5">
        <v>0</v>
      </c>
      <c r="H92" s="5">
        <v>0</v>
      </c>
      <c r="I92" s="5">
        <v>0</v>
      </c>
      <c r="J92" s="9">
        <v>0</v>
      </c>
      <c r="K92" s="8">
        <v>6</v>
      </c>
      <c r="L92" s="5">
        <v>22</v>
      </c>
      <c r="M92" s="5">
        <v>0</v>
      </c>
      <c r="N92" s="9">
        <v>0</v>
      </c>
      <c r="O92" s="8">
        <v>1</v>
      </c>
      <c r="P92" s="5">
        <v>7</v>
      </c>
      <c r="Q92" s="5">
        <v>0</v>
      </c>
      <c r="R92" s="9">
        <v>0</v>
      </c>
      <c r="S92" s="8">
        <v>0</v>
      </c>
      <c r="T92" s="9">
        <v>0</v>
      </c>
    </row>
    <row r="93" spans="1:20" x14ac:dyDescent="0.2">
      <c r="A93" s="5" t="s">
        <v>125</v>
      </c>
      <c r="B93" s="5" t="s">
        <v>75</v>
      </c>
      <c r="C93" s="8" t="s">
        <v>22</v>
      </c>
      <c r="D93" s="7">
        <f t="shared" si="0"/>
        <v>4.4000000000000004</v>
      </c>
      <c r="E93" s="8">
        <v>0</v>
      </c>
      <c r="F93" s="5">
        <v>0</v>
      </c>
      <c r="G93" s="5">
        <v>0</v>
      </c>
      <c r="H93" s="5">
        <v>0</v>
      </c>
      <c r="I93" s="5">
        <v>0</v>
      </c>
      <c r="J93" s="9">
        <v>0</v>
      </c>
      <c r="K93" s="8">
        <v>5</v>
      </c>
      <c r="L93" s="5">
        <v>16</v>
      </c>
      <c r="M93" s="5">
        <v>0</v>
      </c>
      <c r="N93" s="9">
        <v>0</v>
      </c>
      <c r="O93" s="8">
        <v>2</v>
      </c>
      <c r="P93" s="5">
        <v>8</v>
      </c>
      <c r="Q93" s="5">
        <v>0</v>
      </c>
      <c r="R93" s="9">
        <v>0</v>
      </c>
      <c r="S93" s="8">
        <v>0</v>
      </c>
      <c r="T93" s="9">
        <v>0</v>
      </c>
    </row>
    <row r="94" spans="1:20" x14ac:dyDescent="0.2">
      <c r="A94" s="5" t="s">
        <v>126</v>
      </c>
      <c r="B94" s="5" t="s">
        <v>75</v>
      </c>
      <c r="C94" s="6" t="s">
        <v>27</v>
      </c>
      <c r="D94" s="7">
        <f t="shared" si="0"/>
        <v>3.2</v>
      </c>
      <c r="E94" s="8">
        <v>0</v>
      </c>
      <c r="F94" s="5">
        <v>0</v>
      </c>
      <c r="G94" s="5">
        <v>0</v>
      </c>
      <c r="H94" s="5">
        <v>0</v>
      </c>
      <c r="I94" s="5">
        <v>0</v>
      </c>
      <c r="J94" s="9">
        <v>0</v>
      </c>
      <c r="K94" s="8">
        <v>2</v>
      </c>
      <c r="L94" s="5">
        <v>10</v>
      </c>
      <c r="M94" s="5">
        <v>0</v>
      </c>
      <c r="N94" s="9">
        <v>0</v>
      </c>
      <c r="O94" s="8">
        <v>1</v>
      </c>
      <c r="P94" s="5">
        <v>12</v>
      </c>
      <c r="Q94" s="5">
        <v>0</v>
      </c>
      <c r="R94" s="9">
        <v>0</v>
      </c>
      <c r="S94" s="8">
        <v>0</v>
      </c>
      <c r="T94" s="9">
        <v>0</v>
      </c>
    </row>
    <row r="95" spans="1:20" x14ac:dyDescent="0.2">
      <c r="A95" s="5" t="s">
        <v>127</v>
      </c>
      <c r="B95" s="5" t="s">
        <v>75</v>
      </c>
      <c r="C95" s="6" t="s">
        <v>49</v>
      </c>
      <c r="D95" s="7">
        <f t="shared" si="0"/>
        <v>3.9</v>
      </c>
      <c r="E95" s="8">
        <v>0</v>
      </c>
      <c r="F95" s="5">
        <v>0</v>
      </c>
      <c r="G95" s="5">
        <v>0</v>
      </c>
      <c r="H95" s="5">
        <v>0</v>
      </c>
      <c r="I95" s="5">
        <v>0</v>
      </c>
      <c r="J95" s="9">
        <v>0</v>
      </c>
      <c r="K95" s="8">
        <v>1</v>
      </c>
      <c r="L95" s="5">
        <v>3</v>
      </c>
      <c r="M95" s="5">
        <v>0</v>
      </c>
      <c r="N95" s="9">
        <v>0</v>
      </c>
      <c r="O95" s="8">
        <v>2</v>
      </c>
      <c r="P95" s="5">
        <v>16</v>
      </c>
      <c r="Q95" s="5">
        <v>0</v>
      </c>
      <c r="R95" s="9">
        <v>0</v>
      </c>
      <c r="S95" s="8">
        <v>0</v>
      </c>
      <c r="T95" s="9">
        <v>0</v>
      </c>
    </row>
    <row r="96" spans="1:20" x14ac:dyDescent="0.2">
      <c r="A96" s="5" t="s">
        <v>128</v>
      </c>
      <c r="B96" s="5" t="s">
        <v>75</v>
      </c>
      <c r="C96" s="8" t="s">
        <v>34</v>
      </c>
      <c r="D96" s="7">
        <f t="shared" si="0"/>
        <v>3.1</v>
      </c>
      <c r="E96" s="8">
        <v>0</v>
      </c>
      <c r="F96" s="5">
        <v>0</v>
      </c>
      <c r="G96" s="5">
        <v>0</v>
      </c>
      <c r="H96" s="5">
        <v>0</v>
      </c>
      <c r="I96" s="5">
        <v>0</v>
      </c>
      <c r="J96" s="9">
        <v>0</v>
      </c>
      <c r="K96" s="8">
        <v>0</v>
      </c>
      <c r="L96" s="5">
        <v>0</v>
      </c>
      <c r="M96" s="5">
        <v>0</v>
      </c>
      <c r="N96" s="9">
        <v>0</v>
      </c>
      <c r="O96" s="8">
        <v>2</v>
      </c>
      <c r="P96" s="5">
        <v>11</v>
      </c>
      <c r="Q96" s="5">
        <v>0</v>
      </c>
      <c r="R96" s="9">
        <v>0</v>
      </c>
      <c r="S96" s="8">
        <v>0</v>
      </c>
      <c r="T96" s="9">
        <v>0</v>
      </c>
    </row>
    <row r="97" spans="1:20" x14ac:dyDescent="0.2">
      <c r="A97" s="5" t="s">
        <v>129</v>
      </c>
      <c r="B97" s="5" t="s">
        <v>75</v>
      </c>
      <c r="C97" s="6" t="s">
        <v>42</v>
      </c>
      <c r="D97" s="7">
        <f t="shared" si="0"/>
        <v>3.8000000000000003</v>
      </c>
      <c r="E97" s="8">
        <v>0</v>
      </c>
      <c r="F97" s="5">
        <v>0</v>
      </c>
      <c r="G97" s="5">
        <v>0</v>
      </c>
      <c r="H97" s="5">
        <v>0</v>
      </c>
      <c r="I97" s="5">
        <v>0</v>
      </c>
      <c r="J97" s="9">
        <v>0</v>
      </c>
      <c r="K97" s="8">
        <v>3</v>
      </c>
      <c r="L97" s="5">
        <v>27</v>
      </c>
      <c r="M97" s="5">
        <v>0</v>
      </c>
      <c r="N97" s="9">
        <v>0</v>
      </c>
      <c r="O97" s="8">
        <v>1</v>
      </c>
      <c r="P97" s="5">
        <v>1</v>
      </c>
      <c r="Q97" s="5">
        <v>0</v>
      </c>
      <c r="R97" s="9">
        <v>0</v>
      </c>
      <c r="S97" s="8">
        <v>0</v>
      </c>
      <c r="T97" s="9">
        <v>0</v>
      </c>
    </row>
    <row r="98" spans="1:20" x14ac:dyDescent="0.2">
      <c r="A98" s="5" t="s">
        <v>130</v>
      </c>
      <c r="B98" s="5" t="s">
        <v>75</v>
      </c>
      <c r="C98" s="6" t="s">
        <v>31</v>
      </c>
      <c r="D98" s="7">
        <f t="shared" si="0"/>
        <v>4.4000000000000004</v>
      </c>
      <c r="E98" s="8">
        <v>0</v>
      </c>
      <c r="F98" s="5">
        <v>0</v>
      </c>
      <c r="G98" s="5">
        <v>0</v>
      </c>
      <c r="H98" s="5">
        <v>0</v>
      </c>
      <c r="I98" s="5">
        <v>0</v>
      </c>
      <c r="J98" s="9">
        <v>0</v>
      </c>
      <c r="K98" s="8">
        <v>5</v>
      </c>
      <c r="L98" s="5">
        <v>15</v>
      </c>
      <c r="M98" s="5">
        <v>0</v>
      </c>
      <c r="N98" s="9">
        <v>0</v>
      </c>
      <c r="O98" s="8">
        <v>2</v>
      </c>
      <c r="P98" s="5">
        <v>9</v>
      </c>
      <c r="Q98" s="5">
        <v>0</v>
      </c>
      <c r="R98" s="9">
        <v>0</v>
      </c>
      <c r="S98" s="8">
        <v>0</v>
      </c>
      <c r="T98" s="9">
        <v>0</v>
      </c>
    </row>
    <row r="99" spans="1:20" x14ac:dyDescent="0.2">
      <c r="A99" s="5" t="s">
        <v>131</v>
      </c>
      <c r="B99" s="5" t="s">
        <v>75</v>
      </c>
      <c r="C99" s="8" t="s">
        <v>60</v>
      </c>
      <c r="D99" s="7">
        <f t="shared" si="0"/>
        <v>3.1</v>
      </c>
      <c r="E99" s="8">
        <v>0</v>
      </c>
      <c r="F99" s="5">
        <v>0</v>
      </c>
      <c r="G99" s="5">
        <v>0</v>
      </c>
      <c r="H99" s="5">
        <v>0</v>
      </c>
      <c r="I99" s="5">
        <v>0</v>
      </c>
      <c r="J99" s="9">
        <v>0</v>
      </c>
      <c r="K99" s="8">
        <v>1</v>
      </c>
      <c r="L99" s="5">
        <v>5</v>
      </c>
      <c r="M99" s="5">
        <v>0</v>
      </c>
      <c r="N99" s="9">
        <v>0</v>
      </c>
      <c r="O99" s="8">
        <v>2</v>
      </c>
      <c r="P99" s="5">
        <v>6</v>
      </c>
      <c r="Q99" s="5">
        <v>0</v>
      </c>
      <c r="R99" s="9">
        <v>0</v>
      </c>
      <c r="S99" s="8">
        <v>0</v>
      </c>
      <c r="T99" s="9">
        <v>0</v>
      </c>
    </row>
    <row r="100" spans="1:20" x14ac:dyDescent="0.2">
      <c r="A100" s="5" t="s">
        <v>132</v>
      </c>
      <c r="B100" s="5" t="s">
        <v>75</v>
      </c>
      <c r="C100" s="8" t="s">
        <v>31</v>
      </c>
      <c r="D100" s="7">
        <f t="shared" si="0"/>
        <v>2.8</v>
      </c>
      <c r="E100" s="8">
        <v>0</v>
      </c>
      <c r="F100" s="5">
        <v>0</v>
      </c>
      <c r="G100" s="5">
        <v>0</v>
      </c>
      <c r="H100" s="5">
        <v>0</v>
      </c>
      <c r="I100" s="5">
        <v>0</v>
      </c>
      <c r="J100" s="9">
        <v>0</v>
      </c>
      <c r="K100" s="8">
        <v>3</v>
      </c>
      <c r="L100" s="5">
        <v>0</v>
      </c>
      <c r="M100" s="5">
        <v>0</v>
      </c>
      <c r="N100" s="9">
        <v>0</v>
      </c>
      <c r="O100" s="8">
        <v>1</v>
      </c>
      <c r="P100" s="5">
        <v>18</v>
      </c>
      <c r="Q100" s="5">
        <v>0</v>
      </c>
      <c r="R100" s="9">
        <v>0</v>
      </c>
      <c r="S100" s="8">
        <v>0</v>
      </c>
      <c r="T100" s="9">
        <v>0</v>
      </c>
    </row>
    <row r="101" spans="1:20" x14ac:dyDescent="0.2">
      <c r="A101" s="5" t="s">
        <v>133</v>
      </c>
      <c r="B101" s="5" t="s">
        <v>75</v>
      </c>
      <c r="C101" s="8" t="s">
        <v>47</v>
      </c>
      <c r="D101" s="7">
        <f t="shared" si="0"/>
        <v>2.8</v>
      </c>
      <c r="E101" s="8">
        <v>0</v>
      </c>
      <c r="F101" s="5">
        <v>0</v>
      </c>
      <c r="G101" s="5">
        <v>0</v>
      </c>
      <c r="H101" s="5">
        <v>0</v>
      </c>
      <c r="I101" s="5">
        <v>0</v>
      </c>
      <c r="J101" s="9">
        <v>0</v>
      </c>
      <c r="K101" s="8">
        <v>2</v>
      </c>
      <c r="L101" s="5">
        <v>4</v>
      </c>
      <c r="M101" s="5">
        <v>0</v>
      </c>
      <c r="N101" s="9">
        <v>0</v>
      </c>
      <c r="O101" s="8">
        <v>1</v>
      </c>
      <c r="P101" s="5">
        <v>14</v>
      </c>
      <c r="Q101" s="5">
        <v>0</v>
      </c>
      <c r="R101" s="9">
        <v>0</v>
      </c>
      <c r="S101" s="8">
        <v>0</v>
      </c>
      <c r="T101" s="9">
        <v>0</v>
      </c>
    </row>
    <row r="102" spans="1:20" x14ac:dyDescent="0.2">
      <c r="A102" s="5" t="s">
        <v>134</v>
      </c>
      <c r="B102" s="5" t="s">
        <v>75</v>
      </c>
      <c r="C102" s="6" t="s">
        <v>60</v>
      </c>
      <c r="D102" s="7">
        <f t="shared" si="0"/>
        <v>2.4000000000000004</v>
      </c>
      <c r="E102" s="8">
        <v>0</v>
      </c>
      <c r="F102" s="5">
        <v>0</v>
      </c>
      <c r="G102" s="5">
        <v>0</v>
      </c>
      <c r="H102" s="5">
        <v>0</v>
      </c>
      <c r="I102" s="5">
        <v>0</v>
      </c>
      <c r="J102" s="9">
        <v>0</v>
      </c>
      <c r="K102" s="8">
        <v>6</v>
      </c>
      <c r="L102" s="5">
        <v>24</v>
      </c>
      <c r="M102" s="5">
        <v>0</v>
      </c>
      <c r="N102" s="9">
        <v>0</v>
      </c>
      <c r="O102" s="8">
        <v>0</v>
      </c>
      <c r="P102" s="5">
        <v>0</v>
      </c>
      <c r="Q102" s="5">
        <v>0</v>
      </c>
      <c r="R102" s="9">
        <v>0</v>
      </c>
      <c r="S102" s="8">
        <v>0</v>
      </c>
      <c r="T102" s="9">
        <v>0</v>
      </c>
    </row>
    <row r="103" spans="1:20" x14ac:dyDescent="0.2">
      <c r="A103" s="5" t="s">
        <v>135</v>
      </c>
      <c r="B103" s="5" t="s">
        <v>75</v>
      </c>
      <c r="C103" s="6" t="s">
        <v>29</v>
      </c>
      <c r="D103" s="7">
        <f t="shared" si="0"/>
        <v>2.1</v>
      </c>
      <c r="E103" s="8">
        <v>0</v>
      </c>
      <c r="F103" s="5">
        <v>0</v>
      </c>
      <c r="G103" s="5">
        <v>0</v>
      </c>
      <c r="H103" s="5">
        <v>0</v>
      </c>
      <c r="I103" s="5">
        <v>0</v>
      </c>
      <c r="J103" s="9">
        <v>0</v>
      </c>
      <c r="K103" s="8">
        <v>2</v>
      </c>
      <c r="L103" s="5">
        <v>12</v>
      </c>
      <c r="M103" s="5">
        <v>0</v>
      </c>
      <c r="N103" s="9">
        <v>0</v>
      </c>
      <c r="O103" s="8">
        <v>1</v>
      </c>
      <c r="P103" s="5">
        <v>-1</v>
      </c>
      <c r="Q103" s="5">
        <v>0</v>
      </c>
      <c r="R103" s="9">
        <v>0</v>
      </c>
      <c r="S103" s="8">
        <v>0</v>
      </c>
      <c r="T103" s="9">
        <v>0</v>
      </c>
    </row>
    <row r="104" spans="1:20" x14ac:dyDescent="0.2">
      <c r="A104" s="5" t="s">
        <v>136</v>
      </c>
      <c r="B104" s="5" t="s">
        <v>75</v>
      </c>
      <c r="C104" s="8" t="s">
        <v>29</v>
      </c>
      <c r="D104" s="7">
        <f t="shared" si="0"/>
        <v>1.6</v>
      </c>
      <c r="E104" s="8">
        <v>0</v>
      </c>
      <c r="F104" s="5">
        <v>0</v>
      </c>
      <c r="G104" s="5">
        <v>0</v>
      </c>
      <c r="H104" s="5">
        <v>0</v>
      </c>
      <c r="I104" s="5">
        <v>0</v>
      </c>
      <c r="J104" s="9">
        <v>0</v>
      </c>
      <c r="K104" s="8">
        <v>15</v>
      </c>
      <c r="L104" s="5">
        <v>36</v>
      </c>
      <c r="M104" s="5">
        <v>0</v>
      </c>
      <c r="N104" s="9">
        <v>0</v>
      </c>
      <c r="O104" s="8">
        <v>0</v>
      </c>
      <c r="P104" s="5">
        <v>0</v>
      </c>
      <c r="Q104" s="5">
        <v>0</v>
      </c>
      <c r="R104" s="9">
        <v>0</v>
      </c>
      <c r="S104" s="8">
        <v>1</v>
      </c>
      <c r="T104" s="9">
        <v>0</v>
      </c>
    </row>
    <row r="105" spans="1:20" x14ac:dyDescent="0.2">
      <c r="A105" s="5" t="s">
        <v>137</v>
      </c>
      <c r="B105" s="5" t="s">
        <v>75</v>
      </c>
      <c r="C105" s="8" t="s">
        <v>31</v>
      </c>
      <c r="D105" s="7">
        <f t="shared" si="0"/>
        <v>2.7</v>
      </c>
      <c r="E105" s="8">
        <v>0</v>
      </c>
      <c r="F105" s="5">
        <v>0</v>
      </c>
      <c r="G105" s="5">
        <v>0</v>
      </c>
      <c r="H105" s="5">
        <v>0</v>
      </c>
      <c r="I105" s="5">
        <v>0</v>
      </c>
      <c r="J105" s="9">
        <v>0</v>
      </c>
      <c r="K105" s="8">
        <v>0</v>
      </c>
      <c r="L105" s="5">
        <v>0</v>
      </c>
      <c r="M105" s="5">
        <v>0</v>
      </c>
      <c r="N105" s="9">
        <v>0</v>
      </c>
      <c r="O105" s="8">
        <v>2</v>
      </c>
      <c r="P105" s="5">
        <v>7</v>
      </c>
      <c r="Q105" s="5">
        <v>0</v>
      </c>
      <c r="R105" s="9">
        <v>0</v>
      </c>
      <c r="S105" s="8">
        <v>0</v>
      </c>
      <c r="T105" s="9">
        <v>0</v>
      </c>
    </row>
    <row r="106" spans="1:20" x14ac:dyDescent="0.2">
      <c r="A106" s="5" t="s">
        <v>138</v>
      </c>
      <c r="B106" s="5" t="s">
        <v>75</v>
      </c>
      <c r="C106" s="8" t="s">
        <v>24</v>
      </c>
      <c r="D106" s="7">
        <f t="shared" si="0"/>
        <v>2</v>
      </c>
      <c r="E106" s="8">
        <v>0</v>
      </c>
      <c r="F106" s="5">
        <v>0</v>
      </c>
      <c r="G106" s="5">
        <v>0</v>
      </c>
      <c r="H106" s="5">
        <v>0</v>
      </c>
      <c r="I106" s="5">
        <v>0</v>
      </c>
      <c r="J106" s="9">
        <v>0</v>
      </c>
      <c r="K106" s="8">
        <v>0</v>
      </c>
      <c r="L106" s="5">
        <v>0</v>
      </c>
      <c r="M106" s="5">
        <v>0</v>
      </c>
      <c r="N106" s="9">
        <v>0</v>
      </c>
      <c r="O106" s="8">
        <v>1</v>
      </c>
      <c r="P106" s="5">
        <v>10</v>
      </c>
      <c r="Q106" s="5">
        <v>0</v>
      </c>
      <c r="R106" s="9">
        <v>0</v>
      </c>
      <c r="S106" s="8">
        <v>0</v>
      </c>
      <c r="T106" s="9">
        <v>0</v>
      </c>
    </row>
    <row r="107" spans="1:20" x14ac:dyDescent="0.2">
      <c r="A107" s="5" t="s">
        <v>139</v>
      </c>
      <c r="B107" s="5" t="s">
        <v>75</v>
      </c>
      <c r="C107" s="8" t="s">
        <v>20</v>
      </c>
      <c r="D107" s="7">
        <f t="shared" si="0"/>
        <v>3.6</v>
      </c>
      <c r="E107" s="8">
        <v>0</v>
      </c>
      <c r="F107" s="5">
        <v>0</v>
      </c>
      <c r="G107" s="5">
        <v>0</v>
      </c>
      <c r="H107" s="5">
        <v>0</v>
      </c>
      <c r="I107" s="5">
        <v>0</v>
      </c>
      <c r="J107" s="9">
        <v>0</v>
      </c>
      <c r="K107" s="8">
        <v>1</v>
      </c>
      <c r="L107" s="5">
        <v>7</v>
      </c>
      <c r="M107" s="5">
        <v>0</v>
      </c>
      <c r="N107" s="9">
        <v>0</v>
      </c>
      <c r="O107" s="8">
        <v>2</v>
      </c>
      <c r="P107" s="5">
        <v>9</v>
      </c>
      <c r="Q107" s="5">
        <v>0</v>
      </c>
      <c r="R107" s="9">
        <v>0</v>
      </c>
      <c r="S107" s="8">
        <v>0</v>
      </c>
      <c r="T107" s="9">
        <v>0</v>
      </c>
    </row>
    <row r="108" spans="1:20" x14ac:dyDescent="0.2">
      <c r="A108" s="5" t="s">
        <v>140</v>
      </c>
      <c r="B108" s="5" t="s">
        <v>75</v>
      </c>
      <c r="C108" s="6" t="s">
        <v>22</v>
      </c>
      <c r="D108" s="7">
        <f t="shared" si="0"/>
        <v>2.2000000000000002</v>
      </c>
      <c r="E108" s="8">
        <v>0</v>
      </c>
      <c r="F108" s="5">
        <v>0</v>
      </c>
      <c r="G108" s="5">
        <v>0</v>
      </c>
      <c r="H108" s="5">
        <v>0</v>
      </c>
      <c r="I108" s="5">
        <v>0</v>
      </c>
      <c r="J108" s="9">
        <v>0</v>
      </c>
      <c r="K108" s="8">
        <v>5</v>
      </c>
      <c r="L108" s="5">
        <v>22</v>
      </c>
      <c r="M108" s="5">
        <v>0</v>
      </c>
      <c r="N108" s="9">
        <v>0</v>
      </c>
      <c r="O108" s="8">
        <v>0</v>
      </c>
      <c r="P108" s="5">
        <v>0</v>
      </c>
      <c r="Q108" s="5">
        <v>0</v>
      </c>
      <c r="R108" s="9">
        <v>0</v>
      </c>
      <c r="S108" s="8">
        <v>0</v>
      </c>
      <c r="T108" s="9">
        <v>0</v>
      </c>
    </row>
    <row r="109" spans="1:20" x14ac:dyDescent="0.2">
      <c r="A109" s="5" t="s">
        <v>141</v>
      </c>
      <c r="B109" s="5" t="s">
        <v>75</v>
      </c>
      <c r="C109" s="6" t="s">
        <v>18</v>
      </c>
      <c r="D109" s="7">
        <f t="shared" si="0"/>
        <v>1.1000000000000001</v>
      </c>
      <c r="E109" s="8">
        <v>0</v>
      </c>
      <c r="F109" s="5">
        <v>0</v>
      </c>
      <c r="G109" s="5">
        <v>0</v>
      </c>
      <c r="H109" s="5">
        <v>0</v>
      </c>
      <c r="I109" s="5">
        <v>0</v>
      </c>
      <c r="J109" s="9">
        <v>0</v>
      </c>
      <c r="K109" s="8">
        <v>3</v>
      </c>
      <c r="L109" s="5">
        <v>11</v>
      </c>
      <c r="M109" s="5">
        <v>0</v>
      </c>
      <c r="N109" s="9">
        <v>0</v>
      </c>
      <c r="O109" s="8">
        <v>0</v>
      </c>
      <c r="P109" s="5">
        <v>0</v>
      </c>
      <c r="Q109" s="5">
        <v>0</v>
      </c>
      <c r="R109" s="9">
        <v>0</v>
      </c>
      <c r="S109" s="8">
        <v>0</v>
      </c>
      <c r="T109" s="9">
        <v>0</v>
      </c>
    </row>
    <row r="110" spans="1:20" x14ac:dyDescent="0.2">
      <c r="A110" s="5" t="s">
        <v>142</v>
      </c>
      <c r="B110" s="5" t="s">
        <v>75</v>
      </c>
      <c r="C110" s="8" t="s">
        <v>60</v>
      </c>
      <c r="D110" s="7">
        <f t="shared" si="0"/>
        <v>1.5999999999999999</v>
      </c>
      <c r="E110" s="8">
        <v>0</v>
      </c>
      <c r="F110" s="5">
        <v>0</v>
      </c>
      <c r="G110" s="5">
        <v>0</v>
      </c>
      <c r="H110" s="5">
        <v>0</v>
      </c>
      <c r="I110" s="5">
        <v>0</v>
      </c>
      <c r="J110" s="9">
        <v>0</v>
      </c>
      <c r="K110" s="8">
        <v>2</v>
      </c>
      <c r="L110" s="5">
        <v>9</v>
      </c>
      <c r="M110" s="5">
        <v>0</v>
      </c>
      <c r="N110" s="9">
        <v>0</v>
      </c>
      <c r="O110" s="8">
        <v>1</v>
      </c>
      <c r="P110" s="5">
        <v>-3</v>
      </c>
      <c r="Q110" s="5">
        <v>0</v>
      </c>
      <c r="R110" s="9">
        <v>0</v>
      </c>
      <c r="S110" s="8">
        <v>0</v>
      </c>
      <c r="T110" s="9">
        <v>0</v>
      </c>
    </row>
    <row r="111" spans="1:20" x14ac:dyDescent="0.2">
      <c r="A111" s="5" t="s">
        <v>143</v>
      </c>
      <c r="B111" s="5" t="s">
        <v>75</v>
      </c>
      <c r="C111" s="8" t="s">
        <v>36</v>
      </c>
      <c r="D111" s="7">
        <f t="shared" si="0"/>
        <v>1.3</v>
      </c>
      <c r="E111" s="8">
        <v>0</v>
      </c>
      <c r="F111" s="5">
        <v>0</v>
      </c>
      <c r="G111" s="5">
        <v>0</v>
      </c>
      <c r="H111" s="5">
        <v>0</v>
      </c>
      <c r="I111" s="5">
        <v>0</v>
      </c>
      <c r="J111" s="9">
        <v>0</v>
      </c>
      <c r="K111" s="8">
        <v>0</v>
      </c>
      <c r="L111" s="5">
        <v>0</v>
      </c>
      <c r="M111" s="5">
        <v>0</v>
      </c>
      <c r="N111" s="9">
        <v>0</v>
      </c>
      <c r="O111" s="8">
        <v>1</v>
      </c>
      <c r="P111" s="5">
        <v>3</v>
      </c>
      <c r="Q111" s="5">
        <v>0</v>
      </c>
      <c r="R111" s="9">
        <v>0</v>
      </c>
      <c r="S111" s="8">
        <v>0</v>
      </c>
      <c r="T111" s="9">
        <v>0</v>
      </c>
    </row>
    <row r="112" spans="1:20" x14ac:dyDescent="0.2">
      <c r="A112" s="5" t="s">
        <v>144</v>
      </c>
      <c r="B112" s="5" t="s">
        <v>75</v>
      </c>
      <c r="C112" s="8" t="s">
        <v>47</v>
      </c>
      <c r="D112" s="7">
        <f t="shared" si="0"/>
        <v>1.1000000000000001</v>
      </c>
      <c r="E112" s="8">
        <v>0</v>
      </c>
      <c r="F112" s="5">
        <v>0</v>
      </c>
      <c r="G112" s="5">
        <v>0</v>
      </c>
      <c r="H112" s="5">
        <v>0</v>
      </c>
      <c r="I112" s="5">
        <v>0</v>
      </c>
      <c r="J112" s="9">
        <v>0</v>
      </c>
      <c r="K112" s="8">
        <v>3</v>
      </c>
      <c r="L112" s="5">
        <v>11</v>
      </c>
      <c r="M112" s="5">
        <v>0</v>
      </c>
      <c r="N112" s="9">
        <v>0</v>
      </c>
      <c r="O112" s="8">
        <v>0</v>
      </c>
      <c r="P112" s="5">
        <v>0</v>
      </c>
      <c r="Q112" s="5">
        <v>0</v>
      </c>
      <c r="R112" s="9">
        <v>0</v>
      </c>
      <c r="S112" s="8">
        <v>0</v>
      </c>
      <c r="T112" s="9">
        <v>0</v>
      </c>
    </row>
    <row r="113" spans="1:20" x14ac:dyDescent="0.2">
      <c r="A113" s="5" t="s">
        <v>145</v>
      </c>
      <c r="B113" s="5" t="s">
        <v>75</v>
      </c>
      <c r="C113" s="8" t="s">
        <v>40</v>
      </c>
      <c r="D113" s="7">
        <f t="shared" si="0"/>
        <v>0.89999999999999991</v>
      </c>
      <c r="E113" s="8">
        <v>0</v>
      </c>
      <c r="F113" s="5">
        <v>0</v>
      </c>
      <c r="G113" s="5">
        <v>0</v>
      </c>
      <c r="H113" s="5">
        <v>0</v>
      </c>
      <c r="I113" s="5">
        <v>0</v>
      </c>
      <c r="J113" s="9">
        <v>0</v>
      </c>
      <c r="K113" s="8">
        <v>3</v>
      </c>
      <c r="L113" s="5">
        <v>9</v>
      </c>
      <c r="M113" s="5">
        <v>0</v>
      </c>
      <c r="N113" s="9">
        <v>0</v>
      </c>
      <c r="O113" s="8">
        <v>1</v>
      </c>
      <c r="P113" s="5">
        <v>10</v>
      </c>
      <c r="Q113" s="5">
        <v>0</v>
      </c>
      <c r="R113" s="9">
        <v>0</v>
      </c>
      <c r="S113" s="8">
        <v>1</v>
      </c>
      <c r="T113" s="9">
        <v>0</v>
      </c>
    </row>
    <row r="114" spans="1:20" x14ac:dyDescent="0.2">
      <c r="A114" s="5" t="s">
        <v>146</v>
      </c>
      <c r="B114" s="5" t="s">
        <v>75</v>
      </c>
      <c r="C114" s="8" t="s">
        <v>27</v>
      </c>
      <c r="D114" s="7">
        <f t="shared" si="0"/>
        <v>1.7000000000000002</v>
      </c>
      <c r="E114" s="8">
        <v>0</v>
      </c>
      <c r="F114" s="5">
        <v>0</v>
      </c>
      <c r="G114" s="5">
        <v>0</v>
      </c>
      <c r="H114" s="5">
        <v>0</v>
      </c>
      <c r="I114" s="5">
        <v>0</v>
      </c>
      <c r="J114" s="9">
        <v>0</v>
      </c>
      <c r="K114" s="8">
        <v>1</v>
      </c>
      <c r="L114" s="5">
        <v>1</v>
      </c>
      <c r="M114" s="5">
        <v>0</v>
      </c>
      <c r="N114" s="9">
        <v>0</v>
      </c>
      <c r="O114" s="8">
        <v>1</v>
      </c>
      <c r="P114" s="5">
        <v>6</v>
      </c>
      <c r="Q114" s="5">
        <v>0</v>
      </c>
      <c r="R114" s="9">
        <v>0</v>
      </c>
      <c r="S114" s="8">
        <v>0</v>
      </c>
      <c r="T114" s="9">
        <v>0</v>
      </c>
    </row>
    <row r="115" spans="1:20" x14ac:dyDescent="0.2">
      <c r="A115" s="5" t="s">
        <v>147</v>
      </c>
      <c r="B115" s="5" t="s">
        <v>75</v>
      </c>
      <c r="C115" s="8" t="s">
        <v>36</v>
      </c>
      <c r="D115" s="7">
        <f t="shared" si="0"/>
        <v>0.29999999999999993</v>
      </c>
      <c r="E115" s="8">
        <v>0</v>
      </c>
      <c r="F115" s="5">
        <v>0</v>
      </c>
      <c r="G115" s="5">
        <v>0</v>
      </c>
      <c r="H115" s="5">
        <v>0</v>
      </c>
      <c r="I115" s="5">
        <v>0</v>
      </c>
      <c r="J115" s="9">
        <v>0</v>
      </c>
      <c r="K115" s="8">
        <v>0</v>
      </c>
      <c r="L115" s="5">
        <v>0</v>
      </c>
      <c r="M115" s="5">
        <v>0</v>
      </c>
      <c r="N115" s="9">
        <v>0</v>
      </c>
      <c r="O115" s="8">
        <v>1</v>
      </c>
      <c r="P115" s="5">
        <v>-7</v>
      </c>
      <c r="Q115" s="5">
        <v>0</v>
      </c>
      <c r="R115" s="9">
        <v>0</v>
      </c>
      <c r="S115" s="8">
        <v>0</v>
      </c>
      <c r="T115" s="9">
        <v>0</v>
      </c>
    </row>
    <row r="116" spans="1:20" x14ac:dyDescent="0.2">
      <c r="A116" s="5" t="s">
        <v>148</v>
      </c>
      <c r="B116" s="5" t="s">
        <v>75</v>
      </c>
      <c r="C116" s="6" t="s">
        <v>34</v>
      </c>
      <c r="D116" s="7">
        <f t="shared" si="0"/>
        <v>1</v>
      </c>
      <c r="E116" s="8">
        <v>0</v>
      </c>
      <c r="F116" s="5">
        <v>0</v>
      </c>
      <c r="G116" s="5">
        <v>0</v>
      </c>
      <c r="H116" s="5">
        <v>0</v>
      </c>
      <c r="I116" s="5">
        <v>0</v>
      </c>
      <c r="J116" s="9">
        <v>0</v>
      </c>
      <c r="K116" s="8">
        <v>5</v>
      </c>
      <c r="L116" s="5">
        <v>10</v>
      </c>
      <c r="M116" s="5">
        <v>0</v>
      </c>
      <c r="N116" s="9">
        <v>0</v>
      </c>
      <c r="O116" s="8">
        <v>0</v>
      </c>
      <c r="P116" s="5">
        <v>0</v>
      </c>
      <c r="Q116" s="5">
        <v>0</v>
      </c>
      <c r="R116" s="9">
        <v>0</v>
      </c>
      <c r="S116" s="8">
        <v>0</v>
      </c>
      <c r="T116" s="9">
        <v>0</v>
      </c>
    </row>
    <row r="117" spans="1:20" x14ac:dyDescent="0.2">
      <c r="A117" s="5" t="s">
        <v>149</v>
      </c>
      <c r="B117" s="5" t="s">
        <v>75</v>
      </c>
      <c r="C117" s="6" t="s">
        <v>49</v>
      </c>
      <c r="D117" s="7">
        <f t="shared" si="0"/>
        <v>2.7</v>
      </c>
      <c r="E117" s="8">
        <v>0</v>
      </c>
      <c r="F117" s="5">
        <v>0</v>
      </c>
      <c r="G117" s="5">
        <v>0</v>
      </c>
      <c r="H117" s="5">
        <v>0</v>
      </c>
      <c r="I117" s="5">
        <v>0</v>
      </c>
      <c r="J117" s="9">
        <v>0</v>
      </c>
      <c r="K117" s="8">
        <v>2</v>
      </c>
      <c r="L117" s="5">
        <v>8</v>
      </c>
      <c r="M117" s="5">
        <v>0</v>
      </c>
      <c r="N117" s="9">
        <v>0</v>
      </c>
      <c r="O117" s="8">
        <v>1</v>
      </c>
      <c r="P117" s="5">
        <v>9</v>
      </c>
      <c r="Q117" s="5">
        <v>0</v>
      </c>
      <c r="R117" s="9">
        <v>0</v>
      </c>
      <c r="S117" s="8">
        <v>0</v>
      </c>
      <c r="T117" s="9">
        <v>0</v>
      </c>
    </row>
    <row r="118" spans="1:20" x14ac:dyDescent="0.2">
      <c r="A118" s="5" t="s">
        <v>150</v>
      </c>
      <c r="B118" s="5" t="s">
        <v>75</v>
      </c>
      <c r="C118" s="6" t="s">
        <v>20</v>
      </c>
      <c r="D118" s="7">
        <f t="shared" si="0"/>
        <v>2</v>
      </c>
      <c r="E118" s="8">
        <v>0</v>
      </c>
      <c r="F118" s="5">
        <v>0</v>
      </c>
      <c r="G118" s="5">
        <v>0</v>
      </c>
      <c r="H118" s="5">
        <v>0</v>
      </c>
      <c r="I118" s="5">
        <v>0</v>
      </c>
      <c r="J118" s="9">
        <v>0</v>
      </c>
      <c r="K118" s="8">
        <v>1</v>
      </c>
      <c r="L118" s="5">
        <v>3</v>
      </c>
      <c r="M118" s="5">
        <v>0</v>
      </c>
      <c r="N118" s="9">
        <v>0</v>
      </c>
      <c r="O118" s="8">
        <v>1</v>
      </c>
      <c r="P118" s="5">
        <v>7</v>
      </c>
      <c r="Q118" s="5">
        <v>0</v>
      </c>
      <c r="R118" s="9">
        <v>0</v>
      </c>
      <c r="S118" s="8">
        <v>0</v>
      </c>
      <c r="T118" s="9">
        <v>0</v>
      </c>
    </row>
    <row r="119" spans="1:20" x14ac:dyDescent="0.2">
      <c r="A119" s="5" t="s">
        <v>151</v>
      </c>
      <c r="B119" s="5" t="s">
        <v>75</v>
      </c>
      <c r="C119" s="6" t="s">
        <v>54</v>
      </c>
      <c r="D119" s="7">
        <f t="shared" si="0"/>
        <v>1.5</v>
      </c>
      <c r="E119" s="8">
        <v>0</v>
      </c>
      <c r="F119" s="5">
        <v>0</v>
      </c>
      <c r="G119" s="5">
        <v>0</v>
      </c>
      <c r="H119" s="5">
        <v>0</v>
      </c>
      <c r="I119" s="5">
        <v>0</v>
      </c>
      <c r="J119" s="9">
        <v>0</v>
      </c>
      <c r="K119" s="8">
        <v>7</v>
      </c>
      <c r="L119" s="5">
        <v>15</v>
      </c>
      <c r="M119" s="5">
        <v>0</v>
      </c>
      <c r="N119" s="9">
        <v>0</v>
      </c>
      <c r="O119" s="8">
        <v>0</v>
      </c>
      <c r="P119" s="5">
        <v>0</v>
      </c>
      <c r="Q119" s="5">
        <v>0</v>
      </c>
      <c r="R119" s="9">
        <v>0</v>
      </c>
      <c r="S119" s="8">
        <v>0</v>
      </c>
      <c r="T119" s="9">
        <v>0</v>
      </c>
    </row>
    <row r="120" spans="1:20" x14ac:dyDescent="0.2">
      <c r="A120" s="5" t="s">
        <v>152</v>
      </c>
      <c r="B120" s="5" t="s">
        <v>75</v>
      </c>
      <c r="C120" s="6" t="s">
        <v>20</v>
      </c>
      <c r="D120" s="7">
        <f t="shared" si="0"/>
        <v>1.3</v>
      </c>
      <c r="E120" s="8">
        <v>0</v>
      </c>
      <c r="F120" s="5">
        <v>0</v>
      </c>
      <c r="G120" s="5">
        <v>0</v>
      </c>
      <c r="H120" s="5">
        <v>0</v>
      </c>
      <c r="I120" s="5">
        <v>0</v>
      </c>
      <c r="J120" s="9">
        <v>0</v>
      </c>
      <c r="K120" s="8">
        <v>1</v>
      </c>
      <c r="L120" s="5">
        <v>3</v>
      </c>
      <c r="M120" s="5">
        <v>0</v>
      </c>
      <c r="N120" s="9">
        <v>0</v>
      </c>
      <c r="O120" s="8">
        <v>1</v>
      </c>
      <c r="P120" s="5">
        <v>0</v>
      </c>
      <c r="Q120" s="5">
        <v>0</v>
      </c>
      <c r="R120" s="9">
        <v>0</v>
      </c>
      <c r="S120" s="8">
        <v>0</v>
      </c>
      <c r="T120" s="9">
        <v>0</v>
      </c>
    </row>
    <row r="121" spans="1:20" x14ac:dyDescent="0.2">
      <c r="A121" s="5" t="s">
        <v>153</v>
      </c>
      <c r="B121" s="5" t="s">
        <v>75</v>
      </c>
      <c r="C121" s="6" t="s">
        <v>36</v>
      </c>
      <c r="D121" s="7">
        <f t="shared" si="0"/>
        <v>1.7</v>
      </c>
      <c r="E121" s="8">
        <v>0</v>
      </c>
      <c r="F121" s="5">
        <v>0</v>
      </c>
      <c r="G121" s="5">
        <v>0</v>
      </c>
      <c r="H121" s="5">
        <v>0</v>
      </c>
      <c r="I121" s="5">
        <v>0</v>
      </c>
      <c r="J121" s="9">
        <v>0</v>
      </c>
      <c r="K121" s="8">
        <v>1</v>
      </c>
      <c r="L121" s="5">
        <v>2</v>
      </c>
      <c r="M121" s="5">
        <v>0</v>
      </c>
      <c r="N121" s="9">
        <v>0</v>
      </c>
      <c r="O121" s="8">
        <v>1</v>
      </c>
      <c r="P121" s="5">
        <v>5</v>
      </c>
      <c r="Q121" s="5">
        <v>0</v>
      </c>
      <c r="R121" s="9">
        <v>0</v>
      </c>
      <c r="S121" s="8">
        <v>0</v>
      </c>
      <c r="T121" s="9">
        <v>0</v>
      </c>
    </row>
    <row r="122" spans="1:20" x14ac:dyDescent="0.2">
      <c r="A122" s="5" t="s">
        <v>154</v>
      </c>
      <c r="B122" s="5" t="s">
        <v>75</v>
      </c>
      <c r="C122" s="6" t="s">
        <v>31</v>
      </c>
      <c r="D122" s="7">
        <f t="shared" si="0"/>
        <v>0.8</v>
      </c>
      <c r="E122" s="8">
        <v>0</v>
      </c>
      <c r="F122" s="5">
        <v>0</v>
      </c>
      <c r="G122" s="5">
        <v>0</v>
      </c>
      <c r="H122" s="5">
        <v>0</v>
      </c>
      <c r="I122" s="5">
        <v>0</v>
      </c>
      <c r="J122" s="9">
        <v>0</v>
      </c>
      <c r="K122" s="8">
        <v>2</v>
      </c>
      <c r="L122" s="5">
        <v>8</v>
      </c>
      <c r="M122" s="5">
        <v>0</v>
      </c>
      <c r="N122" s="9">
        <v>0</v>
      </c>
      <c r="O122" s="8">
        <v>0</v>
      </c>
      <c r="P122" s="5">
        <v>0</v>
      </c>
      <c r="Q122" s="5">
        <v>0</v>
      </c>
      <c r="R122" s="9">
        <v>0</v>
      </c>
      <c r="S122" s="8">
        <v>0</v>
      </c>
      <c r="T122" s="9">
        <v>0</v>
      </c>
    </row>
    <row r="123" spans="1:20" x14ac:dyDescent="0.2">
      <c r="A123" s="5" t="s">
        <v>155</v>
      </c>
      <c r="B123" s="5" t="s">
        <v>75</v>
      </c>
      <c r="C123" s="6" t="s">
        <v>40</v>
      </c>
      <c r="D123" s="7">
        <f t="shared" si="0"/>
        <v>-0.4</v>
      </c>
      <c r="E123" s="8">
        <v>0</v>
      </c>
      <c r="F123" s="5">
        <v>0</v>
      </c>
      <c r="G123" s="5">
        <v>0</v>
      </c>
      <c r="H123" s="5">
        <v>0</v>
      </c>
      <c r="I123" s="5">
        <v>0</v>
      </c>
      <c r="J123" s="9">
        <v>0</v>
      </c>
      <c r="K123" s="8">
        <v>5</v>
      </c>
      <c r="L123" s="5">
        <v>-4</v>
      </c>
      <c r="M123" s="5">
        <v>0</v>
      </c>
      <c r="N123" s="9">
        <v>0</v>
      </c>
      <c r="O123" s="8">
        <v>0</v>
      </c>
      <c r="P123" s="5">
        <v>0</v>
      </c>
      <c r="Q123" s="5">
        <v>0</v>
      </c>
      <c r="R123" s="9">
        <v>0</v>
      </c>
      <c r="S123" s="8">
        <v>0</v>
      </c>
      <c r="T123" s="9">
        <v>0</v>
      </c>
    </row>
    <row r="124" spans="1:20" x14ac:dyDescent="0.2">
      <c r="A124" s="5" t="s">
        <v>156</v>
      </c>
      <c r="B124" s="5" t="s">
        <v>75</v>
      </c>
      <c r="C124" s="6" t="s">
        <v>27</v>
      </c>
      <c r="D124" s="7">
        <f t="shared" si="0"/>
        <v>-0.4</v>
      </c>
      <c r="E124" s="8">
        <v>0</v>
      </c>
      <c r="F124" s="5">
        <v>0</v>
      </c>
      <c r="G124" s="5">
        <v>0</v>
      </c>
      <c r="H124" s="5">
        <v>0</v>
      </c>
      <c r="I124" s="5">
        <v>0</v>
      </c>
      <c r="J124" s="9">
        <v>0</v>
      </c>
      <c r="K124" s="8">
        <v>1</v>
      </c>
      <c r="L124" s="5">
        <v>-4</v>
      </c>
      <c r="M124" s="5">
        <v>0</v>
      </c>
      <c r="N124" s="9">
        <v>0</v>
      </c>
      <c r="O124" s="8">
        <v>0</v>
      </c>
      <c r="P124" s="5">
        <v>0</v>
      </c>
      <c r="Q124" s="5">
        <v>0</v>
      </c>
      <c r="R124" s="9">
        <v>0</v>
      </c>
      <c r="S124" s="8">
        <v>0</v>
      </c>
      <c r="T124" s="9">
        <v>0</v>
      </c>
    </row>
    <row r="125" spans="1:20" x14ac:dyDescent="0.2">
      <c r="A125" s="5" t="s">
        <v>157</v>
      </c>
      <c r="B125" s="5" t="s">
        <v>75</v>
      </c>
      <c r="C125" s="6" t="s">
        <v>42</v>
      </c>
      <c r="D125" s="7">
        <f t="shared" si="0"/>
        <v>0.5</v>
      </c>
      <c r="E125" s="8">
        <v>0</v>
      </c>
      <c r="F125" s="5">
        <v>0</v>
      </c>
      <c r="G125" s="5">
        <v>0</v>
      </c>
      <c r="H125" s="5">
        <v>0</v>
      </c>
      <c r="I125" s="5">
        <v>0</v>
      </c>
      <c r="J125" s="9">
        <v>0</v>
      </c>
      <c r="K125" s="8">
        <v>1</v>
      </c>
      <c r="L125" s="5">
        <v>5</v>
      </c>
      <c r="M125" s="5">
        <v>0</v>
      </c>
      <c r="N125" s="9">
        <v>0</v>
      </c>
      <c r="O125" s="8">
        <v>0</v>
      </c>
      <c r="P125" s="5">
        <v>0</v>
      </c>
      <c r="Q125" s="5">
        <v>0</v>
      </c>
      <c r="R125" s="9">
        <v>0</v>
      </c>
      <c r="S125" s="8">
        <v>0</v>
      </c>
      <c r="T125" s="9">
        <v>0</v>
      </c>
    </row>
    <row r="126" spans="1:20" x14ac:dyDescent="0.2">
      <c r="A126" s="5" t="s">
        <v>158</v>
      </c>
      <c r="B126" s="5" t="s">
        <v>75</v>
      </c>
      <c r="C126" s="8" t="s">
        <v>40</v>
      </c>
      <c r="D126" s="7">
        <f t="shared" si="0"/>
        <v>0.70000000000000007</v>
      </c>
      <c r="E126" s="8">
        <v>0</v>
      </c>
      <c r="F126" s="5">
        <v>0</v>
      </c>
      <c r="G126" s="5">
        <v>0</v>
      </c>
      <c r="H126" s="5">
        <v>0</v>
      </c>
      <c r="I126" s="5">
        <v>0</v>
      </c>
      <c r="J126" s="9">
        <v>0</v>
      </c>
      <c r="K126" s="8">
        <v>3</v>
      </c>
      <c r="L126" s="5">
        <v>7</v>
      </c>
      <c r="M126" s="5">
        <v>0</v>
      </c>
      <c r="N126" s="9">
        <v>0</v>
      </c>
      <c r="O126" s="8">
        <v>0</v>
      </c>
      <c r="P126" s="5">
        <v>0</v>
      </c>
      <c r="Q126" s="5">
        <v>0</v>
      </c>
      <c r="R126" s="9">
        <v>0</v>
      </c>
      <c r="S126" s="8">
        <v>0</v>
      </c>
      <c r="T126" s="9">
        <v>0</v>
      </c>
    </row>
    <row r="127" spans="1:20" x14ac:dyDescent="0.2">
      <c r="A127" s="5" t="s">
        <v>159</v>
      </c>
      <c r="B127" s="5" t="s">
        <v>75</v>
      </c>
      <c r="C127" s="6" t="s">
        <v>60</v>
      </c>
      <c r="D127" s="7">
        <f t="shared" si="0"/>
        <v>0.8</v>
      </c>
      <c r="E127" s="8">
        <v>0</v>
      </c>
      <c r="F127" s="5">
        <v>0</v>
      </c>
      <c r="G127" s="5">
        <v>0</v>
      </c>
      <c r="H127" s="5">
        <v>0</v>
      </c>
      <c r="I127" s="5">
        <v>0</v>
      </c>
      <c r="J127" s="9">
        <v>0</v>
      </c>
      <c r="K127" s="8">
        <v>6</v>
      </c>
      <c r="L127" s="5">
        <v>8</v>
      </c>
      <c r="M127" s="5">
        <v>0</v>
      </c>
      <c r="N127" s="9">
        <v>0</v>
      </c>
      <c r="O127" s="8">
        <v>0</v>
      </c>
      <c r="P127" s="5">
        <v>0</v>
      </c>
      <c r="Q127" s="5">
        <v>0</v>
      </c>
      <c r="R127" s="9">
        <v>0</v>
      </c>
      <c r="S127" s="8">
        <v>0</v>
      </c>
      <c r="T127" s="9">
        <v>0</v>
      </c>
    </row>
    <row r="128" spans="1:20" x14ac:dyDescent="0.2">
      <c r="A128" s="5" t="s">
        <v>160</v>
      </c>
      <c r="B128" s="5" t="s">
        <v>75</v>
      </c>
      <c r="C128" s="6" t="s">
        <v>29</v>
      </c>
      <c r="D128" s="7">
        <f t="shared" si="0"/>
        <v>0.70000000000000007</v>
      </c>
      <c r="E128" s="8">
        <v>0</v>
      </c>
      <c r="F128" s="5">
        <v>0</v>
      </c>
      <c r="G128" s="5">
        <v>0</v>
      </c>
      <c r="H128" s="5">
        <v>0</v>
      </c>
      <c r="I128" s="5">
        <v>0</v>
      </c>
      <c r="J128" s="9">
        <v>0</v>
      </c>
      <c r="K128" s="8">
        <v>2</v>
      </c>
      <c r="L128" s="5">
        <v>7</v>
      </c>
      <c r="M128" s="5">
        <v>0</v>
      </c>
      <c r="N128" s="9">
        <v>0</v>
      </c>
      <c r="O128" s="8">
        <v>0</v>
      </c>
      <c r="P128" s="5">
        <v>0</v>
      </c>
      <c r="Q128" s="5">
        <v>0</v>
      </c>
      <c r="R128" s="9">
        <v>0</v>
      </c>
      <c r="S128" s="8">
        <v>0</v>
      </c>
      <c r="T128" s="9">
        <v>0</v>
      </c>
    </row>
    <row r="129" spans="1:20" x14ac:dyDescent="0.2">
      <c r="A129" s="5" t="s">
        <v>161</v>
      </c>
      <c r="B129" s="5" t="s">
        <v>162</v>
      </c>
      <c r="C129" s="6" t="s">
        <v>18</v>
      </c>
      <c r="D129" s="7">
        <f t="shared" si="0"/>
        <v>44.5</v>
      </c>
      <c r="E129" s="8">
        <v>0</v>
      </c>
      <c r="F129" s="5">
        <v>0</v>
      </c>
      <c r="G129" s="5">
        <v>0</v>
      </c>
      <c r="H129" s="5">
        <v>0</v>
      </c>
      <c r="I129" s="5">
        <v>0</v>
      </c>
      <c r="J129" s="9">
        <v>0</v>
      </c>
      <c r="K129" s="8">
        <v>0</v>
      </c>
      <c r="L129" s="5">
        <v>0</v>
      </c>
      <c r="M129" s="5">
        <v>0</v>
      </c>
      <c r="N129" s="9">
        <v>0</v>
      </c>
      <c r="O129" s="8">
        <v>11</v>
      </c>
      <c r="P129" s="5">
        <v>215</v>
      </c>
      <c r="Q129" s="5">
        <v>2</v>
      </c>
      <c r="R129" s="9">
        <v>0</v>
      </c>
      <c r="S129" s="8">
        <v>0</v>
      </c>
      <c r="T129" s="9">
        <v>0</v>
      </c>
    </row>
    <row r="130" spans="1:20" x14ac:dyDescent="0.2">
      <c r="A130" s="5" t="s">
        <v>163</v>
      </c>
      <c r="B130" s="5" t="s">
        <v>162</v>
      </c>
      <c r="C130" s="6" t="s">
        <v>34</v>
      </c>
      <c r="D130" s="7">
        <f t="shared" si="0"/>
        <v>32.9</v>
      </c>
      <c r="E130" s="8">
        <v>0</v>
      </c>
      <c r="F130" s="5">
        <v>0</v>
      </c>
      <c r="G130" s="5">
        <v>0</v>
      </c>
      <c r="H130" s="5">
        <v>0</v>
      </c>
      <c r="I130" s="5">
        <v>0</v>
      </c>
      <c r="J130" s="9">
        <v>0</v>
      </c>
      <c r="K130" s="8">
        <v>0</v>
      </c>
      <c r="L130" s="5">
        <v>0</v>
      </c>
      <c r="M130" s="5">
        <v>0</v>
      </c>
      <c r="N130" s="9">
        <v>0</v>
      </c>
      <c r="O130" s="8">
        <v>8</v>
      </c>
      <c r="P130" s="5">
        <v>129</v>
      </c>
      <c r="Q130" s="5">
        <v>2</v>
      </c>
      <c r="R130" s="9">
        <v>0</v>
      </c>
      <c r="S130" s="8">
        <v>0</v>
      </c>
      <c r="T130" s="9">
        <v>0</v>
      </c>
    </row>
    <row r="131" spans="1:20" x14ac:dyDescent="0.2">
      <c r="A131" s="5" t="s">
        <v>164</v>
      </c>
      <c r="B131" s="5" t="s">
        <v>162</v>
      </c>
      <c r="C131" s="6" t="s">
        <v>36</v>
      </c>
      <c r="D131" s="7">
        <f t="shared" si="0"/>
        <v>29.1</v>
      </c>
      <c r="E131" s="8">
        <v>0</v>
      </c>
      <c r="F131" s="5">
        <v>0</v>
      </c>
      <c r="G131" s="5">
        <v>0</v>
      </c>
      <c r="H131" s="5">
        <v>0</v>
      </c>
      <c r="I131" s="5">
        <v>0</v>
      </c>
      <c r="J131" s="9">
        <v>0</v>
      </c>
      <c r="K131" s="8">
        <v>0</v>
      </c>
      <c r="L131" s="5">
        <v>0</v>
      </c>
      <c r="M131" s="5">
        <v>0</v>
      </c>
      <c r="N131" s="9">
        <v>0</v>
      </c>
      <c r="O131" s="8">
        <v>9</v>
      </c>
      <c r="P131" s="5">
        <v>81</v>
      </c>
      <c r="Q131" s="5">
        <v>2</v>
      </c>
      <c r="R131" s="9">
        <v>0</v>
      </c>
      <c r="S131" s="8">
        <v>0</v>
      </c>
      <c r="T131" s="9">
        <v>0</v>
      </c>
    </row>
    <row r="132" spans="1:20" x14ac:dyDescent="0.2">
      <c r="A132" s="5" t="s">
        <v>165</v>
      </c>
      <c r="B132" s="5" t="s">
        <v>162</v>
      </c>
      <c r="C132" s="6" t="s">
        <v>49</v>
      </c>
      <c r="D132" s="7">
        <f t="shared" si="0"/>
        <v>26.200000000000003</v>
      </c>
      <c r="E132" s="8">
        <v>0</v>
      </c>
      <c r="F132" s="5">
        <v>0</v>
      </c>
      <c r="G132" s="5">
        <v>0</v>
      </c>
      <c r="H132" s="5">
        <v>0</v>
      </c>
      <c r="I132" s="5">
        <v>0</v>
      </c>
      <c r="J132" s="9">
        <v>0</v>
      </c>
      <c r="K132" s="8">
        <v>0</v>
      </c>
      <c r="L132" s="5">
        <v>0</v>
      </c>
      <c r="M132" s="5">
        <v>0</v>
      </c>
      <c r="N132" s="9">
        <v>0</v>
      </c>
      <c r="O132" s="8">
        <v>10</v>
      </c>
      <c r="P132" s="5">
        <v>102</v>
      </c>
      <c r="Q132" s="5">
        <v>1</v>
      </c>
      <c r="R132" s="9">
        <v>0</v>
      </c>
      <c r="S132" s="8">
        <v>0</v>
      </c>
      <c r="T132" s="9">
        <v>0</v>
      </c>
    </row>
    <row r="133" spans="1:20" x14ac:dyDescent="0.2">
      <c r="A133" s="5" t="s">
        <v>166</v>
      </c>
      <c r="B133" s="5" t="s">
        <v>162</v>
      </c>
      <c r="C133" s="8" t="s">
        <v>20</v>
      </c>
      <c r="D133" s="7">
        <f t="shared" si="0"/>
        <v>24.4</v>
      </c>
      <c r="E133" s="8">
        <v>0</v>
      </c>
      <c r="F133" s="5">
        <v>0</v>
      </c>
      <c r="G133" s="5">
        <v>0</v>
      </c>
      <c r="H133" s="5">
        <v>0</v>
      </c>
      <c r="I133" s="5">
        <v>0</v>
      </c>
      <c r="J133" s="9">
        <v>0</v>
      </c>
      <c r="K133" s="8">
        <v>0</v>
      </c>
      <c r="L133" s="5">
        <v>0</v>
      </c>
      <c r="M133" s="5">
        <v>0</v>
      </c>
      <c r="N133" s="9">
        <v>0</v>
      </c>
      <c r="O133" s="8">
        <v>6</v>
      </c>
      <c r="P133" s="5">
        <v>64</v>
      </c>
      <c r="Q133" s="5">
        <v>2</v>
      </c>
      <c r="R133" s="9">
        <v>0</v>
      </c>
      <c r="S133" s="8">
        <v>0</v>
      </c>
      <c r="T133" s="9">
        <v>0</v>
      </c>
    </row>
    <row r="134" spans="1:20" x14ac:dyDescent="0.2">
      <c r="A134" s="5" t="s">
        <v>167</v>
      </c>
      <c r="B134" s="5" t="s">
        <v>162</v>
      </c>
      <c r="C134" s="8" t="s">
        <v>31</v>
      </c>
      <c r="D134" s="7">
        <f t="shared" si="0"/>
        <v>24</v>
      </c>
      <c r="E134" s="8">
        <v>0</v>
      </c>
      <c r="F134" s="5">
        <v>0</v>
      </c>
      <c r="G134" s="5">
        <v>0</v>
      </c>
      <c r="H134" s="5">
        <v>0</v>
      </c>
      <c r="I134" s="5">
        <v>0</v>
      </c>
      <c r="J134" s="9">
        <v>0</v>
      </c>
      <c r="K134" s="8">
        <v>0</v>
      </c>
      <c r="L134" s="5">
        <v>0</v>
      </c>
      <c r="M134" s="5">
        <v>0</v>
      </c>
      <c r="N134" s="9">
        <v>0</v>
      </c>
      <c r="O134" s="8">
        <v>9</v>
      </c>
      <c r="P134" s="5">
        <v>150</v>
      </c>
      <c r="Q134" s="5">
        <v>0</v>
      </c>
      <c r="R134" s="9">
        <v>0</v>
      </c>
      <c r="S134" s="8">
        <v>0</v>
      </c>
      <c r="T134" s="9">
        <v>0</v>
      </c>
    </row>
    <row r="135" spans="1:20" x14ac:dyDescent="0.2">
      <c r="A135" s="5" t="s">
        <v>168</v>
      </c>
      <c r="B135" s="5" t="s">
        <v>162</v>
      </c>
      <c r="C135" s="6" t="s">
        <v>27</v>
      </c>
      <c r="D135" s="7">
        <f t="shared" si="0"/>
        <v>24.1</v>
      </c>
      <c r="E135" s="8">
        <v>0</v>
      </c>
      <c r="F135" s="5">
        <v>0</v>
      </c>
      <c r="G135" s="5">
        <v>0</v>
      </c>
      <c r="H135" s="5">
        <v>0</v>
      </c>
      <c r="I135" s="5">
        <v>0</v>
      </c>
      <c r="J135" s="9">
        <v>0</v>
      </c>
      <c r="K135" s="8">
        <v>0</v>
      </c>
      <c r="L135" s="5">
        <v>0</v>
      </c>
      <c r="M135" s="5">
        <v>0</v>
      </c>
      <c r="N135" s="9">
        <v>0</v>
      </c>
      <c r="O135" s="8">
        <v>8</v>
      </c>
      <c r="P135" s="5">
        <v>101</v>
      </c>
      <c r="Q135" s="5">
        <v>1</v>
      </c>
      <c r="R135" s="9">
        <v>0</v>
      </c>
      <c r="S135" s="8">
        <v>0</v>
      </c>
      <c r="T135" s="9">
        <v>0</v>
      </c>
    </row>
    <row r="136" spans="1:20" x14ac:dyDescent="0.2">
      <c r="A136" s="5" t="s">
        <v>169</v>
      </c>
      <c r="B136" s="5" t="s">
        <v>162</v>
      </c>
      <c r="C136" s="8" t="s">
        <v>27</v>
      </c>
      <c r="D136" s="7">
        <f t="shared" si="0"/>
        <v>23.700000000000003</v>
      </c>
      <c r="E136" s="8">
        <v>0</v>
      </c>
      <c r="F136" s="5">
        <v>0</v>
      </c>
      <c r="G136" s="5">
        <v>0</v>
      </c>
      <c r="H136" s="5">
        <v>0</v>
      </c>
      <c r="I136" s="5">
        <v>0</v>
      </c>
      <c r="J136" s="9">
        <v>0</v>
      </c>
      <c r="K136" s="8">
        <v>0</v>
      </c>
      <c r="L136" s="5">
        <v>0</v>
      </c>
      <c r="M136" s="5">
        <v>0</v>
      </c>
      <c r="N136" s="9">
        <v>0</v>
      </c>
      <c r="O136" s="8">
        <v>8</v>
      </c>
      <c r="P136" s="5">
        <v>97</v>
      </c>
      <c r="Q136" s="5">
        <v>1</v>
      </c>
      <c r="R136" s="9">
        <v>0</v>
      </c>
      <c r="S136" s="8">
        <v>0</v>
      </c>
      <c r="T136" s="9">
        <v>0</v>
      </c>
    </row>
    <row r="137" spans="1:20" x14ac:dyDescent="0.2">
      <c r="A137" s="5" t="s">
        <v>170</v>
      </c>
      <c r="B137" s="5" t="s">
        <v>162</v>
      </c>
      <c r="C137" s="6" t="s">
        <v>47</v>
      </c>
      <c r="D137" s="7">
        <f t="shared" si="0"/>
        <v>21.9</v>
      </c>
      <c r="E137" s="8">
        <v>0</v>
      </c>
      <c r="F137" s="5">
        <v>0</v>
      </c>
      <c r="G137" s="5">
        <v>0</v>
      </c>
      <c r="H137" s="5">
        <v>0</v>
      </c>
      <c r="I137" s="5">
        <v>0</v>
      </c>
      <c r="J137" s="9">
        <v>0</v>
      </c>
      <c r="K137" s="8">
        <v>0</v>
      </c>
      <c r="L137" s="5">
        <v>0</v>
      </c>
      <c r="M137" s="5">
        <v>0</v>
      </c>
      <c r="N137" s="9">
        <v>0</v>
      </c>
      <c r="O137" s="8">
        <v>10</v>
      </c>
      <c r="P137" s="5">
        <v>119</v>
      </c>
      <c r="Q137" s="5">
        <v>0</v>
      </c>
      <c r="R137" s="9">
        <v>0</v>
      </c>
      <c r="S137" s="8">
        <v>0</v>
      </c>
      <c r="T137" s="9">
        <v>0</v>
      </c>
    </row>
    <row r="138" spans="1:20" x14ac:dyDescent="0.2">
      <c r="A138" s="5" t="s">
        <v>171</v>
      </c>
      <c r="B138" s="5" t="s">
        <v>162</v>
      </c>
      <c r="C138" s="8" t="s">
        <v>42</v>
      </c>
      <c r="D138" s="7">
        <f t="shared" si="0"/>
        <v>19.200000000000003</v>
      </c>
      <c r="E138" s="8">
        <v>0</v>
      </c>
      <c r="F138" s="5">
        <v>0</v>
      </c>
      <c r="G138" s="5">
        <v>0</v>
      </c>
      <c r="H138" s="5">
        <v>0</v>
      </c>
      <c r="I138" s="5">
        <v>0</v>
      </c>
      <c r="J138" s="9">
        <v>0</v>
      </c>
      <c r="K138" s="8">
        <v>0</v>
      </c>
      <c r="L138" s="5">
        <v>0</v>
      </c>
      <c r="M138" s="5">
        <v>0</v>
      </c>
      <c r="N138" s="9">
        <v>0</v>
      </c>
      <c r="O138" s="8">
        <v>8</v>
      </c>
      <c r="P138" s="5">
        <v>112</v>
      </c>
      <c r="Q138" s="5">
        <v>0</v>
      </c>
      <c r="R138" s="9">
        <v>0</v>
      </c>
      <c r="S138" s="8">
        <v>0</v>
      </c>
      <c r="T138" s="9">
        <v>0</v>
      </c>
    </row>
    <row r="139" spans="1:20" x14ac:dyDescent="0.2">
      <c r="A139" s="5" t="s">
        <v>172</v>
      </c>
      <c r="B139" s="5" t="s">
        <v>162</v>
      </c>
      <c r="C139" s="8" t="s">
        <v>42</v>
      </c>
      <c r="D139" s="7">
        <f t="shared" si="0"/>
        <v>19</v>
      </c>
      <c r="E139" s="8">
        <v>0</v>
      </c>
      <c r="F139" s="5">
        <v>0</v>
      </c>
      <c r="G139" s="5">
        <v>0</v>
      </c>
      <c r="H139" s="5">
        <v>0</v>
      </c>
      <c r="I139" s="5">
        <v>0</v>
      </c>
      <c r="J139" s="9">
        <v>0</v>
      </c>
      <c r="K139" s="8">
        <v>2</v>
      </c>
      <c r="L139" s="5">
        <v>11</v>
      </c>
      <c r="M139" s="5">
        <v>0</v>
      </c>
      <c r="N139" s="9">
        <v>0</v>
      </c>
      <c r="O139" s="8">
        <v>5</v>
      </c>
      <c r="P139" s="5">
        <v>89</v>
      </c>
      <c r="Q139" s="5">
        <v>1</v>
      </c>
      <c r="R139" s="9">
        <v>0</v>
      </c>
      <c r="S139" s="8">
        <v>1</v>
      </c>
      <c r="T139" s="9">
        <v>0</v>
      </c>
    </row>
    <row r="140" spans="1:20" x14ac:dyDescent="0.2">
      <c r="A140" s="5" t="s">
        <v>173</v>
      </c>
      <c r="B140" s="5" t="s">
        <v>162</v>
      </c>
      <c r="C140" s="6" t="s">
        <v>24</v>
      </c>
      <c r="D140" s="7">
        <f t="shared" si="0"/>
        <v>19.100000000000001</v>
      </c>
      <c r="E140" s="8">
        <v>0</v>
      </c>
      <c r="F140" s="5">
        <v>0</v>
      </c>
      <c r="G140" s="5">
        <v>0</v>
      </c>
      <c r="H140" s="5">
        <v>0</v>
      </c>
      <c r="I140" s="5">
        <v>0</v>
      </c>
      <c r="J140" s="9">
        <v>0</v>
      </c>
      <c r="K140" s="8">
        <v>0</v>
      </c>
      <c r="L140" s="5">
        <v>0</v>
      </c>
      <c r="M140" s="5">
        <v>0</v>
      </c>
      <c r="N140" s="9">
        <v>0</v>
      </c>
      <c r="O140" s="8">
        <v>6</v>
      </c>
      <c r="P140" s="5">
        <v>71</v>
      </c>
      <c r="Q140" s="5">
        <v>1</v>
      </c>
      <c r="R140" s="9">
        <v>0</v>
      </c>
      <c r="S140" s="8">
        <v>0</v>
      </c>
      <c r="T140" s="9">
        <v>0</v>
      </c>
    </row>
    <row r="141" spans="1:20" x14ac:dyDescent="0.2">
      <c r="A141" s="5" t="s">
        <v>174</v>
      </c>
      <c r="B141" s="5" t="s">
        <v>162</v>
      </c>
      <c r="C141" s="6" t="s">
        <v>22</v>
      </c>
      <c r="D141" s="7">
        <f t="shared" si="0"/>
        <v>18.600000000000001</v>
      </c>
      <c r="E141" s="8">
        <v>0</v>
      </c>
      <c r="F141" s="5">
        <v>0</v>
      </c>
      <c r="G141" s="5">
        <v>0</v>
      </c>
      <c r="H141" s="5">
        <v>0</v>
      </c>
      <c r="I141" s="5">
        <v>0</v>
      </c>
      <c r="J141" s="9">
        <v>0</v>
      </c>
      <c r="K141" s="8">
        <v>0</v>
      </c>
      <c r="L141" s="5">
        <v>0</v>
      </c>
      <c r="M141" s="5">
        <v>0</v>
      </c>
      <c r="N141" s="9">
        <v>0</v>
      </c>
      <c r="O141" s="8">
        <v>4</v>
      </c>
      <c r="P141" s="5">
        <v>26</v>
      </c>
      <c r="Q141" s="5">
        <v>2</v>
      </c>
      <c r="R141" s="9">
        <v>0</v>
      </c>
      <c r="S141" s="8">
        <v>0</v>
      </c>
      <c r="T141" s="9">
        <v>0</v>
      </c>
    </row>
    <row r="142" spans="1:20" x14ac:dyDescent="0.2">
      <c r="A142" s="5" t="s">
        <v>175</v>
      </c>
      <c r="B142" s="5" t="s">
        <v>162</v>
      </c>
      <c r="C142" s="6" t="s">
        <v>31</v>
      </c>
      <c r="D142" s="7">
        <f t="shared" si="0"/>
        <v>18.600000000000001</v>
      </c>
      <c r="E142" s="8">
        <v>0</v>
      </c>
      <c r="F142" s="5">
        <v>0</v>
      </c>
      <c r="G142" s="5">
        <v>0</v>
      </c>
      <c r="H142" s="5">
        <v>0</v>
      </c>
      <c r="I142" s="5">
        <v>0</v>
      </c>
      <c r="J142" s="9">
        <v>0</v>
      </c>
      <c r="K142" s="8">
        <v>0</v>
      </c>
      <c r="L142" s="5">
        <v>0</v>
      </c>
      <c r="M142" s="5">
        <v>0</v>
      </c>
      <c r="N142" s="9">
        <v>0</v>
      </c>
      <c r="O142" s="8">
        <v>6</v>
      </c>
      <c r="P142" s="5">
        <v>66</v>
      </c>
      <c r="Q142" s="5">
        <v>1</v>
      </c>
      <c r="R142" s="9">
        <v>0</v>
      </c>
      <c r="S142" s="8">
        <v>0</v>
      </c>
      <c r="T142" s="9">
        <v>0</v>
      </c>
    </row>
    <row r="143" spans="1:20" x14ac:dyDescent="0.2">
      <c r="A143" s="5" t="s">
        <v>176</v>
      </c>
      <c r="B143" s="5" t="s">
        <v>162</v>
      </c>
      <c r="C143" s="6" t="s">
        <v>47</v>
      </c>
      <c r="D143" s="7">
        <f t="shared" si="0"/>
        <v>17.899999999999999</v>
      </c>
      <c r="E143" s="8">
        <v>0</v>
      </c>
      <c r="F143" s="5">
        <v>0</v>
      </c>
      <c r="G143" s="5">
        <v>0</v>
      </c>
      <c r="H143" s="5">
        <v>0</v>
      </c>
      <c r="I143" s="5">
        <v>0</v>
      </c>
      <c r="J143" s="9">
        <v>0</v>
      </c>
      <c r="K143" s="8">
        <v>0</v>
      </c>
      <c r="L143" s="5">
        <v>0</v>
      </c>
      <c r="M143" s="5">
        <v>0</v>
      </c>
      <c r="N143" s="9">
        <v>0</v>
      </c>
      <c r="O143" s="8">
        <v>6</v>
      </c>
      <c r="P143" s="5">
        <v>119</v>
      </c>
      <c r="Q143" s="5">
        <v>0</v>
      </c>
      <c r="R143" s="9">
        <v>0</v>
      </c>
      <c r="S143" s="8">
        <v>0</v>
      </c>
      <c r="T143" s="9">
        <v>0</v>
      </c>
    </row>
    <row r="144" spans="1:20" x14ac:dyDescent="0.2">
      <c r="A144" s="5" t="s">
        <v>177</v>
      </c>
      <c r="B144" s="5" t="s">
        <v>162</v>
      </c>
      <c r="C144" s="6" t="s">
        <v>20</v>
      </c>
      <c r="D144" s="7">
        <f t="shared" si="0"/>
        <v>17.7</v>
      </c>
      <c r="E144" s="8">
        <v>0</v>
      </c>
      <c r="F144" s="5">
        <v>0</v>
      </c>
      <c r="G144" s="5">
        <v>0</v>
      </c>
      <c r="H144" s="5">
        <v>0</v>
      </c>
      <c r="I144" s="5">
        <v>0</v>
      </c>
      <c r="J144" s="9">
        <v>0</v>
      </c>
      <c r="K144" s="8">
        <v>0</v>
      </c>
      <c r="L144" s="5">
        <v>0</v>
      </c>
      <c r="M144" s="5">
        <v>0</v>
      </c>
      <c r="N144" s="9">
        <v>0</v>
      </c>
      <c r="O144" s="8">
        <v>7</v>
      </c>
      <c r="P144" s="5">
        <v>47</v>
      </c>
      <c r="Q144" s="5">
        <v>1</v>
      </c>
      <c r="R144" s="9">
        <v>0</v>
      </c>
      <c r="S144" s="8">
        <v>0</v>
      </c>
      <c r="T144" s="9">
        <v>0</v>
      </c>
    </row>
    <row r="145" spans="1:20" x14ac:dyDescent="0.2">
      <c r="A145" s="5" t="s">
        <v>178</v>
      </c>
      <c r="B145" s="5" t="s">
        <v>162</v>
      </c>
      <c r="C145" s="8" t="s">
        <v>31</v>
      </c>
      <c r="D145" s="7">
        <f t="shared" si="0"/>
        <v>16.100000000000001</v>
      </c>
      <c r="E145" s="8">
        <v>0</v>
      </c>
      <c r="F145" s="5">
        <v>0</v>
      </c>
      <c r="G145" s="5">
        <v>0</v>
      </c>
      <c r="H145" s="5">
        <v>0</v>
      </c>
      <c r="I145" s="5">
        <v>0</v>
      </c>
      <c r="J145" s="9">
        <v>0</v>
      </c>
      <c r="K145" s="8">
        <v>0</v>
      </c>
      <c r="L145" s="5">
        <v>0</v>
      </c>
      <c r="M145" s="5">
        <v>0</v>
      </c>
      <c r="N145" s="9">
        <v>0</v>
      </c>
      <c r="O145" s="8">
        <v>4</v>
      </c>
      <c r="P145" s="5">
        <v>61</v>
      </c>
      <c r="Q145" s="5">
        <v>1</v>
      </c>
      <c r="R145" s="9">
        <v>0</v>
      </c>
      <c r="S145" s="8">
        <v>0</v>
      </c>
      <c r="T145" s="9">
        <v>0</v>
      </c>
    </row>
    <row r="146" spans="1:20" x14ac:dyDescent="0.2">
      <c r="A146" s="5" t="s">
        <v>179</v>
      </c>
      <c r="B146" s="5" t="s">
        <v>162</v>
      </c>
      <c r="C146" s="8" t="s">
        <v>54</v>
      </c>
      <c r="D146" s="7">
        <f t="shared" si="0"/>
        <v>17.700000000000003</v>
      </c>
      <c r="E146" s="8">
        <v>0</v>
      </c>
      <c r="F146" s="5">
        <v>0</v>
      </c>
      <c r="G146" s="5">
        <v>0</v>
      </c>
      <c r="H146" s="5">
        <v>0</v>
      </c>
      <c r="I146" s="5">
        <v>0</v>
      </c>
      <c r="J146" s="9">
        <v>0</v>
      </c>
      <c r="K146" s="8">
        <v>2</v>
      </c>
      <c r="L146" s="5">
        <v>9</v>
      </c>
      <c r="M146" s="5">
        <v>0</v>
      </c>
      <c r="N146" s="9">
        <v>0</v>
      </c>
      <c r="O146" s="8">
        <v>9</v>
      </c>
      <c r="P146" s="5">
        <v>78</v>
      </c>
      <c r="Q146" s="5">
        <v>0</v>
      </c>
      <c r="R146" s="9">
        <v>0</v>
      </c>
      <c r="S146" s="8">
        <v>0</v>
      </c>
      <c r="T146" s="9">
        <v>0</v>
      </c>
    </row>
    <row r="147" spans="1:20" x14ac:dyDescent="0.2">
      <c r="A147" s="5" t="s">
        <v>180</v>
      </c>
      <c r="B147" s="5" t="s">
        <v>162</v>
      </c>
      <c r="C147" s="6" t="s">
        <v>27</v>
      </c>
      <c r="D147" s="7">
        <f t="shared" si="0"/>
        <v>16.5</v>
      </c>
      <c r="E147" s="8">
        <v>0</v>
      </c>
      <c r="F147" s="5">
        <v>0</v>
      </c>
      <c r="G147" s="5">
        <v>0</v>
      </c>
      <c r="H147" s="5">
        <v>0</v>
      </c>
      <c r="I147" s="5">
        <v>0</v>
      </c>
      <c r="J147" s="9">
        <v>0</v>
      </c>
      <c r="K147" s="8">
        <v>0</v>
      </c>
      <c r="L147" s="5">
        <v>0</v>
      </c>
      <c r="M147" s="5">
        <v>0</v>
      </c>
      <c r="N147" s="9">
        <v>0</v>
      </c>
      <c r="O147" s="8">
        <v>5</v>
      </c>
      <c r="P147" s="5">
        <v>55</v>
      </c>
      <c r="Q147" s="5">
        <v>1</v>
      </c>
      <c r="R147" s="9">
        <v>0</v>
      </c>
      <c r="S147" s="8">
        <v>0</v>
      </c>
      <c r="T147" s="9">
        <v>0</v>
      </c>
    </row>
    <row r="148" spans="1:20" x14ac:dyDescent="0.2">
      <c r="A148" s="5" t="s">
        <v>181</v>
      </c>
      <c r="B148" s="5" t="s">
        <v>162</v>
      </c>
      <c r="C148" s="8" t="s">
        <v>22</v>
      </c>
      <c r="D148" s="7">
        <f t="shared" si="0"/>
        <v>15.3</v>
      </c>
      <c r="E148" s="8">
        <v>0</v>
      </c>
      <c r="F148" s="5">
        <v>0</v>
      </c>
      <c r="G148" s="5">
        <v>0</v>
      </c>
      <c r="H148" s="5">
        <v>0</v>
      </c>
      <c r="I148" s="5">
        <v>0</v>
      </c>
      <c r="J148" s="9">
        <v>0</v>
      </c>
      <c r="K148" s="8">
        <v>0</v>
      </c>
      <c r="L148" s="5">
        <v>0</v>
      </c>
      <c r="M148" s="5">
        <v>0</v>
      </c>
      <c r="N148" s="9">
        <v>0</v>
      </c>
      <c r="O148" s="8">
        <v>4</v>
      </c>
      <c r="P148" s="5">
        <v>53</v>
      </c>
      <c r="Q148" s="5">
        <v>1</v>
      </c>
      <c r="R148" s="9">
        <v>0</v>
      </c>
      <c r="S148" s="8">
        <v>0</v>
      </c>
      <c r="T148" s="9">
        <v>0</v>
      </c>
    </row>
    <row r="149" spans="1:20" x14ac:dyDescent="0.2">
      <c r="A149" s="5" t="s">
        <v>182</v>
      </c>
      <c r="B149" s="5" t="s">
        <v>162</v>
      </c>
      <c r="C149" s="6" t="s">
        <v>20</v>
      </c>
      <c r="D149" s="7">
        <f t="shared" si="0"/>
        <v>14.9</v>
      </c>
      <c r="E149" s="8">
        <v>0</v>
      </c>
      <c r="F149" s="5">
        <v>0</v>
      </c>
      <c r="G149" s="5">
        <v>0</v>
      </c>
      <c r="H149" s="5">
        <v>0</v>
      </c>
      <c r="I149" s="5">
        <v>0</v>
      </c>
      <c r="J149" s="9">
        <v>0</v>
      </c>
      <c r="K149" s="8">
        <v>0</v>
      </c>
      <c r="L149" s="5">
        <v>0</v>
      </c>
      <c r="M149" s="5">
        <v>0</v>
      </c>
      <c r="N149" s="9">
        <v>0</v>
      </c>
      <c r="O149" s="8">
        <v>7</v>
      </c>
      <c r="P149" s="5">
        <v>79</v>
      </c>
      <c r="Q149" s="5">
        <v>0</v>
      </c>
      <c r="R149" s="9">
        <v>0</v>
      </c>
      <c r="S149" s="8">
        <v>0</v>
      </c>
      <c r="T149" s="9">
        <v>0</v>
      </c>
    </row>
    <row r="150" spans="1:20" x14ac:dyDescent="0.2">
      <c r="A150" s="5" t="s">
        <v>183</v>
      </c>
      <c r="B150" s="5" t="s">
        <v>162</v>
      </c>
      <c r="C150" s="6" t="s">
        <v>54</v>
      </c>
      <c r="D150" s="7">
        <f t="shared" si="0"/>
        <v>14</v>
      </c>
      <c r="E150" s="8">
        <v>0</v>
      </c>
      <c r="F150" s="5">
        <v>0</v>
      </c>
      <c r="G150" s="5">
        <v>0</v>
      </c>
      <c r="H150" s="5">
        <v>0</v>
      </c>
      <c r="I150" s="5">
        <v>0</v>
      </c>
      <c r="J150" s="9">
        <v>0</v>
      </c>
      <c r="K150" s="8">
        <v>0</v>
      </c>
      <c r="L150" s="5">
        <v>0</v>
      </c>
      <c r="M150" s="5">
        <v>0</v>
      </c>
      <c r="N150" s="9">
        <v>0</v>
      </c>
      <c r="O150" s="8">
        <v>6</v>
      </c>
      <c r="P150" s="5">
        <v>80</v>
      </c>
      <c r="Q150" s="5">
        <v>0</v>
      </c>
      <c r="R150" s="9">
        <v>0</v>
      </c>
      <c r="S150" s="8">
        <v>0</v>
      </c>
      <c r="T150" s="9">
        <v>0</v>
      </c>
    </row>
    <row r="151" spans="1:20" x14ac:dyDescent="0.2">
      <c r="A151" s="5" t="s">
        <v>184</v>
      </c>
      <c r="B151" s="5" t="s">
        <v>162</v>
      </c>
      <c r="C151" s="8" t="s">
        <v>49</v>
      </c>
      <c r="D151" s="7">
        <f t="shared" si="0"/>
        <v>14.4</v>
      </c>
      <c r="E151" s="8">
        <v>0</v>
      </c>
      <c r="F151" s="5">
        <v>0</v>
      </c>
      <c r="G151" s="5">
        <v>0</v>
      </c>
      <c r="H151" s="5">
        <v>0</v>
      </c>
      <c r="I151" s="5">
        <v>0</v>
      </c>
      <c r="J151" s="9">
        <v>0</v>
      </c>
      <c r="K151" s="8">
        <v>0</v>
      </c>
      <c r="L151" s="5">
        <v>0</v>
      </c>
      <c r="M151" s="5">
        <v>0</v>
      </c>
      <c r="N151" s="9">
        <v>0</v>
      </c>
      <c r="O151" s="8">
        <v>5</v>
      </c>
      <c r="P151" s="5">
        <v>34</v>
      </c>
      <c r="Q151" s="5">
        <v>1</v>
      </c>
      <c r="R151" s="9">
        <v>0</v>
      </c>
      <c r="S151" s="8">
        <v>0</v>
      </c>
      <c r="T151" s="9">
        <v>0</v>
      </c>
    </row>
    <row r="152" spans="1:20" x14ac:dyDescent="0.2">
      <c r="A152" s="5" t="s">
        <v>185</v>
      </c>
      <c r="B152" s="5" t="s">
        <v>162</v>
      </c>
      <c r="C152" s="8" t="s">
        <v>18</v>
      </c>
      <c r="D152" s="7">
        <f t="shared" si="0"/>
        <v>14.2</v>
      </c>
      <c r="E152" s="8">
        <v>0</v>
      </c>
      <c r="F152" s="5">
        <v>0</v>
      </c>
      <c r="G152" s="5">
        <v>0</v>
      </c>
      <c r="H152" s="5">
        <v>0</v>
      </c>
      <c r="I152" s="5">
        <v>0</v>
      </c>
      <c r="J152" s="9">
        <v>0</v>
      </c>
      <c r="K152" s="8">
        <v>2</v>
      </c>
      <c r="L152" s="5">
        <v>6</v>
      </c>
      <c r="M152" s="5">
        <v>0</v>
      </c>
      <c r="N152" s="9">
        <v>0</v>
      </c>
      <c r="O152" s="8">
        <v>6</v>
      </c>
      <c r="P152" s="5">
        <v>76</v>
      </c>
      <c r="Q152" s="5">
        <v>0</v>
      </c>
      <c r="R152" s="9">
        <v>0</v>
      </c>
      <c r="S152" s="8">
        <v>0</v>
      </c>
      <c r="T152" s="9">
        <v>0</v>
      </c>
    </row>
    <row r="153" spans="1:20" x14ac:dyDescent="0.2">
      <c r="A153" s="5" t="s">
        <v>186</v>
      </c>
      <c r="B153" s="5" t="s">
        <v>162</v>
      </c>
      <c r="C153" s="6" t="s">
        <v>18</v>
      </c>
      <c r="D153" s="7">
        <f t="shared" si="0"/>
        <v>13</v>
      </c>
      <c r="E153" s="8">
        <v>0</v>
      </c>
      <c r="F153" s="5">
        <v>0</v>
      </c>
      <c r="G153" s="5">
        <v>0</v>
      </c>
      <c r="H153" s="5">
        <v>0</v>
      </c>
      <c r="I153" s="5">
        <v>0</v>
      </c>
      <c r="J153" s="9">
        <v>0</v>
      </c>
      <c r="K153" s="8">
        <v>0</v>
      </c>
      <c r="L153" s="5">
        <v>0</v>
      </c>
      <c r="M153" s="5">
        <v>0</v>
      </c>
      <c r="N153" s="9">
        <v>0</v>
      </c>
      <c r="O153" s="8">
        <v>3</v>
      </c>
      <c r="P153" s="5">
        <v>40</v>
      </c>
      <c r="Q153" s="5">
        <v>1</v>
      </c>
      <c r="R153" s="9">
        <v>0</v>
      </c>
      <c r="S153" s="8">
        <v>0</v>
      </c>
      <c r="T153" s="9">
        <v>0</v>
      </c>
    </row>
    <row r="154" spans="1:20" x14ac:dyDescent="0.2">
      <c r="A154" s="5" t="s">
        <v>187</v>
      </c>
      <c r="B154" s="5" t="s">
        <v>162</v>
      </c>
      <c r="C154" s="6" t="s">
        <v>42</v>
      </c>
      <c r="D154" s="7">
        <f t="shared" si="0"/>
        <v>13.5</v>
      </c>
      <c r="E154" s="8">
        <v>0</v>
      </c>
      <c r="F154" s="5">
        <v>0</v>
      </c>
      <c r="G154" s="5">
        <v>0</v>
      </c>
      <c r="H154" s="5">
        <v>0</v>
      </c>
      <c r="I154" s="5">
        <v>0</v>
      </c>
      <c r="J154" s="9">
        <v>0</v>
      </c>
      <c r="K154" s="8">
        <v>0</v>
      </c>
      <c r="L154" s="5">
        <v>0</v>
      </c>
      <c r="M154" s="5">
        <v>0</v>
      </c>
      <c r="N154" s="9">
        <v>0</v>
      </c>
      <c r="O154" s="8">
        <v>7</v>
      </c>
      <c r="P154" s="5">
        <v>65</v>
      </c>
      <c r="Q154" s="5">
        <v>0</v>
      </c>
      <c r="R154" s="9">
        <v>0</v>
      </c>
      <c r="S154" s="8">
        <v>0</v>
      </c>
      <c r="T154" s="9">
        <v>0</v>
      </c>
    </row>
    <row r="155" spans="1:20" x14ac:dyDescent="0.2">
      <c r="A155" s="5" t="s">
        <v>188</v>
      </c>
      <c r="B155" s="5" t="s">
        <v>162</v>
      </c>
      <c r="C155" s="8" t="s">
        <v>47</v>
      </c>
      <c r="D155" s="7">
        <f t="shared" si="0"/>
        <v>13.7</v>
      </c>
      <c r="E155" s="8">
        <v>0</v>
      </c>
      <c r="F155" s="5">
        <v>0</v>
      </c>
      <c r="G155" s="5">
        <v>0</v>
      </c>
      <c r="H155" s="5">
        <v>0</v>
      </c>
      <c r="I155" s="5">
        <v>0</v>
      </c>
      <c r="J155" s="9">
        <v>0</v>
      </c>
      <c r="K155" s="8">
        <v>0</v>
      </c>
      <c r="L155" s="5">
        <v>0</v>
      </c>
      <c r="M155" s="5">
        <v>0</v>
      </c>
      <c r="N155" s="9">
        <v>0</v>
      </c>
      <c r="O155" s="8">
        <v>3</v>
      </c>
      <c r="P155" s="5">
        <v>47</v>
      </c>
      <c r="Q155" s="5">
        <v>1</v>
      </c>
      <c r="R155" s="9">
        <v>0</v>
      </c>
      <c r="S155" s="8">
        <v>0</v>
      </c>
      <c r="T155" s="9">
        <v>0</v>
      </c>
    </row>
    <row r="156" spans="1:20" x14ac:dyDescent="0.2">
      <c r="A156" s="5" t="s">
        <v>189</v>
      </c>
      <c r="B156" s="5" t="s">
        <v>162</v>
      </c>
      <c r="C156" s="8" t="s">
        <v>36</v>
      </c>
      <c r="D156" s="7">
        <f t="shared" si="0"/>
        <v>13.2</v>
      </c>
      <c r="E156" s="8">
        <v>0</v>
      </c>
      <c r="F156" s="5">
        <v>0</v>
      </c>
      <c r="G156" s="5">
        <v>0</v>
      </c>
      <c r="H156" s="5">
        <v>0</v>
      </c>
      <c r="I156" s="5">
        <v>0</v>
      </c>
      <c r="J156" s="9">
        <v>0</v>
      </c>
      <c r="K156" s="8">
        <v>0</v>
      </c>
      <c r="L156" s="5">
        <v>0</v>
      </c>
      <c r="M156" s="5">
        <v>0</v>
      </c>
      <c r="N156" s="9">
        <v>0</v>
      </c>
      <c r="O156" s="8">
        <v>4</v>
      </c>
      <c r="P156" s="5">
        <v>32</v>
      </c>
      <c r="Q156" s="5">
        <v>1</v>
      </c>
      <c r="R156" s="9">
        <v>0</v>
      </c>
      <c r="S156" s="8">
        <v>0</v>
      </c>
      <c r="T156" s="9">
        <v>0</v>
      </c>
    </row>
    <row r="157" spans="1:20" x14ac:dyDescent="0.2">
      <c r="A157" s="5" t="s">
        <v>190</v>
      </c>
      <c r="B157" s="5" t="s">
        <v>162</v>
      </c>
      <c r="C157" s="6" t="s">
        <v>36</v>
      </c>
      <c r="D157" s="7">
        <f t="shared" si="0"/>
        <v>12.600000000000001</v>
      </c>
      <c r="E157" s="8">
        <v>0</v>
      </c>
      <c r="F157" s="5">
        <v>0</v>
      </c>
      <c r="G157" s="5">
        <v>0</v>
      </c>
      <c r="H157" s="5">
        <v>0</v>
      </c>
      <c r="I157" s="5">
        <v>0</v>
      </c>
      <c r="J157" s="9">
        <v>0</v>
      </c>
      <c r="K157" s="8">
        <v>0</v>
      </c>
      <c r="L157" s="5">
        <v>0</v>
      </c>
      <c r="M157" s="5">
        <v>0</v>
      </c>
      <c r="N157" s="9">
        <v>0</v>
      </c>
      <c r="O157" s="8">
        <v>6</v>
      </c>
      <c r="P157" s="5">
        <v>66</v>
      </c>
      <c r="Q157" s="5">
        <v>0</v>
      </c>
      <c r="R157" s="9">
        <v>0</v>
      </c>
      <c r="S157" s="8">
        <v>0</v>
      </c>
      <c r="T157" s="9">
        <v>0</v>
      </c>
    </row>
    <row r="158" spans="1:20" x14ac:dyDescent="0.2">
      <c r="A158" s="5" t="s">
        <v>191</v>
      </c>
      <c r="B158" s="5" t="s">
        <v>162</v>
      </c>
      <c r="C158" s="6" t="s">
        <v>24</v>
      </c>
      <c r="D158" s="7">
        <f t="shared" si="0"/>
        <v>12</v>
      </c>
      <c r="E158" s="8">
        <v>0</v>
      </c>
      <c r="F158" s="5">
        <v>0</v>
      </c>
      <c r="G158" s="5">
        <v>0</v>
      </c>
      <c r="H158" s="5">
        <v>0</v>
      </c>
      <c r="I158" s="5">
        <v>0</v>
      </c>
      <c r="J158" s="9">
        <v>0</v>
      </c>
      <c r="K158" s="8">
        <v>0</v>
      </c>
      <c r="L158" s="5">
        <v>0</v>
      </c>
      <c r="M158" s="5">
        <v>0</v>
      </c>
      <c r="N158" s="9">
        <v>0</v>
      </c>
      <c r="O158" s="8">
        <v>4</v>
      </c>
      <c r="P158" s="5">
        <v>80</v>
      </c>
      <c r="Q158" s="5">
        <v>0</v>
      </c>
      <c r="R158" s="9">
        <v>0</v>
      </c>
      <c r="S158" s="8">
        <v>0</v>
      </c>
      <c r="T158" s="9">
        <v>0</v>
      </c>
    </row>
    <row r="159" spans="1:20" x14ac:dyDescent="0.2">
      <c r="A159" s="5" t="s">
        <v>192</v>
      </c>
      <c r="B159" s="5" t="s">
        <v>162</v>
      </c>
      <c r="C159" s="6" t="s">
        <v>60</v>
      </c>
      <c r="D159" s="7">
        <f t="shared" si="0"/>
        <v>11.7</v>
      </c>
      <c r="E159" s="8">
        <v>0</v>
      </c>
      <c r="F159" s="5">
        <v>0</v>
      </c>
      <c r="G159" s="5">
        <v>0</v>
      </c>
      <c r="H159" s="5">
        <v>0</v>
      </c>
      <c r="I159" s="5">
        <v>0</v>
      </c>
      <c r="J159" s="9">
        <v>0</v>
      </c>
      <c r="K159" s="8">
        <v>0</v>
      </c>
      <c r="L159" s="5">
        <v>0</v>
      </c>
      <c r="M159" s="5">
        <v>0</v>
      </c>
      <c r="N159" s="9">
        <v>0</v>
      </c>
      <c r="O159" s="8">
        <v>4</v>
      </c>
      <c r="P159" s="5">
        <v>77</v>
      </c>
      <c r="Q159" s="5">
        <v>0</v>
      </c>
      <c r="R159" s="9">
        <v>0</v>
      </c>
      <c r="S159" s="8">
        <v>0</v>
      </c>
      <c r="T159" s="9">
        <v>0</v>
      </c>
    </row>
    <row r="160" spans="1:20" x14ac:dyDescent="0.2">
      <c r="A160" s="5" t="s">
        <v>193</v>
      </c>
      <c r="B160" s="5" t="s">
        <v>162</v>
      </c>
      <c r="C160" s="8" t="s">
        <v>24</v>
      </c>
      <c r="D160" s="7">
        <f t="shared" si="0"/>
        <v>11.600000000000001</v>
      </c>
      <c r="E160" s="8">
        <v>0</v>
      </c>
      <c r="F160" s="5">
        <v>0</v>
      </c>
      <c r="G160" s="5">
        <v>0</v>
      </c>
      <c r="H160" s="5">
        <v>0</v>
      </c>
      <c r="I160" s="5">
        <v>0</v>
      </c>
      <c r="J160" s="9">
        <v>0</v>
      </c>
      <c r="K160" s="8">
        <v>1</v>
      </c>
      <c r="L160" s="5">
        <v>-3</v>
      </c>
      <c r="M160" s="5">
        <v>0</v>
      </c>
      <c r="N160" s="9">
        <v>0</v>
      </c>
      <c r="O160" s="8">
        <v>3</v>
      </c>
      <c r="P160" s="5">
        <v>29</v>
      </c>
      <c r="Q160" s="5">
        <v>1</v>
      </c>
      <c r="R160" s="9">
        <v>0</v>
      </c>
      <c r="S160" s="8">
        <v>0</v>
      </c>
      <c r="T160" s="9">
        <v>0</v>
      </c>
    </row>
    <row r="161" spans="1:20" x14ac:dyDescent="0.2">
      <c r="A161" s="5" t="s">
        <v>194</v>
      </c>
      <c r="B161" s="5" t="s">
        <v>162</v>
      </c>
      <c r="C161" s="8" t="s">
        <v>34</v>
      </c>
      <c r="D161" s="7">
        <f t="shared" si="0"/>
        <v>11.4</v>
      </c>
      <c r="E161" s="8">
        <v>0</v>
      </c>
      <c r="F161" s="5">
        <v>0</v>
      </c>
      <c r="G161" s="5">
        <v>0</v>
      </c>
      <c r="H161" s="5">
        <v>0</v>
      </c>
      <c r="I161" s="5">
        <v>0</v>
      </c>
      <c r="J161" s="9">
        <v>0</v>
      </c>
      <c r="K161" s="8">
        <v>0</v>
      </c>
      <c r="L161" s="5">
        <v>0</v>
      </c>
      <c r="M161" s="5">
        <v>0</v>
      </c>
      <c r="N161" s="9">
        <v>0</v>
      </c>
      <c r="O161" s="8">
        <v>5</v>
      </c>
      <c r="P161" s="5">
        <v>64</v>
      </c>
      <c r="Q161" s="5">
        <v>0</v>
      </c>
      <c r="R161" s="9">
        <v>0</v>
      </c>
      <c r="S161" s="8">
        <v>0</v>
      </c>
      <c r="T161" s="9">
        <v>0</v>
      </c>
    </row>
    <row r="162" spans="1:20" x14ac:dyDescent="0.2">
      <c r="A162" s="5" t="s">
        <v>195</v>
      </c>
      <c r="B162" s="5" t="s">
        <v>162</v>
      </c>
      <c r="C162" s="8" t="s">
        <v>42</v>
      </c>
      <c r="D162" s="7">
        <f t="shared" si="0"/>
        <v>11.100000000000001</v>
      </c>
      <c r="E162" s="8">
        <v>0</v>
      </c>
      <c r="F162" s="5">
        <v>0</v>
      </c>
      <c r="G162" s="5">
        <v>0</v>
      </c>
      <c r="H162" s="5">
        <v>0</v>
      </c>
      <c r="I162" s="5">
        <v>0</v>
      </c>
      <c r="J162" s="9">
        <v>0</v>
      </c>
      <c r="K162" s="8">
        <v>0</v>
      </c>
      <c r="L162" s="5">
        <v>0</v>
      </c>
      <c r="M162" s="5">
        <v>0</v>
      </c>
      <c r="N162" s="9">
        <v>0</v>
      </c>
      <c r="O162" s="8">
        <v>5</v>
      </c>
      <c r="P162" s="5">
        <v>61</v>
      </c>
      <c r="Q162" s="5">
        <v>0</v>
      </c>
      <c r="R162" s="9">
        <v>0</v>
      </c>
      <c r="S162" s="8">
        <v>0</v>
      </c>
      <c r="T162" s="9">
        <v>0</v>
      </c>
    </row>
    <row r="163" spans="1:20" x14ac:dyDescent="0.2">
      <c r="A163" s="5" t="s">
        <v>196</v>
      </c>
      <c r="B163" s="5" t="s">
        <v>162</v>
      </c>
      <c r="C163" s="6" t="s">
        <v>18</v>
      </c>
      <c r="D163" s="7">
        <f t="shared" si="0"/>
        <v>11.8</v>
      </c>
      <c r="E163" s="8">
        <v>0</v>
      </c>
      <c r="F163" s="5">
        <v>0</v>
      </c>
      <c r="G163" s="5">
        <v>0</v>
      </c>
      <c r="H163" s="5">
        <v>0</v>
      </c>
      <c r="I163" s="5">
        <v>0</v>
      </c>
      <c r="J163" s="9">
        <v>0</v>
      </c>
      <c r="K163" s="8">
        <v>0</v>
      </c>
      <c r="L163" s="5">
        <v>0</v>
      </c>
      <c r="M163" s="5">
        <v>0</v>
      </c>
      <c r="N163" s="9">
        <v>0</v>
      </c>
      <c r="O163" s="8">
        <v>4</v>
      </c>
      <c r="P163" s="5">
        <v>78</v>
      </c>
      <c r="Q163" s="5">
        <v>0</v>
      </c>
      <c r="R163" s="9">
        <v>0</v>
      </c>
      <c r="S163" s="8">
        <v>0</v>
      </c>
      <c r="T163" s="9">
        <v>0</v>
      </c>
    </row>
    <row r="164" spans="1:20" x14ac:dyDescent="0.2">
      <c r="A164" s="5" t="s">
        <v>197</v>
      </c>
      <c r="B164" s="5" t="s">
        <v>162</v>
      </c>
      <c r="C164" s="6" t="s">
        <v>54</v>
      </c>
      <c r="D164" s="7">
        <f t="shared" si="0"/>
        <v>11.7</v>
      </c>
      <c r="E164" s="8">
        <v>0</v>
      </c>
      <c r="F164" s="5">
        <v>0</v>
      </c>
      <c r="G164" s="5">
        <v>0</v>
      </c>
      <c r="H164" s="5">
        <v>0</v>
      </c>
      <c r="I164" s="5">
        <v>0</v>
      </c>
      <c r="J164" s="9">
        <v>0</v>
      </c>
      <c r="K164" s="8">
        <v>0</v>
      </c>
      <c r="L164" s="5">
        <v>0</v>
      </c>
      <c r="M164" s="5">
        <v>0</v>
      </c>
      <c r="N164" s="9">
        <v>0</v>
      </c>
      <c r="O164" s="8">
        <v>6</v>
      </c>
      <c r="P164" s="5">
        <v>57</v>
      </c>
      <c r="Q164" s="5">
        <v>0</v>
      </c>
      <c r="R164" s="9">
        <v>0</v>
      </c>
      <c r="S164" s="8">
        <v>0</v>
      </c>
      <c r="T164" s="9">
        <v>0</v>
      </c>
    </row>
    <row r="165" spans="1:20" x14ac:dyDescent="0.2">
      <c r="A165" s="5" t="s">
        <v>198</v>
      </c>
      <c r="B165" s="5" t="s">
        <v>162</v>
      </c>
      <c r="C165" s="6" t="s">
        <v>31</v>
      </c>
      <c r="D165" s="7">
        <f t="shared" si="0"/>
        <v>10.100000000000001</v>
      </c>
      <c r="E165" s="8">
        <v>0</v>
      </c>
      <c r="F165" s="5">
        <v>0</v>
      </c>
      <c r="G165" s="5">
        <v>0</v>
      </c>
      <c r="H165" s="5">
        <v>0</v>
      </c>
      <c r="I165" s="5">
        <v>0</v>
      </c>
      <c r="J165" s="9">
        <v>0</v>
      </c>
      <c r="K165" s="8">
        <v>0</v>
      </c>
      <c r="L165" s="5">
        <v>0</v>
      </c>
      <c r="M165" s="5">
        <v>0</v>
      </c>
      <c r="N165" s="9">
        <v>0</v>
      </c>
      <c r="O165" s="8">
        <v>5</v>
      </c>
      <c r="P165" s="5">
        <v>51</v>
      </c>
      <c r="Q165" s="5">
        <v>0</v>
      </c>
      <c r="R165" s="9">
        <v>0</v>
      </c>
      <c r="S165" s="8">
        <v>0</v>
      </c>
      <c r="T165" s="9">
        <v>0</v>
      </c>
    </row>
    <row r="166" spans="1:20" x14ac:dyDescent="0.2">
      <c r="A166" s="5" t="s">
        <v>199</v>
      </c>
      <c r="B166" s="5" t="s">
        <v>162</v>
      </c>
      <c r="C166" s="8" t="s">
        <v>40</v>
      </c>
      <c r="D166" s="7">
        <f t="shared" si="0"/>
        <v>11</v>
      </c>
      <c r="E166" s="8">
        <v>0</v>
      </c>
      <c r="F166" s="5">
        <v>0</v>
      </c>
      <c r="G166" s="5">
        <v>0</v>
      </c>
      <c r="H166" s="5">
        <v>0</v>
      </c>
      <c r="I166" s="5">
        <v>0</v>
      </c>
      <c r="J166" s="9">
        <v>0</v>
      </c>
      <c r="K166" s="8">
        <v>1</v>
      </c>
      <c r="L166" s="5">
        <v>6</v>
      </c>
      <c r="M166" s="5">
        <v>0</v>
      </c>
      <c r="N166" s="9">
        <v>0</v>
      </c>
      <c r="O166" s="8">
        <v>5</v>
      </c>
      <c r="P166" s="5">
        <v>54</v>
      </c>
      <c r="Q166" s="5">
        <v>0</v>
      </c>
      <c r="R166" s="9">
        <v>0</v>
      </c>
      <c r="S166" s="8">
        <v>0</v>
      </c>
      <c r="T166" s="9">
        <v>0</v>
      </c>
    </row>
    <row r="167" spans="1:20" x14ac:dyDescent="0.2">
      <c r="A167" s="5" t="s">
        <v>200</v>
      </c>
      <c r="B167" s="5" t="s">
        <v>162</v>
      </c>
      <c r="C167" s="6" t="s">
        <v>34</v>
      </c>
      <c r="D167" s="7">
        <f t="shared" si="0"/>
        <v>11.3</v>
      </c>
      <c r="E167" s="8">
        <v>0</v>
      </c>
      <c r="F167" s="5">
        <v>0</v>
      </c>
      <c r="G167" s="5">
        <v>0</v>
      </c>
      <c r="H167" s="5">
        <v>0</v>
      </c>
      <c r="I167" s="5">
        <v>0</v>
      </c>
      <c r="J167" s="9">
        <v>0</v>
      </c>
      <c r="K167" s="8">
        <v>2</v>
      </c>
      <c r="L167" s="5">
        <v>8</v>
      </c>
      <c r="M167" s="5">
        <v>0</v>
      </c>
      <c r="N167" s="9">
        <v>0</v>
      </c>
      <c r="O167" s="8">
        <v>5</v>
      </c>
      <c r="P167" s="5">
        <v>55</v>
      </c>
      <c r="Q167" s="5">
        <v>0</v>
      </c>
      <c r="R167" s="9">
        <v>0</v>
      </c>
      <c r="S167" s="8">
        <v>0</v>
      </c>
      <c r="T167" s="9">
        <v>0</v>
      </c>
    </row>
    <row r="168" spans="1:20" x14ac:dyDescent="0.2">
      <c r="A168" s="5" t="s">
        <v>201</v>
      </c>
      <c r="B168" s="5" t="s">
        <v>162</v>
      </c>
      <c r="C168" s="6" t="s">
        <v>60</v>
      </c>
      <c r="D168" s="7">
        <f t="shared" si="0"/>
        <v>10.5</v>
      </c>
      <c r="E168" s="8">
        <v>0</v>
      </c>
      <c r="F168" s="5">
        <v>0</v>
      </c>
      <c r="G168" s="5">
        <v>0</v>
      </c>
      <c r="H168" s="5">
        <v>0</v>
      </c>
      <c r="I168" s="5">
        <v>0</v>
      </c>
      <c r="J168" s="9">
        <v>0</v>
      </c>
      <c r="K168" s="8">
        <v>3</v>
      </c>
      <c r="L168" s="5">
        <v>14</v>
      </c>
      <c r="M168" s="5">
        <v>1</v>
      </c>
      <c r="N168" s="9">
        <v>0</v>
      </c>
      <c r="O168" s="8">
        <v>2</v>
      </c>
      <c r="P168" s="5">
        <v>11</v>
      </c>
      <c r="Q168" s="5">
        <v>0</v>
      </c>
      <c r="R168" s="9">
        <v>0</v>
      </c>
      <c r="S168" s="8">
        <v>0</v>
      </c>
      <c r="T168" s="9">
        <v>0</v>
      </c>
    </row>
    <row r="169" spans="1:20" x14ac:dyDescent="0.2">
      <c r="A169" s="5" t="s">
        <v>202</v>
      </c>
      <c r="B169" s="5" t="s">
        <v>162</v>
      </c>
      <c r="C169" s="8" t="s">
        <v>34</v>
      </c>
      <c r="D169" s="7">
        <f t="shared" si="0"/>
        <v>9.6999999999999993</v>
      </c>
      <c r="E169" s="8">
        <v>0</v>
      </c>
      <c r="F169" s="5">
        <v>0</v>
      </c>
      <c r="G169" s="5">
        <v>0</v>
      </c>
      <c r="H169" s="5">
        <v>0</v>
      </c>
      <c r="I169" s="5">
        <v>0</v>
      </c>
      <c r="J169" s="9">
        <v>0</v>
      </c>
      <c r="K169" s="8">
        <v>0</v>
      </c>
      <c r="L169" s="5">
        <v>0</v>
      </c>
      <c r="M169" s="5">
        <v>0</v>
      </c>
      <c r="N169" s="9">
        <v>0</v>
      </c>
      <c r="O169" s="8">
        <v>6</v>
      </c>
      <c r="P169" s="5">
        <v>37</v>
      </c>
      <c r="Q169" s="5">
        <v>0</v>
      </c>
      <c r="R169" s="9">
        <v>0</v>
      </c>
      <c r="S169" s="8">
        <v>0</v>
      </c>
      <c r="T169" s="9">
        <v>0</v>
      </c>
    </row>
    <row r="170" spans="1:20" x14ac:dyDescent="0.2">
      <c r="A170" s="5" t="s">
        <v>203</v>
      </c>
      <c r="B170" s="5" t="s">
        <v>162</v>
      </c>
      <c r="C170" s="8" t="s">
        <v>40</v>
      </c>
      <c r="D170" s="7">
        <f t="shared" si="0"/>
        <v>9</v>
      </c>
      <c r="E170" s="8">
        <v>0</v>
      </c>
      <c r="F170" s="5">
        <v>0</v>
      </c>
      <c r="G170" s="5">
        <v>0</v>
      </c>
      <c r="H170" s="5">
        <v>0</v>
      </c>
      <c r="I170" s="5">
        <v>0</v>
      </c>
      <c r="J170" s="9">
        <v>0</v>
      </c>
      <c r="K170" s="8">
        <v>0</v>
      </c>
      <c r="L170" s="5">
        <v>0</v>
      </c>
      <c r="M170" s="5">
        <v>0</v>
      </c>
      <c r="N170" s="9">
        <v>0</v>
      </c>
      <c r="O170" s="8">
        <v>5</v>
      </c>
      <c r="P170" s="5">
        <v>40</v>
      </c>
      <c r="Q170" s="5">
        <v>0</v>
      </c>
      <c r="R170" s="9">
        <v>0</v>
      </c>
      <c r="S170" s="8">
        <v>0</v>
      </c>
      <c r="T170" s="9">
        <v>0</v>
      </c>
    </row>
    <row r="171" spans="1:20" x14ac:dyDescent="0.2">
      <c r="A171" s="5" t="s">
        <v>204</v>
      </c>
      <c r="B171" s="5" t="s">
        <v>162</v>
      </c>
      <c r="C171" s="8" t="s">
        <v>36</v>
      </c>
      <c r="D171" s="7">
        <f t="shared" si="0"/>
        <v>9.1</v>
      </c>
      <c r="E171" s="8">
        <v>0</v>
      </c>
      <c r="F171" s="5">
        <v>0</v>
      </c>
      <c r="G171" s="5">
        <v>0</v>
      </c>
      <c r="H171" s="5">
        <v>0</v>
      </c>
      <c r="I171" s="5">
        <v>0</v>
      </c>
      <c r="J171" s="9">
        <v>0</v>
      </c>
      <c r="K171" s="8">
        <v>0</v>
      </c>
      <c r="L171" s="5">
        <v>0</v>
      </c>
      <c r="M171" s="5">
        <v>0</v>
      </c>
      <c r="N171" s="9">
        <v>0</v>
      </c>
      <c r="O171" s="8">
        <v>2</v>
      </c>
      <c r="P171" s="5">
        <v>11</v>
      </c>
      <c r="Q171" s="5">
        <v>1</v>
      </c>
      <c r="R171" s="9">
        <v>0</v>
      </c>
      <c r="S171" s="8">
        <v>0</v>
      </c>
      <c r="T171" s="9">
        <v>0</v>
      </c>
    </row>
    <row r="172" spans="1:20" x14ac:dyDescent="0.2">
      <c r="A172" s="5" t="s">
        <v>205</v>
      </c>
      <c r="B172" s="5" t="s">
        <v>162</v>
      </c>
      <c r="C172" s="6" t="s">
        <v>42</v>
      </c>
      <c r="D172" s="7">
        <f t="shared" si="0"/>
        <v>9.8000000000000007</v>
      </c>
      <c r="E172" s="8">
        <v>0</v>
      </c>
      <c r="F172" s="5">
        <v>0</v>
      </c>
      <c r="G172" s="5">
        <v>0</v>
      </c>
      <c r="H172" s="5">
        <v>0</v>
      </c>
      <c r="I172" s="5">
        <v>0</v>
      </c>
      <c r="J172" s="9">
        <v>0</v>
      </c>
      <c r="K172" s="8">
        <v>0</v>
      </c>
      <c r="L172" s="5">
        <v>0</v>
      </c>
      <c r="M172" s="5">
        <v>0</v>
      </c>
      <c r="N172" s="9">
        <v>0</v>
      </c>
      <c r="O172" s="8">
        <v>4</v>
      </c>
      <c r="P172" s="5">
        <v>58</v>
      </c>
      <c r="Q172" s="5">
        <v>0</v>
      </c>
      <c r="R172" s="9">
        <v>0</v>
      </c>
      <c r="S172" s="8">
        <v>0</v>
      </c>
      <c r="T172" s="9">
        <v>0</v>
      </c>
    </row>
    <row r="173" spans="1:20" x14ac:dyDescent="0.2">
      <c r="A173" s="5" t="s">
        <v>206</v>
      </c>
      <c r="B173" s="5" t="s">
        <v>162</v>
      </c>
      <c r="C173" s="6" t="s">
        <v>29</v>
      </c>
      <c r="D173" s="7">
        <f t="shared" si="0"/>
        <v>9.1000000000000014</v>
      </c>
      <c r="E173" s="8">
        <v>0</v>
      </c>
      <c r="F173" s="5">
        <v>0</v>
      </c>
      <c r="G173" s="5">
        <v>0</v>
      </c>
      <c r="H173" s="5">
        <v>0</v>
      </c>
      <c r="I173" s="5">
        <v>0</v>
      </c>
      <c r="J173" s="9">
        <v>0</v>
      </c>
      <c r="K173" s="8">
        <v>1</v>
      </c>
      <c r="L173" s="5">
        <v>2</v>
      </c>
      <c r="M173" s="5">
        <v>0</v>
      </c>
      <c r="N173" s="9">
        <v>0</v>
      </c>
      <c r="O173" s="8">
        <v>5</v>
      </c>
      <c r="P173" s="5">
        <v>39</v>
      </c>
      <c r="Q173" s="5">
        <v>0</v>
      </c>
      <c r="R173" s="9">
        <v>0</v>
      </c>
      <c r="S173" s="8">
        <v>0</v>
      </c>
      <c r="T173" s="9">
        <v>0</v>
      </c>
    </row>
    <row r="174" spans="1:20" x14ac:dyDescent="0.2">
      <c r="A174" s="5" t="s">
        <v>207</v>
      </c>
      <c r="B174" s="5" t="s">
        <v>162</v>
      </c>
      <c r="C174" s="8" t="s">
        <v>20</v>
      </c>
      <c r="D174" s="7">
        <f t="shared" si="0"/>
        <v>8</v>
      </c>
      <c r="E174" s="8">
        <v>0</v>
      </c>
      <c r="F174" s="5">
        <v>0</v>
      </c>
      <c r="G174" s="5">
        <v>0</v>
      </c>
      <c r="H174" s="5">
        <v>0</v>
      </c>
      <c r="I174" s="5">
        <v>0</v>
      </c>
      <c r="J174" s="9">
        <v>0</v>
      </c>
      <c r="K174" s="8">
        <v>0</v>
      </c>
      <c r="L174" s="5">
        <v>0</v>
      </c>
      <c r="M174" s="5">
        <v>0</v>
      </c>
      <c r="N174" s="9">
        <v>0</v>
      </c>
      <c r="O174" s="8">
        <v>4</v>
      </c>
      <c r="P174" s="5">
        <v>40</v>
      </c>
      <c r="Q174" s="5">
        <v>0</v>
      </c>
      <c r="R174" s="9">
        <v>0</v>
      </c>
      <c r="S174" s="8">
        <v>0</v>
      </c>
      <c r="T174" s="9">
        <v>0</v>
      </c>
    </row>
    <row r="175" spans="1:20" x14ac:dyDescent="0.2">
      <c r="A175" s="5" t="s">
        <v>208</v>
      </c>
      <c r="B175" s="5" t="s">
        <v>162</v>
      </c>
      <c r="C175" s="8" t="s">
        <v>29</v>
      </c>
      <c r="D175" s="7">
        <f t="shared" si="0"/>
        <v>9.1999999999999993</v>
      </c>
      <c r="E175" s="8">
        <v>0</v>
      </c>
      <c r="F175" s="5">
        <v>0</v>
      </c>
      <c r="G175" s="5">
        <v>0</v>
      </c>
      <c r="H175" s="5">
        <v>0</v>
      </c>
      <c r="I175" s="5">
        <v>0</v>
      </c>
      <c r="J175" s="9">
        <v>0</v>
      </c>
      <c r="K175" s="8">
        <v>2</v>
      </c>
      <c r="L175" s="5">
        <v>19</v>
      </c>
      <c r="M175" s="5">
        <v>0</v>
      </c>
      <c r="N175" s="9">
        <v>0</v>
      </c>
      <c r="O175" s="8">
        <v>3</v>
      </c>
      <c r="P175" s="5">
        <v>43</v>
      </c>
      <c r="Q175" s="5">
        <v>0</v>
      </c>
      <c r="R175" s="9">
        <v>0</v>
      </c>
      <c r="S175" s="8">
        <v>0</v>
      </c>
      <c r="T175" s="9">
        <v>0</v>
      </c>
    </row>
    <row r="176" spans="1:20" x14ac:dyDescent="0.2">
      <c r="A176" s="5" t="s">
        <v>209</v>
      </c>
      <c r="B176" s="5" t="s">
        <v>162</v>
      </c>
      <c r="C176" s="6" t="s">
        <v>31</v>
      </c>
      <c r="D176" s="7">
        <f t="shared" si="0"/>
        <v>8.8000000000000007</v>
      </c>
      <c r="E176" s="8">
        <v>0</v>
      </c>
      <c r="F176" s="5">
        <v>0</v>
      </c>
      <c r="G176" s="5">
        <v>0</v>
      </c>
      <c r="H176" s="5">
        <v>0</v>
      </c>
      <c r="I176" s="5">
        <v>0</v>
      </c>
      <c r="J176" s="9">
        <v>0</v>
      </c>
      <c r="K176" s="8">
        <v>0</v>
      </c>
      <c r="L176" s="5">
        <v>0</v>
      </c>
      <c r="M176" s="5">
        <v>0</v>
      </c>
      <c r="N176" s="9">
        <v>0</v>
      </c>
      <c r="O176" s="8">
        <v>2</v>
      </c>
      <c r="P176" s="5">
        <v>8</v>
      </c>
      <c r="Q176" s="5">
        <v>1</v>
      </c>
      <c r="R176" s="9">
        <v>0</v>
      </c>
      <c r="S176" s="8">
        <v>0</v>
      </c>
      <c r="T176" s="9">
        <v>0</v>
      </c>
    </row>
    <row r="177" spans="1:20" x14ac:dyDescent="0.2">
      <c r="A177" s="5" t="s">
        <v>210</v>
      </c>
      <c r="B177" s="5" t="s">
        <v>162</v>
      </c>
      <c r="C177" s="8" t="s">
        <v>34</v>
      </c>
      <c r="D177" s="7">
        <f t="shared" si="0"/>
        <v>8.6</v>
      </c>
      <c r="E177" s="8">
        <v>0</v>
      </c>
      <c r="F177" s="5">
        <v>0</v>
      </c>
      <c r="G177" s="5">
        <v>0</v>
      </c>
      <c r="H177" s="5">
        <v>0</v>
      </c>
      <c r="I177" s="5">
        <v>0</v>
      </c>
      <c r="J177" s="9">
        <v>0</v>
      </c>
      <c r="K177" s="8">
        <v>0</v>
      </c>
      <c r="L177" s="5">
        <v>0</v>
      </c>
      <c r="M177" s="5">
        <v>0</v>
      </c>
      <c r="N177" s="9">
        <v>0</v>
      </c>
      <c r="O177" s="8">
        <v>5</v>
      </c>
      <c r="P177" s="5">
        <v>36</v>
      </c>
      <c r="Q177" s="5">
        <v>0</v>
      </c>
      <c r="R177" s="9">
        <v>0</v>
      </c>
      <c r="S177" s="8">
        <v>0</v>
      </c>
      <c r="T177" s="9">
        <v>0</v>
      </c>
    </row>
    <row r="178" spans="1:20" x14ac:dyDescent="0.2">
      <c r="A178" s="5" t="s">
        <v>211</v>
      </c>
      <c r="B178" s="5" t="s">
        <v>162</v>
      </c>
      <c r="C178" s="8" t="s">
        <v>18</v>
      </c>
      <c r="D178" s="7">
        <f t="shared" si="0"/>
        <v>8.5</v>
      </c>
      <c r="E178" s="8">
        <v>0</v>
      </c>
      <c r="F178" s="5">
        <v>0</v>
      </c>
      <c r="G178" s="5">
        <v>0</v>
      </c>
      <c r="H178" s="5">
        <v>0</v>
      </c>
      <c r="I178" s="5">
        <v>0</v>
      </c>
      <c r="J178" s="9">
        <v>0</v>
      </c>
      <c r="K178" s="8">
        <v>0</v>
      </c>
      <c r="L178" s="5">
        <v>0</v>
      </c>
      <c r="M178" s="5">
        <v>0</v>
      </c>
      <c r="N178" s="9">
        <v>0</v>
      </c>
      <c r="O178" s="8">
        <v>4</v>
      </c>
      <c r="P178" s="5">
        <v>45</v>
      </c>
      <c r="Q178" s="5">
        <v>0</v>
      </c>
      <c r="R178" s="9">
        <v>0</v>
      </c>
      <c r="S178" s="8">
        <v>0</v>
      </c>
      <c r="T178" s="9">
        <v>0</v>
      </c>
    </row>
    <row r="179" spans="1:20" x14ac:dyDescent="0.2">
      <c r="A179" s="5" t="s">
        <v>212</v>
      </c>
      <c r="B179" s="5" t="s">
        <v>162</v>
      </c>
      <c r="C179" s="6" t="s">
        <v>18</v>
      </c>
      <c r="D179" s="7">
        <f t="shared" si="0"/>
        <v>7.2</v>
      </c>
      <c r="E179" s="8">
        <v>0</v>
      </c>
      <c r="F179" s="5">
        <v>0</v>
      </c>
      <c r="G179" s="5">
        <v>0</v>
      </c>
      <c r="H179" s="5">
        <v>0</v>
      </c>
      <c r="I179" s="5">
        <v>0</v>
      </c>
      <c r="J179" s="9">
        <v>0</v>
      </c>
      <c r="K179" s="8">
        <v>0</v>
      </c>
      <c r="L179" s="5">
        <v>0</v>
      </c>
      <c r="M179" s="5">
        <v>0</v>
      </c>
      <c r="N179" s="9">
        <v>0</v>
      </c>
      <c r="O179" s="8">
        <v>3</v>
      </c>
      <c r="P179" s="5">
        <v>42</v>
      </c>
      <c r="Q179" s="5">
        <v>0</v>
      </c>
      <c r="R179" s="9">
        <v>0</v>
      </c>
      <c r="S179" s="8">
        <v>0</v>
      </c>
      <c r="T179" s="9">
        <v>0</v>
      </c>
    </row>
    <row r="180" spans="1:20" x14ac:dyDescent="0.2">
      <c r="A180" s="5" t="s">
        <v>213</v>
      </c>
      <c r="B180" s="5" t="s">
        <v>162</v>
      </c>
      <c r="C180" s="6" t="s">
        <v>40</v>
      </c>
      <c r="D180" s="7">
        <f t="shared" si="0"/>
        <v>8.7000000000000011</v>
      </c>
      <c r="E180" s="8">
        <v>0</v>
      </c>
      <c r="F180" s="5">
        <v>0</v>
      </c>
      <c r="G180" s="5">
        <v>0</v>
      </c>
      <c r="H180" s="5">
        <v>0</v>
      </c>
      <c r="I180" s="5">
        <v>0</v>
      </c>
      <c r="J180" s="9">
        <v>0</v>
      </c>
      <c r="K180" s="8">
        <v>1</v>
      </c>
      <c r="L180" s="5">
        <v>29</v>
      </c>
      <c r="M180" s="5">
        <v>0</v>
      </c>
      <c r="N180" s="9">
        <v>0</v>
      </c>
      <c r="O180" s="8">
        <v>3</v>
      </c>
      <c r="P180" s="5">
        <v>28</v>
      </c>
      <c r="Q180" s="5">
        <v>0</v>
      </c>
      <c r="R180" s="9">
        <v>0</v>
      </c>
      <c r="S180" s="8">
        <v>0</v>
      </c>
      <c r="T180" s="9">
        <v>0</v>
      </c>
    </row>
    <row r="181" spans="1:20" x14ac:dyDescent="0.2">
      <c r="A181" s="5" t="s">
        <v>214</v>
      </c>
      <c r="B181" s="5" t="s">
        <v>162</v>
      </c>
      <c r="C181" s="8" t="s">
        <v>34</v>
      </c>
      <c r="D181" s="7">
        <f t="shared" si="0"/>
        <v>7.8000000000000007</v>
      </c>
      <c r="E181" s="8">
        <v>0</v>
      </c>
      <c r="F181" s="5">
        <v>0</v>
      </c>
      <c r="G181" s="5">
        <v>0</v>
      </c>
      <c r="H181" s="5">
        <v>0</v>
      </c>
      <c r="I181" s="5">
        <v>0</v>
      </c>
      <c r="J181" s="9">
        <v>0</v>
      </c>
      <c r="K181" s="8">
        <v>0</v>
      </c>
      <c r="L181" s="5">
        <v>0</v>
      </c>
      <c r="M181" s="5">
        <v>0</v>
      </c>
      <c r="N181" s="9">
        <v>0</v>
      </c>
      <c r="O181" s="8">
        <v>3</v>
      </c>
      <c r="P181" s="5">
        <v>48</v>
      </c>
      <c r="Q181" s="5">
        <v>0</v>
      </c>
      <c r="R181" s="9">
        <v>0</v>
      </c>
      <c r="S181" s="8">
        <v>0</v>
      </c>
      <c r="T181" s="9">
        <v>0</v>
      </c>
    </row>
    <row r="182" spans="1:20" x14ac:dyDescent="0.2">
      <c r="A182" s="5" t="s">
        <v>215</v>
      </c>
      <c r="B182" s="5" t="s">
        <v>162</v>
      </c>
      <c r="C182" s="6" t="s">
        <v>40</v>
      </c>
      <c r="D182" s="7">
        <f t="shared" si="0"/>
        <v>7.5</v>
      </c>
      <c r="E182" s="8">
        <v>0</v>
      </c>
      <c r="F182" s="5">
        <v>0</v>
      </c>
      <c r="G182" s="5">
        <v>0</v>
      </c>
      <c r="H182" s="5">
        <v>0</v>
      </c>
      <c r="I182" s="5">
        <v>0</v>
      </c>
      <c r="J182" s="9">
        <v>0</v>
      </c>
      <c r="K182" s="8">
        <v>2</v>
      </c>
      <c r="L182" s="5">
        <v>12</v>
      </c>
      <c r="M182" s="5">
        <v>0</v>
      </c>
      <c r="N182" s="9">
        <v>0</v>
      </c>
      <c r="O182" s="8">
        <v>3</v>
      </c>
      <c r="P182" s="5">
        <v>33</v>
      </c>
      <c r="Q182" s="5">
        <v>0</v>
      </c>
      <c r="R182" s="9">
        <v>0</v>
      </c>
      <c r="S182" s="8">
        <v>0</v>
      </c>
      <c r="T182" s="9">
        <v>0</v>
      </c>
    </row>
    <row r="183" spans="1:20" x14ac:dyDescent="0.2">
      <c r="A183" s="5" t="s">
        <v>216</v>
      </c>
      <c r="B183" s="5" t="s">
        <v>162</v>
      </c>
      <c r="C183" s="8" t="s">
        <v>20</v>
      </c>
      <c r="D183" s="7">
        <f t="shared" si="0"/>
        <v>7.3000000000000007</v>
      </c>
      <c r="E183" s="8">
        <v>0</v>
      </c>
      <c r="F183" s="5">
        <v>0</v>
      </c>
      <c r="G183" s="5">
        <v>0</v>
      </c>
      <c r="H183" s="5">
        <v>0</v>
      </c>
      <c r="I183" s="5">
        <v>0</v>
      </c>
      <c r="J183" s="9">
        <v>0</v>
      </c>
      <c r="K183" s="8">
        <v>0</v>
      </c>
      <c r="L183" s="5">
        <v>0</v>
      </c>
      <c r="M183" s="5">
        <v>0</v>
      </c>
      <c r="N183" s="9">
        <v>0</v>
      </c>
      <c r="O183" s="8">
        <v>4</v>
      </c>
      <c r="P183" s="5">
        <v>33</v>
      </c>
      <c r="Q183" s="5">
        <v>0</v>
      </c>
      <c r="R183" s="9">
        <v>0</v>
      </c>
      <c r="S183" s="8">
        <v>0</v>
      </c>
      <c r="T183" s="9">
        <v>0</v>
      </c>
    </row>
    <row r="184" spans="1:20" x14ac:dyDescent="0.2">
      <c r="A184" s="5" t="s">
        <v>217</v>
      </c>
      <c r="B184" s="5" t="s">
        <v>162</v>
      </c>
      <c r="C184" s="8" t="s">
        <v>54</v>
      </c>
      <c r="D184" s="7">
        <f t="shared" si="0"/>
        <v>6.5</v>
      </c>
      <c r="E184" s="8">
        <v>0</v>
      </c>
      <c r="F184" s="5">
        <v>0</v>
      </c>
      <c r="G184" s="5">
        <v>0</v>
      </c>
      <c r="H184" s="5">
        <v>0</v>
      </c>
      <c r="I184" s="5">
        <v>0</v>
      </c>
      <c r="J184" s="9">
        <v>0</v>
      </c>
      <c r="K184" s="8">
        <v>0</v>
      </c>
      <c r="L184" s="5">
        <v>0</v>
      </c>
      <c r="M184" s="5">
        <v>0</v>
      </c>
      <c r="N184" s="9">
        <v>0</v>
      </c>
      <c r="O184" s="8">
        <v>3</v>
      </c>
      <c r="P184" s="5">
        <v>35</v>
      </c>
      <c r="Q184" s="5">
        <v>0</v>
      </c>
      <c r="R184" s="9">
        <v>0</v>
      </c>
      <c r="S184" s="8">
        <v>0</v>
      </c>
      <c r="T184" s="9">
        <v>0</v>
      </c>
    </row>
    <row r="185" spans="1:20" x14ac:dyDescent="0.2">
      <c r="A185" s="5" t="s">
        <v>218</v>
      </c>
      <c r="B185" s="5" t="s">
        <v>162</v>
      </c>
      <c r="C185" s="8" t="s">
        <v>29</v>
      </c>
      <c r="D185" s="7">
        <f t="shared" si="0"/>
        <v>6.7</v>
      </c>
      <c r="E185" s="8">
        <v>0</v>
      </c>
      <c r="F185" s="5">
        <v>0</v>
      </c>
      <c r="G185" s="5">
        <v>0</v>
      </c>
      <c r="H185" s="5">
        <v>0</v>
      </c>
      <c r="I185" s="5">
        <v>0</v>
      </c>
      <c r="J185" s="9">
        <v>0</v>
      </c>
      <c r="K185" s="8">
        <v>0</v>
      </c>
      <c r="L185" s="5">
        <v>0</v>
      </c>
      <c r="M185" s="5">
        <v>0</v>
      </c>
      <c r="N185" s="9">
        <v>0</v>
      </c>
      <c r="O185" s="8">
        <v>3</v>
      </c>
      <c r="P185" s="5">
        <v>37</v>
      </c>
      <c r="Q185" s="5">
        <v>0</v>
      </c>
      <c r="R185" s="9">
        <v>0</v>
      </c>
      <c r="S185" s="8">
        <v>0</v>
      </c>
      <c r="T185" s="9">
        <v>0</v>
      </c>
    </row>
    <row r="186" spans="1:20" x14ac:dyDescent="0.2">
      <c r="A186" s="5" t="s">
        <v>219</v>
      </c>
      <c r="B186" s="5" t="s">
        <v>162</v>
      </c>
      <c r="C186" s="6" t="s">
        <v>54</v>
      </c>
      <c r="D186" s="7">
        <f t="shared" si="0"/>
        <v>6.4</v>
      </c>
      <c r="E186" s="8">
        <v>0</v>
      </c>
      <c r="F186" s="5">
        <v>0</v>
      </c>
      <c r="G186" s="5">
        <v>0</v>
      </c>
      <c r="H186" s="5">
        <v>0</v>
      </c>
      <c r="I186" s="5">
        <v>0</v>
      </c>
      <c r="J186" s="9">
        <v>0</v>
      </c>
      <c r="K186" s="8">
        <v>0</v>
      </c>
      <c r="L186" s="5">
        <v>0</v>
      </c>
      <c r="M186" s="5">
        <v>0</v>
      </c>
      <c r="N186" s="9">
        <v>0</v>
      </c>
      <c r="O186" s="8">
        <v>3</v>
      </c>
      <c r="P186" s="5">
        <v>34</v>
      </c>
      <c r="Q186" s="5">
        <v>0</v>
      </c>
      <c r="R186" s="9">
        <v>0</v>
      </c>
      <c r="S186" s="8">
        <v>0</v>
      </c>
      <c r="T186" s="9">
        <v>0</v>
      </c>
    </row>
    <row r="187" spans="1:20" x14ac:dyDescent="0.2">
      <c r="A187" s="5" t="s">
        <v>220</v>
      </c>
      <c r="B187" s="5" t="s">
        <v>162</v>
      </c>
      <c r="C187" s="8" t="s">
        <v>27</v>
      </c>
      <c r="D187" s="7">
        <f t="shared" si="0"/>
        <v>6</v>
      </c>
      <c r="E187" s="8">
        <v>0</v>
      </c>
      <c r="F187" s="5">
        <v>0</v>
      </c>
      <c r="G187" s="5">
        <v>0</v>
      </c>
      <c r="H187" s="5">
        <v>0</v>
      </c>
      <c r="I187" s="5">
        <v>0</v>
      </c>
      <c r="J187" s="9">
        <v>0</v>
      </c>
      <c r="K187" s="8">
        <v>0</v>
      </c>
      <c r="L187" s="5">
        <v>0</v>
      </c>
      <c r="M187" s="5">
        <v>0</v>
      </c>
      <c r="N187" s="9">
        <v>0</v>
      </c>
      <c r="O187" s="8">
        <v>3</v>
      </c>
      <c r="P187" s="5">
        <v>30</v>
      </c>
      <c r="Q187" s="5">
        <v>0</v>
      </c>
      <c r="R187" s="9">
        <v>0</v>
      </c>
      <c r="S187" s="8">
        <v>0</v>
      </c>
      <c r="T187" s="9">
        <v>0</v>
      </c>
    </row>
    <row r="188" spans="1:20" x14ac:dyDescent="0.2">
      <c r="A188" s="5" t="s">
        <v>221</v>
      </c>
      <c r="B188" s="5" t="s">
        <v>162</v>
      </c>
      <c r="C188" s="8" t="s">
        <v>52</v>
      </c>
      <c r="D188" s="7">
        <f t="shared" si="0"/>
        <v>6.1</v>
      </c>
      <c r="E188" s="8">
        <v>0</v>
      </c>
      <c r="F188" s="5">
        <v>0</v>
      </c>
      <c r="G188" s="5">
        <v>0</v>
      </c>
      <c r="H188" s="5">
        <v>0</v>
      </c>
      <c r="I188" s="5">
        <v>0</v>
      </c>
      <c r="J188" s="9">
        <v>0</v>
      </c>
      <c r="K188" s="8">
        <v>0</v>
      </c>
      <c r="L188" s="5">
        <v>0</v>
      </c>
      <c r="M188" s="5">
        <v>0</v>
      </c>
      <c r="N188" s="9">
        <v>0</v>
      </c>
      <c r="O188" s="8">
        <v>3</v>
      </c>
      <c r="P188" s="5">
        <v>31</v>
      </c>
      <c r="Q188" s="5">
        <v>0</v>
      </c>
      <c r="R188" s="9">
        <v>0</v>
      </c>
      <c r="S188" s="8">
        <v>0</v>
      </c>
      <c r="T188" s="9">
        <v>0</v>
      </c>
    </row>
    <row r="189" spans="1:20" x14ac:dyDescent="0.2">
      <c r="A189" s="5" t="s">
        <v>222</v>
      </c>
      <c r="B189" s="5" t="s">
        <v>162</v>
      </c>
      <c r="C189" s="6" t="s">
        <v>47</v>
      </c>
      <c r="D189" s="7">
        <f t="shared" si="0"/>
        <v>6.4</v>
      </c>
      <c r="E189" s="8">
        <v>0</v>
      </c>
      <c r="F189" s="5">
        <v>0</v>
      </c>
      <c r="G189" s="5">
        <v>0</v>
      </c>
      <c r="H189" s="5">
        <v>0</v>
      </c>
      <c r="I189" s="5">
        <v>0</v>
      </c>
      <c r="J189" s="9">
        <v>0</v>
      </c>
      <c r="K189" s="8">
        <v>0</v>
      </c>
      <c r="L189" s="5">
        <v>0</v>
      </c>
      <c r="M189" s="5">
        <v>0</v>
      </c>
      <c r="N189" s="9">
        <v>0</v>
      </c>
      <c r="O189" s="8">
        <v>4</v>
      </c>
      <c r="P189" s="5">
        <v>24</v>
      </c>
      <c r="Q189" s="5">
        <v>0</v>
      </c>
      <c r="R189" s="9">
        <v>0</v>
      </c>
      <c r="S189" s="8">
        <v>0</v>
      </c>
      <c r="T189" s="9">
        <v>0</v>
      </c>
    </row>
    <row r="190" spans="1:20" x14ac:dyDescent="0.2">
      <c r="A190" s="5" t="s">
        <v>223</v>
      </c>
      <c r="B190" s="5" t="s">
        <v>162</v>
      </c>
      <c r="C190" s="8" t="s">
        <v>49</v>
      </c>
      <c r="D190" s="7">
        <f t="shared" si="0"/>
        <v>6.6000000000000005</v>
      </c>
      <c r="E190" s="8">
        <v>0</v>
      </c>
      <c r="F190" s="5">
        <v>0</v>
      </c>
      <c r="G190" s="5">
        <v>0</v>
      </c>
      <c r="H190" s="5">
        <v>0</v>
      </c>
      <c r="I190" s="5">
        <v>0</v>
      </c>
      <c r="J190" s="9">
        <v>0</v>
      </c>
      <c r="K190" s="8">
        <v>0</v>
      </c>
      <c r="L190" s="5">
        <v>0</v>
      </c>
      <c r="M190" s="5">
        <v>0</v>
      </c>
      <c r="N190" s="9">
        <v>0</v>
      </c>
      <c r="O190" s="8">
        <v>2</v>
      </c>
      <c r="P190" s="5">
        <v>46</v>
      </c>
      <c r="Q190" s="5">
        <v>0</v>
      </c>
      <c r="R190" s="9">
        <v>0</v>
      </c>
      <c r="S190" s="8">
        <v>0</v>
      </c>
      <c r="T190" s="9">
        <v>0</v>
      </c>
    </row>
    <row r="191" spans="1:20" x14ac:dyDescent="0.2">
      <c r="A191" s="5" t="s">
        <v>224</v>
      </c>
      <c r="B191" s="5" t="s">
        <v>162</v>
      </c>
      <c r="C191" s="8" t="s">
        <v>31</v>
      </c>
      <c r="D191" s="7">
        <f t="shared" si="0"/>
        <v>6.1</v>
      </c>
      <c r="E191" s="8">
        <v>0</v>
      </c>
      <c r="F191" s="5">
        <v>0</v>
      </c>
      <c r="G191" s="5">
        <v>0</v>
      </c>
      <c r="H191" s="5">
        <v>0</v>
      </c>
      <c r="I191" s="5">
        <v>0</v>
      </c>
      <c r="J191" s="9">
        <v>0</v>
      </c>
      <c r="K191" s="8">
        <v>0</v>
      </c>
      <c r="L191" s="5">
        <v>0</v>
      </c>
      <c r="M191" s="5">
        <v>0</v>
      </c>
      <c r="N191" s="9">
        <v>0</v>
      </c>
      <c r="O191" s="8">
        <v>3</v>
      </c>
      <c r="P191" s="5">
        <v>31</v>
      </c>
      <c r="Q191" s="5">
        <v>0</v>
      </c>
      <c r="R191" s="9">
        <v>0</v>
      </c>
      <c r="S191" s="8">
        <v>0</v>
      </c>
      <c r="T191" s="9">
        <v>0</v>
      </c>
    </row>
    <row r="192" spans="1:20" x14ac:dyDescent="0.2">
      <c r="A192" s="5" t="s">
        <v>225</v>
      </c>
      <c r="B192" s="5" t="s">
        <v>162</v>
      </c>
      <c r="C192" s="6" t="s">
        <v>22</v>
      </c>
      <c r="D192" s="7">
        <f t="shared" si="0"/>
        <v>6.6000000000000005</v>
      </c>
      <c r="E192" s="8">
        <v>0</v>
      </c>
      <c r="F192" s="5">
        <v>0</v>
      </c>
      <c r="G192" s="5">
        <v>0</v>
      </c>
      <c r="H192" s="5">
        <v>0</v>
      </c>
      <c r="I192" s="5">
        <v>0</v>
      </c>
      <c r="J192" s="9">
        <v>0</v>
      </c>
      <c r="K192" s="8">
        <v>1</v>
      </c>
      <c r="L192" s="5">
        <v>-2</v>
      </c>
      <c r="M192" s="5">
        <v>0</v>
      </c>
      <c r="N192" s="9">
        <v>0</v>
      </c>
      <c r="O192" s="8">
        <v>2</v>
      </c>
      <c r="P192" s="5">
        <v>48</v>
      </c>
      <c r="Q192" s="5">
        <v>0</v>
      </c>
      <c r="R192" s="9">
        <v>0</v>
      </c>
      <c r="S192" s="8">
        <v>0</v>
      </c>
      <c r="T192" s="9">
        <v>0</v>
      </c>
    </row>
    <row r="193" spans="1:20" x14ac:dyDescent="0.2">
      <c r="A193" s="5" t="s">
        <v>226</v>
      </c>
      <c r="B193" s="5" t="s">
        <v>162</v>
      </c>
      <c r="C193" s="8" t="s">
        <v>24</v>
      </c>
      <c r="D193" s="7">
        <f t="shared" si="0"/>
        <v>6.8000000000000007</v>
      </c>
      <c r="E193" s="8">
        <v>0</v>
      </c>
      <c r="F193" s="5">
        <v>0</v>
      </c>
      <c r="G193" s="5">
        <v>0</v>
      </c>
      <c r="H193" s="5">
        <v>0</v>
      </c>
      <c r="I193" s="5">
        <v>0</v>
      </c>
      <c r="J193" s="9">
        <v>0</v>
      </c>
      <c r="K193" s="8">
        <v>0</v>
      </c>
      <c r="L193" s="5">
        <v>0</v>
      </c>
      <c r="M193" s="5">
        <v>0</v>
      </c>
      <c r="N193" s="9">
        <v>0</v>
      </c>
      <c r="O193" s="8">
        <v>2</v>
      </c>
      <c r="P193" s="5">
        <v>48</v>
      </c>
      <c r="Q193" s="5">
        <v>0</v>
      </c>
      <c r="R193" s="9">
        <v>0</v>
      </c>
      <c r="S193" s="8">
        <v>0</v>
      </c>
      <c r="T193" s="9">
        <v>0</v>
      </c>
    </row>
    <row r="194" spans="1:20" x14ac:dyDescent="0.2">
      <c r="A194" s="5" t="s">
        <v>227</v>
      </c>
      <c r="B194" s="5" t="s">
        <v>162</v>
      </c>
      <c r="C194" s="8" t="s">
        <v>24</v>
      </c>
      <c r="D194" s="7">
        <f t="shared" si="0"/>
        <v>6.5</v>
      </c>
      <c r="E194" s="8">
        <v>0</v>
      </c>
      <c r="F194" s="5">
        <v>0</v>
      </c>
      <c r="G194" s="5">
        <v>0</v>
      </c>
      <c r="H194" s="5">
        <v>0</v>
      </c>
      <c r="I194" s="5">
        <v>0</v>
      </c>
      <c r="J194" s="9">
        <v>0</v>
      </c>
      <c r="K194" s="8">
        <v>0</v>
      </c>
      <c r="L194" s="5">
        <v>0</v>
      </c>
      <c r="M194" s="5">
        <v>0</v>
      </c>
      <c r="N194" s="9">
        <v>0</v>
      </c>
      <c r="O194" s="8">
        <v>2</v>
      </c>
      <c r="P194" s="5">
        <v>45</v>
      </c>
      <c r="Q194" s="5">
        <v>0</v>
      </c>
      <c r="R194" s="9">
        <v>0</v>
      </c>
      <c r="S194" s="8">
        <v>0</v>
      </c>
      <c r="T194" s="9">
        <v>0</v>
      </c>
    </row>
    <row r="195" spans="1:20" x14ac:dyDescent="0.2">
      <c r="A195" s="5" t="s">
        <v>228</v>
      </c>
      <c r="B195" s="5" t="s">
        <v>162</v>
      </c>
      <c r="C195" s="8" t="s">
        <v>54</v>
      </c>
      <c r="D195" s="7">
        <f t="shared" si="0"/>
        <v>5.7</v>
      </c>
      <c r="E195" s="8">
        <v>0</v>
      </c>
      <c r="F195" s="5">
        <v>0</v>
      </c>
      <c r="G195" s="5">
        <v>0</v>
      </c>
      <c r="H195" s="5">
        <v>0</v>
      </c>
      <c r="I195" s="5">
        <v>0</v>
      </c>
      <c r="J195" s="9">
        <v>0</v>
      </c>
      <c r="K195" s="8">
        <v>0</v>
      </c>
      <c r="L195" s="5">
        <v>0</v>
      </c>
      <c r="M195" s="5">
        <v>0</v>
      </c>
      <c r="N195" s="9">
        <v>0</v>
      </c>
      <c r="O195" s="8">
        <v>2</v>
      </c>
      <c r="P195" s="5">
        <v>37</v>
      </c>
      <c r="Q195" s="5">
        <v>0</v>
      </c>
      <c r="R195" s="9">
        <v>0</v>
      </c>
      <c r="S195" s="8">
        <v>0</v>
      </c>
      <c r="T195" s="9">
        <v>0</v>
      </c>
    </row>
    <row r="196" spans="1:20" x14ac:dyDescent="0.2">
      <c r="A196" s="5" t="s">
        <v>229</v>
      </c>
      <c r="B196" s="5" t="s">
        <v>162</v>
      </c>
      <c r="C196" s="6" t="s">
        <v>54</v>
      </c>
      <c r="D196" s="7">
        <f t="shared" si="0"/>
        <v>4.9000000000000004</v>
      </c>
      <c r="E196" s="8">
        <v>0</v>
      </c>
      <c r="F196" s="5">
        <v>0</v>
      </c>
      <c r="G196" s="5">
        <v>0</v>
      </c>
      <c r="H196" s="5">
        <v>0</v>
      </c>
      <c r="I196" s="5">
        <v>0</v>
      </c>
      <c r="J196" s="9">
        <v>0</v>
      </c>
      <c r="K196" s="8">
        <v>1</v>
      </c>
      <c r="L196" s="5">
        <v>-1</v>
      </c>
      <c r="M196" s="5">
        <v>0</v>
      </c>
      <c r="N196" s="9">
        <v>0</v>
      </c>
      <c r="O196" s="8">
        <v>3</v>
      </c>
      <c r="P196" s="5">
        <v>20</v>
      </c>
      <c r="Q196" s="5">
        <v>0</v>
      </c>
      <c r="R196" s="9">
        <v>0</v>
      </c>
      <c r="S196" s="8">
        <v>0</v>
      </c>
      <c r="T196" s="9">
        <v>0</v>
      </c>
    </row>
    <row r="197" spans="1:20" x14ac:dyDescent="0.2">
      <c r="A197" s="5" t="s">
        <v>230</v>
      </c>
      <c r="B197" s="5" t="s">
        <v>162</v>
      </c>
      <c r="C197" s="6" t="s">
        <v>49</v>
      </c>
      <c r="D197" s="7">
        <f t="shared" si="0"/>
        <v>5.2</v>
      </c>
      <c r="E197" s="8">
        <v>0</v>
      </c>
      <c r="F197" s="5">
        <v>0</v>
      </c>
      <c r="G197" s="5">
        <v>0</v>
      </c>
      <c r="H197" s="5">
        <v>0</v>
      </c>
      <c r="I197" s="5">
        <v>0</v>
      </c>
      <c r="J197" s="9">
        <v>0</v>
      </c>
      <c r="K197" s="8">
        <v>0</v>
      </c>
      <c r="L197" s="5">
        <v>0</v>
      </c>
      <c r="M197" s="5">
        <v>0</v>
      </c>
      <c r="N197" s="9">
        <v>0</v>
      </c>
      <c r="O197" s="8">
        <v>2</v>
      </c>
      <c r="P197" s="5">
        <v>32</v>
      </c>
      <c r="Q197" s="5">
        <v>0</v>
      </c>
      <c r="R197" s="9">
        <v>0</v>
      </c>
      <c r="S197" s="8">
        <v>0</v>
      </c>
      <c r="T197" s="9">
        <v>0</v>
      </c>
    </row>
    <row r="198" spans="1:20" x14ac:dyDescent="0.2">
      <c r="A198" s="5" t="s">
        <v>231</v>
      </c>
      <c r="B198" s="5" t="s">
        <v>162</v>
      </c>
      <c r="C198" s="8" t="s">
        <v>36</v>
      </c>
      <c r="D198" s="7">
        <f t="shared" si="0"/>
        <v>5.0999999999999996</v>
      </c>
      <c r="E198" s="8">
        <v>0</v>
      </c>
      <c r="F198" s="5">
        <v>0</v>
      </c>
      <c r="G198" s="5">
        <v>0</v>
      </c>
      <c r="H198" s="5">
        <v>0</v>
      </c>
      <c r="I198" s="5">
        <v>0</v>
      </c>
      <c r="J198" s="9">
        <v>0</v>
      </c>
      <c r="K198" s="8">
        <v>0</v>
      </c>
      <c r="L198" s="5">
        <v>0</v>
      </c>
      <c r="M198" s="5">
        <v>0</v>
      </c>
      <c r="N198" s="9">
        <v>0</v>
      </c>
      <c r="O198" s="8">
        <v>2</v>
      </c>
      <c r="P198" s="5">
        <v>31</v>
      </c>
      <c r="Q198" s="5">
        <v>0</v>
      </c>
      <c r="R198" s="9">
        <v>0</v>
      </c>
      <c r="S198" s="8">
        <v>0</v>
      </c>
      <c r="T198" s="9">
        <v>0</v>
      </c>
    </row>
    <row r="199" spans="1:20" x14ac:dyDescent="0.2">
      <c r="A199" s="5" t="s">
        <v>232</v>
      </c>
      <c r="B199" s="5" t="s">
        <v>162</v>
      </c>
      <c r="C199" s="8" t="s">
        <v>40</v>
      </c>
      <c r="D199" s="7">
        <f t="shared" si="0"/>
        <v>5.0999999999999996</v>
      </c>
      <c r="E199" s="8">
        <v>0</v>
      </c>
      <c r="F199" s="5">
        <v>0</v>
      </c>
      <c r="G199" s="5">
        <v>0</v>
      </c>
      <c r="H199" s="5">
        <v>0</v>
      </c>
      <c r="I199" s="5">
        <v>0</v>
      </c>
      <c r="J199" s="9">
        <v>0</v>
      </c>
      <c r="K199" s="8">
        <v>0</v>
      </c>
      <c r="L199" s="5">
        <v>0</v>
      </c>
      <c r="M199" s="5">
        <v>0</v>
      </c>
      <c r="N199" s="9">
        <v>0</v>
      </c>
      <c r="O199" s="8">
        <v>2</v>
      </c>
      <c r="P199" s="5">
        <v>31</v>
      </c>
      <c r="Q199" s="5">
        <v>0</v>
      </c>
      <c r="R199" s="9">
        <v>0</v>
      </c>
      <c r="S199" s="8">
        <v>0</v>
      </c>
      <c r="T199" s="9">
        <v>0</v>
      </c>
    </row>
    <row r="200" spans="1:20" x14ac:dyDescent="0.2">
      <c r="A200" s="5" t="s">
        <v>233</v>
      </c>
      <c r="B200" s="5" t="s">
        <v>162</v>
      </c>
      <c r="C200" s="6" t="s">
        <v>60</v>
      </c>
      <c r="D200" s="7">
        <f t="shared" si="0"/>
        <v>4.2</v>
      </c>
      <c r="E200" s="8">
        <v>0</v>
      </c>
      <c r="F200" s="5">
        <v>0</v>
      </c>
      <c r="G200" s="5">
        <v>0</v>
      </c>
      <c r="H200" s="5">
        <v>0</v>
      </c>
      <c r="I200" s="5">
        <v>0</v>
      </c>
      <c r="J200" s="9">
        <v>0</v>
      </c>
      <c r="K200" s="8">
        <v>0</v>
      </c>
      <c r="L200" s="5">
        <v>0</v>
      </c>
      <c r="M200" s="5">
        <v>0</v>
      </c>
      <c r="N200" s="9">
        <v>0</v>
      </c>
      <c r="O200" s="8">
        <v>2</v>
      </c>
      <c r="P200" s="5">
        <v>22</v>
      </c>
      <c r="Q200" s="5">
        <v>0</v>
      </c>
      <c r="R200" s="9">
        <v>0</v>
      </c>
      <c r="S200" s="8">
        <v>0</v>
      </c>
      <c r="T200" s="9">
        <v>0</v>
      </c>
    </row>
    <row r="201" spans="1:20" x14ac:dyDescent="0.2">
      <c r="A201" s="5" t="s">
        <v>234</v>
      </c>
      <c r="B201" s="5" t="s">
        <v>162</v>
      </c>
      <c r="C201" s="6" t="s">
        <v>52</v>
      </c>
      <c r="D201" s="7">
        <f t="shared" si="0"/>
        <v>4.3000000000000007</v>
      </c>
      <c r="E201" s="8">
        <v>0</v>
      </c>
      <c r="F201" s="5">
        <v>0</v>
      </c>
      <c r="G201" s="5">
        <v>0</v>
      </c>
      <c r="H201" s="5">
        <v>0</v>
      </c>
      <c r="I201" s="5">
        <v>0</v>
      </c>
      <c r="J201" s="9">
        <v>0</v>
      </c>
      <c r="K201" s="8">
        <v>0</v>
      </c>
      <c r="L201" s="5">
        <v>0</v>
      </c>
      <c r="M201" s="5">
        <v>0</v>
      </c>
      <c r="N201" s="9">
        <v>0</v>
      </c>
      <c r="O201" s="8">
        <v>2</v>
      </c>
      <c r="P201" s="5">
        <v>23</v>
      </c>
      <c r="Q201" s="5">
        <v>0</v>
      </c>
      <c r="R201" s="9">
        <v>0</v>
      </c>
      <c r="S201" s="8">
        <v>0</v>
      </c>
      <c r="T201" s="9">
        <v>0</v>
      </c>
    </row>
    <row r="202" spans="1:20" x14ac:dyDescent="0.2">
      <c r="A202" s="5" t="s">
        <v>235</v>
      </c>
      <c r="B202" s="5" t="s">
        <v>162</v>
      </c>
      <c r="C202" s="8" t="s">
        <v>22</v>
      </c>
      <c r="D202" s="7">
        <f t="shared" si="0"/>
        <v>4.5</v>
      </c>
      <c r="E202" s="8">
        <v>0</v>
      </c>
      <c r="F202" s="5">
        <v>0</v>
      </c>
      <c r="G202" s="5">
        <v>0</v>
      </c>
      <c r="H202" s="5">
        <v>0</v>
      </c>
      <c r="I202" s="5">
        <v>0</v>
      </c>
      <c r="J202" s="9">
        <v>0</v>
      </c>
      <c r="K202" s="8">
        <v>0</v>
      </c>
      <c r="L202" s="5">
        <v>0</v>
      </c>
      <c r="M202" s="5">
        <v>0</v>
      </c>
      <c r="N202" s="9">
        <v>0</v>
      </c>
      <c r="O202" s="8">
        <v>2</v>
      </c>
      <c r="P202" s="5">
        <v>25</v>
      </c>
      <c r="Q202" s="5">
        <v>0</v>
      </c>
      <c r="R202" s="9">
        <v>0</v>
      </c>
      <c r="S202" s="8">
        <v>0</v>
      </c>
      <c r="T202" s="9">
        <v>0</v>
      </c>
    </row>
    <row r="203" spans="1:20" x14ac:dyDescent="0.2">
      <c r="A203" s="5" t="s">
        <v>236</v>
      </c>
      <c r="B203" s="5" t="s">
        <v>162</v>
      </c>
      <c r="C203" s="8" t="s">
        <v>60</v>
      </c>
      <c r="D203" s="7">
        <f t="shared" si="0"/>
        <v>4.5</v>
      </c>
      <c r="E203" s="8">
        <v>0</v>
      </c>
      <c r="F203" s="5">
        <v>0</v>
      </c>
      <c r="G203" s="5">
        <v>0</v>
      </c>
      <c r="H203" s="5">
        <v>0</v>
      </c>
      <c r="I203" s="5">
        <v>0</v>
      </c>
      <c r="J203" s="9">
        <v>0</v>
      </c>
      <c r="K203" s="8">
        <v>0</v>
      </c>
      <c r="L203" s="5">
        <v>0</v>
      </c>
      <c r="M203" s="5">
        <v>0</v>
      </c>
      <c r="N203" s="9">
        <v>0</v>
      </c>
      <c r="O203" s="8">
        <v>3</v>
      </c>
      <c r="P203" s="5">
        <v>15</v>
      </c>
      <c r="Q203" s="5">
        <v>0</v>
      </c>
      <c r="R203" s="9">
        <v>0</v>
      </c>
      <c r="S203" s="8">
        <v>0</v>
      </c>
      <c r="T203" s="9">
        <v>0</v>
      </c>
    </row>
    <row r="204" spans="1:20" x14ac:dyDescent="0.2">
      <c r="A204" s="5" t="s">
        <v>237</v>
      </c>
      <c r="B204" s="5" t="s">
        <v>162</v>
      </c>
      <c r="C204" s="8" t="s">
        <v>47</v>
      </c>
      <c r="D204" s="7">
        <f t="shared" si="0"/>
        <v>4.3</v>
      </c>
      <c r="E204" s="8">
        <v>0</v>
      </c>
      <c r="F204" s="5">
        <v>0</v>
      </c>
      <c r="G204" s="5">
        <v>0</v>
      </c>
      <c r="H204" s="5">
        <v>0</v>
      </c>
      <c r="I204" s="5">
        <v>0</v>
      </c>
      <c r="J204" s="9">
        <v>0</v>
      </c>
      <c r="K204" s="8">
        <v>0</v>
      </c>
      <c r="L204" s="5">
        <v>0</v>
      </c>
      <c r="M204" s="5">
        <v>0</v>
      </c>
      <c r="N204" s="9">
        <v>0</v>
      </c>
      <c r="O204" s="8">
        <v>3</v>
      </c>
      <c r="P204" s="5">
        <v>13</v>
      </c>
      <c r="Q204" s="5">
        <v>0</v>
      </c>
      <c r="R204" s="9">
        <v>0</v>
      </c>
      <c r="S204" s="8">
        <v>0</v>
      </c>
      <c r="T204" s="9">
        <v>0</v>
      </c>
    </row>
    <row r="205" spans="1:20" x14ac:dyDescent="0.2">
      <c r="A205" s="5" t="s">
        <v>238</v>
      </c>
      <c r="B205" s="5" t="s">
        <v>162</v>
      </c>
      <c r="C205" s="6" t="s">
        <v>29</v>
      </c>
      <c r="D205" s="7">
        <f t="shared" si="0"/>
        <v>3</v>
      </c>
      <c r="E205" s="8">
        <v>0</v>
      </c>
      <c r="F205" s="5">
        <v>0</v>
      </c>
      <c r="G205" s="5">
        <v>0</v>
      </c>
      <c r="H205" s="5">
        <v>0</v>
      </c>
      <c r="I205" s="5">
        <v>0</v>
      </c>
      <c r="J205" s="9">
        <v>0</v>
      </c>
      <c r="K205" s="8">
        <v>0</v>
      </c>
      <c r="L205" s="5">
        <v>0</v>
      </c>
      <c r="M205" s="5">
        <v>0</v>
      </c>
      <c r="N205" s="9">
        <v>0</v>
      </c>
      <c r="O205" s="8">
        <v>2</v>
      </c>
      <c r="P205" s="5">
        <v>10</v>
      </c>
      <c r="Q205" s="5">
        <v>0</v>
      </c>
      <c r="R205" s="9">
        <v>0</v>
      </c>
      <c r="S205" s="8">
        <v>0</v>
      </c>
      <c r="T205" s="9">
        <v>0</v>
      </c>
    </row>
    <row r="206" spans="1:20" x14ac:dyDescent="0.2">
      <c r="A206" s="5" t="s">
        <v>239</v>
      </c>
      <c r="B206" s="5" t="s">
        <v>162</v>
      </c>
      <c r="C206" s="6" t="s">
        <v>42</v>
      </c>
      <c r="D206" s="7">
        <f t="shared" si="0"/>
        <v>4.7</v>
      </c>
      <c r="E206" s="8">
        <v>0</v>
      </c>
      <c r="F206" s="5">
        <v>0</v>
      </c>
      <c r="G206" s="5">
        <v>0</v>
      </c>
      <c r="H206" s="5">
        <v>0</v>
      </c>
      <c r="I206" s="5">
        <v>0</v>
      </c>
      <c r="J206" s="9">
        <v>0</v>
      </c>
      <c r="K206" s="8">
        <v>1</v>
      </c>
      <c r="L206" s="5">
        <v>9</v>
      </c>
      <c r="M206" s="5">
        <v>0</v>
      </c>
      <c r="N206" s="9">
        <v>0</v>
      </c>
      <c r="O206" s="8">
        <v>2</v>
      </c>
      <c r="P206" s="5">
        <v>18</v>
      </c>
      <c r="Q206" s="5">
        <v>0</v>
      </c>
      <c r="R206" s="9">
        <v>0</v>
      </c>
      <c r="S206" s="8">
        <v>0</v>
      </c>
      <c r="T206" s="9">
        <v>0</v>
      </c>
    </row>
    <row r="207" spans="1:20" x14ac:dyDescent="0.2">
      <c r="A207" s="5" t="s">
        <v>240</v>
      </c>
      <c r="B207" s="5" t="s">
        <v>162</v>
      </c>
      <c r="C207" s="6" t="s">
        <v>49</v>
      </c>
      <c r="D207" s="7">
        <f t="shared" si="0"/>
        <v>4.3</v>
      </c>
      <c r="E207" s="8">
        <v>0</v>
      </c>
      <c r="F207" s="5">
        <v>0</v>
      </c>
      <c r="G207" s="5">
        <v>0</v>
      </c>
      <c r="H207" s="5">
        <v>0</v>
      </c>
      <c r="I207" s="5">
        <v>0</v>
      </c>
      <c r="J207" s="9">
        <v>0</v>
      </c>
      <c r="K207" s="8">
        <v>1</v>
      </c>
      <c r="L207" s="5">
        <v>4</v>
      </c>
      <c r="M207" s="5">
        <v>0</v>
      </c>
      <c r="N207" s="9">
        <v>0</v>
      </c>
      <c r="O207" s="8">
        <v>3</v>
      </c>
      <c r="P207" s="5">
        <v>9</v>
      </c>
      <c r="Q207" s="5">
        <v>0</v>
      </c>
      <c r="R207" s="9">
        <v>0</v>
      </c>
      <c r="S207" s="8">
        <v>0</v>
      </c>
      <c r="T207" s="9">
        <v>0</v>
      </c>
    </row>
    <row r="208" spans="1:20" x14ac:dyDescent="0.2">
      <c r="A208" s="5" t="s">
        <v>241</v>
      </c>
      <c r="B208" s="5" t="s">
        <v>162</v>
      </c>
      <c r="C208" s="8" t="s">
        <v>47</v>
      </c>
      <c r="D208" s="7">
        <f t="shared" si="0"/>
        <v>3</v>
      </c>
      <c r="E208" s="8">
        <v>0</v>
      </c>
      <c r="F208" s="5">
        <v>0</v>
      </c>
      <c r="G208" s="5">
        <v>0</v>
      </c>
      <c r="H208" s="5">
        <v>0</v>
      </c>
      <c r="I208" s="5">
        <v>0</v>
      </c>
      <c r="J208" s="9">
        <v>0</v>
      </c>
      <c r="K208" s="8">
        <v>0</v>
      </c>
      <c r="L208" s="5">
        <v>0</v>
      </c>
      <c r="M208" s="5">
        <v>0</v>
      </c>
      <c r="N208" s="9">
        <v>0</v>
      </c>
      <c r="O208" s="8">
        <v>2</v>
      </c>
      <c r="P208" s="5">
        <v>10</v>
      </c>
      <c r="Q208" s="5">
        <v>0</v>
      </c>
      <c r="R208" s="9">
        <v>0</v>
      </c>
      <c r="S208" s="8">
        <v>0</v>
      </c>
      <c r="T208" s="9">
        <v>0</v>
      </c>
    </row>
    <row r="209" spans="1:20" x14ac:dyDescent="0.2">
      <c r="A209" s="5" t="s">
        <v>242</v>
      </c>
      <c r="B209" s="5" t="s">
        <v>162</v>
      </c>
      <c r="C209" s="6" t="s">
        <v>52</v>
      </c>
      <c r="D209" s="7">
        <f t="shared" si="0"/>
        <v>3.7</v>
      </c>
      <c r="E209" s="8">
        <v>0</v>
      </c>
      <c r="F209" s="5">
        <v>0</v>
      </c>
      <c r="G209" s="5">
        <v>0</v>
      </c>
      <c r="H209" s="5">
        <v>0</v>
      </c>
      <c r="I209" s="5">
        <v>0</v>
      </c>
      <c r="J209" s="9">
        <v>0</v>
      </c>
      <c r="K209" s="8">
        <v>0</v>
      </c>
      <c r="L209" s="5">
        <v>0</v>
      </c>
      <c r="M209" s="5">
        <v>0</v>
      </c>
      <c r="N209" s="9">
        <v>0</v>
      </c>
      <c r="O209" s="8">
        <v>2</v>
      </c>
      <c r="P209" s="5">
        <v>17</v>
      </c>
      <c r="Q209" s="5">
        <v>0</v>
      </c>
      <c r="R209" s="9">
        <v>0</v>
      </c>
      <c r="S209" s="8">
        <v>0</v>
      </c>
      <c r="T209" s="9">
        <v>0</v>
      </c>
    </row>
    <row r="210" spans="1:20" x14ac:dyDescent="0.2">
      <c r="A210" s="5" t="s">
        <v>243</v>
      </c>
      <c r="B210" s="5" t="s">
        <v>162</v>
      </c>
      <c r="C210" s="6" t="s">
        <v>24</v>
      </c>
      <c r="D210" s="7">
        <f t="shared" si="0"/>
        <v>3</v>
      </c>
      <c r="E210" s="8">
        <v>0</v>
      </c>
      <c r="F210" s="5">
        <v>0</v>
      </c>
      <c r="G210" s="5">
        <v>0</v>
      </c>
      <c r="H210" s="5">
        <v>0</v>
      </c>
      <c r="I210" s="5">
        <v>0</v>
      </c>
      <c r="J210" s="9">
        <v>0</v>
      </c>
      <c r="K210" s="8">
        <v>0</v>
      </c>
      <c r="L210" s="5">
        <v>0</v>
      </c>
      <c r="M210" s="5">
        <v>0</v>
      </c>
      <c r="N210" s="9">
        <v>0</v>
      </c>
      <c r="O210" s="8">
        <v>1</v>
      </c>
      <c r="P210" s="5">
        <v>20</v>
      </c>
      <c r="Q210" s="5">
        <v>0</v>
      </c>
      <c r="R210" s="9">
        <v>0</v>
      </c>
      <c r="S210" s="8">
        <v>0</v>
      </c>
      <c r="T210" s="9">
        <v>0</v>
      </c>
    </row>
    <row r="211" spans="1:20" x14ac:dyDescent="0.2">
      <c r="A211" s="5" t="s">
        <v>244</v>
      </c>
      <c r="B211" s="5" t="s">
        <v>162</v>
      </c>
      <c r="C211" s="8" t="s">
        <v>22</v>
      </c>
      <c r="D211" s="7">
        <f t="shared" si="0"/>
        <v>3.4000000000000004</v>
      </c>
      <c r="E211" s="8">
        <v>0</v>
      </c>
      <c r="F211" s="5">
        <v>0</v>
      </c>
      <c r="G211" s="5">
        <v>0</v>
      </c>
      <c r="H211" s="5">
        <v>0</v>
      </c>
      <c r="I211" s="5">
        <v>0</v>
      </c>
      <c r="J211" s="9">
        <v>0</v>
      </c>
      <c r="K211" s="8">
        <v>0</v>
      </c>
      <c r="L211" s="5">
        <v>0</v>
      </c>
      <c r="M211" s="5">
        <v>0</v>
      </c>
      <c r="N211" s="9">
        <v>0</v>
      </c>
      <c r="O211" s="8">
        <v>2</v>
      </c>
      <c r="P211" s="5">
        <v>14</v>
      </c>
      <c r="Q211" s="5">
        <v>0</v>
      </c>
      <c r="R211" s="9">
        <v>0</v>
      </c>
      <c r="S211" s="8">
        <v>0</v>
      </c>
      <c r="T211" s="9">
        <v>0</v>
      </c>
    </row>
    <row r="212" spans="1:20" x14ac:dyDescent="0.2">
      <c r="A212" s="5" t="s">
        <v>245</v>
      </c>
      <c r="B212" s="5" t="s">
        <v>162</v>
      </c>
      <c r="C212" s="6" t="s">
        <v>52</v>
      </c>
      <c r="D212" s="7">
        <f t="shared" si="0"/>
        <v>4.0999999999999996</v>
      </c>
      <c r="E212" s="8">
        <v>0</v>
      </c>
      <c r="F212" s="5">
        <v>0</v>
      </c>
      <c r="G212" s="5">
        <v>0</v>
      </c>
      <c r="H212" s="5">
        <v>0</v>
      </c>
      <c r="I212" s="5">
        <v>0</v>
      </c>
      <c r="J212" s="9">
        <v>0</v>
      </c>
      <c r="K212" s="8">
        <v>2</v>
      </c>
      <c r="L212" s="5">
        <v>5</v>
      </c>
      <c r="M212" s="5">
        <v>0</v>
      </c>
      <c r="N212" s="9">
        <v>0</v>
      </c>
      <c r="O212" s="8">
        <v>2</v>
      </c>
      <c r="P212" s="5">
        <v>16</v>
      </c>
      <c r="Q212" s="5">
        <v>0</v>
      </c>
      <c r="R212" s="9">
        <v>0</v>
      </c>
      <c r="S212" s="8">
        <v>0</v>
      </c>
      <c r="T212" s="9">
        <v>0</v>
      </c>
    </row>
    <row r="213" spans="1:20" x14ac:dyDescent="0.2">
      <c r="A213" s="5" t="s">
        <v>246</v>
      </c>
      <c r="B213" s="5" t="s">
        <v>162</v>
      </c>
      <c r="C213" s="6" t="s">
        <v>52</v>
      </c>
      <c r="D213" s="7">
        <f t="shared" si="0"/>
        <v>3.2</v>
      </c>
      <c r="E213" s="8">
        <v>0</v>
      </c>
      <c r="F213" s="5">
        <v>0</v>
      </c>
      <c r="G213" s="5">
        <v>0</v>
      </c>
      <c r="H213" s="5">
        <v>0</v>
      </c>
      <c r="I213" s="5">
        <v>0</v>
      </c>
      <c r="J213" s="9">
        <v>0</v>
      </c>
      <c r="K213" s="8">
        <v>0</v>
      </c>
      <c r="L213" s="5">
        <v>0</v>
      </c>
      <c r="M213" s="5">
        <v>0</v>
      </c>
      <c r="N213" s="9">
        <v>0</v>
      </c>
      <c r="O213" s="8">
        <v>2</v>
      </c>
      <c r="P213" s="5">
        <v>12</v>
      </c>
      <c r="Q213" s="5">
        <v>0</v>
      </c>
      <c r="R213" s="9">
        <v>0</v>
      </c>
      <c r="S213" s="8">
        <v>0</v>
      </c>
      <c r="T213" s="9">
        <v>0</v>
      </c>
    </row>
    <row r="214" spans="1:20" x14ac:dyDescent="0.2">
      <c r="A214" s="5" t="s">
        <v>247</v>
      </c>
      <c r="B214" s="5" t="s">
        <v>162</v>
      </c>
      <c r="C214" s="6" t="s">
        <v>31</v>
      </c>
      <c r="D214" s="7">
        <f t="shared" si="0"/>
        <v>3</v>
      </c>
      <c r="E214" s="8">
        <v>0</v>
      </c>
      <c r="F214" s="5">
        <v>0</v>
      </c>
      <c r="G214" s="5">
        <v>0</v>
      </c>
      <c r="H214" s="5">
        <v>0</v>
      </c>
      <c r="I214" s="5">
        <v>0</v>
      </c>
      <c r="J214" s="9">
        <v>0</v>
      </c>
      <c r="K214" s="8">
        <v>0</v>
      </c>
      <c r="L214" s="5">
        <v>0</v>
      </c>
      <c r="M214" s="5">
        <v>0</v>
      </c>
      <c r="N214" s="9">
        <v>0</v>
      </c>
      <c r="O214" s="8">
        <v>2</v>
      </c>
      <c r="P214" s="5">
        <v>10</v>
      </c>
      <c r="Q214" s="5">
        <v>0</v>
      </c>
      <c r="R214" s="9">
        <v>0</v>
      </c>
      <c r="S214" s="8">
        <v>0</v>
      </c>
      <c r="T214" s="9">
        <v>0</v>
      </c>
    </row>
    <row r="215" spans="1:20" x14ac:dyDescent="0.2">
      <c r="A215" s="5" t="s">
        <v>248</v>
      </c>
      <c r="B215" s="5" t="s">
        <v>162</v>
      </c>
      <c r="C215" s="6" t="s">
        <v>22</v>
      </c>
      <c r="D215" s="7">
        <f t="shared" si="0"/>
        <v>3.8</v>
      </c>
      <c r="E215" s="8">
        <v>0</v>
      </c>
      <c r="F215" s="5">
        <v>0</v>
      </c>
      <c r="G215" s="5">
        <v>0</v>
      </c>
      <c r="H215" s="5">
        <v>0</v>
      </c>
      <c r="I215" s="5">
        <v>0</v>
      </c>
      <c r="J215" s="9">
        <v>0</v>
      </c>
      <c r="K215" s="8">
        <v>0</v>
      </c>
      <c r="L215" s="5">
        <v>0</v>
      </c>
      <c r="M215" s="5">
        <v>0</v>
      </c>
      <c r="N215" s="9">
        <v>0</v>
      </c>
      <c r="O215" s="8">
        <v>2</v>
      </c>
      <c r="P215" s="5">
        <v>18</v>
      </c>
      <c r="Q215" s="5">
        <v>0</v>
      </c>
      <c r="R215" s="9">
        <v>0</v>
      </c>
      <c r="S215" s="8">
        <v>0</v>
      </c>
      <c r="T215" s="9">
        <v>0</v>
      </c>
    </row>
    <row r="216" spans="1:20" x14ac:dyDescent="0.2">
      <c r="A216" s="5" t="s">
        <v>249</v>
      </c>
      <c r="B216" s="5" t="s">
        <v>162</v>
      </c>
      <c r="C216" s="6" t="s">
        <v>20</v>
      </c>
      <c r="D216" s="7">
        <f t="shared" si="0"/>
        <v>3.7</v>
      </c>
      <c r="E216" s="8">
        <v>0</v>
      </c>
      <c r="F216" s="5">
        <v>0</v>
      </c>
      <c r="G216" s="5">
        <v>0</v>
      </c>
      <c r="H216" s="5">
        <v>0</v>
      </c>
      <c r="I216" s="5">
        <v>0</v>
      </c>
      <c r="J216" s="9">
        <v>0</v>
      </c>
      <c r="K216" s="8">
        <v>0</v>
      </c>
      <c r="L216" s="5">
        <v>0</v>
      </c>
      <c r="M216" s="5">
        <v>0</v>
      </c>
      <c r="N216" s="9">
        <v>0</v>
      </c>
      <c r="O216" s="8">
        <v>2</v>
      </c>
      <c r="P216" s="5">
        <v>17</v>
      </c>
      <c r="Q216" s="5">
        <v>0</v>
      </c>
      <c r="R216" s="9">
        <v>0</v>
      </c>
      <c r="S216" s="8">
        <v>0</v>
      </c>
      <c r="T216" s="9">
        <v>0</v>
      </c>
    </row>
    <row r="217" spans="1:20" x14ac:dyDescent="0.2">
      <c r="A217" s="5" t="s">
        <v>250</v>
      </c>
      <c r="B217" s="5" t="s">
        <v>162</v>
      </c>
      <c r="C217" s="6" t="s">
        <v>40</v>
      </c>
      <c r="D217" s="7">
        <f t="shared" si="0"/>
        <v>3.9000000000000004</v>
      </c>
      <c r="E217" s="8">
        <v>0</v>
      </c>
      <c r="F217" s="5">
        <v>0</v>
      </c>
      <c r="G217" s="5">
        <v>0</v>
      </c>
      <c r="H217" s="5">
        <v>0</v>
      </c>
      <c r="I217" s="5">
        <v>0</v>
      </c>
      <c r="J217" s="9">
        <v>0</v>
      </c>
      <c r="K217" s="8">
        <v>0</v>
      </c>
      <c r="L217" s="5">
        <v>0</v>
      </c>
      <c r="M217" s="5">
        <v>0</v>
      </c>
      <c r="N217" s="9">
        <v>0</v>
      </c>
      <c r="O217" s="8">
        <v>2</v>
      </c>
      <c r="P217" s="5">
        <v>19</v>
      </c>
      <c r="Q217" s="5">
        <v>0</v>
      </c>
      <c r="R217" s="9">
        <v>0</v>
      </c>
      <c r="S217" s="8">
        <v>0</v>
      </c>
      <c r="T217" s="9">
        <v>0</v>
      </c>
    </row>
    <row r="218" spans="1:20" x14ac:dyDescent="0.2">
      <c r="A218" s="5" t="s">
        <v>251</v>
      </c>
      <c r="B218" s="5" t="s">
        <v>162</v>
      </c>
      <c r="C218" s="6" t="s">
        <v>60</v>
      </c>
      <c r="D218" s="7">
        <f t="shared" si="0"/>
        <v>2</v>
      </c>
      <c r="E218" s="8">
        <v>0</v>
      </c>
      <c r="F218" s="5">
        <v>0</v>
      </c>
      <c r="G218" s="5">
        <v>0</v>
      </c>
      <c r="H218" s="5">
        <v>0</v>
      </c>
      <c r="I218" s="5">
        <v>0</v>
      </c>
      <c r="J218" s="9">
        <v>0</v>
      </c>
      <c r="K218" s="8">
        <v>0</v>
      </c>
      <c r="L218" s="5">
        <v>0</v>
      </c>
      <c r="M218" s="5">
        <v>0</v>
      </c>
      <c r="N218" s="9">
        <v>0</v>
      </c>
      <c r="O218" s="8">
        <v>1</v>
      </c>
      <c r="P218" s="5">
        <v>10</v>
      </c>
      <c r="Q218" s="5">
        <v>0</v>
      </c>
      <c r="R218" s="9">
        <v>0</v>
      </c>
      <c r="S218" s="8">
        <v>0</v>
      </c>
      <c r="T218" s="9">
        <v>0</v>
      </c>
    </row>
    <row r="219" spans="1:20" x14ac:dyDescent="0.2">
      <c r="A219" s="5" t="s">
        <v>252</v>
      </c>
      <c r="B219" s="5" t="s">
        <v>162</v>
      </c>
      <c r="C219" s="8" t="s">
        <v>60</v>
      </c>
      <c r="D219" s="7">
        <f t="shared" si="0"/>
        <v>1.4000000000000004</v>
      </c>
      <c r="E219" s="8">
        <v>0</v>
      </c>
      <c r="F219" s="5">
        <v>0</v>
      </c>
      <c r="G219" s="5">
        <v>0</v>
      </c>
      <c r="H219" s="5">
        <v>0</v>
      </c>
      <c r="I219" s="5">
        <v>0</v>
      </c>
      <c r="J219" s="9">
        <v>0</v>
      </c>
      <c r="K219" s="8">
        <v>0</v>
      </c>
      <c r="L219" s="5">
        <v>0</v>
      </c>
      <c r="M219" s="5">
        <v>0</v>
      </c>
      <c r="N219" s="9">
        <v>0</v>
      </c>
      <c r="O219" s="8">
        <v>1</v>
      </c>
      <c r="P219" s="5">
        <v>24</v>
      </c>
      <c r="Q219" s="5">
        <v>0</v>
      </c>
      <c r="R219" s="9">
        <v>0</v>
      </c>
      <c r="S219" s="8">
        <v>1</v>
      </c>
      <c r="T219" s="9">
        <v>0</v>
      </c>
    </row>
    <row r="220" spans="1:20" x14ac:dyDescent="0.2">
      <c r="A220" s="5" t="s">
        <v>253</v>
      </c>
      <c r="B220" s="5" t="s">
        <v>162</v>
      </c>
      <c r="C220" s="8" t="s">
        <v>18</v>
      </c>
      <c r="D220" s="7">
        <f t="shared" si="0"/>
        <v>2.9</v>
      </c>
      <c r="E220" s="8">
        <v>0</v>
      </c>
      <c r="F220" s="5">
        <v>0</v>
      </c>
      <c r="G220" s="5">
        <v>0</v>
      </c>
      <c r="H220" s="5">
        <v>0</v>
      </c>
      <c r="I220" s="5">
        <v>0</v>
      </c>
      <c r="J220" s="9">
        <v>0</v>
      </c>
      <c r="K220" s="8">
        <v>0</v>
      </c>
      <c r="L220" s="5">
        <v>0</v>
      </c>
      <c r="M220" s="5">
        <v>0</v>
      </c>
      <c r="N220" s="9">
        <v>0</v>
      </c>
      <c r="O220" s="8">
        <v>2</v>
      </c>
      <c r="P220" s="5">
        <v>9</v>
      </c>
      <c r="Q220" s="5">
        <v>0</v>
      </c>
      <c r="R220" s="9">
        <v>0</v>
      </c>
      <c r="S220" s="8">
        <v>0</v>
      </c>
      <c r="T220" s="9">
        <v>0</v>
      </c>
    </row>
    <row r="221" spans="1:20" x14ac:dyDescent="0.2">
      <c r="A221" s="5" t="s">
        <v>254</v>
      </c>
      <c r="B221" s="5" t="s">
        <v>162</v>
      </c>
      <c r="C221" s="8" t="s">
        <v>36</v>
      </c>
      <c r="D221" s="7">
        <f t="shared" si="0"/>
        <v>2.9</v>
      </c>
      <c r="E221" s="8">
        <v>0</v>
      </c>
      <c r="F221" s="5">
        <v>0</v>
      </c>
      <c r="G221" s="5">
        <v>0</v>
      </c>
      <c r="H221" s="5">
        <v>0</v>
      </c>
      <c r="I221" s="5">
        <v>0</v>
      </c>
      <c r="J221" s="9">
        <v>0</v>
      </c>
      <c r="K221" s="8">
        <v>0</v>
      </c>
      <c r="L221" s="5">
        <v>0</v>
      </c>
      <c r="M221" s="5">
        <v>0</v>
      </c>
      <c r="N221" s="9">
        <v>0</v>
      </c>
      <c r="O221" s="8">
        <v>2</v>
      </c>
      <c r="P221" s="5">
        <v>9</v>
      </c>
      <c r="Q221" s="5">
        <v>0</v>
      </c>
      <c r="R221" s="9">
        <v>0</v>
      </c>
      <c r="S221" s="8">
        <v>0</v>
      </c>
      <c r="T221" s="9">
        <v>0</v>
      </c>
    </row>
    <row r="222" spans="1:20" x14ac:dyDescent="0.2">
      <c r="A222" s="5" t="s">
        <v>255</v>
      </c>
      <c r="B222" s="5" t="s">
        <v>162</v>
      </c>
      <c r="C222" s="6" t="s">
        <v>29</v>
      </c>
      <c r="D222" s="7">
        <f t="shared" si="0"/>
        <v>2.2000000000000002</v>
      </c>
      <c r="E222" s="8">
        <v>0</v>
      </c>
      <c r="F222" s="5">
        <v>0</v>
      </c>
      <c r="G222" s="5">
        <v>0</v>
      </c>
      <c r="H222" s="5">
        <v>0</v>
      </c>
      <c r="I222" s="5">
        <v>0</v>
      </c>
      <c r="J222" s="9">
        <v>0</v>
      </c>
      <c r="K222" s="8">
        <v>0</v>
      </c>
      <c r="L222" s="5">
        <v>0</v>
      </c>
      <c r="M222" s="5">
        <v>0</v>
      </c>
      <c r="N222" s="9">
        <v>0</v>
      </c>
      <c r="O222" s="8">
        <v>1</v>
      </c>
      <c r="P222" s="5">
        <v>12</v>
      </c>
      <c r="Q222" s="5">
        <v>0</v>
      </c>
      <c r="R222" s="9">
        <v>0</v>
      </c>
      <c r="S222" s="8">
        <v>0</v>
      </c>
      <c r="T222" s="9">
        <v>0</v>
      </c>
    </row>
    <row r="223" spans="1:20" x14ac:dyDescent="0.2">
      <c r="A223" s="5" t="s">
        <v>256</v>
      </c>
      <c r="B223" s="5" t="s">
        <v>162</v>
      </c>
      <c r="C223" s="8" t="s">
        <v>60</v>
      </c>
      <c r="D223" s="7">
        <f t="shared" si="0"/>
        <v>1.2</v>
      </c>
      <c r="E223" s="8">
        <v>0</v>
      </c>
      <c r="F223" s="5">
        <v>0</v>
      </c>
      <c r="G223" s="5">
        <v>0</v>
      </c>
      <c r="H223" s="5">
        <v>0</v>
      </c>
      <c r="I223" s="5">
        <v>0</v>
      </c>
      <c r="J223" s="9">
        <v>0</v>
      </c>
      <c r="K223" s="8">
        <v>0</v>
      </c>
      <c r="L223" s="5">
        <v>0</v>
      </c>
      <c r="M223" s="5">
        <v>0</v>
      </c>
      <c r="N223" s="9">
        <v>0</v>
      </c>
      <c r="O223" s="8">
        <v>1</v>
      </c>
      <c r="P223" s="5">
        <v>2</v>
      </c>
      <c r="Q223" s="5">
        <v>0</v>
      </c>
      <c r="R223" s="9">
        <v>0</v>
      </c>
      <c r="S223" s="8">
        <v>0</v>
      </c>
      <c r="T223" s="9">
        <v>0</v>
      </c>
    </row>
    <row r="224" spans="1:20" x14ac:dyDescent="0.2">
      <c r="A224" s="5" t="s">
        <v>257</v>
      </c>
      <c r="B224" s="5" t="s">
        <v>162</v>
      </c>
      <c r="C224" s="6" t="s">
        <v>36</v>
      </c>
      <c r="D224" s="7">
        <f t="shared" si="0"/>
        <v>1.5</v>
      </c>
      <c r="E224" s="8">
        <v>0</v>
      </c>
      <c r="F224" s="5">
        <v>0</v>
      </c>
      <c r="G224" s="5">
        <v>0</v>
      </c>
      <c r="H224" s="5">
        <v>0</v>
      </c>
      <c r="I224" s="5">
        <v>0</v>
      </c>
      <c r="J224" s="9">
        <v>0</v>
      </c>
      <c r="K224" s="8">
        <v>0</v>
      </c>
      <c r="L224" s="5">
        <v>0</v>
      </c>
      <c r="M224" s="5">
        <v>0</v>
      </c>
      <c r="N224" s="9">
        <v>0</v>
      </c>
      <c r="O224" s="8">
        <v>1</v>
      </c>
      <c r="P224" s="5">
        <v>5</v>
      </c>
      <c r="Q224" s="5">
        <v>0</v>
      </c>
      <c r="R224" s="9">
        <v>0</v>
      </c>
      <c r="S224" s="8">
        <v>0</v>
      </c>
      <c r="T224" s="9">
        <v>0</v>
      </c>
    </row>
    <row r="225" spans="1:20" x14ac:dyDescent="0.2">
      <c r="A225" s="5" t="s">
        <v>258</v>
      </c>
      <c r="B225" s="5" t="s">
        <v>162</v>
      </c>
      <c r="C225" s="8" t="s">
        <v>18</v>
      </c>
      <c r="D225" s="7">
        <f t="shared" si="0"/>
        <v>1.5</v>
      </c>
      <c r="E225" s="8">
        <v>0</v>
      </c>
      <c r="F225" s="5">
        <v>0</v>
      </c>
      <c r="G225" s="5">
        <v>0</v>
      </c>
      <c r="H225" s="5">
        <v>0</v>
      </c>
      <c r="I225" s="5">
        <v>0</v>
      </c>
      <c r="J225" s="9">
        <v>0</v>
      </c>
      <c r="K225" s="8">
        <v>0</v>
      </c>
      <c r="L225" s="5">
        <v>0</v>
      </c>
      <c r="M225" s="5">
        <v>0</v>
      </c>
      <c r="N225" s="9">
        <v>0</v>
      </c>
      <c r="O225" s="8">
        <v>1</v>
      </c>
      <c r="P225" s="5">
        <v>5</v>
      </c>
      <c r="Q225" s="5">
        <v>0</v>
      </c>
      <c r="R225" s="9">
        <v>0</v>
      </c>
      <c r="S225" s="8">
        <v>0</v>
      </c>
      <c r="T225" s="9">
        <v>0</v>
      </c>
    </row>
    <row r="226" spans="1:20" x14ac:dyDescent="0.2">
      <c r="A226" s="5" t="s">
        <v>259</v>
      </c>
      <c r="B226" s="5" t="s">
        <v>162</v>
      </c>
      <c r="C226" s="6" t="s">
        <v>18</v>
      </c>
      <c r="D226" s="7">
        <f t="shared" si="0"/>
        <v>1.7000000000000002</v>
      </c>
      <c r="E226" s="8">
        <v>0</v>
      </c>
      <c r="F226" s="5">
        <v>0</v>
      </c>
      <c r="G226" s="5">
        <v>0</v>
      </c>
      <c r="H226" s="5">
        <v>0</v>
      </c>
      <c r="I226" s="5">
        <v>0</v>
      </c>
      <c r="J226" s="9">
        <v>0</v>
      </c>
      <c r="K226" s="8">
        <v>2</v>
      </c>
      <c r="L226" s="5">
        <v>17</v>
      </c>
      <c r="M226" s="5">
        <v>0</v>
      </c>
      <c r="N226" s="9">
        <v>0</v>
      </c>
      <c r="O226" s="8">
        <v>0</v>
      </c>
      <c r="P226" s="5">
        <v>0</v>
      </c>
      <c r="Q226" s="5">
        <v>0</v>
      </c>
      <c r="R226" s="9">
        <v>0</v>
      </c>
      <c r="S226" s="8">
        <v>0</v>
      </c>
      <c r="T226" s="9">
        <v>0</v>
      </c>
    </row>
    <row r="227" spans="1:20" x14ac:dyDescent="0.2">
      <c r="A227" s="5" t="s">
        <v>260</v>
      </c>
      <c r="B227" s="5" t="s">
        <v>162</v>
      </c>
      <c r="C227" s="6" t="s">
        <v>54</v>
      </c>
      <c r="D227" s="7">
        <f t="shared" si="0"/>
        <v>1.9</v>
      </c>
      <c r="E227" s="8">
        <v>0</v>
      </c>
      <c r="F227" s="5">
        <v>0</v>
      </c>
      <c r="G227" s="5">
        <v>0</v>
      </c>
      <c r="H227" s="5">
        <v>0</v>
      </c>
      <c r="I227" s="5">
        <v>0</v>
      </c>
      <c r="J227" s="9">
        <v>0</v>
      </c>
      <c r="K227" s="8">
        <v>0</v>
      </c>
      <c r="L227" s="5">
        <v>0</v>
      </c>
      <c r="M227" s="5">
        <v>0</v>
      </c>
      <c r="N227" s="9">
        <v>0</v>
      </c>
      <c r="O227" s="8">
        <v>1</v>
      </c>
      <c r="P227" s="5">
        <v>9</v>
      </c>
      <c r="Q227" s="5">
        <v>0</v>
      </c>
      <c r="R227" s="9">
        <v>0</v>
      </c>
      <c r="S227" s="8">
        <v>0</v>
      </c>
      <c r="T227" s="9">
        <v>0</v>
      </c>
    </row>
    <row r="228" spans="1:20" x14ac:dyDescent="0.2">
      <c r="A228" s="5" t="s">
        <v>261</v>
      </c>
      <c r="B228" s="5" t="s">
        <v>162</v>
      </c>
      <c r="C228" s="8" t="s">
        <v>24</v>
      </c>
      <c r="D228" s="7">
        <f t="shared" si="0"/>
        <v>1.6</v>
      </c>
      <c r="E228" s="8">
        <v>0</v>
      </c>
      <c r="F228" s="5">
        <v>0</v>
      </c>
      <c r="G228" s="5">
        <v>0</v>
      </c>
      <c r="H228" s="5">
        <v>0</v>
      </c>
      <c r="I228" s="5">
        <v>0</v>
      </c>
      <c r="J228" s="9">
        <v>0</v>
      </c>
      <c r="K228" s="8">
        <v>0</v>
      </c>
      <c r="L228" s="5">
        <v>0</v>
      </c>
      <c r="M228" s="5">
        <v>0</v>
      </c>
      <c r="N228" s="9">
        <v>0</v>
      </c>
      <c r="O228" s="8">
        <v>1</v>
      </c>
      <c r="P228" s="5">
        <v>6</v>
      </c>
      <c r="Q228" s="5">
        <v>0</v>
      </c>
      <c r="R228" s="9">
        <v>0</v>
      </c>
      <c r="S228" s="8">
        <v>0</v>
      </c>
      <c r="T228" s="9">
        <v>0</v>
      </c>
    </row>
    <row r="229" spans="1:20" x14ac:dyDescent="0.2">
      <c r="A229" s="5" t="s">
        <v>262</v>
      </c>
      <c r="B229" s="5" t="s">
        <v>162</v>
      </c>
      <c r="C229" s="6" t="s">
        <v>24</v>
      </c>
      <c r="D229" s="7">
        <f t="shared" si="0"/>
        <v>0.79999999999999982</v>
      </c>
      <c r="E229" s="8">
        <v>0</v>
      </c>
      <c r="F229" s="5">
        <v>0</v>
      </c>
      <c r="G229" s="5">
        <v>0</v>
      </c>
      <c r="H229" s="5">
        <v>0</v>
      </c>
      <c r="I229" s="5">
        <v>0</v>
      </c>
      <c r="J229" s="9">
        <v>0</v>
      </c>
      <c r="K229" s="8">
        <v>0</v>
      </c>
      <c r="L229" s="5">
        <v>0</v>
      </c>
      <c r="M229" s="5">
        <v>0</v>
      </c>
      <c r="N229" s="9">
        <v>0</v>
      </c>
      <c r="O229" s="8">
        <v>2</v>
      </c>
      <c r="P229" s="5">
        <v>8</v>
      </c>
      <c r="Q229" s="5">
        <v>0</v>
      </c>
      <c r="R229" s="9">
        <v>0</v>
      </c>
      <c r="S229" s="8">
        <v>1</v>
      </c>
      <c r="T229" s="9">
        <v>0</v>
      </c>
    </row>
    <row r="230" spans="1:20" x14ac:dyDescent="0.2">
      <c r="A230" s="5" t="s">
        <v>263</v>
      </c>
      <c r="B230" s="5" t="s">
        <v>162</v>
      </c>
      <c r="C230" s="6" t="s">
        <v>27</v>
      </c>
      <c r="D230" s="7">
        <f t="shared" si="0"/>
        <v>1.9</v>
      </c>
      <c r="E230" s="8">
        <v>0</v>
      </c>
      <c r="F230" s="5">
        <v>0</v>
      </c>
      <c r="G230" s="5">
        <v>0</v>
      </c>
      <c r="H230" s="5">
        <v>0</v>
      </c>
      <c r="I230" s="5">
        <v>0</v>
      </c>
      <c r="J230" s="9">
        <v>0</v>
      </c>
      <c r="K230" s="8">
        <v>0</v>
      </c>
      <c r="L230" s="5">
        <v>0</v>
      </c>
      <c r="M230" s="5">
        <v>0</v>
      </c>
      <c r="N230" s="9">
        <v>0</v>
      </c>
      <c r="O230" s="8">
        <v>1</v>
      </c>
      <c r="P230" s="5">
        <v>9</v>
      </c>
      <c r="Q230" s="5">
        <v>0</v>
      </c>
      <c r="R230" s="9">
        <v>0</v>
      </c>
      <c r="S230" s="8">
        <v>0</v>
      </c>
      <c r="T230" s="9">
        <v>0</v>
      </c>
    </row>
    <row r="231" spans="1:20" x14ac:dyDescent="0.2">
      <c r="A231" s="5" t="s">
        <v>264</v>
      </c>
      <c r="B231" s="5" t="s">
        <v>162</v>
      </c>
      <c r="C231" s="8" t="s">
        <v>18</v>
      </c>
      <c r="D231" s="7">
        <f t="shared" si="0"/>
        <v>1.4</v>
      </c>
      <c r="E231" s="8">
        <v>0</v>
      </c>
      <c r="F231" s="5">
        <v>0</v>
      </c>
      <c r="G231" s="5">
        <v>0</v>
      </c>
      <c r="H231" s="5">
        <v>0</v>
      </c>
      <c r="I231" s="5">
        <v>0</v>
      </c>
      <c r="J231" s="9">
        <v>0</v>
      </c>
      <c r="K231" s="8">
        <v>0</v>
      </c>
      <c r="L231" s="5">
        <v>0</v>
      </c>
      <c r="M231" s="5">
        <v>0</v>
      </c>
      <c r="N231" s="9">
        <v>0</v>
      </c>
      <c r="O231" s="8">
        <v>1</v>
      </c>
      <c r="P231" s="5">
        <v>4</v>
      </c>
      <c r="Q231" s="5">
        <v>0</v>
      </c>
      <c r="R231" s="9">
        <v>0</v>
      </c>
      <c r="S231" s="8">
        <v>0</v>
      </c>
      <c r="T231" s="9">
        <v>0</v>
      </c>
    </row>
    <row r="232" spans="1:20" x14ac:dyDescent="0.2">
      <c r="A232" s="5" t="s">
        <v>265</v>
      </c>
      <c r="B232" s="5" t="s">
        <v>162</v>
      </c>
      <c r="C232" s="8" t="s">
        <v>27</v>
      </c>
      <c r="D232" s="7">
        <f t="shared" si="0"/>
        <v>1.5</v>
      </c>
      <c r="E232" s="8">
        <v>0</v>
      </c>
      <c r="F232" s="5">
        <v>0</v>
      </c>
      <c r="G232" s="5">
        <v>0</v>
      </c>
      <c r="H232" s="5">
        <v>0</v>
      </c>
      <c r="I232" s="5">
        <v>0</v>
      </c>
      <c r="J232" s="9">
        <v>0</v>
      </c>
      <c r="K232" s="8">
        <v>0</v>
      </c>
      <c r="L232" s="5">
        <v>0</v>
      </c>
      <c r="M232" s="5">
        <v>0</v>
      </c>
      <c r="N232" s="9">
        <v>0</v>
      </c>
      <c r="O232" s="8">
        <v>1</v>
      </c>
      <c r="P232" s="5">
        <v>5</v>
      </c>
      <c r="Q232" s="5">
        <v>0</v>
      </c>
      <c r="R232" s="9">
        <v>0</v>
      </c>
      <c r="S232" s="8">
        <v>0</v>
      </c>
      <c r="T232" s="9">
        <v>0</v>
      </c>
    </row>
    <row r="233" spans="1:20" x14ac:dyDescent="0.2">
      <c r="A233" s="5" t="s">
        <v>266</v>
      </c>
      <c r="B233" s="5" t="s">
        <v>162</v>
      </c>
      <c r="C233" s="8" t="s">
        <v>24</v>
      </c>
      <c r="D233" s="7">
        <f t="shared" si="0"/>
        <v>1.6</v>
      </c>
      <c r="E233" s="8">
        <v>0</v>
      </c>
      <c r="F233" s="5">
        <v>0</v>
      </c>
      <c r="G233" s="5">
        <v>0</v>
      </c>
      <c r="H233" s="5">
        <v>0</v>
      </c>
      <c r="I233" s="5">
        <v>0</v>
      </c>
      <c r="J233" s="9">
        <v>0</v>
      </c>
      <c r="K233" s="8">
        <v>0</v>
      </c>
      <c r="L233" s="5">
        <v>0</v>
      </c>
      <c r="M233" s="5">
        <v>0</v>
      </c>
      <c r="N233" s="9">
        <v>0</v>
      </c>
      <c r="O233" s="8">
        <v>1</v>
      </c>
      <c r="P233" s="5">
        <v>6</v>
      </c>
      <c r="Q233" s="5">
        <v>0</v>
      </c>
      <c r="R233" s="9">
        <v>0</v>
      </c>
      <c r="S233" s="8">
        <v>0</v>
      </c>
      <c r="T233" s="9">
        <v>0</v>
      </c>
    </row>
    <row r="234" spans="1:20" x14ac:dyDescent="0.2">
      <c r="A234" s="5" t="s">
        <v>267</v>
      </c>
      <c r="B234" s="5" t="s">
        <v>162</v>
      </c>
      <c r="C234" s="8" t="s">
        <v>24</v>
      </c>
      <c r="D234" s="7">
        <f t="shared" si="0"/>
        <v>1</v>
      </c>
      <c r="E234" s="8">
        <v>0</v>
      </c>
      <c r="F234" s="5">
        <v>0</v>
      </c>
      <c r="G234" s="5">
        <v>0</v>
      </c>
      <c r="H234" s="5">
        <v>0</v>
      </c>
      <c r="I234" s="5">
        <v>0</v>
      </c>
      <c r="J234" s="9">
        <v>0</v>
      </c>
      <c r="K234" s="8">
        <v>1</v>
      </c>
      <c r="L234" s="5">
        <v>-1</v>
      </c>
      <c r="M234" s="5">
        <v>0</v>
      </c>
      <c r="N234" s="9">
        <v>0</v>
      </c>
      <c r="O234" s="8">
        <v>1</v>
      </c>
      <c r="P234" s="5">
        <v>1</v>
      </c>
      <c r="Q234" s="5">
        <v>0</v>
      </c>
      <c r="R234" s="9">
        <v>0</v>
      </c>
      <c r="S234" s="8">
        <v>0</v>
      </c>
      <c r="T234" s="9">
        <v>0</v>
      </c>
    </row>
    <row r="235" spans="1:20" x14ac:dyDescent="0.2">
      <c r="A235" s="5" t="s">
        <v>268</v>
      </c>
      <c r="B235" s="5" t="s">
        <v>162</v>
      </c>
      <c r="C235" s="6" t="s">
        <v>27</v>
      </c>
      <c r="D235" s="7">
        <f t="shared" si="0"/>
        <v>-0.2</v>
      </c>
      <c r="E235" s="8">
        <v>0</v>
      </c>
      <c r="F235" s="5">
        <v>0</v>
      </c>
      <c r="G235" s="5">
        <v>0</v>
      </c>
      <c r="H235" s="5">
        <v>0</v>
      </c>
      <c r="I235" s="5">
        <v>0</v>
      </c>
      <c r="J235" s="9">
        <v>0</v>
      </c>
      <c r="K235" s="8">
        <v>2</v>
      </c>
      <c r="L235" s="5">
        <v>-2</v>
      </c>
      <c r="M235" s="5">
        <v>0</v>
      </c>
      <c r="N235" s="9">
        <v>0</v>
      </c>
      <c r="O235" s="8">
        <v>0</v>
      </c>
      <c r="P235" s="5">
        <v>0</v>
      </c>
      <c r="Q235" s="5">
        <v>0</v>
      </c>
      <c r="R235" s="9">
        <v>0</v>
      </c>
      <c r="S235" s="8">
        <v>0</v>
      </c>
      <c r="T235" s="9">
        <v>0</v>
      </c>
    </row>
    <row r="236" spans="1:20" x14ac:dyDescent="0.2">
      <c r="A236" s="5" t="s">
        <v>269</v>
      </c>
      <c r="B236" s="5" t="s">
        <v>162</v>
      </c>
      <c r="C236" s="6" t="s">
        <v>31</v>
      </c>
      <c r="D236" s="7">
        <f t="shared" si="0"/>
        <v>0</v>
      </c>
      <c r="E236" s="8">
        <v>0</v>
      </c>
      <c r="F236" s="5">
        <v>0</v>
      </c>
      <c r="G236" s="5">
        <v>0</v>
      </c>
      <c r="H236" s="5">
        <v>0</v>
      </c>
      <c r="I236" s="5">
        <v>0</v>
      </c>
      <c r="J236" s="9">
        <v>0</v>
      </c>
      <c r="K236" s="8">
        <v>1</v>
      </c>
      <c r="L236" s="5">
        <v>0</v>
      </c>
      <c r="M236" s="5">
        <v>0</v>
      </c>
      <c r="N236" s="9">
        <v>0</v>
      </c>
      <c r="O236" s="8">
        <v>0</v>
      </c>
      <c r="P236" s="5">
        <v>0</v>
      </c>
      <c r="Q236" s="5">
        <v>0</v>
      </c>
      <c r="R236" s="9">
        <v>0</v>
      </c>
      <c r="S236" s="8">
        <v>0</v>
      </c>
      <c r="T236" s="9">
        <v>0</v>
      </c>
    </row>
    <row r="237" spans="1:20" x14ac:dyDescent="0.2">
      <c r="A237" s="5" t="s">
        <v>270</v>
      </c>
      <c r="B237" s="5" t="s">
        <v>162</v>
      </c>
      <c r="C237" s="8" t="s">
        <v>24</v>
      </c>
      <c r="D237" s="7">
        <f t="shared" si="0"/>
        <v>0.4</v>
      </c>
      <c r="E237" s="8">
        <v>0</v>
      </c>
      <c r="F237" s="5">
        <v>0</v>
      </c>
      <c r="G237" s="5">
        <v>0</v>
      </c>
      <c r="H237" s="5">
        <v>0</v>
      </c>
      <c r="I237" s="5">
        <v>0</v>
      </c>
      <c r="J237" s="9">
        <v>0</v>
      </c>
      <c r="K237" s="8">
        <v>1</v>
      </c>
      <c r="L237" s="5">
        <v>4</v>
      </c>
      <c r="M237" s="5">
        <v>0</v>
      </c>
      <c r="N237" s="9">
        <v>0</v>
      </c>
      <c r="O237" s="8">
        <v>0</v>
      </c>
      <c r="P237" s="5">
        <v>0</v>
      </c>
      <c r="Q237" s="5">
        <v>0</v>
      </c>
      <c r="R237" s="9">
        <v>0</v>
      </c>
      <c r="S237" s="8">
        <v>0</v>
      </c>
      <c r="T237" s="9">
        <v>0</v>
      </c>
    </row>
    <row r="238" spans="1:20" x14ac:dyDescent="0.2">
      <c r="A238" s="5" t="s">
        <v>271</v>
      </c>
      <c r="B238" s="5" t="s">
        <v>69</v>
      </c>
      <c r="C238" s="8" t="s">
        <v>20</v>
      </c>
      <c r="D238" s="7">
        <f t="shared" si="0"/>
        <v>16.600000000000001</v>
      </c>
      <c r="E238" s="8">
        <v>0</v>
      </c>
      <c r="F238" s="5">
        <v>0</v>
      </c>
      <c r="G238" s="5">
        <v>0</v>
      </c>
      <c r="H238" s="5">
        <v>0</v>
      </c>
      <c r="I238" s="5">
        <v>0</v>
      </c>
      <c r="J238" s="9">
        <v>0</v>
      </c>
      <c r="K238" s="8">
        <v>0</v>
      </c>
      <c r="L238" s="5">
        <v>0</v>
      </c>
      <c r="M238" s="5">
        <v>0</v>
      </c>
      <c r="N238" s="9">
        <v>0</v>
      </c>
      <c r="O238" s="8">
        <v>5</v>
      </c>
      <c r="P238" s="5">
        <v>56</v>
      </c>
      <c r="Q238" s="5">
        <v>1</v>
      </c>
      <c r="R238" s="9">
        <v>0</v>
      </c>
      <c r="S238" s="8">
        <v>0</v>
      </c>
      <c r="T238" s="9">
        <v>0</v>
      </c>
    </row>
    <row r="239" spans="1:20" x14ac:dyDescent="0.2">
      <c r="A239" s="5" t="s">
        <v>272</v>
      </c>
      <c r="B239" s="5" t="s">
        <v>69</v>
      </c>
      <c r="C239" s="6" t="s">
        <v>52</v>
      </c>
      <c r="D239" s="7">
        <f t="shared" si="0"/>
        <v>15.100000000000001</v>
      </c>
      <c r="E239" s="8">
        <v>0</v>
      </c>
      <c r="F239" s="5">
        <v>0</v>
      </c>
      <c r="G239" s="5">
        <v>0</v>
      </c>
      <c r="H239" s="5">
        <v>0</v>
      </c>
      <c r="I239" s="5">
        <v>0</v>
      </c>
      <c r="J239" s="9">
        <v>0</v>
      </c>
      <c r="K239" s="8">
        <v>0</v>
      </c>
      <c r="L239" s="5">
        <v>0</v>
      </c>
      <c r="M239" s="5">
        <v>0</v>
      </c>
      <c r="N239" s="9">
        <v>0</v>
      </c>
      <c r="O239" s="8">
        <v>5</v>
      </c>
      <c r="P239" s="5">
        <v>41</v>
      </c>
      <c r="Q239" s="5">
        <v>1</v>
      </c>
      <c r="R239" s="9">
        <v>0</v>
      </c>
      <c r="S239" s="8">
        <v>0</v>
      </c>
      <c r="T239" s="9">
        <v>0</v>
      </c>
    </row>
    <row r="240" spans="1:20" x14ac:dyDescent="0.2">
      <c r="A240" s="5" t="s">
        <v>273</v>
      </c>
      <c r="B240" s="5" t="s">
        <v>69</v>
      </c>
      <c r="C240" s="8" t="s">
        <v>31</v>
      </c>
      <c r="D240" s="7">
        <f t="shared" si="0"/>
        <v>11.5</v>
      </c>
      <c r="E240" s="8">
        <v>0</v>
      </c>
      <c r="F240" s="5">
        <v>0</v>
      </c>
      <c r="G240" s="5">
        <v>0</v>
      </c>
      <c r="H240" s="5">
        <v>0</v>
      </c>
      <c r="I240" s="5">
        <v>0</v>
      </c>
      <c r="J240" s="9">
        <v>0</v>
      </c>
      <c r="K240" s="8">
        <v>0</v>
      </c>
      <c r="L240" s="5">
        <v>0</v>
      </c>
      <c r="M240" s="5">
        <v>0</v>
      </c>
      <c r="N240" s="9">
        <v>0</v>
      </c>
      <c r="O240" s="8">
        <v>8</v>
      </c>
      <c r="P240" s="5">
        <v>35</v>
      </c>
      <c r="Q240" s="5">
        <v>0</v>
      </c>
      <c r="R240" s="9">
        <v>0</v>
      </c>
      <c r="S240" s="8">
        <v>0</v>
      </c>
      <c r="T240" s="9">
        <v>0</v>
      </c>
    </row>
    <row r="241" spans="1:20" x14ac:dyDescent="0.2">
      <c r="A241" s="5" t="s">
        <v>274</v>
      </c>
      <c r="B241" s="5" t="s">
        <v>69</v>
      </c>
      <c r="C241" s="8" t="s">
        <v>18</v>
      </c>
      <c r="D241" s="7">
        <f t="shared" si="0"/>
        <v>11.2</v>
      </c>
      <c r="E241" s="8">
        <v>0</v>
      </c>
      <c r="F241" s="5">
        <v>0</v>
      </c>
      <c r="G241" s="5">
        <v>0</v>
      </c>
      <c r="H241" s="5">
        <v>0</v>
      </c>
      <c r="I241" s="5">
        <v>0</v>
      </c>
      <c r="J241" s="9">
        <v>0</v>
      </c>
      <c r="K241" s="8">
        <v>0</v>
      </c>
      <c r="L241" s="5">
        <v>0</v>
      </c>
      <c r="M241" s="5">
        <v>0</v>
      </c>
      <c r="N241" s="9">
        <v>0</v>
      </c>
      <c r="O241" s="8">
        <v>3</v>
      </c>
      <c r="P241" s="5">
        <v>22</v>
      </c>
      <c r="Q241" s="5">
        <v>1</v>
      </c>
      <c r="R241" s="9">
        <v>0</v>
      </c>
      <c r="S241" s="8">
        <v>0</v>
      </c>
      <c r="T241" s="9">
        <v>0</v>
      </c>
    </row>
    <row r="242" spans="1:20" x14ac:dyDescent="0.2">
      <c r="A242" s="5" t="s">
        <v>275</v>
      </c>
      <c r="B242" s="5" t="s">
        <v>69</v>
      </c>
      <c r="C242" s="8" t="s">
        <v>24</v>
      </c>
      <c r="D242" s="7">
        <f t="shared" si="0"/>
        <v>9.1999999999999993</v>
      </c>
      <c r="E242" s="8">
        <v>0</v>
      </c>
      <c r="F242" s="5">
        <v>0</v>
      </c>
      <c r="G242" s="5">
        <v>0</v>
      </c>
      <c r="H242" s="5">
        <v>0</v>
      </c>
      <c r="I242" s="5">
        <v>0</v>
      </c>
      <c r="J242" s="9">
        <v>0</v>
      </c>
      <c r="K242" s="8">
        <v>0</v>
      </c>
      <c r="L242" s="5">
        <v>0</v>
      </c>
      <c r="M242" s="5">
        <v>0</v>
      </c>
      <c r="N242" s="9">
        <v>0</v>
      </c>
      <c r="O242" s="8">
        <v>2</v>
      </c>
      <c r="P242" s="5">
        <v>12</v>
      </c>
      <c r="Q242" s="5">
        <v>1</v>
      </c>
      <c r="R242" s="9">
        <v>0</v>
      </c>
      <c r="S242" s="8">
        <v>0</v>
      </c>
      <c r="T242" s="9">
        <v>0</v>
      </c>
    </row>
    <row r="243" spans="1:20" x14ac:dyDescent="0.2">
      <c r="A243" s="5" t="s">
        <v>276</v>
      </c>
      <c r="B243" s="5" t="s">
        <v>69</v>
      </c>
      <c r="C243" s="6" t="s">
        <v>27</v>
      </c>
      <c r="D243" s="7">
        <f t="shared" si="0"/>
        <v>9.9</v>
      </c>
      <c r="E243" s="8">
        <v>0</v>
      </c>
      <c r="F243" s="5">
        <v>0</v>
      </c>
      <c r="G243" s="5">
        <v>0</v>
      </c>
      <c r="H243" s="5">
        <v>0</v>
      </c>
      <c r="I243" s="5">
        <v>0</v>
      </c>
      <c r="J243" s="9">
        <v>0</v>
      </c>
      <c r="K243" s="8">
        <v>0</v>
      </c>
      <c r="L243" s="5">
        <v>0</v>
      </c>
      <c r="M243" s="5">
        <v>0</v>
      </c>
      <c r="N243" s="9">
        <v>0</v>
      </c>
      <c r="O243" s="8">
        <v>5</v>
      </c>
      <c r="P243" s="5">
        <v>49</v>
      </c>
      <c r="Q243" s="5">
        <v>0</v>
      </c>
      <c r="R243" s="9">
        <v>0</v>
      </c>
      <c r="S243" s="8">
        <v>0</v>
      </c>
      <c r="T243" s="9">
        <v>0</v>
      </c>
    </row>
    <row r="244" spans="1:20" x14ac:dyDescent="0.2">
      <c r="A244" s="5" t="s">
        <v>277</v>
      </c>
      <c r="B244" s="5" t="s">
        <v>69</v>
      </c>
      <c r="C244" s="8" t="s">
        <v>22</v>
      </c>
      <c r="D244" s="7">
        <f t="shared" si="0"/>
        <v>9.4</v>
      </c>
      <c r="E244" s="8">
        <v>0</v>
      </c>
      <c r="F244" s="5">
        <v>0</v>
      </c>
      <c r="G244" s="5">
        <v>0</v>
      </c>
      <c r="H244" s="5">
        <v>0</v>
      </c>
      <c r="I244" s="5">
        <v>0</v>
      </c>
      <c r="J244" s="9">
        <v>0</v>
      </c>
      <c r="K244" s="8">
        <v>1</v>
      </c>
      <c r="L244" s="5">
        <v>0</v>
      </c>
      <c r="M244" s="5">
        <v>0</v>
      </c>
      <c r="N244" s="9">
        <v>0</v>
      </c>
      <c r="O244" s="8">
        <v>5</v>
      </c>
      <c r="P244" s="5">
        <v>44</v>
      </c>
      <c r="Q244" s="5">
        <v>0</v>
      </c>
      <c r="R244" s="9">
        <v>0</v>
      </c>
      <c r="S244" s="8">
        <v>0</v>
      </c>
      <c r="T244" s="9">
        <v>0</v>
      </c>
    </row>
    <row r="245" spans="1:20" x14ac:dyDescent="0.2">
      <c r="A245" s="5" t="s">
        <v>278</v>
      </c>
      <c r="B245" s="5" t="s">
        <v>69</v>
      </c>
      <c r="C245" s="8" t="s">
        <v>29</v>
      </c>
      <c r="D245" s="7">
        <f t="shared" si="0"/>
        <v>8.5</v>
      </c>
      <c r="E245" s="8">
        <v>0</v>
      </c>
      <c r="F245" s="5">
        <v>0</v>
      </c>
      <c r="G245" s="5">
        <v>0</v>
      </c>
      <c r="H245" s="5">
        <v>0</v>
      </c>
      <c r="I245" s="5">
        <v>0</v>
      </c>
      <c r="J245" s="9">
        <v>0</v>
      </c>
      <c r="K245" s="8">
        <v>0</v>
      </c>
      <c r="L245" s="5">
        <v>0</v>
      </c>
      <c r="M245" s="5">
        <v>0</v>
      </c>
      <c r="N245" s="9">
        <v>0</v>
      </c>
      <c r="O245" s="8">
        <v>2</v>
      </c>
      <c r="P245" s="5">
        <v>5</v>
      </c>
      <c r="Q245" s="5">
        <v>1</v>
      </c>
      <c r="R245" s="9">
        <v>0</v>
      </c>
      <c r="S245" s="8">
        <v>0</v>
      </c>
      <c r="T245" s="9">
        <v>0</v>
      </c>
    </row>
    <row r="246" spans="1:20" x14ac:dyDescent="0.2">
      <c r="A246" s="5" t="s">
        <v>279</v>
      </c>
      <c r="B246" s="5" t="s">
        <v>69</v>
      </c>
      <c r="C246" s="6" t="s">
        <v>40</v>
      </c>
      <c r="D246" s="7">
        <f t="shared" si="0"/>
        <v>8.1</v>
      </c>
      <c r="E246" s="8">
        <v>0</v>
      </c>
      <c r="F246" s="5">
        <v>0</v>
      </c>
      <c r="G246" s="5">
        <v>0</v>
      </c>
      <c r="H246" s="5">
        <v>0</v>
      </c>
      <c r="I246" s="5">
        <v>0</v>
      </c>
      <c r="J246" s="9">
        <v>0</v>
      </c>
      <c r="K246" s="8">
        <v>0</v>
      </c>
      <c r="L246" s="5">
        <v>0</v>
      </c>
      <c r="M246" s="5">
        <v>0</v>
      </c>
      <c r="N246" s="9">
        <v>0</v>
      </c>
      <c r="O246" s="8">
        <v>6</v>
      </c>
      <c r="P246" s="5">
        <v>21</v>
      </c>
      <c r="Q246" s="5">
        <v>0</v>
      </c>
      <c r="R246" s="9">
        <v>0</v>
      </c>
      <c r="S246" s="8">
        <v>0</v>
      </c>
      <c r="T246" s="9">
        <v>0</v>
      </c>
    </row>
    <row r="247" spans="1:20" x14ac:dyDescent="0.2">
      <c r="A247" s="5" t="s">
        <v>280</v>
      </c>
      <c r="B247" s="5" t="s">
        <v>69</v>
      </c>
      <c r="C247" s="6" t="s">
        <v>24</v>
      </c>
      <c r="D247" s="7">
        <f t="shared" si="0"/>
        <v>8.9</v>
      </c>
      <c r="E247" s="8">
        <v>0</v>
      </c>
      <c r="F247" s="5">
        <v>0</v>
      </c>
      <c r="G247" s="5">
        <v>0</v>
      </c>
      <c r="H247" s="5">
        <v>0</v>
      </c>
      <c r="I247" s="5">
        <v>0</v>
      </c>
      <c r="J247" s="9">
        <v>0</v>
      </c>
      <c r="K247" s="8">
        <v>0</v>
      </c>
      <c r="L247" s="5">
        <v>0</v>
      </c>
      <c r="M247" s="5">
        <v>0</v>
      </c>
      <c r="N247" s="9">
        <v>0</v>
      </c>
      <c r="O247" s="8">
        <v>5</v>
      </c>
      <c r="P247" s="5">
        <v>39</v>
      </c>
      <c r="Q247" s="5">
        <v>0</v>
      </c>
      <c r="R247" s="9">
        <v>0</v>
      </c>
      <c r="S247" s="8">
        <v>0</v>
      </c>
      <c r="T247" s="9">
        <v>0</v>
      </c>
    </row>
    <row r="248" spans="1:20" x14ac:dyDescent="0.2">
      <c r="A248" s="5" t="s">
        <v>281</v>
      </c>
      <c r="B248" s="5" t="s">
        <v>69</v>
      </c>
      <c r="C248" s="6" t="s">
        <v>22</v>
      </c>
      <c r="D248" s="7">
        <f t="shared" si="0"/>
        <v>8</v>
      </c>
      <c r="E248" s="8">
        <v>0</v>
      </c>
      <c r="F248" s="5">
        <v>0</v>
      </c>
      <c r="G248" s="5">
        <v>0</v>
      </c>
      <c r="H248" s="5">
        <v>0</v>
      </c>
      <c r="I248" s="5">
        <v>0</v>
      </c>
      <c r="J248" s="9">
        <v>0</v>
      </c>
      <c r="K248" s="8">
        <v>0</v>
      </c>
      <c r="L248" s="5">
        <v>0</v>
      </c>
      <c r="M248" s="5">
        <v>0</v>
      </c>
      <c r="N248" s="9">
        <v>0</v>
      </c>
      <c r="O248" s="8">
        <v>3</v>
      </c>
      <c r="P248" s="5">
        <v>50</v>
      </c>
      <c r="Q248" s="5">
        <v>0</v>
      </c>
      <c r="R248" s="9">
        <v>0</v>
      </c>
      <c r="S248" s="8">
        <v>0</v>
      </c>
      <c r="T248" s="9">
        <v>0</v>
      </c>
    </row>
    <row r="249" spans="1:20" x14ac:dyDescent="0.2">
      <c r="A249" s="5" t="s">
        <v>282</v>
      </c>
      <c r="B249" s="5" t="s">
        <v>69</v>
      </c>
      <c r="C249" s="8" t="s">
        <v>40</v>
      </c>
      <c r="D249" s="7">
        <f t="shared" si="0"/>
        <v>8.3000000000000007</v>
      </c>
      <c r="E249" s="8">
        <v>0</v>
      </c>
      <c r="F249" s="5">
        <v>0</v>
      </c>
      <c r="G249" s="5">
        <v>0</v>
      </c>
      <c r="H249" s="5">
        <v>0</v>
      </c>
      <c r="I249" s="5">
        <v>0</v>
      </c>
      <c r="J249" s="9">
        <v>0</v>
      </c>
      <c r="K249" s="8">
        <v>0</v>
      </c>
      <c r="L249" s="5">
        <v>0</v>
      </c>
      <c r="M249" s="5">
        <v>0</v>
      </c>
      <c r="N249" s="9">
        <v>0</v>
      </c>
      <c r="O249" s="8">
        <v>4</v>
      </c>
      <c r="P249" s="5">
        <v>43</v>
      </c>
      <c r="Q249" s="5">
        <v>0</v>
      </c>
      <c r="R249" s="9">
        <v>0</v>
      </c>
      <c r="S249" s="8">
        <v>0</v>
      </c>
      <c r="T249" s="9">
        <v>0</v>
      </c>
    </row>
    <row r="250" spans="1:20" x14ac:dyDescent="0.2">
      <c r="A250" s="5" t="s">
        <v>283</v>
      </c>
      <c r="B250" s="5" t="s">
        <v>69</v>
      </c>
      <c r="C250" s="8" t="s">
        <v>36</v>
      </c>
      <c r="D250" s="7">
        <f t="shared" si="0"/>
        <v>8.4</v>
      </c>
      <c r="E250" s="8">
        <v>0</v>
      </c>
      <c r="F250" s="5">
        <v>0</v>
      </c>
      <c r="G250" s="5">
        <v>0</v>
      </c>
      <c r="H250" s="5">
        <v>0</v>
      </c>
      <c r="I250" s="5">
        <v>0</v>
      </c>
      <c r="J250" s="9">
        <v>0</v>
      </c>
      <c r="K250" s="8">
        <v>0</v>
      </c>
      <c r="L250" s="5">
        <v>0</v>
      </c>
      <c r="M250" s="5">
        <v>0</v>
      </c>
      <c r="N250" s="9">
        <v>0</v>
      </c>
      <c r="O250" s="8">
        <v>5</v>
      </c>
      <c r="P250" s="5">
        <v>34</v>
      </c>
      <c r="Q250" s="5">
        <v>0</v>
      </c>
      <c r="R250" s="9">
        <v>0</v>
      </c>
      <c r="S250" s="8">
        <v>0</v>
      </c>
      <c r="T250" s="9">
        <v>0</v>
      </c>
    </row>
    <row r="251" spans="1:20" x14ac:dyDescent="0.2">
      <c r="A251" s="5" t="s">
        <v>284</v>
      </c>
      <c r="B251" s="5" t="s">
        <v>69</v>
      </c>
      <c r="C251" s="8" t="s">
        <v>34</v>
      </c>
      <c r="D251" s="7">
        <f t="shared" si="0"/>
        <v>7.3</v>
      </c>
      <c r="E251" s="8">
        <v>0</v>
      </c>
      <c r="F251" s="5">
        <v>0</v>
      </c>
      <c r="G251" s="5">
        <v>0</v>
      </c>
      <c r="H251" s="5">
        <v>0</v>
      </c>
      <c r="I251" s="5">
        <v>0</v>
      </c>
      <c r="J251" s="9">
        <v>0</v>
      </c>
      <c r="K251" s="8">
        <v>0</v>
      </c>
      <c r="L251" s="5">
        <v>0</v>
      </c>
      <c r="M251" s="5">
        <v>0</v>
      </c>
      <c r="N251" s="9">
        <v>0</v>
      </c>
      <c r="O251" s="8">
        <v>1</v>
      </c>
      <c r="P251" s="5">
        <v>3</v>
      </c>
      <c r="Q251" s="5">
        <v>1</v>
      </c>
      <c r="R251" s="9">
        <v>0</v>
      </c>
      <c r="S251" s="8">
        <v>0</v>
      </c>
      <c r="T251" s="9">
        <v>0</v>
      </c>
    </row>
    <row r="252" spans="1:20" x14ac:dyDescent="0.2">
      <c r="A252" s="5" t="s">
        <v>285</v>
      </c>
      <c r="B252" s="5" t="s">
        <v>69</v>
      </c>
      <c r="C252" s="8" t="s">
        <v>27</v>
      </c>
      <c r="D252" s="7">
        <f t="shared" si="0"/>
        <v>7.9</v>
      </c>
      <c r="E252" s="8">
        <v>0</v>
      </c>
      <c r="F252" s="5">
        <v>0</v>
      </c>
      <c r="G252" s="5">
        <v>0</v>
      </c>
      <c r="H252" s="5">
        <v>0</v>
      </c>
      <c r="I252" s="5">
        <v>0</v>
      </c>
      <c r="J252" s="9">
        <v>0</v>
      </c>
      <c r="K252" s="8">
        <v>0</v>
      </c>
      <c r="L252" s="5">
        <v>0</v>
      </c>
      <c r="M252" s="5">
        <v>0</v>
      </c>
      <c r="N252" s="9">
        <v>0</v>
      </c>
      <c r="O252" s="8">
        <v>4</v>
      </c>
      <c r="P252" s="5">
        <v>39</v>
      </c>
      <c r="Q252" s="5">
        <v>0</v>
      </c>
      <c r="R252" s="9">
        <v>0</v>
      </c>
      <c r="S252" s="8">
        <v>0</v>
      </c>
      <c r="T252" s="9">
        <v>0</v>
      </c>
    </row>
    <row r="253" spans="1:20" x14ac:dyDescent="0.2">
      <c r="A253" s="5" t="s">
        <v>286</v>
      </c>
      <c r="B253" s="5" t="s">
        <v>69</v>
      </c>
      <c r="C253" s="6" t="s">
        <v>47</v>
      </c>
      <c r="D253" s="7">
        <f t="shared" si="0"/>
        <v>7.9</v>
      </c>
      <c r="E253" s="8">
        <v>0</v>
      </c>
      <c r="F253" s="5">
        <v>0</v>
      </c>
      <c r="G253" s="5">
        <v>0</v>
      </c>
      <c r="H253" s="5">
        <v>0</v>
      </c>
      <c r="I253" s="5">
        <v>0</v>
      </c>
      <c r="J253" s="9">
        <v>0</v>
      </c>
      <c r="K253" s="8">
        <v>0</v>
      </c>
      <c r="L253" s="5">
        <v>0</v>
      </c>
      <c r="M253" s="5">
        <v>0</v>
      </c>
      <c r="N253" s="9">
        <v>0</v>
      </c>
      <c r="O253" s="8">
        <v>3</v>
      </c>
      <c r="P253" s="5">
        <v>49</v>
      </c>
      <c r="Q253" s="5">
        <v>0</v>
      </c>
      <c r="R253" s="9">
        <v>0</v>
      </c>
      <c r="S253" s="8">
        <v>0</v>
      </c>
      <c r="T253" s="9">
        <v>0</v>
      </c>
    </row>
    <row r="254" spans="1:20" x14ac:dyDescent="0.2">
      <c r="A254" s="5" t="s">
        <v>287</v>
      </c>
      <c r="B254" s="5" t="s">
        <v>69</v>
      </c>
      <c r="C254" s="6" t="s">
        <v>18</v>
      </c>
      <c r="D254" s="7">
        <f t="shared" si="0"/>
        <v>7.4</v>
      </c>
      <c r="E254" s="8">
        <v>0</v>
      </c>
      <c r="F254" s="5">
        <v>0</v>
      </c>
      <c r="G254" s="5">
        <v>0</v>
      </c>
      <c r="H254" s="5">
        <v>0</v>
      </c>
      <c r="I254" s="5">
        <v>0</v>
      </c>
      <c r="J254" s="9">
        <v>0</v>
      </c>
      <c r="K254" s="8">
        <v>0</v>
      </c>
      <c r="L254" s="5">
        <v>0</v>
      </c>
      <c r="M254" s="5">
        <v>0</v>
      </c>
      <c r="N254" s="9">
        <v>0</v>
      </c>
      <c r="O254" s="8">
        <v>3</v>
      </c>
      <c r="P254" s="5">
        <v>44</v>
      </c>
      <c r="Q254" s="5">
        <v>0</v>
      </c>
      <c r="R254" s="9">
        <v>0</v>
      </c>
      <c r="S254" s="8">
        <v>0</v>
      </c>
      <c r="T254" s="9">
        <v>0</v>
      </c>
    </row>
    <row r="255" spans="1:20" x14ac:dyDescent="0.2">
      <c r="A255" s="5" t="s">
        <v>288</v>
      </c>
      <c r="B255" s="5" t="s">
        <v>69</v>
      </c>
      <c r="C255" s="8" t="s">
        <v>20</v>
      </c>
      <c r="D255" s="7">
        <f t="shared" si="0"/>
        <v>6.6</v>
      </c>
      <c r="E255" s="8">
        <v>0</v>
      </c>
      <c r="F255" s="5">
        <v>0</v>
      </c>
      <c r="G255" s="5">
        <v>0</v>
      </c>
      <c r="H255" s="5">
        <v>0</v>
      </c>
      <c r="I255" s="5">
        <v>0</v>
      </c>
      <c r="J255" s="9">
        <v>0</v>
      </c>
      <c r="K255" s="8">
        <v>0</v>
      </c>
      <c r="L255" s="5">
        <v>0</v>
      </c>
      <c r="M255" s="5">
        <v>0</v>
      </c>
      <c r="N255" s="9">
        <v>0</v>
      </c>
      <c r="O255" s="8">
        <v>3</v>
      </c>
      <c r="P255" s="5">
        <v>36</v>
      </c>
      <c r="Q255" s="5">
        <v>0</v>
      </c>
      <c r="R255" s="9">
        <v>0</v>
      </c>
      <c r="S255" s="8">
        <v>0</v>
      </c>
      <c r="T255" s="9">
        <v>0</v>
      </c>
    </row>
    <row r="256" spans="1:20" x14ac:dyDescent="0.2">
      <c r="A256" s="5" t="s">
        <v>289</v>
      </c>
      <c r="B256" s="5" t="s">
        <v>69</v>
      </c>
      <c r="C256" s="8" t="s">
        <v>24</v>
      </c>
      <c r="D256" s="7">
        <f t="shared" si="0"/>
        <v>6.1</v>
      </c>
      <c r="E256" s="8">
        <v>0</v>
      </c>
      <c r="F256" s="5">
        <v>0</v>
      </c>
      <c r="G256" s="5">
        <v>0</v>
      </c>
      <c r="H256" s="5">
        <v>0</v>
      </c>
      <c r="I256" s="5">
        <v>0</v>
      </c>
      <c r="J256" s="9">
        <v>0</v>
      </c>
      <c r="K256" s="8">
        <v>0</v>
      </c>
      <c r="L256" s="5">
        <v>0</v>
      </c>
      <c r="M256" s="5">
        <v>0</v>
      </c>
      <c r="N256" s="9">
        <v>0</v>
      </c>
      <c r="O256" s="8">
        <v>3</v>
      </c>
      <c r="P256" s="5">
        <v>31</v>
      </c>
      <c r="Q256" s="5">
        <v>0</v>
      </c>
      <c r="R256" s="9">
        <v>0</v>
      </c>
      <c r="S256" s="8">
        <v>0</v>
      </c>
      <c r="T256" s="9">
        <v>0</v>
      </c>
    </row>
    <row r="257" spans="1:20" x14ac:dyDescent="0.2">
      <c r="A257" s="5" t="s">
        <v>290</v>
      </c>
      <c r="B257" s="5" t="s">
        <v>69</v>
      </c>
      <c r="C257" s="8" t="s">
        <v>42</v>
      </c>
      <c r="D257" s="7">
        <f t="shared" si="0"/>
        <v>6.6</v>
      </c>
      <c r="E257" s="8">
        <v>0</v>
      </c>
      <c r="F257" s="5">
        <v>0</v>
      </c>
      <c r="G257" s="5">
        <v>0</v>
      </c>
      <c r="H257" s="5">
        <v>0</v>
      </c>
      <c r="I257" s="5">
        <v>0</v>
      </c>
      <c r="J257" s="9">
        <v>0</v>
      </c>
      <c r="K257" s="8">
        <v>0</v>
      </c>
      <c r="L257" s="5">
        <v>0</v>
      </c>
      <c r="M257" s="5">
        <v>0</v>
      </c>
      <c r="N257" s="9">
        <v>0</v>
      </c>
      <c r="O257" s="8">
        <v>3</v>
      </c>
      <c r="P257" s="5">
        <v>36</v>
      </c>
      <c r="Q257" s="5">
        <v>0</v>
      </c>
      <c r="R257" s="9">
        <v>0</v>
      </c>
      <c r="S257" s="8">
        <v>0</v>
      </c>
      <c r="T257" s="9">
        <v>0</v>
      </c>
    </row>
    <row r="258" spans="1:20" x14ac:dyDescent="0.2">
      <c r="A258" s="5" t="s">
        <v>291</v>
      </c>
      <c r="B258" s="5" t="s">
        <v>69</v>
      </c>
      <c r="C258" s="6" t="s">
        <v>49</v>
      </c>
      <c r="D258" s="7">
        <f t="shared" ref="D258:D286" si="1">0.04*G258+4*H258-2*I258+2*J258+0.1*L258+6*M258+2*N258+1*O258+0.1*P258+6*Q258+2*R258-2*S258</f>
        <v>6.6</v>
      </c>
      <c r="E258" s="8">
        <v>0</v>
      </c>
      <c r="F258" s="5">
        <v>0</v>
      </c>
      <c r="G258" s="5">
        <v>0</v>
      </c>
      <c r="H258" s="5">
        <v>0</v>
      </c>
      <c r="I258" s="5">
        <v>0</v>
      </c>
      <c r="J258" s="9">
        <v>0</v>
      </c>
      <c r="K258" s="8">
        <v>0</v>
      </c>
      <c r="L258" s="5">
        <v>0</v>
      </c>
      <c r="M258" s="5">
        <v>0</v>
      </c>
      <c r="N258" s="9">
        <v>0</v>
      </c>
      <c r="O258" s="8">
        <v>4</v>
      </c>
      <c r="P258" s="5">
        <v>26</v>
      </c>
      <c r="Q258" s="5">
        <v>0</v>
      </c>
      <c r="R258" s="9">
        <v>0</v>
      </c>
      <c r="S258" s="8">
        <v>0</v>
      </c>
      <c r="T258" s="9">
        <v>0</v>
      </c>
    </row>
    <row r="259" spans="1:20" x14ac:dyDescent="0.2">
      <c r="A259" s="5" t="s">
        <v>292</v>
      </c>
      <c r="B259" s="5" t="s">
        <v>69</v>
      </c>
      <c r="C259" s="8" t="s">
        <v>31</v>
      </c>
      <c r="D259" s="7">
        <f t="shared" si="1"/>
        <v>6.2</v>
      </c>
      <c r="E259" s="8">
        <v>0</v>
      </c>
      <c r="F259" s="5">
        <v>0</v>
      </c>
      <c r="G259" s="5">
        <v>0</v>
      </c>
      <c r="H259" s="5">
        <v>0</v>
      </c>
      <c r="I259" s="5">
        <v>0</v>
      </c>
      <c r="J259" s="9">
        <v>0</v>
      </c>
      <c r="K259" s="8">
        <v>0</v>
      </c>
      <c r="L259" s="5">
        <v>0</v>
      </c>
      <c r="M259" s="5">
        <v>0</v>
      </c>
      <c r="N259" s="9">
        <v>0</v>
      </c>
      <c r="O259" s="8">
        <v>3</v>
      </c>
      <c r="P259" s="5">
        <v>32</v>
      </c>
      <c r="Q259" s="5">
        <v>0</v>
      </c>
      <c r="R259" s="9">
        <v>0</v>
      </c>
      <c r="S259" s="8">
        <v>0</v>
      </c>
      <c r="T259" s="9">
        <v>0</v>
      </c>
    </row>
    <row r="260" spans="1:20" x14ac:dyDescent="0.2">
      <c r="A260" s="5" t="s">
        <v>293</v>
      </c>
      <c r="B260" s="5" t="s">
        <v>69</v>
      </c>
      <c r="C260" s="8" t="s">
        <v>52</v>
      </c>
      <c r="D260" s="7">
        <f t="shared" si="1"/>
        <v>6.4</v>
      </c>
      <c r="E260" s="8">
        <v>0</v>
      </c>
      <c r="F260" s="5">
        <v>0</v>
      </c>
      <c r="G260" s="5">
        <v>0</v>
      </c>
      <c r="H260" s="5">
        <v>0</v>
      </c>
      <c r="I260" s="5">
        <v>0</v>
      </c>
      <c r="J260" s="9">
        <v>0</v>
      </c>
      <c r="K260" s="8">
        <v>0</v>
      </c>
      <c r="L260" s="5">
        <v>0</v>
      </c>
      <c r="M260" s="5">
        <v>0</v>
      </c>
      <c r="N260" s="9">
        <v>0</v>
      </c>
      <c r="O260" s="8">
        <v>2</v>
      </c>
      <c r="P260" s="5">
        <v>44</v>
      </c>
      <c r="Q260" s="5">
        <v>0</v>
      </c>
      <c r="R260" s="9">
        <v>0</v>
      </c>
      <c r="S260" s="8">
        <v>0</v>
      </c>
      <c r="T260" s="9">
        <v>0</v>
      </c>
    </row>
    <row r="261" spans="1:20" x14ac:dyDescent="0.2">
      <c r="A261" s="5" t="s">
        <v>294</v>
      </c>
      <c r="B261" s="5" t="s">
        <v>69</v>
      </c>
      <c r="C261" s="8" t="s">
        <v>60</v>
      </c>
      <c r="D261" s="7">
        <f t="shared" si="1"/>
        <v>6.6</v>
      </c>
      <c r="E261" s="8">
        <v>0</v>
      </c>
      <c r="F261" s="5">
        <v>0</v>
      </c>
      <c r="G261" s="5">
        <v>0</v>
      </c>
      <c r="H261" s="5">
        <v>0</v>
      </c>
      <c r="I261" s="5">
        <v>0</v>
      </c>
      <c r="J261" s="9">
        <v>0</v>
      </c>
      <c r="K261" s="8">
        <v>0</v>
      </c>
      <c r="L261" s="5">
        <v>0</v>
      </c>
      <c r="M261" s="5">
        <v>0</v>
      </c>
      <c r="N261" s="9">
        <v>0</v>
      </c>
      <c r="O261" s="8">
        <v>3</v>
      </c>
      <c r="P261" s="5">
        <v>36</v>
      </c>
      <c r="Q261" s="5">
        <v>0</v>
      </c>
      <c r="R261" s="9">
        <v>0</v>
      </c>
      <c r="S261" s="8">
        <v>0</v>
      </c>
      <c r="T261" s="9">
        <v>0</v>
      </c>
    </row>
    <row r="262" spans="1:20" x14ac:dyDescent="0.2">
      <c r="A262" s="5" t="s">
        <v>295</v>
      </c>
      <c r="B262" s="5" t="s">
        <v>69</v>
      </c>
      <c r="C262" s="6" t="s">
        <v>49</v>
      </c>
      <c r="D262" s="7">
        <f t="shared" si="1"/>
        <v>5.5</v>
      </c>
      <c r="E262" s="8">
        <v>0</v>
      </c>
      <c r="F262" s="5">
        <v>0</v>
      </c>
      <c r="G262" s="5">
        <v>0</v>
      </c>
      <c r="H262" s="5">
        <v>0</v>
      </c>
      <c r="I262" s="5">
        <v>0</v>
      </c>
      <c r="J262" s="9">
        <v>0</v>
      </c>
      <c r="K262" s="8">
        <v>0</v>
      </c>
      <c r="L262" s="5">
        <v>0</v>
      </c>
      <c r="M262" s="5">
        <v>0</v>
      </c>
      <c r="N262" s="9">
        <v>0</v>
      </c>
      <c r="O262" s="8">
        <v>3</v>
      </c>
      <c r="P262" s="5">
        <v>25</v>
      </c>
      <c r="Q262" s="5">
        <v>0</v>
      </c>
      <c r="R262" s="9">
        <v>0</v>
      </c>
      <c r="S262" s="8">
        <v>0</v>
      </c>
      <c r="T262" s="9">
        <v>0</v>
      </c>
    </row>
    <row r="263" spans="1:20" x14ac:dyDescent="0.2">
      <c r="A263" s="5" t="s">
        <v>296</v>
      </c>
      <c r="B263" s="5" t="s">
        <v>69</v>
      </c>
      <c r="C263" s="8" t="s">
        <v>36</v>
      </c>
      <c r="D263" s="7">
        <f t="shared" si="1"/>
        <v>4.2</v>
      </c>
      <c r="E263" s="8">
        <v>0</v>
      </c>
      <c r="F263" s="5">
        <v>0</v>
      </c>
      <c r="G263" s="5">
        <v>0</v>
      </c>
      <c r="H263" s="5">
        <v>0</v>
      </c>
      <c r="I263" s="5">
        <v>0</v>
      </c>
      <c r="J263" s="9">
        <v>0</v>
      </c>
      <c r="K263" s="8">
        <v>0</v>
      </c>
      <c r="L263" s="5">
        <v>0</v>
      </c>
      <c r="M263" s="5">
        <v>0</v>
      </c>
      <c r="N263" s="9">
        <v>0</v>
      </c>
      <c r="O263" s="8">
        <v>2</v>
      </c>
      <c r="P263" s="5">
        <v>22</v>
      </c>
      <c r="Q263" s="5">
        <v>0</v>
      </c>
      <c r="R263" s="9">
        <v>0</v>
      </c>
      <c r="S263" s="8">
        <v>0</v>
      </c>
      <c r="T263" s="9">
        <v>0</v>
      </c>
    </row>
    <row r="264" spans="1:20" x14ac:dyDescent="0.2">
      <c r="A264" s="5" t="s">
        <v>297</v>
      </c>
      <c r="B264" s="5" t="s">
        <v>69</v>
      </c>
      <c r="C264" s="8" t="s">
        <v>18</v>
      </c>
      <c r="D264" s="7">
        <f t="shared" si="1"/>
        <v>4.3000000000000007</v>
      </c>
      <c r="E264" s="8">
        <v>0</v>
      </c>
      <c r="F264" s="5">
        <v>0</v>
      </c>
      <c r="G264" s="5">
        <v>0</v>
      </c>
      <c r="H264" s="5">
        <v>0</v>
      </c>
      <c r="I264" s="5">
        <v>0</v>
      </c>
      <c r="J264" s="9">
        <v>0</v>
      </c>
      <c r="K264" s="8">
        <v>1</v>
      </c>
      <c r="L264" s="5">
        <v>2</v>
      </c>
      <c r="M264" s="5">
        <v>0</v>
      </c>
      <c r="N264" s="9">
        <v>0</v>
      </c>
      <c r="O264" s="8">
        <v>2</v>
      </c>
      <c r="P264" s="5">
        <v>21</v>
      </c>
      <c r="Q264" s="5">
        <v>0</v>
      </c>
      <c r="R264" s="9">
        <v>0</v>
      </c>
      <c r="S264" s="8">
        <v>0</v>
      </c>
      <c r="T264" s="9">
        <v>0</v>
      </c>
    </row>
    <row r="265" spans="1:20" x14ac:dyDescent="0.2">
      <c r="A265" s="5" t="s">
        <v>298</v>
      </c>
      <c r="B265" s="5" t="s">
        <v>69</v>
      </c>
      <c r="C265" s="6" t="s">
        <v>34</v>
      </c>
      <c r="D265" s="7">
        <f t="shared" si="1"/>
        <v>4.9000000000000004</v>
      </c>
      <c r="E265" s="8">
        <v>0</v>
      </c>
      <c r="F265" s="5">
        <v>0</v>
      </c>
      <c r="G265" s="5">
        <v>0</v>
      </c>
      <c r="H265" s="5">
        <v>0</v>
      </c>
      <c r="I265" s="5">
        <v>0</v>
      </c>
      <c r="J265" s="9">
        <v>0</v>
      </c>
      <c r="K265" s="8">
        <v>0</v>
      </c>
      <c r="L265" s="5">
        <v>0</v>
      </c>
      <c r="M265" s="5">
        <v>0</v>
      </c>
      <c r="N265" s="9">
        <v>0</v>
      </c>
      <c r="O265" s="8">
        <v>3</v>
      </c>
      <c r="P265" s="5">
        <v>19</v>
      </c>
      <c r="Q265" s="5">
        <v>0</v>
      </c>
      <c r="R265" s="9">
        <v>0</v>
      </c>
      <c r="S265" s="8">
        <v>0</v>
      </c>
      <c r="T265" s="9">
        <v>0</v>
      </c>
    </row>
    <row r="266" spans="1:20" x14ac:dyDescent="0.2">
      <c r="A266" s="5" t="s">
        <v>299</v>
      </c>
      <c r="B266" s="5" t="s">
        <v>69</v>
      </c>
      <c r="C266" s="6" t="s">
        <v>40</v>
      </c>
      <c r="D266" s="7">
        <f t="shared" si="1"/>
        <v>4.3000000000000007</v>
      </c>
      <c r="E266" s="8">
        <v>0</v>
      </c>
      <c r="F266" s="5">
        <v>0</v>
      </c>
      <c r="G266" s="5">
        <v>0</v>
      </c>
      <c r="H266" s="5">
        <v>0</v>
      </c>
      <c r="I266" s="5">
        <v>0</v>
      </c>
      <c r="J266" s="9">
        <v>0</v>
      </c>
      <c r="K266" s="8">
        <v>0</v>
      </c>
      <c r="L266" s="5">
        <v>0</v>
      </c>
      <c r="M266" s="5">
        <v>0</v>
      </c>
      <c r="N266" s="9">
        <v>0</v>
      </c>
      <c r="O266" s="8">
        <v>2</v>
      </c>
      <c r="P266" s="5">
        <v>23</v>
      </c>
      <c r="Q266" s="5">
        <v>0</v>
      </c>
      <c r="R266" s="9">
        <v>0</v>
      </c>
      <c r="S266" s="8">
        <v>0</v>
      </c>
      <c r="T266" s="9">
        <v>0</v>
      </c>
    </row>
    <row r="267" spans="1:20" x14ac:dyDescent="0.2">
      <c r="A267" s="5" t="s">
        <v>300</v>
      </c>
      <c r="B267" s="5" t="s">
        <v>69</v>
      </c>
      <c r="C267" s="8" t="s">
        <v>29</v>
      </c>
      <c r="D267" s="7">
        <f t="shared" si="1"/>
        <v>4.4000000000000004</v>
      </c>
      <c r="E267" s="8">
        <v>0</v>
      </c>
      <c r="F267" s="5">
        <v>0</v>
      </c>
      <c r="G267" s="5">
        <v>0</v>
      </c>
      <c r="H267" s="5">
        <v>0</v>
      </c>
      <c r="I267" s="5">
        <v>0</v>
      </c>
      <c r="J267" s="9">
        <v>0</v>
      </c>
      <c r="K267" s="8">
        <v>0</v>
      </c>
      <c r="L267" s="5">
        <v>0</v>
      </c>
      <c r="M267" s="5">
        <v>0</v>
      </c>
      <c r="N267" s="9">
        <v>0</v>
      </c>
      <c r="O267" s="8">
        <v>2</v>
      </c>
      <c r="P267" s="5">
        <v>24</v>
      </c>
      <c r="Q267" s="5">
        <v>0</v>
      </c>
      <c r="R267" s="9">
        <v>0</v>
      </c>
      <c r="S267" s="8">
        <v>0</v>
      </c>
      <c r="T267" s="9">
        <v>0</v>
      </c>
    </row>
    <row r="268" spans="1:20" x14ac:dyDescent="0.2">
      <c r="A268" s="5" t="s">
        <v>301</v>
      </c>
      <c r="B268" s="5" t="s">
        <v>69</v>
      </c>
      <c r="C268" s="6" t="s">
        <v>29</v>
      </c>
      <c r="D268" s="7">
        <f t="shared" si="1"/>
        <v>4.7</v>
      </c>
      <c r="E268" s="8">
        <v>0</v>
      </c>
      <c r="F268" s="5">
        <v>0</v>
      </c>
      <c r="G268" s="5">
        <v>0</v>
      </c>
      <c r="H268" s="5">
        <v>0</v>
      </c>
      <c r="I268" s="5">
        <v>0</v>
      </c>
      <c r="J268" s="9">
        <v>0</v>
      </c>
      <c r="K268" s="8">
        <v>0</v>
      </c>
      <c r="L268" s="5">
        <v>0</v>
      </c>
      <c r="M268" s="5">
        <v>0</v>
      </c>
      <c r="N268" s="9">
        <v>0</v>
      </c>
      <c r="O268" s="8">
        <v>3</v>
      </c>
      <c r="P268" s="5">
        <v>17</v>
      </c>
      <c r="Q268" s="5">
        <v>0</v>
      </c>
      <c r="R268" s="9">
        <v>0</v>
      </c>
      <c r="S268" s="8">
        <v>0</v>
      </c>
      <c r="T268" s="9">
        <v>0</v>
      </c>
    </row>
    <row r="269" spans="1:20" x14ac:dyDescent="0.2">
      <c r="A269" s="5" t="s">
        <v>302</v>
      </c>
      <c r="B269" s="5" t="s">
        <v>69</v>
      </c>
      <c r="C269" s="8" t="s">
        <v>60</v>
      </c>
      <c r="D269" s="7">
        <f t="shared" si="1"/>
        <v>3.7</v>
      </c>
      <c r="E269" s="8">
        <v>0</v>
      </c>
      <c r="F269" s="5">
        <v>0</v>
      </c>
      <c r="G269" s="5">
        <v>0</v>
      </c>
      <c r="H269" s="5">
        <v>0</v>
      </c>
      <c r="I269" s="5">
        <v>0</v>
      </c>
      <c r="J269" s="9">
        <v>0</v>
      </c>
      <c r="K269" s="8">
        <v>0</v>
      </c>
      <c r="L269" s="5">
        <v>0</v>
      </c>
      <c r="M269" s="5">
        <v>0</v>
      </c>
      <c r="N269" s="9">
        <v>0</v>
      </c>
      <c r="O269" s="8">
        <v>2</v>
      </c>
      <c r="P269" s="5">
        <v>17</v>
      </c>
      <c r="Q269" s="5">
        <v>0</v>
      </c>
      <c r="R269" s="9">
        <v>0</v>
      </c>
      <c r="S269" s="8">
        <v>0</v>
      </c>
      <c r="T269" s="9">
        <v>0</v>
      </c>
    </row>
    <row r="270" spans="1:20" x14ac:dyDescent="0.2">
      <c r="A270" s="5" t="s">
        <v>303</v>
      </c>
      <c r="B270" s="5" t="s">
        <v>69</v>
      </c>
      <c r="C270" s="8" t="s">
        <v>47</v>
      </c>
      <c r="D270" s="7">
        <f t="shared" si="1"/>
        <v>3.7</v>
      </c>
      <c r="E270" s="8">
        <v>0</v>
      </c>
      <c r="F270" s="5">
        <v>0</v>
      </c>
      <c r="G270" s="5">
        <v>0</v>
      </c>
      <c r="H270" s="5">
        <v>0</v>
      </c>
      <c r="I270" s="5">
        <v>0</v>
      </c>
      <c r="J270" s="9">
        <v>0</v>
      </c>
      <c r="K270" s="8">
        <v>0</v>
      </c>
      <c r="L270" s="5">
        <v>0</v>
      </c>
      <c r="M270" s="5">
        <v>0</v>
      </c>
      <c r="N270" s="9">
        <v>0</v>
      </c>
      <c r="O270" s="8">
        <v>2</v>
      </c>
      <c r="P270" s="5">
        <v>17</v>
      </c>
      <c r="Q270" s="5">
        <v>0</v>
      </c>
      <c r="R270" s="9">
        <v>0</v>
      </c>
      <c r="S270" s="8">
        <v>0</v>
      </c>
      <c r="T270" s="9">
        <v>0</v>
      </c>
    </row>
    <row r="271" spans="1:20" x14ac:dyDescent="0.2">
      <c r="A271" s="5" t="s">
        <v>304</v>
      </c>
      <c r="B271" s="5" t="s">
        <v>69</v>
      </c>
      <c r="C271" s="6" t="s">
        <v>60</v>
      </c>
      <c r="D271" s="7">
        <f t="shared" si="1"/>
        <v>3.1</v>
      </c>
      <c r="E271" s="8">
        <v>0</v>
      </c>
      <c r="F271" s="5">
        <v>0</v>
      </c>
      <c r="G271" s="5">
        <v>0</v>
      </c>
      <c r="H271" s="5">
        <v>0</v>
      </c>
      <c r="I271" s="5">
        <v>0</v>
      </c>
      <c r="J271" s="9">
        <v>0</v>
      </c>
      <c r="K271" s="8">
        <v>0</v>
      </c>
      <c r="L271" s="5">
        <v>0</v>
      </c>
      <c r="M271" s="5">
        <v>0</v>
      </c>
      <c r="N271" s="9">
        <v>0</v>
      </c>
      <c r="O271" s="8">
        <v>2</v>
      </c>
      <c r="P271" s="5">
        <v>11</v>
      </c>
      <c r="Q271" s="5">
        <v>0</v>
      </c>
      <c r="R271" s="9">
        <v>0</v>
      </c>
      <c r="S271" s="8">
        <v>0</v>
      </c>
      <c r="T271" s="9">
        <v>0</v>
      </c>
    </row>
    <row r="272" spans="1:20" x14ac:dyDescent="0.2">
      <c r="A272" s="5" t="s">
        <v>305</v>
      </c>
      <c r="B272" s="5" t="s">
        <v>69</v>
      </c>
      <c r="C272" s="8" t="s">
        <v>34</v>
      </c>
      <c r="D272" s="7">
        <f t="shared" si="1"/>
        <v>3.9000000000000004</v>
      </c>
      <c r="E272" s="8">
        <v>0</v>
      </c>
      <c r="F272" s="5">
        <v>0</v>
      </c>
      <c r="G272" s="5">
        <v>0</v>
      </c>
      <c r="H272" s="5">
        <v>0</v>
      </c>
      <c r="I272" s="5">
        <v>0</v>
      </c>
      <c r="J272" s="9">
        <v>0</v>
      </c>
      <c r="K272" s="8">
        <v>0</v>
      </c>
      <c r="L272" s="5">
        <v>0</v>
      </c>
      <c r="M272" s="5">
        <v>0</v>
      </c>
      <c r="N272" s="9">
        <v>0</v>
      </c>
      <c r="O272" s="8">
        <v>2</v>
      </c>
      <c r="P272" s="5">
        <v>19</v>
      </c>
      <c r="Q272" s="5">
        <v>0</v>
      </c>
      <c r="R272" s="9">
        <v>0</v>
      </c>
      <c r="S272" s="8">
        <v>0</v>
      </c>
      <c r="T272" s="9">
        <v>0</v>
      </c>
    </row>
    <row r="273" spans="1:20" x14ac:dyDescent="0.2">
      <c r="A273" s="5" t="s">
        <v>306</v>
      </c>
      <c r="B273" s="5" t="s">
        <v>69</v>
      </c>
      <c r="C273" s="6" t="s">
        <v>36</v>
      </c>
      <c r="D273" s="7">
        <f t="shared" si="1"/>
        <v>3</v>
      </c>
      <c r="E273" s="8">
        <v>0</v>
      </c>
      <c r="F273" s="5">
        <v>0</v>
      </c>
      <c r="G273" s="5">
        <v>0</v>
      </c>
      <c r="H273" s="5">
        <v>0</v>
      </c>
      <c r="I273" s="5">
        <v>0</v>
      </c>
      <c r="J273" s="9">
        <v>0</v>
      </c>
      <c r="K273" s="8">
        <v>0</v>
      </c>
      <c r="L273" s="5">
        <v>0</v>
      </c>
      <c r="M273" s="5">
        <v>0</v>
      </c>
      <c r="N273" s="9">
        <v>0</v>
      </c>
      <c r="O273" s="8">
        <v>1</v>
      </c>
      <c r="P273" s="5">
        <v>20</v>
      </c>
      <c r="Q273" s="5">
        <v>0</v>
      </c>
      <c r="R273" s="9">
        <v>0</v>
      </c>
      <c r="S273" s="8">
        <v>0</v>
      </c>
      <c r="T273" s="9">
        <v>0</v>
      </c>
    </row>
    <row r="274" spans="1:20" x14ac:dyDescent="0.2">
      <c r="A274" s="5" t="s">
        <v>307</v>
      </c>
      <c r="B274" s="5" t="s">
        <v>69</v>
      </c>
      <c r="C274" s="6" t="s">
        <v>47</v>
      </c>
      <c r="D274" s="7">
        <f t="shared" si="1"/>
        <v>3.1</v>
      </c>
      <c r="E274" s="8">
        <v>0</v>
      </c>
      <c r="F274" s="5">
        <v>0</v>
      </c>
      <c r="G274" s="5">
        <v>0</v>
      </c>
      <c r="H274" s="5">
        <v>0</v>
      </c>
      <c r="I274" s="5">
        <v>0</v>
      </c>
      <c r="J274" s="9">
        <v>0</v>
      </c>
      <c r="K274" s="8">
        <v>0</v>
      </c>
      <c r="L274" s="5">
        <v>0</v>
      </c>
      <c r="M274" s="5">
        <v>0</v>
      </c>
      <c r="N274" s="9">
        <v>0</v>
      </c>
      <c r="O274" s="8">
        <v>1</v>
      </c>
      <c r="P274" s="5">
        <v>21</v>
      </c>
      <c r="Q274" s="5">
        <v>0</v>
      </c>
      <c r="R274" s="9">
        <v>0</v>
      </c>
      <c r="S274" s="8">
        <v>0</v>
      </c>
      <c r="T274" s="9">
        <v>0</v>
      </c>
    </row>
    <row r="275" spans="1:20" x14ac:dyDescent="0.2">
      <c r="A275" s="5" t="s">
        <v>308</v>
      </c>
      <c r="B275" s="5" t="s">
        <v>69</v>
      </c>
      <c r="C275" s="8" t="s">
        <v>27</v>
      </c>
      <c r="D275" s="7">
        <f t="shared" si="1"/>
        <v>3</v>
      </c>
      <c r="E275" s="8">
        <v>0</v>
      </c>
      <c r="F275" s="5">
        <v>0</v>
      </c>
      <c r="G275" s="5">
        <v>0</v>
      </c>
      <c r="H275" s="5">
        <v>0</v>
      </c>
      <c r="I275" s="5">
        <v>0</v>
      </c>
      <c r="J275" s="9">
        <v>0</v>
      </c>
      <c r="K275" s="8">
        <v>0</v>
      </c>
      <c r="L275" s="5">
        <v>0</v>
      </c>
      <c r="M275" s="5">
        <v>0</v>
      </c>
      <c r="N275" s="9">
        <v>0</v>
      </c>
      <c r="O275" s="8">
        <v>1</v>
      </c>
      <c r="P275" s="5">
        <v>20</v>
      </c>
      <c r="Q275" s="5">
        <v>0</v>
      </c>
      <c r="R275" s="9">
        <v>0</v>
      </c>
      <c r="S275" s="8">
        <v>0</v>
      </c>
      <c r="T275" s="9">
        <v>0</v>
      </c>
    </row>
    <row r="276" spans="1:20" x14ac:dyDescent="0.2">
      <c r="A276" s="5" t="s">
        <v>309</v>
      </c>
      <c r="B276" s="5" t="s">
        <v>69</v>
      </c>
      <c r="C276" s="6" t="s">
        <v>31</v>
      </c>
      <c r="D276" s="7">
        <f t="shared" si="1"/>
        <v>3.9000000000000004</v>
      </c>
      <c r="E276" s="8">
        <v>0</v>
      </c>
      <c r="F276" s="5">
        <v>0</v>
      </c>
      <c r="G276" s="5">
        <v>0</v>
      </c>
      <c r="H276" s="5">
        <v>0</v>
      </c>
      <c r="I276" s="5">
        <v>0</v>
      </c>
      <c r="J276" s="9">
        <v>0</v>
      </c>
      <c r="K276" s="8">
        <v>0</v>
      </c>
      <c r="L276" s="5">
        <v>0</v>
      </c>
      <c r="M276" s="5">
        <v>0</v>
      </c>
      <c r="N276" s="9">
        <v>0</v>
      </c>
      <c r="O276" s="8">
        <v>2</v>
      </c>
      <c r="P276" s="5">
        <v>19</v>
      </c>
      <c r="Q276" s="5">
        <v>0</v>
      </c>
      <c r="R276" s="9">
        <v>0</v>
      </c>
      <c r="S276" s="8">
        <v>0</v>
      </c>
      <c r="T276" s="9">
        <v>0</v>
      </c>
    </row>
    <row r="277" spans="1:20" x14ac:dyDescent="0.2">
      <c r="A277" s="5" t="s">
        <v>310</v>
      </c>
      <c r="B277" s="5" t="s">
        <v>69</v>
      </c>
      <c r="C277" s="6" t="s">
        <v>24</v>
      </c>
      <c r="D277" s="7">
        <f t="shared" si="1"/>
        <v>3.7</v>
      </c>
      <c r="E277" s="8">
        <v>0</v>
      </c>
      <c r="F277" s="5">
        <v>0</v>
      </c>
      <c r="G277" s="5">
        <v>0</v>
      </c>
      <c r="H277" s="5">
        <v>0</v>
      </c>
      <c r="I277" s="5">
        <v>0</v>
      </c>
      <c r="J277" s="9">
        <v>0</v>
      </c>
      <c r="K277" s="8">
        <v>0</v>
      </c>
      <c r="L277" s="5">
        <v>0</v>
      </c>
      <c r="M277" s="5">
        <v>0</v>
      </c>
      <c r="N277" s="9">
        <v>0</v>
      </c>
      <c r="O277" s="8">
        <v>2</v>
      </c>
      <c r="P277" s="5">
        <v>17</v>
      </c>
      <c r="Q277" s="5">
        <v>0</v>
      </c>
      <c r="R277" s="9">
        <v>0</v>
      </c>
      <c r="S277" s="8">
        <v>0</v>
      </c>
      <c r="T277" s="9">
        <v>0</v>
      </c>
    </row>
    <row r="278" spans="1:20" x14ac:dyDescent="0.2">
      <c r="A278" s="5" t="s">
        <v>311</v>
      </c>
      <c r="B278" s="5" t="s">
        <v>69</v>
      </c>
      <c r="C278" s="8" t="s">
        <v>29</v>
      </c>
      <c r="D278" s="7">
        <f t="shared" si="1"/>
        <v>2.2000000000000002</v>
      </c>
      <c r="E278" s="8">
        <v>0</v>
      </c>
      <c r="F278" s="5">
        <v>0</v>
      </c>
      <c r="G278" s="5">
        <v>0</v>
      </c>
      <c r="H278" s="5">
        <v>0</v>
      </c>
      <c r="I278" s="5">
        <v>0</v>
      </c>
      <c r="J278" s="9">
        <v>0</v>
      </c>
      <c r="K278" s="8">
        <v>0</v>
      </c>
      <c r="L278" s="5">
        <v>0</v>
      </c>
      <c r="M278" s="5">
        <v>0</v>
      </c>
      <c r="N278" s="9">
        <v>0</v>
      </c>
      <c r="O278" s="8">
        <v>1</v>
      </c>
      <c r="P278" s="5">
        <v>12</v>
      </c>
      <c r="Q278" s="5">
        <v>0</v>
      </c>
      <c r="R278" s="9">
        <v>0</v>
      </c>
      <c r="S278" s="8">
        <v>0</v>
      </c>
      <c r="T278" s="9">
        <v>0</v>
      </c>
    </row>
    <row r="279" spans="1:20" x14ac:dyDescent="0.2">
      <c r="A279" s="5" t="s">
        <v>312</v>
      </c>
      <c r="B279" s="5" t="s">
        <v>69</v>
      </c>
      <c r="C279" s="6" t="s">
        <v>54</v>
      </c>
      <c r="D279" s="7">
        <f t="shared" si="1"/>
        <v>2.1</v>
      </c>
      <c r="E279" s="8">
        <v>0</v>
      </c>
      <c r="F279" s="5">
        <v>0</v>
      </c>
      <c r="G279" s="5">
        <v>0</v>
      </c>
      <c r="H279" s="5">
        <v>0</v>
      </c>
      <c r="I279" s="5">
        <v>0</v>
      </c>
      <c r="J279" s="9">
        <v>0</v>
      </c>
      <c r="K279" s="8">
        <v>0</v>
      </c>
      <c r="L279" s="5">
        <v>0</v>
      </c>
      <c r="M279" s="5">
        <v>0</v>
      </c>
      <c r="N279" s="9">
        <v>0</v>
      </c>
      <c r="O279" s="8">
        <v>1</v>
      </c>
      <c r="P279" s="5">
        <v>11</v>
      </c>
      <c r="Q279" s="5">
        <v>0</v>
      </c>
      <c r="R279" s="9">
        <v>0</v>
      </c>
      <c r="S279" s="8">
        <v>0</v>
      </c>
      <c r="T279" s="9">
        <v>0</v>
      </c>
    </row>
    <row r="280" spans="1:20" x14ac:dyDescent="0.2">
      <c r="A280" s="5" t="s">
        <v>313</v>
      </c>
      <c r="B280" s="5" t="s">
        <v>69</v>
      </c>
      <c r="C280" s="6" t="s">
        <v>54</v>
      </c>
      <c r="D280" s="7">
        <f t="shared" si="1"/>
        <v>2.4</v>
      </c>
      <c r="E280" s="8">
        <v>0</v>
      </c>
      <c r="F280" s="5">
        <v>0</v>
      </c>
      <c r="G280" s="5">
        <v>0</v>
      </c>
      <c r="H280" s="5">
        <v>0</v>
      </c>
      <c r="I280" s="5">
        <v>0</v>
      </c>
      <c r="J280" s="9">
        <v>0</v>
      </c>
      <c r="K280" s="8">
        <v>0</v>
      </c>
      <c r="L280" s="5">
        <v>0</v>
      </c>
      <c r="M280" s="5">
        <v>0</v>
      </c>
      <c r="N280" s="9">
        <v>0</v>
      </c>
      <c r="O280" s="8">
        <v>2</v>
      </c>
      <c r="P280" s="5">
        <v>4</v>
      </c>
      <c r="Q280" s="5">
        <v>0</v>
      </c>
      <c r="R280" s="9">
        <v>0</v>
      </c>
      <c r="S280" s="8">
        <v>0</v>
      </c>
      <c r="T280" s="9">
        <v>0</v>
      </c>
    </row>
    <row r="281" spans="1:20" x14ac:dyDescent="0.2">
      <c r="A281" s="5" t="s">
        <v>314</v>
      </c>
      <c r="B281" s="5" t="s">
        <v>69</v>
      </c>
      <c r="C281" s="8" t="s">
        <v>40</v>
      </c>
      <c r="D281" s="7">
        <f t="shared" si="1"/>
        <v>2.7</v>
      </c>
      <c r="E281" s="8">
        <v>0</v>
      </c>
      <c r="F281" s="5">
        <v>0</v>
      </c>
      <c r="G281" s="5">
        <v>0</v>
      </c>
      <c r="H281" s="5">
        <v>0</v>
      </c>
      <c r="I281" s="5">
        <v>0</v>
      </c>
      <c r="J281" s="9">
        <v>0</v>
      </c>
      <c r="K281" s="8">
        <v>0</v>
      </c>
      <c r="L281" s="5">
        <v>0</v>
      </c>
      <c r="M281" s="5">
        <v>0</v>
      </c>
      <c r="N281" s="9">
        <v>0</v>
      </c>
      <c r="O281" s="8">
        <v>1</v>
      </c>
      <c r="P281" s="5">
        <v>17</v>
      </c>
      <c r="Q281" s="5">
        <v>0</v>
      </c>
      <c r="R281" s="9">
        <v>0</v>
      </c>
      <c r="S281" s="8">
        <v>0</v>
      </c>
      <c r="T281" s="9">
        <v>0</v>
      </c>
    </row>
    <row r="282" spans="1:20" x14ac:dyDescent="0.2">
      <c r="A282" s="5" t="s">
        <v>315</v>
      </c>
      <c r="B282" s="5" t="s">
        <v>69</v>
      </c>
      <c r="C282" s="8" t="s">
        <v>60</v>
      </c>
      <c r="D282" s="7">
        <f t="shared" si="1"/>
        <v>1.1000000000000001</v>
      </c>
      <c r="E282" s="8">
        <v>0</v>
      </c>
      <c r="F282" s="5">
        <v>0</v>
      </c>
      <c r="G282" s="5">
        <v>0</v>
      </c>
      <c r="H282" s="5">
        <v>0</v>
      </c>
      <c r="I282" s="5">
        <v>0</v>
      </c>
      <c r="J282" s="9">
        <v>0</v>
      </c>
      <c r="K282" s="8">
        <v>0</v>
      </c>
      <c r="L282" s="5">
        <v>0</v>
      </c>
      <c r="M282" s="5">
        <v>0</v>
      </c>
      <c r="N282" s="9">
        <v>0</v>
      </c>
      <c r="O282" s="8">
        <v>1</v>
      </c>
      <c r="P282" s="5">
        <v>1</v>
      </c>
      <c r="Q282" s="5">
        <v>0</v>
      </c>
      <c r="R282" s="9">
        <v>0</v>
      </c>
      <c r="S282" s="8">
        <v>0</v>
      </c>
      <c r="T282" s="9">
        <v>0</v>
      </c>
    </row>
    <row r="283" spans="1:20" x14ac:dyDescent="0.2">
      <c r="A283" s="5" t="s">
        <v>316</v>
      </c>
      <c r="B283" s="5" t="s">
        <v>69</v>
      </c>
      <c r="C283" s="8" t="s">
        <v>49</v>
      </c>
      <c r="D283" s="7">
        <f t="shared" si="1"/>
        <v>1.2</v>
      </c>
      <c r="E283" s="8">
        <v>0</v>
      </c>
      <c r="F283" s="5">
        <v>0</v>
      </c>
      <c r="G283" s="5">
        <v>0</v>
      </c>
      <c r="H283" s="5">
        <v>0</v>
      </c>
      <c r="I283" s="5">
        <v>0</v>
      </c>
      <c r="J283" s="9">
        <v>0</v>
      </c>
      <c r="K283" s="8">
        <v>0</v>
      </c>
      <c r="L283" s="5">
        <v>0</v>
      </c>
      <c r="M283" s="5">
        <v>0</v>
      </c>
      <c r="N283" s="9">
        <v>0</v>
      </c>
      <c r="O283" s="8">
        <v>1</v>
      </c>
      <c r="P283" s="5">
        <v>2</v>
      </c>
      <c r="Q283" s="5">
        <v>0</v>
      </c>
      <c r="R283" s="9">
        <v>0</v>
      </c>
      <c r="S283" s="8">
        <v>0</v>
      </c>
      <c r="T283" s="9">
        <v>0</v>
      </c>
    </row>
    <row r="284" spans="1:20" x14ac:dyDescent="0.2">
      <c r="A284" s="5" t="s">
        <v>317</v>
      </c>
      <c r="B284" s="5" t="s">
        <v>69</v>
      </c>
      <c r="C284" s="8" t="s">
        <v>54</v>
      </c>
      <c r="D284" s="7">
        <f t="shared" si="1"/>
        <v>1.4</v>
      </c>
      <c r="E284" s="8">
        <v>0</v>
      </c>
      <c r="F284" s="5">
        <v>0</v>
      </c>
      <c r="G284" s="5">
        <v>0</v>
      </c>
      <c r="H284" s="5">
        <v>0</v>
      </c>
      <c r="I284" s="5">
        <v>0</v>
      </c>
      <c r="J284" s="9">
        <v>0</v>
      </c>
      <c r="K284" s="8">
        <v>0</v>
      </c>
      <c r="L284" s="5">
        <v>0</v>
      </c>
      <c r="M284" s="5">
        <v>0</v>
      </c>
      <c r="N284" s="9">
        <v>0</v>
      </c>
      <c r="O284" s="8">
        <v>1</v>
      </c>
      <c r="P284" s="5">
        <v>4</v>
      </c>
      <c r="Q284" s="5">
        <v>0</v>
      </c>
      <c r="R284" s="9">
        <v>0</v>
      </c>
      <c r="S284" s="8">
        <v>0</v>
      </c>
      <c r="T284" s="9">
        <v>0</v>
      </c>
    </row>
    <row r="285" spans="1:20" x14ac:dyDescent="0.2">
      <c r="A285" s="5" t="s">
        <v>318</v>
      </c>
      <c r="B285" s="5" t="s">
        <v>69</v>
      </c>
      <c r="C285" s="8" t="s">
        <v>47</v>
      </c>
      <c r="D285" s="7">
        <f t="shared" si="1"/>
        <v>1.8</v>
      </c>
      <c r="E285" s="8">
        <v>0</v>
      </c>
      <c r="F285" s="5">
        <v>0</v>
      </c>
      <c r="G285" s="5">
        <v>0</v>
      </c>
      <c r="H285" s="5">
        <v>0</v>
      </c>
      <c r="I285" s="5">
        <v>0</v>
      </c>
      <c r="J285" s="9">
        <v>0</v>
      </c>
      <c r="K285" s="8">
        <v>0</v>
      </c>
      <c r="L285" s="5">
        <v>0</v>
      </c>
      <c r="M285" s="5">
        <v>0</v>
      </c>
      <c r="N285" s="9">
        <v>0</v>
      </c>
      <c r="O285" s="8">
        <v>1</v>
      </c>
      <c r="P285" s="5">
        <v>8</v>
      </c>
      <c r="Q285" s="5">
        <v>0</v>
      </c>
      <c r="R285" s="9">
        <v>0</v>
      </c>
      <c r="S285" s="8">
        <v>0</v>
      </c>
      <c r="T285" s="9">
        <v>0</v>
      </c>
    </row>
    <row r="286" spans="1:20" x14ac:dyDescent="0.2">
      <c r="A286" s="5" t="s">
        <v>319</v>
      </c>
      <c r="B286" s="5" t="s">
        <v>69</v>
      </c>
      <c r="C286" s="6" t="s">
        <v>52</v>
      </c>
      <c r="D286" s="7">
        <f t="shared" si="1"/>
        <v>1.2</v>
      </c>
      <c r="E286" s="8">
        <v>0</v>
      </c>
      <c r="F286" s="5">
        <v>0</v>
      </c>
      <c r="G286" s="5">
        <v>0</v>
      </c>
      <c r="H286" s="5">
        <v>0</v>
      </c>
      <c r="I286" s="5">
        <v>0</v>
      </c>
      <c r="J286" s="9">
        <v>0</v>
      </c>
      <c r="K286" s="8">
        <v>0</v>
      </c>
      <c r="L286" s="5">
        <v>0</v>
      </c>
      <c r="M286" s="5">
        <v>0</v>
      </c>
      <c r="N286" s="9">
        <v>0</v>
      </c>
      <c r="O286" s="8">
        <v>1</v>
      </c>
      <c r="P286" s="5">
        <v>2</v>
      </c>
      <c r="Q286" s="5">
        <v>0</v>
      </c>
      <c r="R286" s="9">
        <v>0</v>
      </c>
      <c r="S286" s="8">
        <v>0</v>
      </c>
      <c r="T286" s="9">
        <v>0</v>
      </c>
    </row>
    <row r="287" spans="1:20" x14ac:dyDescent="0.2">
      <c r="A287" s="5" t="s">
        <v>320</v>
      </c>
      <c r="B287" s="5"/>
      <c r="C287" s="10"/>
      <c r="D287" s="5">
        <v>0</v>
      </c>
      <c r="E287" s="8"/>
      <c r="F287" s="5"/>
      <c r="G287" s="5"/>
      <c r="H287" s="5"/>
      <c r="I287" s="5"/>
      <c r="J287" s="9"/>
      <c r="K287" s="8"/>
      <c r="L287" s="5"/>
      <c r="M287" s="5"/>
      <c r="N287" s="9"/>
      <c r="O287" s="8"/>
      <c r="P287" s="5"/>
      <c r="Q287" s="5"/>
      <c r="R287" s="9"/>
      <c r="S287" s="8"/>
      <c r="T287" s="9"/>
    </row>
    <row r="288" spans="1:20" x14ac:dyDescent="0.2">
      <c r="C288" s="8"/>
      <c r="D288" s="8"/>
      <c r="E288" s="8"/>
      <c r="J288" s="9"/>
      <c r="K288" s="8"/>
      <c r="N288" s="9"/>
      <c r="O288" s="8"/>
      <c r="R288" s="9"/>
      <c r="S288" s="8"/>
      <c r="T288" s="9"/>
    </row>
    <row r="289" spans="3:20" x14ac:dyDescent="0.2">
      <c r="C289" s="8"/>
      <c r="D289" s="8"/>
      <c r="E289" s="8"/>
      <c r="J289" s="9"/>
      <c r="K289" s="8"/>
      <c r="N289" s="9"/>
      <c r="O289" s="8"/>
      <c r="R289" s="9"/>
      <c r="S289" s="8"/>
      <c r="T289" s="9"/>
    </row>
    <row r="290" spans="3:20" x14ac:dyDescent="0.2">
      <c r="C290" s="8"/>
      <c r="D290" s="8"/>
      <c r="E290" s="8"/>
      <c r="J290" s="9"/>
      <c r="K290" s="8"/>
      <c r="N290" s="9"/>
      <c r="O290" s="8"/>
      <c r="R290" s="9"/>
      <c r="S290" s="8"/>
      <c r="T290" s="9"/>
    </row>
  </sheetData>
  <autoFilter ref="A2:T287" xr:uid="{00000000-0009-0000-0000-000000000000}"/>
  <mergeCells count="4">
    <mergeCell ref="E1:J1"/>
    <mergeCell ref="K1:N1"/>
    <mergeCell ref="O1:R1"/>
    <mergeCell ref="S1:T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10"/>
  <sheetViews>
    <sheetView workbookViewId="0"/>
  </sheetViews>
  <sheetFormatPr defaultColWidth="12.5703125" defaultRowHeight="15.75" customHeight="1" x14ac:dyDescent="0.2"/>
  <cols>
    <col min="1" max="1" width="19.85546875" customWidth="1"/>
    <col min="2" max="3" width="9.8554687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11"/>
      <c r="D1" s="3"/>
      <c r="E1" s="54" t="s">
        <v>0</v>
      </c>
      <c r="F1" s="55"/>
      <c r="G1" s="55"/>
      <c r="H1" s="55"/>
      <c r="I1" s="55"/>
      <c r="J1" s="56"/>
      <c r="K1" s="54" t="s">
        <v>1</v>
      </c>
      <c r="L1" s="55"/>
      <c r="M1" s="55"/>
      <c r="N1" s="56"/>
      <c r="O1" s="54" t="s">
        <v>2</v>
      </c>
      <c r="P1" s="55"/>
      <c r="Q1" s="55"/>
      <c r="R1" s="56"/>
      <c r="S1" s="54" t="s">
        <v>3</v>
      </c>
      <c r="T1" s="56"/>
    </row>
    <row r="2" spans="1:20" x14ac:dyDescent="0.2">
      <c r="A2" s="12" t="s">
        <v>4</v>
      </c>
      <c r="B2" s="13" t="s">
        <v>5</v>
      </c>
      <c r="C2" s="14" t="s">
        <v>6</v>
      </c>
      <c r="D2" s="15"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185</v>
      </c>
      <c r="B3" s="5" t="s">
        <v>162</v>
      </c>
      <c r="C3" s="17" t="s">
        <v>321</v>
      </c>
      <c r="D3" s="7">
        <f t="shared" ref="D3:D257" si="0">0.04*G3+4*H3-2*I3+2*J3+0.1*L3+6*M3+2*N3+1*O3+0.1*P3+6*Q3+2*R3-2*S3</f>
        <v>31.1</v>
      </c>
      <c r="E3" s="8">
        <v>0</v>
      </c>
      <c r="F3" s="5">
        <v>0</v>
      </c>
      <c r="G3" s="5">
        <v>0</v>
      </c>
      <c r="H3" s="5">
        <v>0</v>
      </c>
      <c r="I3" s="5">
        <v>0</v>
      </c>
      <c r="J3" s="9">
        <v>0</v>
      </c>
      <c r="K3" s="8">
        <v>0</v>
      </c>
      <c r="L3" s="5">
        <v>0</v>
      </c>
      <c r="M3" s="5">
        <v>0</v>
      </c>
      <c r="N3" s="9">
        <v>0</v>
      </c>
      <c r="O3" s="8">
        <v>8</v>
      </c>
      <c r="P3" s="5">
        <v>111</v>
      </c>
      <c r="Q3" s="5">
        <v>2</v>
      </c>
      <c r="R3" s="9">
        <v>0</v>
      </c>
      <c r="S3" s="8">
        <v>0</v>
      </c>
      <c r="T3" s="9">
        <v>0</v>
      </c>
    </row>
    <row r="4" spans="1:20" x14ac:dyDescent="0.2">
      <c r="A4" s="5" t="s">
        <v>61</v>
      </c>
      <c r="B4" s="5" t="s">
        <v>17</v>
      </c>
      <c r="C4" s="17" t="s">
        <v>322</v>
      </c>
      <c r="D4" s="7">
        <f t="shared" si="0"/>
        <v>30.740000000000002</v>
      </c>
      <c r="E4" s="8">
        <v>37</v>
      </c>
      <c r="F4" s="5">
        <v>26</v>
      </c>
      <c r="G4" s="5">
        <v>321</v>
      </c>
      <c r="H4" s="5">
        <v>2</v>
      </c>
      <c r="I4" s="5">
        <v>1</v>
      </c>
      <c r="J4" s="9">
        <v>0</v>
      </c>
      <c r="K4" s="8">
        <v>9</v>
      </c>
      <c r="L4" s="5">
        <v>59</v>
      </c>
      <c r="M4" s="5">
        <v>1</v>
      </c>
      <c r="N4" s="9">
        <v>0</v>
      </c>
      <c r="O4" s="8">
        <v>0</v>
      </c>
      <c r="P4" s="5">
        <v>0</v>
      </c>
      <c r="Q4" s="5">
        <v>0</v>
      </c>
      <c r="R4" s="9">
        <v>0</v>
      </c>
      <c r="S4" s="8">
        <v>0</v>
      </c>
      <c r="T4" s="9">
        <v>0</v>
      </c>
    </row>
    <row r="5" spans="1:20" x14ac:dyDescent="0.2">
      <c r="A5" s="5" t="s">
        <v>170</v>
      </c>
      <c r="B5" s="5" t="s">
        <v>162</v>
      </c>
      <c r="C5" s="10" t="s">
        <v>323</v>
      </c>
      <c r="D5" s="7">
        <f t="shared" si="0"/>
        <v>30.1</v>
      </c>
      <c r="E5" s="8">
        <v>0</v>
      </c>
      <c r="F5" s="5">
        <v>0</v>
      </c>
      <c r="G5" s="5">
        <v>0</v>
      </c>
      <c r="H5" s="5">
        <v>0</v>
      </c>
      <c r="I5" s="5">
        <v>0</v>
      </c>
      <c r="J5" s="9">
        <v>0</v>
      </c>
      <c r="K5" s="8">
        <v>2</v>
      </c>
      <c r="L5" s="5">
        <v>4</v>
      </c>
      <c r="M5" s="5">
        <v>0</v>
      </c>
      <c r="N5" s="9">
        <v>0</v>
      </c>
      <c r="O5" s="8">
        <v>15</v>
      </c>
      <c r="P5" s="5">
        <v>147</v>
      </c>
      <c r="Q5" s="5">
        <v>0</v>
      </c>
      <c r="R5" s="9">
        <v>0</v>
      </c>
      <c r="S5" s="8">
        <v>0</v>
      </c>
      <c r="T5" s="9">
        <v>0</v>
      </c>
    </row>
    <row r="6" spans="1:20" x14ac:dyDescent="0.2">
      <c r="A6" s="5" t="s">
        <v>175</v>
      </c>
      <c r="B6" s="5" t="s">
        <v>162</v>
      </c>
      <c r="C6" s="10" t="s">
        <v>324</v>
      </c>
      <c r="D6" s="7">
        <f t="shared" si="0"/>
        <v>29.1</v>
      </c>
      <c r="E6" s="8">
        <v>0</v>
      </c>
      <c r="F6" s="5">
        <v>0</v>
      </c>
      <c r="G6" s="5">
        <v>0</v>
      </c>
      <c r="H6" s="5">
        <v>0</v>
      </c>
      <c r="I6" s="5">
        <v>0</v>
      </c>
      <c r="J6" s="9">
        <v>0</v>
      </c>
      <c r="K6" s="8">
        <v>0</v>
      </c>
      <c r="L6" s="5">
        <v>0</v>
      </c>
      <c r="M6" s="5">
        <v>0</v>
      </c>
      <c r="N6" s="9">
        <v>0</v>
      </c>
      <c r="O6" s="8">
        <v>6</v>
      </c>
      <c r="P6" s="5">
        <v>171</v>
      </c>
      <c r="Q6" s="5">
        <v>1</v>
      </c>
      <c r="R6" s="9">
        <v>0</v>
      </c>
      <c r="S6" s="8">
        <v>0</v>
      </c>
      <c r="T6" s="9">
        <v>0</v>
      </c>
    </row>
    <row r="7" spans="1:20" x14ac:dyDescent="0.2">
      <c r="A7" s="5" t="s">
        <v>93</v>
      </c>
      <c r="B7" s="5" t="s">
        <v>75</v>
      </c>
      <c r="C7" s="17" t="s">
        <v>325</v>
      </c>
      <c r="D7" s="7">
        <f t="shared" si="0"/>
        <v>28.900000000000002</v>
      </c>
      <c r="E7" s="8">
        <v>0</v>
      </c>
      <c r="F7" s="5">
        <v>0</v>
      </c>
      <c r="G7" s="5">
        <v>0</v>
      </c>
      <c r="H7" s="5">
        <v>0</v>
      </c>
      <c r="I7" s="5">
        <v>0</v>
      </c>
      <c r="J7" s="9">
        <v>0</v>
      </c>
      <c r="K7" s="8">
        <v>18</v>
      </c>
      <c r="L7" s="5">
        <v>87</v>
      </c>
      <c r="M7" s="5">
        <v>2</v>
      </c>
      <c r="N7" s="9">
        <v>1</v>
      </c>
      <c r="O7" s="8">
        <v>2</v>
      </c>
      <c r="P7" s="5">
        <v>42</v>
      </c>
      <c r="Q7" s="5">
        <v>0</v>
      </c>
      <c r="R7" s="9">
        <v>0</v>
      </c>
      <c r="S7" s="8">
        <v>0</v>
      </c>
      <c r="T7" s="9">
        <v>0</v>
      </c>
    </row>
    <row r="8" spans="1:20" x14ac:dyDescent="0.2">
      <c r="A8" s="5" t="s">
        <v>326</v>
      </c>
      <c r="B8" s="5" t="s">
        <v>162</v>
      </c>
      <c r="C8" s="10" t="s">
        <v>327</v>
      </c>
      <c r="D8" s="7">
        <f t="shared" si="0"/>
        <v>28.9</v>
      </c>
      <c r="E8" s="8">
        <v>0</v>
      </c>
      <c r="F8" s="5">
        <v>0</v>
      </c>
      <c r="G8" s="5">
        <v>0</v>
      </c>
      <c r="H8" s="5">
        <v>0</v>
      </c>
      <c r="I8" s="5">
        <v>0</v>
      </c>
      <c r="J8" s="9">
        <v>0</v>
      </c>
      <c r="K8" s="8">
        <v>0</v>
      </c>
      <c r="L8" s="5">
        <v>0</v>
      </c>
      <c r="M8" s="5">
        <v>0</v>
      </c>
      <c r="N8" s="9">
        <v>0</v>
      </c>
      <c r="O8" s="8">
        <v>8</v>
      </c>
      <c r="P8" s="5">
        <v>89</v>
      </c>
      <c r="Q8" s="5">
        <v>2</v>
      </c>
      <c r="R8" s="9">
        <v>0</v>
      </c>
      <c r="S8" s="8">
        <v>0</v>
      </c>
      <c r="T8" s="9">
        <v>0</v>
      </c>
    </row>
    <row r="9" spans="1:20" x14ac:dyDescent="0.2">
      <c r="A9" s="5" t="s">
        <v>30</v>
      </c>
      <c r="B9" s="5" t="s">
        <v>17</v>
      </c>
      <c r="C9" s="17" t="s">
        <v>328</v>
      </c>
      <c r="D9" s="7">
        <f t="shared" si="0"/>
        <v>28.560000000000002</v>
      </c>
      <c r="E9" s="8">
        <v>44</v>
      </c>
      <c r="F9" s="5">
        <v>31</v>
      </c>
      <c r="G9" s="5">
        <v>364</v>
      </c>
      <c r="H9" s="5">
        <v>4</v>
      </c>
      <c r="I9" s="5">
        <v>0</v>
      </c>
      <c r="J9" s="9">
        <v>0</v>
      </c>
      <c r="K9" s="8">
        <v>0</v>
      </c>
      <c r="L9" s="5">
        <v>0</v>
      </c>
      <c r="M9" s="5">
        <v>0</v>
      </c>
      <c r="N9" s="9">
        <v>0</v>
      </c>
      <c r="O9" s="8">
        <v>0</v>
      </c>
      <c r="P9" s="5">
        <v>0</v>
      </c>
      <c r="Q9" s="5">
        <v>0</v>
      </c>
      <c r="R9" s="9">
        <v>0</v>
      </c>
      <c r="S9" s="8">
        <v>1</v>
      </c>
      <c r="T9" s="9">
        <v>0</v>
      </c>
    </row>
    <row r="10" spans="1:20" x14ac:dyDescent="0.2">
      <c r="A10" s="5" t="s">
        <v>83</v>
      </c>
      <c r="B10" s="5" t="s">
        <v>75</v>
      </c>
      <c r="C10" s="10" t="s">
        <v>323</v>
      </c>
      <c r="D10" s="7">
        <f t="shared" si="0"/>
        <v>28</v>
      </c>
      <c r="E10" s="8">
        <v>0</v>
      </c>
      <c r="F10" s="5">
        <v>0</v>
      </c>
      <c r="G10" s="5">
        <v>0</v>
      </c>
      <c r="H10" s="5">
        <v>0</v>
      </c>
      <c r="I10" s="5">
        <v>0</v>
      </c>
      <c r="J10" s="9">
        <v>0</v>
      </c>
      <c r="K10" s="8">
        <v>14</v>
      </c>
      <c r="L10" s="5">
        <v>52</v>
      </c>
      <c r="M10" s="5">
        <v>1</v>
      </c>
      <c r="N10" s="9">
        <v>0</v>
      </c>
      <c r="O10" s="8">
        <v>6</v>
      </c>
      <c r="P10" s="5">
        <v>48</v>
      </c>
      <c r="Q10" s="5">
        <v>1</v>
      </c>
      <c r="R10" s="9">
        <v>0</v>
      </c>
      <c r="S10" s="8">
        <v>0</v>
      </c>
      <c r="T10" s="9">
        <v>0</v>
      </c>
    </row>
    <row r="11" spans="1:20" x14ac:dyDescent="0.2">
      <c r="A11" s="5" t="s">
        <v>183</v>
      </c>
      <c r="B11" s="5" t="s">
        <v>162</v>
      </c>
      <c r="C11" s="10" t="s">
        <v>329</v>
      </c>
      <c r="D11" s="7">
        <f t="shared" si="0"/>
        <v>27.6</v>
      </c>
      <c r="E11" s="8">
        <v>0</v>
      </c>
      <c r="F11" s="5">
        <v>0</v>
      </c>
      <c r="G11" s="5">
        <v>0</v>
      </c>
      <c r="H11" s="5">
        <v>0</v>
      </c>
      <c r="I11" s="5">
        <v>0</v>
      </c>
      <c r="J11" s="9">
        <v>0</v>
      </c>
      <c r="K11" s="8">
        <v>0</v>
      </c>
      <c r="L11" s="5">
        <v>0</v>
      </c>
      <c r="M11" s="5">
        <v>0</v>
      </c>
      <c r="N11" s="9">
        <v>0</v>
      </c>
      <c r="O11" s="8">
        <v>7</v>
      </c>
      <c r="P11" s="5">
        <v>146</v>
      </c>
      <c r="Q11" s="5">
        <v>1</v>
      </c>
      <c r="R11" s="9">
        <v>0</v>
      </c>
      <c r="S11" s="8">
        <v>0</v>
      </c>
      <c r="T11" s="9">
        <v>0</v>
      </c>
    </row>
    <row r="12" spans="1:20" x14ac:dyDescent="0.2">
      <c r="A12" s="5" t="s">
        <v>101</v>
      </c>
      <c r="B12" s="5" t="s">
        <v>75</v>
      </c>
      <c r="C12" s="17" t="s">
        <v>322</v>
      </c>
      <c r="D12" s="7">
        <f t="shared" si="0"/>
        <v>27.200000000000003</v>
      </c>
      <c r="E12" s="8">
        <v>0</v>
      </c>
      <c r="F12" s="5">
        <v>0</v>
      </c>
      <c r="G12" s="5">
        <v>0</v>
      </c>
      <c r="H12" s="5">
        <v>0</v>
      </c>
      <c r="I12" s="5">
        <v>0</v>
      </c>
      <c r="J12" s="9">
        <v>0</v>
      </c>
      <c r="K12" s="8">
        <v>17</v>
      </c>
      <c r="L12" s="5">
        <v>63</v>
      </c>
      <c r="M12" s="5">
        <v>1</v>
      </c>
      <c r="N12" s="9">
        <v>0</v>
      </c>
      <c r="O12" s="8">
        <v>6</v>
      </c>
      <c r="P12" s="5">
        <v>29</v>
      </c>
      <c r="Q12" s="5">
        <v>1</v>
      </c>
      <c r="R12" s="9">
        <v>0</v>
      </c>
      <c r="S12" s="8">
        <v>0</v>
      </c>
      <c r="T12" s="9">
        <v>0</v>
      </c>
    </row>
    <row r="13" spans="1:20" x14ac:dyDescent="0.2">
      <c r="A13" s="5" t="s">
        <v>152</v>
      </c>
      <c r="B13" s="5" t="s">
        <v>75</v>
      </c>
      <c r="C13" s="10" t="s">
        <v>328</v>
      </c>
      <c r="D13" s="7">
        <f t="shared" si="0"/>
        <v>27.1</v>
      </c>
      <c r="E13" s="8">
        <v>0</v>
      </c>
      <c r="F13" s="5">
        <v>0</v>
      </c>
      <c r="G13" s="5">
        <v>0</v>
      </c>
      <c r="H13" s="5">
        <v>0</v>
      </c>
      <c r="I13" s="5">
        <v>0</v>
      </c>
      <c r="J13" s="9">
        <v>0</v>
      </c>
      <c r="K13" s="8">
        <v>28</v>
      </c>
      <c r="L13" s="5">
        <v>175</v>
      </c>
      <c r="M13" s="5">
        <v>1</v>
      </c>
      <c r="N13" s="9">
        <v>0</v>
      </c>
      <c r="O13" s="8">
        <v>3</v>
      </c>
      <c r="P13" s="5">
        <v>6</v>
      </c>
      <c r="Q13" s="5">
        <v>0</v>
      </c>
      <c r="R13" s="9">
        <v>0</v>
      </c>
      <c r="S13" s="8">
        <v>0</v>
      </c>
      <c r="T13" s="9">
        <v>0</v>
      </c>
    </row>
    <row r="14" spans="1:20" x14ac:dyDescent="0.2">
      <c r="A14" s="5" t="s">
        <v>38</v>
      </c>
      <c r="B14" s="5" t="s">
        <v>17</v>
      </c>
      <c r="C14" s="10" t="s">
        <v>325</v>
      </c>
      <c r="D14" s="7">
        <f t="shared" si="0"/>
        <v>25.92</v>
      </c>
      <c r="E14" s="8">
        <v>32</v>
      </c>
      <c r="F14" s="5">
        <v>18</v>
      </c>
      <c r="G14" s="5">
        <v>308</v>
      </c>
      <c r="H14" s="5">
        <v>3</v>
      </c>
      <c r="I14" s="5">
        <v>1</v>
      </c>
      <c r="J14" s="9">
        <v>0</v>
      </c>
      <c r="K14" s="8">
        <v>6</v>
      </c>
      <c r="L14" s="5">
        <v>56</v>
      </c>
      <c r="M14" s="5">
        <v>0</v>
      </c>
      <c r="N14" s="9">
        <v>0</v>
      </c>
      <c r="O14" s="8">
        <v>0</v>
      </c>
      <c r="P14" s="5">
        <v>0</v>
      </c>
      <c r="Q14" s="5">
        <v>0</v>
      </c>
      <c r="R14" s="9">
        <v>0</v>
      </c>
      <c r="S14" s="8">
        <v>1</v>
      </c>
      <c r="T14" s="9">
        <v>0</v>
      </c>
    </row>
    <row r="15" spans="1:20" x14ac:dyDescent="0.2">
      <c r="A15" s="5" t="s">
        <v>241</v>
      </c>
      <c r="B15" s="5" t="s">
        <v>162</v>
      </c>
      <c r="C15" s="17" t="s">
        <v>330</v>
      </c>
      <c r="D15" s="7">
        <f t="shared" si="0"/>
        <v>25.9</v>
      </c>
      <c r="E15" s="8">
        <v>0</v>
      </c>
      <c r="F15" s="5">
        <v>0</v>
      </c>
      <c r="G15" s="5">
        <v>0</v>
      </c>
      <c r="H15" s="5">
        <v>0</v>
      </c>
      <c r="I15" s="5">
        <v>0</v>
      </c>
      <c r="J15" s="9">
        <v>0</v>
      </c>
      <c r="K15" s="8">
        <v>0</v>
      </c>
      <c r="L15" s="5">
        <v>0</v>
      </c>
      <c r="M15" s="5">
        <v>0</v>
      </c>
      <c r="N15" s="9">
        <v>0</v>
      </c>
      <c r="O15" s="8">
        <v>8</v>
      </c>
      <c r="P15" s="5">
        <v>59</v>
      </c>
      <c r="Q15" s="5">
        <v>2</v>
      </c>
      <c r="R15" s="9">
        <v>0</v>
      </c>
      <c r="S15" s="8">
        <v>0</v>
      </c>
      <c r="T15" s="9">
        <v>0</v>
      </c>
    </row>
    <row r="16" spans="1:20" x14ac:dyDescent="0.2">
      <c r="A16" s="5" t="s">
        <v>92</v>
      </c>
      <c r="B16" s="5" t="s">
        <v>75</v>
      </c>
      <c r="C16" s="17" t="s">
        <v>331</v>
      </c>
      <c r="D16" s="7">
        <f t="shared" si="0"/>
        <v>25.700000000000003</v>
      </c>
      <c r="E16" s="8">
        <v>0</v>
      </c>
      <c r="F16" s="5">
        <v>0</v>
      </c>
      <c r="G16" s="5">
        <v>0</v>
      </c>
      <c r="H16" s="5">
        <v>0</v>
      </c>
      <c r="I16" s="5">
        <v>0</v>
      </c>
      <c r="J16" s="9">
        <v>0</v>
      </c>
      <c r="K16" s="8">
        <v>18</v>
      </c>
      <c r="L16" s="5">
        <v>121</v>
      </c>
      <c r="M16" s="5">
        <v>2</v>
      </c>
      <c r="N16" s="9">
        <v>0</v>
      </c>
      <c r="O16" s="8">
        <v>1</v>
      </c>
      <c r="P16" s="5">
        <v>6</v>
      </c>
      <c r="Q16" s="5">
        <v>0</v>
      </c>
      <c r="R16" s="9">
        <v>0</v>
      </c>
      <c r="S16" s="8">
        <v>0</v>
      </c>
      <c r="T16" s="9">
        <v>0</v>
      </c>
    </row>
    <row r="17" spans="1:20" x14ac:dyDescent="0.2">
      <c r="A17" s="5" t="s">
        <v>273</v>
      </c>
      <c r="B17" s="5" t="s">
        <v>69</v>
      </c>
      <c r="C17" s="17" t="s">
        <v>328</v>
      </c>
      <c r="D17" s="7">
        <f t="shared" si="0"/>
        <v>25.6</v>
      </c>
      <c r="E17" s="8">
        <v>0</v>
      </c>
      <c r="F17" s="5">
        <v>0</v>
      </c>
      <c r="G17" s="5">
        <v>0</v>
      </c>
      <c r="H17" s="5">
        <v>0</v>
      </c>
      <c r="I17" s="5">
        <v>0</v>
      </c>
      <c r="J17" s="9">
        <v>0</v>
      </c>
      <c r="K17" s="8">
        <v>0</v>
      </c>
      <c r="L17" s="5">
        <v>0</v>
      </c>
      <c r="M17" s="5">
        <v>0</v>
      </c>
      <c r="N17" s="9">
        <v>0</v>
      </c>
      <c r="O17" s="8">
        <v>7</v>
      </c>
      <c r="P17" s="5">
        <v>66</v>
      </c>
      <c r="Q17" s="5">
        <v>2</v>
      </c>
      <c r="R17" s="9">
        <v>0</v>
      </c>
      <c r="S17" s="8">
        <v>0</v>
      </c>
      <c r="T17" s="9">
        <v>0</v>
      </c>
    </row>
    <row r="18" spans="1:20" x14ac:dyDescent="0.2">
      <c r="A18" s="5" t="s">
        <v>192</v>
      </c>
      <c r="B18" s="5" t="s">
        <v>162</v>
      </c>
      <c r="C18" s="10" t="s">
        <v>332</v>
      </c>
      <c r="D18" s="7">
        <f t="shared" si="0"/>
        <v>25.3</v>
      </c>
      <c r="E18" s="8">
        <v>0</v>
      </c>
      <c r="F18" s="5">
        <v>0</v>
      </c>
      <c r="G18" s="5">
        <v>0</v>
      </c>
      <c r="H18" s="5">
        <v>0</v>
      </c>
      <c r="I18" s="5">
        <v>0</v>
      </c>
      <c r="J18" s="9">
        <v>0</v>
      </c>
      <c r="K18" s="8">
        <v>0</v>
      </c>
      <c r="L18" s="5">
        <v>0</v>
      </c>
      <c r="M18" s="5">
        <v>0</v>
      </c>
      <c r="N18" s="9">
        <v>0</v>
      </c>
      <c r="O18" s="8">
        <v>11</v>
      </c>
      <c r="P18" s="5">
        <v>143</v>
      </c>
      <c r="Q18" s="5">
        <v>0</v>
      </c>
      <c r="R18" s="9">
        <v>0</v>
      </c>
      <c r="S18" s="8">
        <v>0</v>
      </c>
      <c r="T18" s="9">
        <v>0</v>
      </c>
    </row>
    <row r="19" spans="1:20" x14ac:dyDescent="0.2">
      <c r="A19" s="5" t="s">
        <v>63</v>
      </c>
      <c r="B19" s="5" t="s">
        <v>17</v>
      </c>
      <c r="C19" s="17" t="s">
        <v>322</v>
      </c>
      <c r="D19" s="7">
        <f t="shared" si="0"/>
        <v>25.220000000000002</v>
      </c>
      <c r="E19" s="8">
        <v>31</v>
      </c>
      <c r="F19" s="5">
        <v>21</v>
      </c>
      <c r="G19" s="5">
        <v>228</v>
      </c>
      <c r="H19" s="5">
        <v>1</v>
      </c>
      <c r="I19" s="5">
        <v>0</v>
      </c>
      <c r="J19" s="9">
        <v>0</v>
      </c>
      <c r="K19" s="8">
        <v>3</v>
      </c>
      <c r="L19" s="5">
        <v>41</v>
      </c>
      <c r="M19" s="5">
        <v>1</v>
      </c>
      <c r="N19" s="9">
        <v>1</v>
      </c>
      <c r="O19" s="8">
        <v>0</v>
      </c>
      <c r="P19" s="5">
        <v>0</v>
      </c>
      <c r="Q19" s="5">
        <v>0</v>
      </c>
      <c r="R19" s="9">
        <v>0</v>
      </c>
      <c r="S19" s="8">
        <v>0</v>
      </c>
      <c r="T19" s="9">
        <v>0</v>
      </c>
    </row>
    <row r="20" spans="1:20" x14ac:dyDescent="0.2">
      <c r="A20" s="5" t="s">
        <v>45</v>
      </c>
      <c r="B20" s="5" t="s">
        <v>17</v>
      </c>
      <c r="C20" s="10" t="s">
        <v>328</v>
      </c>
      <c r="D20" s="7">
        <f t="shared" si="0"/>
        <v>25.22</v>
      </c>
      <c r="E20" s="8">
        <v>23</v>
      </c>
      <c r="F20" s="5">
        <v>18</v>
      </c>
      <c r="G20" s="5">
        <v>193</v>
      </c>
      <c r="H20" s="5">
        <v>1</v>
      </c>
      <c r="I20" s="5">
        <v>1</v>
      </c>
      <c r="J20" s="9">
        <v>0</v>
      </c>
      <c r="K20" s="8">
        <v>12</v>
      </c>
      <c r="L20" s="5">
        <v>35</v>
      </c>
      <c r="M20" s="5">
        <v>2</v>
      </c>
      <c r="N20" s="9">
        <v>0</v>
      </c>
      <c r="O20" s="8">
        <v>0</v>
      </c>
      <c r="P20" s="5">
        <v>0</v>
      </c>
      <c r="Q20" s="5">
        <v>0</v>
      </c>
      <c r="R20" s="9">
        <v>0</v>
      </c>
      <c r="S20" s="8">
        <v>0</v>
      </c>
      <c r="T20" s="9">
        <v>0</v>
      </c>
    </row>
    <row r="21" spans="1:20" x14ac:dyDescent="0.2">
      <c r="A21" s="5" t="s">
        <v>167</v>
      </c>
      <c r="B21" s="5" t="s">
        <v>162</v>
      </c>
      <c r="C21" s="17" t="s">
        <v>328</v>
      </c>
      <c r="D21" s="7">
        <f t="shared" si="0"/>
        <v>24.9</v>
      </c>
      <c r="E21" s="8">
        <v>0</v>
      </c>
      <c r="F21" s="5">
        <v>0</v>
      </c>
      <c r="G21" s="5">
        <v>0</v>
      </c>
      <c r="H21" s="5">
        <v>0</v>
      </c>
      <c r="I21" s="5">
        <v>0</v>
      </c>
      <c r="J21" s="9">
        <v>0</v>
      </c>
      <c r="K21" s="8">
        <v>0</v>
      </c>
      <c r="L21" s="5">
        <v>0</v>
      </c>
      <c r="M21" s="5">
        <v>0</v>
      </c>
      <c r="N21" s="9">
        <v>0</v>
      </c>
      <c r="O21" s="8">
        <v>11</v>
      </c>
      <c r="P21" s="5">
        <v>159</v>
      </c>
      <c r="Q21" s="5">
        <v>0</v>
      </c>
      <c r="R21" s="9">
        <v>0</v>
      </c>
      <c r="S21" s="8">
        <v>1</v>
      </c>
      <c r="T21" s="9">
        <v>0</v>
      </c>
    </row>
    <row r="22" spans="1:20" x14ac:dyDescent="0.2">
      <c r="A22" s="5" t="s">
        <v>136</v>
      </c>
      <c r="B22" s="5" t="s">
        <v>75</v>
      </c>
      <c r="C22" s="17" t="s">
        <v>333</v>
      </c>
      <c r="D22" s="7">
        <f t="shared" si="0"/>
        <v>24.1</v>
      </c>
      <c r="E22" s="8">
        <v>0</v>
      </c>
      <c r="F22" s="5">
        <v>0</v>
      </c>
      <c r="G22" s="5">
        <v>0</v>
      </c>
      <c r="H22" s="5">
        <v>0</v>
      </c>
      <c r="I22" s="5">
        <v>0</v>
      </c>
      <c r="J22" s="9">
        <v>0</v>
      </c>
      <c r="K22" s="8">
        <v>16</v>
      </c>
      <c r="L22" s="5">
        <v>106</v>
      </c>
      <c r="M22" s="5">
        <v>0</v>
      </c>
      <c r="N22" s="9">
        <v>1</v>
      </c>
      <c r="O22" s="8">
        <v>3</v>
      </c>
      <c r="P22" s="5">
        <v>25</v>
      </c>
      <c r="Q22" s="5">
        <v>1</v>
      </c>
      <c r="R22" s="9">
        <v>0</v>
      </c>
      <c r="S22" s="8">
        <v>0</v>
      </c>
      <c r="T22" s="9">
        <v>0</v>
      </c>
    </row>
    <row r="23" spans="1:20" x14ac:dyDescent="0.2">
      <c r="A23" s="5" t="s">
        <v>48</v>
      </c>
      <c r="B23" s="5" t="s">
        <v>17</v>
      </c>
      <c r="C23" s="10" t="s">
        <v>334</v>
      </c>
      <c r="D23" s="7">
        <f t="shared" si="0"/>
        <v>23.66</v>
      </c>
      <c r="E23" s="8">
        <v>37</v>
      </c>
      <c r="F23" s="5">
        <v>31</v>
      </c>
      <c r="G23" s="5">
        <v>274</v>
      </c>
      <c r="H23" s="5">
        <v>3</v>
      </c>
      <c r="I23" s="5">
        <v>0</v>
      </c>
      <c r="J23" s="9">
        <v>0</v>
      </c>
      <c r="K23" s="8">
        <v>3</v>
      </c>
      <c r="L23" s="5">
        <v>7</v>
      </c>
      <c r="M23" s="5">
        <v>0</v>
      </c>
      <c r="N23" s="9">
        <v>0</v>
      </c>
      <c r="O23" s="8">
        <v>0</v>
      </c>
      <c r="P23" s="5">
        <v>0</v>
      </c>
      <c r="Q23" s="5">
        <v>0</v>
      </c>
      <c r="R23" s="9">
        <v>0</v>
      </c>
      <c r="S23" s="8">
        <v>0</v>
      </c>
      <c r="T23" s="9">
        <v>0</v>
      </c>
    </row>
    <row r="24" spans="1:20" x14ac:dyDescent="0.2">
      <c r="A24" s="5" t="s">
        <v>191</v>
      </c>
      <c r="B24" s="5" t="s">
        <v>162</v>
      </c>
      <c r="C24" s="10" t="s">
        <v>330</v>
      </c>
      <c r="D24" s="7">
        <f t="shared" si="0"/>
        <v>23.6</v>
      </c>
      <c r="E24" s="8">
        <v>0</v>
      </c>
      <c r="F24" s="5">
        <v>0</v>
      </c>
      <c r="G24" s="5">
        <v>0</v>
      </c>
      <c r="H24" s="5">
        <v>0</v>
      </c>
      <c r="I24" s="5">
        <v>0</v>
      </c>
      <c r="J24" s="9">
        <v>0</v>
      </c>
      <c r="K24" s="8">
        <v>0</v>
      </c>
      <c r="L24" s="5">
        <v>0</v>
      </c>
      <c r="M24" s="5">
        <v>0</v>
      </c>
      <c r="N24" s="9">
        <v>0</v>
      </c>
      <c r="O24" s="8">
        <v>5</v>
      </c>
      <c r="P24" s="5">
        <v>66</v>
      </c>
      <c r="Q24" s="5">
        <v>2</v>
      </c>
      <c r="R24" s="9">
        <v>0</v>
      </c>
      <c r="S24" s="8">
        <v>0</v>
      </c>
      <c r="T24" s="9">
        <v>0</v>
      </c>
    </row>
    <row r="25" spans="1:20" x14ac:dyDescent="0.2">
      <c r="A25" s="5" t="s">
        <v>55</v>
      </c>
      <c r="B25" s="5" t="s">
        <v>17</v>
      </c>
      <c r="C25" s="17" t="s">
        <v>330</v>
      </c>
      <c r="D25" s="7">
        <f t="shared" si="0"/>
        <v>23.12</v>
      </c>
      <c r="E25" s="8">
        <v>41</v>
      </c>
      <c r="F25" s="5">
        <v>32</v>
      </c>
      <c r="G25" s="5">
        <v>328</v>
      </c>
      <c r="H25" s="5">
        <v>2</v>
      </c>
      <c r="I25" s="5">
        <v>0</v>
      </c>
      <c r="J25" s="9">
        <v>0</v>
      </c>
      <c r="K25" s="8">
        <v>3</v>
      </c>
      <c r="L25" s="5">
        <v>20</v>
      </c>
      <c r="M25" s="5">
        <v>0</v>
      </c>
      <c r="N25" s="9">
        <v>0</v>
      </c>
      <c r="O25" s="8">
        <v>0</v>
      </c>
      <c r="P25" s="5">
        <v>0</v>
      </c>
      <c r="Q25" s="5">
        <v>0</v>
      </c>
      <c r="R25" s="9">
        <v>0</v>
      </c>
      <c r="S25" s="8">
        <v>0</v>
      </c>
      <c r="T25" s="9">
        <v>0</v>
      </c>
    </row>
    <row r="26" spans="1:20" x14ac:dyDescent="0.2">
      <c r="A26" s="5" t="s">
        <v>177</v>
      </c>
      <c r="B26" s="5" t="s">
        <v>162</v>
      </c>
      <c r="C26" s="10" t="s">
        <v>328</v>
      </c>
      <c r="D26" s="7">
        <f t="shared" si="0"/>
        <v>23.1</v>
      </c>
      <c r="E26" s="8">
        <v>0</v>
      </c>
      <c r="F26" s="5">
        <v>0</v>
      </c>
      <c r="G26" s="5">
        <v>0</v>
      </c>
      <c r="H26" s="5">
        <v>0</v>
      </c>
      <c r="I26" s="5">
        <v>0</v>
      </c>
      <c r="J26" s="9">
        <v>0</v>
      </c>
      <c r="K26" s="8">
        <v>0</v>
      </c>
      <c r="L26" s="5">
        <v>0</v>
      </c>
      <c r="M26" s="5">
        <v>0</v>
      </c>
      <c r="N26" s="9">
        <v>0</v>
      </c>
      <c r="O26" s="8">
        <v>4</v>
      </c>
      <c r="P26" s="5">
        <v>131</v>
      </c>
      <c r="Q26" s="5">
        <v>1</v>
      </c>
      <c r="R26" s="9">
        <v>0</v>
      </c>
      <c r="S26" s="8">
        <v>0</v>
      </c>
      <c r="T26" s="9">
        <v>0</v>
      </c>
    </row>
    <row r="27" spans="1:20" x14ac:dyDescent="0.2">
      <c r="A27" s="5" t="s">
        <v>44</v>
      </c>
      <c r="B27" s="5" t="s">
        <v>17</v>
      </c>
      <c r="C27" s="10" t="s">
        <v>330</v>
      </c>
      <c r="D27" s="7">
        <f t="shared" si="0"/>
        <v>22.92</v>
      </c>
      <c r="E27" s="8">
        <v>35</v>
      </c>
      <c r="F27" s="5">
        <v>28</v>
      </c>
      <c r="G27" s="5">
        <v>323</v>
      </c>
      <c r="H27" s="5">
        <v>3</v>
      </c>
      <c r="I27" s="5">
        <v>1</v>
      </c>
      <c r="J27" s="9">
        <v>0</v>
      </c>
      <c r="K27" s="8">
        <v>0</v>
      </c>
      <c r="L27" s="5">
        <v>0</v>
      </c>
      <c r="M27" s="5">
        <v>0</v>
      </c>
      <c r="N27" s="9">
        <v>0</v>
      </c>
      <c r="O27" s="8">
        <v>0</v>
      </c>
      <c r="P27" s="5">
        <v>0</v>
      </c>
      <c r="Q27" s="5">
        <v>0</v>
      </c>
      <c r="R27" s="9">
        <v>0</v>
      </c>
      <c r="S27" s="8">
        <v>0</v>
      </c>
      <c r="T27" s="9">
        <v>0</v>
      </c>
    </row>
    <row r="28" spans="1:20" x14ac:dyDescent="0.2">
      <c r="A28" s="5" t="s">
        <v>58</v>
      </c>
      <c r="B28" s="5" t="s">
        <v>17</v>
      </c>
      <c r="C28" s="17" t="s">
        <v>327</v>
      </c>
      <c r="D28" s="7">
        <f t="shared" si="0"/>
        <v>22.880000000000003</v>
      </c>
      <c r="E28" s="8">
        <v>33</v>
      </c>
      <c r="F28" s="5">
        <v>24</v>
      </c>
      <c r="G28" s="5">
        <v>237</v>
      </c>
      <c r="H28" s="5">
        <v>2</v>
      </c>
      <c r="I28" s="5">
        <v>0</v>
      </c>
      <c r="J28" s="9">
        <v>0</v>
      </c>
      <c r="K28" s="8">
        <v>12</v>
      </c>
      <c r="L28" s="5">
        <v>54</v>
      </c>
      <c r="M28" s="5">
        <v>0</v>
      </c>
      <c r="N28" s="9">
        <v>0</v>
      </c>
      <c r="O28" s="8">
        <v>0</v>
      </c>
      <c r="P28" s="5">
        <v>0</v>
      </c>
      <c r="Q28" s="5">
        <v>0</v>
      </c>
      <c r="R28" s="9">
        <v>0</v>
      </c>
      <c r="S28" s="8">
        <v>0</v>
      </c>
      <c r="T28" s="9">
        <v>0</v>
      </c>
    </row>
    <row r="29" spans="1:20" x14ac:dyDescent="0.2">
      <c r="A29" s="5" t="s">
        <v>210</v>
      </c>
      <c r="B29" s="5" t="s">
        <v>162</v>
      </c>
      <c r="C29" s="10" t="s">
        <v>333</v>
      </c>
      <c r="D29" s="7">
        <f t="shared" si="0"/>
        <v>22.700000000000003</v>
      </c>
      <c r="E29" s="8">
        <v>0</v>
      </c>
      <c r="F29" s="5">
        <v>0</v>
      </c>
      <c r="G29" s="5">
        <v>0</v>
      </c>
      <c r="H29" s="5">
        <v>0</v>
      </c>
      <c r="I29" s="5">
        <v>0</v>
      </c>
      <c r="J29" s="9">
        <v>0</v>
      </c>
      <c r="K29" s="8">
        <v>0</v>
      </c>
      <c r="L29" s="5">
        <v>0</v>
      </c>
      <c r="M29" s="5">
        <v>0</v>
      </c>
      <c r="N29" s="9">
        <v>0</v>
      </c>
      <c r="O29" s="8">
        <v>4</v>
      </c>
      <c r="P29" s="5">
        <v>127</v>
      </c>
      <c r="Q29" s="5">
        <v>1</v>
      </c>
      <c r="R29" s="9">
        <v>0</v>
      </c>
      <c r="S29" s="8">
        <v>0</v>
      </c>
      <c r="T29" s="9">
        <v>0</v>
      </c>
    </row>
    <row r="30" spans="1:20" x14ac:dyDescent="0.2">
      <c r="A30" s="5" t="s">
        <v>77</v>
      </c>
      <c r="B30" s="5" t="s">
        <v>75</v>
      </c>
      <c r="C30" s="17" t="s">
        <v>323</v>
      </c>
      <c r="D30" s="7">
        <f t="shared" si="0"/>
        <v>22.5</v>
      </c>
      <c r="E30" s="8">
        <v>0</v>
      </c>
      <c r="F30" s="5">
        <v>0</v>
      </c>
      <c r="G30" s="5">
        <v>0</v>
      </c>
      <c r="H30" s="5">
        <v>0</v>
      </c>
      <c r="I30" s="5">
        <v>0</v>
      </c>
      <c r="J30" s="9">
        <v>0</v>
      </c>
      <c r="K30" s="8">
        <v>20</v>
      </c>
      <c r="L30" s="5">
        <v>116</v>
      </c>
      <c r="M30" s="5">
        <v>1</v>
      </c>
      <c r="N30" s="9">
        <v>0</v>
      </c>
      <c r="O30" s="8">
        <v>3</v>
      </c>
      <c r="P30" s="5">
        <v>19</v>
      </c>
      <c r="Q30" s="5">
        <v>0</v>
      </c>
      <c r="R30" s="9">
        <v>0</v>
      </c>
      <c r="S30" s="8">
        <v>0</v>
      </c>
      <c r="T30" s="9">
        <v>0</v>
      </c>
    </row>
    <row r="31" spans="1:20" x14ac:dyDescent="0.2">
      <c r="A31" s="5" t="s">
        <v>25</v>
      </c>
      <c r="B31" s="5" t="s">
        <v>17</v>
      </c>
      <c r="C31" s="17" t="s">
        <v>321</v>
      </c>
      <c r="D31" s="7">
        <f t="shared" si="0"/>
        <v>22.200000000000003</v>
      </c>
      <c r="E31" s="8">
        <v>41</v>
      </c>
      <c r="F31" s="5">
        <v>27</v>
      </c>
      <c r="G31" s="5">
        <v>305</v>
      </c>
      <c r="H31" s="5">
        <v>2</v>
      </c>
      <c r="I31" s="5">
        <v>0</v>
      </c>
      <c r="J31" s="9">
        <v>1</v>
      </c>
      <c r="K31" s="8">
        <v>1</v>
      </c>
      <c r="L31" s="5">
        <v>0</v>
      </c>
      <c r="M31" s="5">
        <v>0</v>
      </c>
      <c r="N31" s="9">
        <v>0</v>
      </c>
      <c r="O31" s="8">
        <v>0</v>
      </c>
      <c r="P31" s="5">
        <v>0</v>
      </c>
      <c r="Q31" s="5">
        <v>0</v>
      </c>
      <c r="R31" s="9">
        <v>0</v>
      </c>
      <c r="S31" s="8">
        <v>0</v>
      </c>
      <c r="T31" s="9">
        <v>0</v>
      </c>
    </row>
    <row r="32" spans="1:20" x14ac:dyDescent="0.2">
      <c r="A32" s="5" t="s">
        <v>200</v>
      </c>
      <c r="B32" s="5" t="s">
        <v>162</v>
      </c>
      <c r="C32" s="17" t="s">
        <v>323</v>
      </c>
      <c r="D32" s="7">
        <f t="shared" si="0"/>
        <v>22.1</v>
      </c>
      <c r="E32" s="8">
        <v>0</v>
      </c>
      <c r="F32" s="5">
        <v>0</v>
      </c>
      <c r="G32" s="5">
        <v>0</v>
      </c>
      <c r="H32" s="5">
        <v>0</v>
      </c>
      <c r="I32" s="5">
        <v>0</v>
      </c>
      <c r="J32" s="9">
        <v>0</v>
      </c>
      <c r="K32" s="8">
        <v>5</v>
      </c>
      <c r="L32" s="5">
        <v>38</v>
      </c>
      <c r="M32" s="5">
        <v>1</v>
      </c>
      <c r="N32" s="9">
        <v>0</v>
      </c>
      <c r="O32" s="8">
        <v>6</v>
      </c>
      <c r="P32" s="5">
        <v>63</v>
      </c>
      <c r="Q32" s="5">
        <v>0</v>
      </c>
      <c r="R32" s="9">
        <v>0</v>
      </c>
      <c r="S32" s="8">
        <v>0</v>
      </c>
      <c r="T32" s="9">
        <v>0</v>
      </c>
    </row>
    <row r="33" spans="1:20" x14ac:dyDescent="0.2">
      <c r="A33" s="5" t="s">
        <v>263</v>
      </c>
      <c r="B33" s="5" t="s">
        <v>162</v>
      </c>
      <c r="C33" s="10" t="s">
        <v>335</v>
      </c>
      <c r="D33" s="7">
        <f t="shared" si="0"/>
        <v>21.96</v>
      </c>
      <c r="E33" s="8">
        <v>1</v>
      </c>
      <c r="F33" s="5">
        <v>1</v>
      </c>
      <c r="G33" s="5">
        <v>-1</v>
      </c>
      <c r="H33" s="5">
        <v>0</v>
      </c>
      <c r="I33" s="5">
        <v>0</v>
      </c>
      <c r="J33" s="9">
        <v>0</v>
      </c>
      <c r="K33" s="8">
        <v>0</v>
      </c>
      <c r="L33" s="5">
        <v>0</v>
      </c>
      <c r="M33" s="5">
        <v>0</v>
      </c>
      <c r="N33" s="9">
        <v>0</v>
      </c>
      <c r="O33" s="8">
        <v>11</v>
      </c>
      <c r="P33" s="5">
        <v>110</v>
      </c>
      <c r="Q33" s="5">
        <v>0</v>
      </c>
      <c r="R33" s="9">
        <v>0</v>
      </c>
      <c r="S33" s="8">
        <v>0</v>
      </c>
      <c r="T33" s="9">
        <v>0</v>
      </c>
    </row>
    <row r="34" spans="1:20" x14ac:dyDescent="0.2">
      <c r="A34" s="5" t="s">
        <v>53</v>
      </c>
      <c r="B34" s="5" t="s">
        <v>17</v>
      </c>
      <c r="C34" s="10" t="s">
        <v>329</v>
      </c>
      <c r="D34" s="7">
        <f t="shared" si="0"/>
        <v>21.46</v>
      </c>
      <c r="E34" s="8">
        <v>47</v>
      </c>
      <c r="F34" s="5">
        <v>30</v>
      </c>
      <c r="G34" s="5">
        <v>384</v>
      </c>
      <c r="H34" s="5">
        <v>2</v>
      </c>
      <c r="I34" s="5">
        <v>0</v>
      </c>
      <c r="J34" s="9">
        <v>0</v>
      </c>
      <c r="K34" s="8">
        <v>3</v>
      </c>
      <c r="L34" s="5">
        <v>1</v>
      </c>
      <c r="M34" s="5">
        <v>0</v>
      </c>
      <c r="N34" s="9">
        <v>0</v>
      </c>
      <c r="O34" s="8">
        <v>0</v>
      </c>
      <c r="P34" s="5">
        <v>0</v>
      </c>
      <c r="Q34" s="5">
        <v>0</v>
      </c>
      <c r="R34" s="9">
        <v>0</v>
      </c>
      <c r="S34" s="8">
        <v>1</v>
      </c>
      <c r="T34" s="9">
        <v>0</v>
      </c>
    </row>
    <row r="35" spans="1:20" x14ac:dyDescent="0.2">
      <c r="A35" s="5" t="s">
        <v>51</v>
      </c>
      <c r="B35" s="5" t="s">
        <v>17</v>
      </c>
      <c r="C35" s="10" t="s">
        <v>336</v>
      </c>
      <c r="D35" s="7">
        <f t="shared" si="0"/>
        <v>21.380000000000003</v>
      </c>
      <c r="E35" s="8">
        <v>32</v>
      </c>
      <c r="F35" s="5">
        <v>19</v>
      </c>
      <c r="G35" s="5">
        <v>237</v>
      </c>
      <c r="H35" s="5">
        <v>1</v>
      </c>
      <c r="I35" s="5">
        <v>1</v>
      </c>
      <c r="J35" s="9">
        <v>0</v>
      </c>
      <c r="K35" s="8">
        <v>10</v>
      </c>
      <c r="L35" s="5">
        <v>39</v>
      </c>
      <c r="M35" s="5">
        <v>1</v>
      </c>
      <c r="N35" s="9">
        <v>0</v>
      </c>
      <c r="O35" s="8">
        <v>0</v>
      </c>
      <c r="P35" s="5">
        <v>0</v>
      </c>
      <c r="Q35" s="5">
        <v>0</v>
      </c>
      <c r="R35" s="9">
        <v>0</v>
      </c>
      <c r="S35" s="8">
        <v>0</v>
      </c>
      <c r="T35" s="9">
        <v>0</v>
      </c>
    </row>
    <row r="36" spans="1:20" x14ac:dyDescent="0.2">
      <c r="A36" s="5" t="s">
        <v>114</v>
      </c>
      <c r="B36" s="5" t="s">
        <v>75</v>
      </c>
      <c r="C36" s="10" t="s">
        <v>324</v>
      </c>
      <c r="D36" s="7">
        <f t="shared" si="0"/>
        <v>21.3</v>
      </c>
      <c r="E36" s="8">
        <v>0</v>
      </c>
      <c r="F36" s="5">
        <v>0</v>
      </c>
      <c r="G36" s="5">
        <v>0</v>
      </c>
      <c r="H36" s="5">
        <v>0</v>
      </c>
      <c r="I36" s="5">
        <v>0</v>
      </c>
      <c r="J36" s="9">
        <v>0</v>
      </c>
      <c r="K36" s="8">
        <v>17</v>
      </c>
      <c r="L36" s="5">
        <v>73</v>
      </c>
      <c r="M36" s="5">
        <v>1</v>
      </c>
      <c r="N36" s="9">
        <v>0</v>
      </c>
      <c r="O36" s="8">
        <v>5</v>
      </c>
      <c r="P36" s="5">
        <v>30</v>
      </c>
      <c r="Q36" s="5">
        <v>0</v>
      </c>
      <c r="R36" s="9">
        <v>0</v>
      </c>
      <c r="S36" s="8">
        <v>0</v>
      </c>
      <c r="T36" s="9">
        <v>0</v>
      </c>
    </row>
    <row r="37" spans="1:20" x14ac:dyDescent="0.2">
      <c r="A37" s="5" t="s">
        <v>39</v>
      </c>
      <c r="B37" s="5" t="s">
        <v>17</v>
      </c>
      <c r="C37" s="17" t="s">
        <v>325</v>
      </c>
      <c r="D37" s="7">
        <f t="shared" si="0"/>
        <v>21.26</v>
      </c>
      <c r="E37" s="8">
        <v>39</v>
      </c>
      <c r="F37" s="5">
        <v>27</v>
      </c>
      <c r="G37" s="5">
        <v>299</v>
      </c>
      <c r="H37" s="5">
        <v>2</v>
      </c>
      <c r="I37" s="5">
        <v>0</v>
      </c>
      <c r="J37" s="9">
        <v>0</v>
      </c>
      <c r="K37" s="8">
        <v>2</v>
      </c>
      <c r="L37" s="5">
        <v>13</v>
      </c>
      <c r="M37" s="5">
        <v>0</v>
      </c>
      <c r="N37" s="9">
        <v>0</v>
      </c>
      <c r="O37" s="8">
        <v>0</v>
      </c>
      <c r="P37" s="5">
        <v>0</v>
      </c>
      <c r="Q37" s="5">
        <v>0</v>
      </c>
      <c r="R37" s="9">
        <v>0</v>
      </c>
      <c r="S37" s="8">
        <v>0</v>
      </c>
      <c r="T37" s="9">
        <v>0</v>
      </c>
    </row>
    <row r="38" spans="1:20" x14ac:dyDescent="0.2">
      <c r="A38" s="5" t="s">
        <v>23</v>
      </c>
      <c r="B38" s="5" t="s">
        <v>17</v>
      </c>
      <c r="C38" s="17" t="s">
        <v>335</v>
      </c>
      <c r="D38" s="7">
        <f t="shared" si="0"/>
        <v>21.200000000000003</v>
      </c>
      <c r="E38" s="8">
        <v>41</v>
      </c>
      <c r="F38" s="5">
        <v>29</v>
      </c>
      <c r="G38" s="5">
        <v>305</v>
      </c>
      <c r="H38" s="5">
        <v>2</v>
      </c>
      <c r="I38" s="5">
        <v>1</v>
      </c>
      <c r="J38" s="9">
        <v>0</v>
      </c>
      <c r="K38" s="8">
        <v>7</v>
      </c>
      <c r="L38" s="5">
        <v>30</v>
      </c>
      <c r="M38" s="5">
        <v>0</v>
      </c>
      <c r="N38" s="9">
        <v>0</v>
      </c>
      <c r="O38" s="8">
        <v>0</v>
      </c>
      <c r="P38" s="5">
        <v>0</v>
      </c>
      <c r="Q38" s="5">
        <v>0</v>
      </c>
      <c r="R38" s="9">
        <v>0</v>
      </c>
      <c r="S38" s="8">
        <v>0</v>
      </c>
      <c r="T38" s="9">
        <v>0</v>
      </c>
    </row>
    <row r="39" spans="1:20" x14ac:dyDescent="0.2">
      <c r="A39" s="5" t="s">
        <v>230</v>
      </c>
      <c r="B39" s="5" t="s">
        <v>162</v>
      </c>
      <c r="C39" s="10" t="s">
        <v>334</v>
      </c>
      <c r="D39" s="7">
        <f t="shared" si="0"/>
        <v>21.200000000000003</v>
      </c>
      <c r="E39" s="8">
        <v>0</v>
      </c>
      <c r="F39" s="5">
        <v>0</v>
      </c>
      <c r="G39" s="5">
        <v>0</v>
      </c>
      <c r="H39" s="5">
        <v>0</v>
      </c>
      <c r="I39" s="5">
        <v>0</v>
      </c>
      <c r="J39" s="9">
        <v>0</v>
      </c>
      <c r="K39" s="8">
        <v>0</v>
      </c>
      <c r="L39" s="5">
        <v>0</v>
      </c>
      <c r="M39" s="5">
        <v>0</v>
      </c>
      <c r="N39" s="9">
        <v>0</v>
      </c>
      <c r="O39" s="8">
        <v>6</v>
      </c>
      <c r="P39" s="5">
        <v>92</v>
      </c>
      <c r="Q39" s="5">
        <v>1</v>
      </c>
      <c r="R39" s="9">
        <v>0</v>
      </c>
      <c r="S39" s="8">
        <v>0</v>
      </c>
      <c r="T39" s="9">
        <v>0</v>
      </c>
    </row>
    <row r="40" spans="1:20" x14ac:dyDescent="0.2">
      <c r="A40" s="5" t="s">
        <v>81</v>
      </c>
      <c r="B40" s="5" t="s">
        <v>75</v>
      </c>
      <c r="C40" s="10" t="s">
        <v>336</v>
      </c>
      <c r="D40" s="7">
        <f t="shared" si="0"/>
        <v>21.2</v>
      </c>
      <c r="E40" s="8">
        <v>0</v>
      </c>
      <c r="F40" s="5">
        <v>0</v>
      </c>
      <c r="G40" s="5">
        <v>0</v>
      </c>
      <c r="H40" s="5">
        <v>0</v>
      </c>
      <c r="I40" s="5">
        <v>0</v>
      </c>
      <c r="J40" s="9">
        <v>0</v>
      </c>
      <c r="K40" s="8">
        <v>19</v>
      </c>
      <c r="L40" s="5">
        <v>124</v>
      </c>
      <c r="M40" s="5">
        <v>0</v>
      </c>
      <c r="N40" s="9">
        <v>0</v>
      </c>
      <c r="O40" s="8">
        <v>4</v>
      </c>
      <c r="P40" s="5">
        <v>48</v>
      </c>
      <c r="Q40" s="5">
        <v>0</v>
      </c>
      <c r="R40" s="9">
        <v>0</v>
      </c>
      <c r="S40" s="8">
        <v>0</v>
      </c>
      <c r="T40" s="9">
        <v>0</v>
      </c>
    </row>
    <row r="41" spans="1:20" x14ac:dyDescent="0.2">
      <c r="A41" s="5" t="s">
        <v>64</v>
      </c>
      <c r="B41" s="5" t="s">
        <v>17</v>
      </c>
      <c r="C41" s="10" t="s">
        <v>321</v>
      </c>
      <c r="D41" s="7">
        <f t="shared" si="0"/>
        <v>21.04</v>
      </c>
      <c r="E41" s="8">
        <v>24</v>
      </c>
      <c r="F41" s="5">
        <v>20</v>
      </c>
      <c r="G41" s="5">
        <v>246</v>
      </c>
      <c r="H41" s="5">
        <v>1</v>
      </c>
      <c r="I41" s="5">
        <v>0</v>
      </c>
      <c r="J41" s="9">
        <v>0</v>
      </c>
      <c r="K41" s="8">
        <v>1</v>
      </c>
      <c r="L41" s="5">
        <v>12</v>
      </c>
      <c r="M41" s="5">
        <v>1</v>
      </c>
      <c r="N41" s="9">
        <v>0</v>
      </c>
      <c r="O41" s="8">
        <v>0</v>
      </c>
      <c r="P41" s="5">
        <v>0</v>
      </c>
      <c r="Q41" s="5">
        <v>0</v>
      </c>
      <c r="R41" s="9">
        <v>0</v>
      </c>
      <c r="S41" s="8">
        <v>0</v>
      </c>
      <c r="T41" s="9">
        <v>0</v>
      </c>
    </row>
    <row r="42" spans="1:20" x14ac:dyDescent="0.2">
      <c r="A42" s="5" t="s">
        <v>337</v>
      </c>
      <c r="B42" s="5" t="s">
        <v>75</v>
      </c>
      <c r="C42" s="17" t="s">
        <v>329</v>
      </c>
      <c r="D42" s="7">
        <f t="shared" si="0"/>
        <v>20.7</v>
      </c>
      <c r="E42" s="8">
        <v>0</v>
      </c>
      <c r="F42" s="5">
        <v>0</v>
      </c>
      <c r="G42" s="5">
        <v>0</v>
      </c>
      <c r="H42" s="5">
        <v>0</v>
      </c>
      <c r="I42" s="5">
        <v>0</v>
      </c>
      <c r="J42" s="9">
        <v>0</v>
      </c>
      <c r="K42" s="8">
        <v>18</v>
      </c>
      <c r="L42" s="5">
        <v>88</v>
      </c>
      <c r="M42" s="5">
        <v>1</v>
      </c>
      <c r="N42" s="9">
        <v>0</v>
      </c>
      <c r="O42" s="8">
        <v>4</v>
      </c>
      <c r="P42" s="5">
        <v>19</v>
      </c>
      <c r="Q42" s="5">
        <v>0</v>
      </c>
      <c r="R42" s="9">
        <v>0</v>
      </c>
      <c r="S42" s="8">
        <v>0</v>
      </c>
      <c r="T42" s="9">
        <v>0</v>
      </c>
    </row>
    <row r="43" spans="1:20" x14ac:dyDescent="0.2">
      <c r="A43" s="5" t="s">
        <v>231</v>
      </c>
      <c r="B43" s="5" t="s">
        <v>162</v>
      </c>
      <c r="C43" s="10" t="s">
        <v>325</v>
      </c>
      <c r="D43" s="7">
        <f t="shared" si="0"/>
        <v>20.6</v>
      </c>
      <c r="E43" s="8">
        <v>0</v>
      </c>
      <c r="F43" s="5">
        <v>0</v>
      </c>
      <c r="G43" s="5">
        <v>0</v>
      </c>
      <c r="H43" s="5">
        <v>0</v>
      </c>
      <c r="I43" s="5">
        <v>0</v>
      </c>
      <c r="J43" s="9">
        <v>0</v>
      </c>
      <c r="K43" s="8">
        <v>0</v>
      </c>
      <c r="L43" s="5">
        <v>0</v>
      </c>
      <c r="M43" s="5">
        <v>0</v>
      </c>
      <c r="N43" s="9">
        <v>0</v>
      </c>
      <c r="O43" s="8">
        <v>2</v>
      </c>
      <c r="P43" s="5">
        <v>66</v>
      </c>
      <c r="Q43" s="5">
        <v>2</v>
      </c>
      <c r="R43" s="9">
        <v>0</v>
      </c>
      <c r="S43" s="8">
        <v>0</v>
      </c>
      <c r="T43" s="9">
        <v>0</v>
      </c>
    </row>
    <row r="44" spans="1:20" x14ac:dyDescent="0.2">
      <c r="A44" s="5" t="s">
        <v>190</v>
      </c>
      <c r="B44" s="5" t="s">
        <v>162</v>
      </c>
      <c r="C44" s="17" t="s">
        <v>334</v>
      </c>
      <c r="D44" s="7">
        <f t="shared" si="0"/>
        <v>20.399999999999999</v>
      </c>
      <c r="E44" s="8">
        <v>0</v>
      </c>
      <c r="F44" s="5">
        <v>0</v>
      </c>
      <c r="G44" s="5">
        <v>0</v>
      </c>
      <c r="H44" s="5">
        <v>0</v>
      </c>
      <c r="I44" s="5">
        <v>0</v>
      </c>
      <c r="J44" s="9">
        <v>0</v>
      </c>
      <c r="K44" s="8">
        <v>0</v>
      </c>
      <c r="L44" s="5">
        <v>0</v>
      </c>
      <c r="M44" s="5">
        <v>0</v>
      </c>
      <c r="N44" s="9">
        <v>0</v>
      </c>
      <c r="O44" s="8">
        <v>6</v>
      </c>
      <c r="P44" s="5">
        <v>84</v>
      </c>
      <c r="Q44" s="5">
        <v>1</v>
      </c>
      <c r="R44" s="9">
        <v>0</v>
      </c>
      <c r="S44" s="8">
        <v>0</v>
      </c>
      <c r="T44" s="9">
        <v>0</v>
      </c>
    </row>
    <row r="45" spans="1:20" x14ac:dyDescent="0.2">
      <c r="A45" s="5" t="s">
        <v>246</v>
      </c>
      <c r="B45" s="5" t="s">
        <v>162</v>
      </c>
      <c r="C45" s="10" t="s">
        <v>338</v>
      </c>
      <c r="D45" s="7">
        <f t="shared" si="0"/>
        <v>20.399999999999999</v>
      </c>
      <c r="E45" s="8">
        <v>0</v>
      </c>
      <c r="F45" s="5">
        <v>0</v>
      </c>
      <c r="G45" s="5">
        <v>0</v>
      </c>
      <c r="H45" s="5">
        <v>0</v>
      </c>
      <c r="I45" s="5">
        <v>0</v>
      </c>
      <c r="J45" s="9">
        <v>0</v>
      </c>
      <c r="K45" s="8">
        <v>0</v>
      </c>
      <c r="L45" s="5">
        <v>0</v>
      </c>
      <c r="M45" s="5">
        <v>0</v>
      </c>
      <c r="N45" s="9">
        <v>0</v>
      </c>
      <c r="O45" s="8">
        <v>7</v>
      </c>
      <c r="P45" s="5">
        <v>54</v>
      </c>
      <c r="Q45" s="5">
        <v>1</v>
      </c>
      <c r="R45" s="9">
        <v>1</v>
      </c>
      <c r="S45" s="8">
        <v>0</v>
      </c>
      <c r="T45" s="9">
        <v>0</v>
      </c>
    </row>
    <row r="46" spans="1:20" x14ac:dyDescent="0.2">
      <c r="A46" s="5" t="s">
        <v>21</v>
      </c>
      <c r="B46" s="5" t="s">
        <v>17</v>
      </c>
      <c r="C46" s="17" t="s">
        <v>336</v>
      </c>
      <c r="D46" s="7">
        <f t="shared" si="0"/>
        <v>20.34</v>
      </c>
      <c r="E46" s="8">
        <v>25</v>
      </c>
      <c r="F46" s="5">
        <v>14</v>
      </c>
      <c r="G46" s="5">
        <v>151</v>
      </c>
      <c r="H46" s="5">
        <v>3</v>
      </c>
      <c r="I46" s="5">
        <v>0</v>
      </c>
      <c r="J46" s="9">
        <v>0</v>
      </c>
      <c r="K46" s="8">
        <v>2</v>
      </c>
      <c r="L46" s="5">
        <v>23</v>
      </c>
      <c r="M46" s="5">
        <v>0</v>
      </c>
      <c r="N46" s="9">
        <v>0</v>
      </c>
      <c r="O46" s="8">
        <v>0</v>
      </c>
      <c r="P46" s="5">
        <v>0</v>
      </c>
      <c r="Q46" s="5">
        <v>0</v>
      </c>
      <c r="R46" s="9">
        <v>0</v>
      </c>
      <c r="S46" s="8">
        <v>0</v>
      </c>
      <c r="T46" s="9">
        <v>0</v>
      </c>
    </row>
    <row r="47" spans="1:20" x14ac:dyDescent="0.2">
      <c r="A47" s="5" t="s">
        <v>254</v>
      </c>
      <c r="B47" s="5" t="s">
        <v>162</v>
      </c>
      <c r="C47" s="10" t="s">
        <v>325</v>
      </c>
      <c r="D47" s="7">
        <f t="shared" si="0"/>
        <v>20.3</v>
      </c>
      <c r="E47" s="8">
        <v>0</v>
      </c>
      <c r="F47" s="5">
        <v>0</v>
      </c>
      <c r="G47" s="5">
        <v>0</v>
      </c>
      <c r="H47" s="5">
        <v>0</v>
      </c>
      <c r="I47" s="5">
        <v>0</v>
      </c>
      <c r="J47" s="9">
        <v>0</v>
      </c>
      <c r="K47" s="8">
        <v>2</v>
      </c>
      <c r="L47" s="5">
        <v>10</v>
      </c>
      <c r="M47" s="5">
        <v>0</v>
      </c>
      <c r="N47" s="9">
        <v>0</v>
      </c>
      <c r="O47" s="8">
        <v>2</v>
      </c>
      <c r="P47" s="5">
        <v>113</v>
      </c>
      <c r="Q47" s="5">
        <v>1</v>
      </c>
      <c r="R47" s="9">
        <v>0</v>
      </c>
      <c r="S47" s="8">
        <v>0</v>
      </c>
      <c r="T47" s="9">
        <v>0</v>
      </c>
    </row>
    <row r="48" spans="1:20" x14ac:dyDescent="0.2">
      <c r="A48" s="5" t="s">
        <v>219</v>
      </c>
      <c r="B48" s="5" t="s">
        <v>162</v>
      </c>
      <c r="C48" s="10" t="s">
        <v>329</v>
      </c>
      <c r="D48" s="7">
        <f t="shared" si="0"/>
        <v>20.2</v>
      </c>
      <c r="E48" s="8">
        <v>0</v>
      </c>
      <c r="F48" s="5">
        <v>0</v>
      </c>
      <c r="G48" s="5">
        <v>0</v>
      </c>
      <c r="H48" s="5">
        <v>0</v>
      </c>
      <c r="I48" s="5">
        <v>0</v>
      </c>
      <c r="J48" s="9">
        <v>0</v>
      </c>
      <c r="K48" s="8">
        <v>0</v>
      </c>
      <c r="L48" s="5">
        <v>0</v>
      </c>
      <c r="M48" s="5">
        <v>0</v>
      </c>
      <c r="N48" s="9">
        <v>0</v>
      </c>
      <c r="O48" s="8">
        <v>7</v>
      </c>
      <c r="P48" s="5">
        <v>72</v>
      </c>
      <c r="Q48" s="5">
        <v>1</v>
      </c>
      <c r="R48" s="9">
        <v>0</v>
      </c>
      <c r="S48" s="8">
        <v>0</v>
      </c>
      <c r="T48" s="9">
        <v>0</v>
      </c>
    </row>
    <row r="49" spans="1:20" x14ac:dyDescent="0.2">
      <c r="A49" s="5" t="s">
        <v>102</v>
      </c>
      <c r="B49" s="5" t="s">
        <v>75</v>
      </c>
      <c r="C49" s="10" t="s">
        <v>334</v>
      </c>
      <c r="D49" s="7">
        <f t="shared" si="0"/>
        <v>19.900000000000002</v>
      </c>
      <c r="E49" s="8">
        <v>0</v>
      </c>
      <c r="F49" s="5">
        <v>0</v>
      </c>
      <c r="G49" s="5">
        <v>0</v>
      </c>
      <c r="H49" s="5">
        <v>0</v>
      </c>
      <c r="I49" s="5">
        <v>0</v>
      </c>
      <c r="J49" s="9">
        <v>0</v>
      </c>
      <c r="K49" s="8">
        <v>17</v>
      </c>
      <c r="L49" s="5">
        <v>123</v>
      </c>
      <c r="M49" s="5">
        <v>0</v>
      </c>
      <c r="N49" s="9">
        <v>0</v>
      </c>
      <c r="O49" s="8">
        <v>4</v>
      </c>
      <c r="P49" s="5">
        <v>36</v>
      </c>
      <c r="Q49" s="5">
        <v>0</v>
      </c>
      <c r="R49" s="9">
        <v>0</v>
      </c>
      <c r="S49" s="8">
        <v>0</v>
      </c>
      <c r="T49" s="9">
        <v>0</v>
      </c>
    </row>
    <row r="50" spans="1:20" x14ac:dyDescent="0.2">
      <c r="A50" s="5" t="s">
        <v>79</v>
      </c>
      <c r="B50" s="5" t="s">
        <v>75</v>
      </c>
      <c r="C50" s="10" t="s">
        <v>332</v>
      </c>
      <c r="D50" s="7">
        <f t="shared" si="0"/>
        <v>19.899999999999999</v>
      </c>
      <c r="E50" s="8">
        <v>0</v>
      </c>
      <c r="F50" s="5">
        <v>0</v>
      </c>
      <c r="G50" s="5">
        <v>0</v>
      </c>
      <c r="H50" s="5">
        <v>0</v>
      </c>
      <c r="I50" s="5">
        <v>0</v>
      </c>
      <c r="J50" s="9">
        <v>0</v>
      </c>
      <c r="K50" s="8">
        <v>25</v>
      </c>
      <c r="L50" s="5">
        <v>72</v>
      </c>
      <c r="M50" s="5">
        <v>0</v>
      </c>
      <c r="N50" s="9">
        <v>1</v>
      </c>
      <c r="O50" s="8">
        <v>7</v>
      </c>
      <c r="P50" s="5">
        <v>37</v>
      </c>
      <c r="Q50" s="5">
        <v>0</v>
      </c>
      <c r="R50" s="9">
        <v>0</v>
      </c>
      <c r="S50" s="8">
        <v>0</v>
      </c>
      <c r="T50" s="9">
        <v>0</v>
      </c>
    </row>
    <row r="51" spans="1:20" x14ac:dyDescent="0.2">
      <c r="A51" s="5" t="s">
        <v>225</v>
      </c>
      <c r="B51" s="5" t="s">
        <v>162</v>
      </c>
      <c r="C51" s="17" t="s">
        <v>336</v>
      </c>
      <c r="D51" s="7">
        <f t="shared" si="0"/>
        <v>19.7</v>
      </c>
      <c r="E51" s="8">
        <v>0</v>
      </c>
      <c r="F51" s="5">
        <v>0</v>
      </c>
      <c r="G51" s="5">
        <v>0</v>
      </c>
      <c r="H51" s="5">
        <v>0</v>
      </c>
      <c r="I51" s="5">
        <v>0</v>
      </c>
      <c r="J51" s="9">
        <v>0</v>
      </c>
      <c r="K51" s="8">
        <v>0</v>
      </c>
      <c r="L51" s="5">
        <v>0</v>
      </c>
      <c r="M51" s="5">
        <v>0</v>
      </c>
      <c r="N51" s="9">
        <v>0</v>
      </c>
      <c r="O51" s="8">
        <v>4</v>
      </c>
      <c r="P51" s="5">
        <v>37</v>
      </c>
      <c r="Q51" s="5">
        <v>2</v>
      </c>
      <c r="R51" s="9">
        <v>0</v>
      </c>
      <c r="S51" s="8">
        <v>0</v>
      </c>
      <c r="T51" s="9">
        <v>0</v>
      </c>
    </row>
    <row r="52" spans="1:20" x14ac:dyDescent="0.2">
      <c r="A52" s="5" t="s">
        <v>59</v>
      </c>
      <c r="B52" s="5" t="s">
        <v>17</v>
      </c>
      <c r="C52" s="10" t="s">
        <v>332</v>
      </c>
      <c r="D52" s="7">
        <f t="shared" si="0"/>
        <v>19.600000000000001</v>
      </c>
      <c r="E52" s="8">
        <v>38</v>
      </c>
      <c r="F52" s="5">
        <v>31</v>
      </c>
      <c r="G52" s="5">
        <v>255</v>
      </c>
      <c r="H52" s="5">
        <v>2</v>
      </c>
      <c r="I52" s="5">
        <v>0</v>
      </c>
      <c r="J52" s="9">
        <v>0</v>
      </c>
      <c r="K52" s="8">
        <v>6</v>
      </c>
      <c r="L52" s="5">
        <v>14</v>
      </c>
      <c r="M52" s="5">
        <v>0</v>
      </c>
      <c r="N52" s="9">
        <v>0</v>
      </c>
      <c r="O52" s="8">
        <v>0</v>
      </c>
      <c r="P52" s="5">
        <v>0</v>
      </c>
      <c r="Q52" s="5">
        <v>0</v>
      </c>
      <c r="R52" s="9">
        <v>0</v>
      </c>
      <c r="S52" s="8">
        <v>0</v>
      </c>
      <c r="T52" s="9">
        <v>0</v>
      </c>
    </row>
    <row r="53" spans="1:20" x14ac:dyDescent="0.2">
      <c r="A53" s="5" t="s">
        <v>339</v>
      </c>
      <c r="B53" s="5" t="s">
        <v>162</v>
      </c>
      <c r="C53" s="10" t="s">
        <v>336</v>
      </c>
      <c r="D53" s="7">
        <f t="shared" si="0"/>
        <v>18.7</v>
      </c>
      <c r="E53" s="8">
        <v>0</v>
      </c>
      <c r="F53" s="5">
        <v>0</v>
      </c>
      <c r="G53" s="5">
        <v>0</v>
      </c>
      <c r="H53" s="5">
        <v>0</v>
      </c>
      <c r="I53" s="5">
        <v>0</v>
      </c>
      <c r="J53" s="9">
        <v>0</v>
      </c>
      <c r="K53" s="8">
        <v>0</v>
      </c>
      <c r="L53" s="5">
        <v>0</v>
      </c>
      <c r="M53" s="5">
        <v>0</v>
      </c>
      <c r="N53" s="9">
        <v>0</v>
      </c>
      <c r="O53" s="8">
        <v>6</v>
      </c>
      <c r="P53" s="5">
        <v>67</v>
      </c>
      <c r="Q53" s="5">
        <v>1</v>
      </c>
      <c r="R53" s="9">
        <v>0</v>
      </c>
      <c r="S53" s="8">
        <v>0</v>
      </c>
      <c r="T53" s="9">
        <v>0</v>
      </c>
    </row>
    <row r="54" spans="1:20" x14ac:dyDescent="0.2">
      <c r="A54" s="5" t="s">
        <v>88</v>
      </c>
      <c r="B54" s="5" t="s">
        <v>75</v>
      </c>
      <c r="C54" s="10" t="s">
        <v>321</v>
      </c>
      <c r="D54" s="7">
        <f t="shared" si="0"/>
        <v>18.5</v>
      </c>
      <c r="E54" s="8">
        <v>0</v>
      </c>
      <c r="F54" s="5">
        <v>0</v>
      </c>
      <c r="G54" s="5">
        <v>0</v>
      </c>
      <c r="H54" s="5">
        <v>0</v>
      </c>
      <c r="I54" s="5">
        <v>0</v>
      </c>
      <c r="J54" s="9">
        <v>0</v>
      </c>
      <c r="K54" s="8">
        <v>25</v>
      </c>
      <c r="L54" s="5">
        <v>80</v>
      </c>
      <c r="M54" s="5">
        <v>1</v>
      </c>
      <c r="N54" s="9">
        <v>0</v>
      </c>
      <c r="O54" s="8">
        <v>3</v>
      </c>
      <c r="P54" s="5">
        <v>15</v>
      </c>
      <c r="Q54" s="5">
        <v>0</v>
      </c>
      <c r="R54" s="9">
        <v>0</v>
      </c>
      <c r="S54" s="8">
        <v>0</v>
      </c>
      <c r="T54" s="9">
        <v>0</v>
      </c>
    </row>
    <row r="55" spans="1:20" x14ac:dyDescent="0.2">
      <c r="A55" s="5" t="s">
        <v>100</v>
      </c>
      <c r="B55" s="5" t="s">
        <v>75</v>
      </c>
      <c r="C55" s="17" t="s">
        <v>330</v>
      </c>
      <c r="D55" s="7">
        <f t="shared" si="0"/>
        <v>18.400000000000002</v>
      </c>
      <c r="E55" s="8">
        <v>0</v>
      </c>
      <c r="F55" s="5">
        <v>0</v>
      </c>
      <c r="G55" s="5">
        <v>0</v>
      </c>
      <c r="H55" s="5">
        <v>0</v>
      </c>
      <c r="I55" s="5">
        <v>0</v>
      </c>
      <c r="J55" s="9">
        <v>0</v>
      </c>
      <c r="K55" s="8">
        <v>17</v>
      </c>
      <c r="L55" s="5">
        <v>43</v>
      </c>
      <c r="M55" s="5">
        <v>2</v>
      </c>
      <c r="N55" s="9">
        <v>0</v>
      </c>
      <c r="O55" s="8">
        <v>1</v>
      </c>
      <c r="P55" s="5">
        <v>11</v>
      </c>
      <c r="Q55" s="5">
        <v>0</v>
      </c>
      <c r="R55" s="9">
        <v>0</v>
      </c>
      <c r="S55" s="8">
        <v>0</v>
      </c>
      <c r="T55" s="9">
        <v>0</v>
      </c>
    </row>
    <row r="56" spans="1:20" x14ac:dyDescent="0.2">
      <c r="A56" s="5" t="s">
        <v>37</v>
      </c>
      <c r="B56" s="5" t="s">
        <v>17</v>
      </c>
      <c r="C56" s="10" t="s">
        <v>324</v>
      </c>
      <c r="D56" s="7">
        <f t="shared" si="0"/>
        <v>18.38</v>
      </c>
      <c r="E56" s="8">
        <v>34</v>
      </c>
      <c r="F56" s="5">
        <v>26</v>
      </c>
      <c r="G56" s="5">
        <v>317</v>
      </c>
      <c r="H56" s="5">
        <v>1</v>
      </c>
      <c r="I56" s="5">
        <v>0</v>
      </c>
      <c r="J56" s="9">
        <v>0</v>
      </c>
      <c r="K56" s="8">
        <v>6</v>
      </c>
      <c r="L56" s="5">
        <v>17</v>
      </c>
      <c r="M56" s="5">
        <v>0</v>
      </c>
      <c r="N56" s="9">
        <v>0</v>
      </c>
      <c r="O56" s="8">
        <v>0</v>
      </c>
      <c r="P56" s="5">
        <v>0</v>
      </c>
      <c r="Q56" s="5">
        <v>0</v>
      </c>
      <c r="R56" s="9">
        <v>0</v>
      </c>
      <c r="S56" s="8">
        <v>0</v>
      </c>
      <c r="T56" s="9">
        <v>0</v>
      </c>
    </row>
    <row r="57" spans="1:20" x14ac:dyDescent="0.2">
      <c r="A57" s="5" t="s">
        <v>26</v>
      </c>
      <c r="B57" s="5" t="s">
        <v>17</v>
      </c>
      <c r="C57" s="17" t="s">
        <v>329</v>
      </c>
      <c r="D57" s="7">
        <f t="shared" si="0"/>
        <v>17.740000000000002</v>
      </c>
      <c r="E57" s="8">
        <v>10</v>
      </c>
      <c r="F57" s="5">
        <v>6</v>
      </c>
      <c r="G57" s="5">
        <v>56</v>
      </c>
      <c r="H57" s="5">
        <v>0</v>
      </c>
      <c r="I57" s="5">
        <v>0</v>
      </c>
      <c r="J57" s="9">
        <v>0</v>
      </c>
      <c r="K57" s="8">
        <v>3</v>
      </c>
      <c r="L57" s="5">
        <v>35</v>
      </c>
      <c r="M57" s="5">
        <v>2</v>
      </c>
      <c r="N57" s="9">
        <v>0</v>
      </c>
      <c r="O57" s="8">
        <v>0</v>
      </c>
      <c r="P57" s="5">
        <v>0</v>
      </c>
      <c r="Q57" s="5">
        <v>0</v>
      </c>
      <c r="R57" s="9">
        <v>0</v>
      </c>
      <c r="S57" s="8">
        <v>0</v>
      </c>
      <c r="T57" s="9">
        <v>0</v>
      </c>
    </row>
    <row r="58" spans="1:20" x14ac:dyDescent="0.2">
      <c r="A58" s="5" t="s">
        <v>213</v>
      </c>
      <c r="B58" s="5" t="s">
        <v>162</v>
      </c>
      <c r="C58" s="10" t="s">
        <v>322</v>
      </c>
      <c r="D58" s="7">
        <f t="shared" si="0"/>
        <v>17.399999999999999</v>
      </c>
      <c r="E58" s="8">
        <v>0</v>
      </c>
      <c r="F58" s="5">
        <v>0</v>
      </c>
      <c r="G58" s="5">
        <v>0</v>
      </c>
      <c r="H58" s="5">
        <v>0</v>
      </c>
      <c r="I58" s="5">
        <v>0</v>
      </c>
      <c r="J58" s="9">
        <v>0</v>
      </c>
      <c r="K58" s="8">
        <v>0</v>
      </c>
      <c r="L58" s="5">
        <v>0</v>
      </c>
      <c r="M58" s="5">
        <v>0</v>
      </c>
      <c r="N58" s="9">
        <v>0</v>
      </c>
      <c r="O58" s="8">
        <v>6</v>
      </c>
      <c r="P58" s="5">
        <v>54</v>
      </c>
      <c r="Q58" s="5">
        <v>1</v>
      </c>
      <c r="R58" s="9">
        <v>0</v>
      </c>
      <c r="S58" s="8">
        <v>0</v>
      </c>
      <c r="T58" s="9">
        <v>0</v>
      </c>
    </row>
    <row r="59" spans="1:20" x14ac:dyDescent="0.2">
      <c r="A59" s="5" t="s">
        <v>340</v>
      </c>
      <c r="B59" s="5" t="s">
        <v>162</v>
      </c>
      <c r="C59" s="17" t="s">
        <v>327</v>
      </c>
      <c r="D59" s="7">
        <f t="shared" si="0"/>
        <v>17.3</v>
      </c>
      <c r="E59" s="8">
        <v>0</v>
      </c>
      <c r="F59" s="5">
        <v>0</v>
      </c>
      <c r="G59" s="5">
        <v>0</v>
      </c>
      <c r="H59" s="5">
        <v>0</v>
      </c>
      <c r="I59" s="5">
        <v>0</v>
      </c>
      <c r="J59" s="9">
        <v>0</v>
      </c>
      <c r="K59" s="8">
        <v>0</v>
      </c>
      <c r="L59" s="5">
        <v>0</v>
      </c>
      <c r="M59" s="5">
        <v>0</v>
      </c>
      <c r="N59" s="9">
        <v>0</v>
      </c>
      <c r="O59" s="8">
        <v>5</v>
      </c>
      <c r="P59" s="5">
        <v>63</v>
      </c>
      <c r="Q59" s="5">
        <v>1</v>
      </c>
      <c r="R59" s="9">
        <v>0</v>
      </c>
      <c r="S59" s="8">
        <v>0</v>
      </c>
      <c r="T59" s="9">
        <v>0</v>
      </c>
    </row>
    <row r="60" spans="1:20" x14ac:dyDescent="0.2">
      <c r="A60" s="5" t="s">
        <v>271</v>
      </c>
      <c r="B60" s="5" t="s">
        <v>69</v>
      </c>
      <c r="C60" s="10" t="s">
        <v>331</v>
      </c>
      <c r="D60" s="7">
        <f t="shared" si="0"/>
        <v>17.2</v>
      </c>
      <c r="E60" s="8">
        <v>0</v>
      </c>
      <c r="F60" s="5">
        <v>0</v>
      </c>
      <c r="G60" s="5">
        <v>0</v>
      </c>
      <c r="H60" s="5">
        <v>0</v>
      </c>
      <c r="I60" s="5">
        <v>0</v>
      </c>
      <c r="J60" s="9">
        <v>0</v>
      </c>
      <c r="K60" s="8">
        <v>0</v>
      </c>
      <c r="L60" s="5">
        <v>0</v>
      </c>
      <c r="M60" s="5">
        <v>0</v>
      </c>
      <c r="N60" s="9">
        <v>0</v>
      </c>
      <c r="O60" s="8">
        <v>6</v>
      </c>
      <c r="P60" s="5">
        <v>52</v>
      </c>
      <c r="Q60" s="5">
        <v>1</v>
      </c>
      <c r="R60" s="9">
        <v>0</v>
      </c>
      <c r="S60" s="8">
        <v>0</v>
      </c>
      <c r="T60" s="9">
        <v>0</v>
      </c>
    </row>
    <row r="61" spans="1:20" x14ac:dyDescent="0.2">
      <c r="A61" s="5" t="s">
        <v>95</v>
      </c>
      <c r="B61" s="5" t="s">
        <v>75</v>
      </c>
      <c r="C61" s="10" t="s">
        <v>322</v>
      </c>
      <c r="D61" s="7">
        <f t="shared" si="0"/>
        <v>16.600000000000001</v>
      </c>
      <c r="E61" s="8">
        <v>0</v>
      </c>
      <c r="F61" s="5">
        <v>0</v>
      </c>
      <c r="G61" s="5">
        <v>0</v>
      </c>
      <c r="H61" s="5">
        <v>0</v>
      </c>
      <c r="I61" s="5">
        <v>0</v>
      </c>
      <c r="J61" s="9">
        <v>0</v>
      </c>
      <c r="K61" s="8">
        <v>23</v>
      </c>
      <c r="L61" s="5">
        <v>106</v>
      </c>
      <c r="M61" s="5">
        <v>1</v>
      </c>
      <c r="N61" s="9">
        <v>0</v>
      </c>
      <c r="O61" s="8">
        <v>0</v>
      </c>
      <c r="P61" s="5">
        <v>0</v>
      </c>
      <c r="Q61" s="5">
        <v>0</v>
      </c>
      <c r="R61" s="9">
        <v>0</v>
      </c>
      <c r="S61" s="8">
        <v>0</v>
      </c>
      <c r="T61" s="9">
        <v>0</v>
      </c>
    </row>
    <row r="62" spans="1:20" x14ac:dyDescent="0.2">
      <c r="A62" s="5" t="s">
        <v>211</v>
      </c>
      <c r="B62" s="5" t="s">
        <v>162</v>
      </c>
      <c r="C62" s="17" t="s">
        <v>321</v>
      </c>
      <c r="D62" s="7">
        <f t="shared" si="0"/>
        <v>16.600000000000001</v>
      </c>
      <c r="E62" s="8">
        <v>0</v>
      </c>
      <c r="F62" s="5">
        <v>0</v>
      </c>
      <c r="G62" s="5">
        <v>0</v>
      </c>
      <c r="H62" s="5">
        <v>0</v>
      </c>
      <c r="I62" s="5">
        <v>0</v>
      </c>
      <c r="J62" s="9">
        <v>0</v>
      </c>
      <c r="K62" s="8">
        <v>1</v>
      </c>
      <c r="L62" s="5">
        <v>3</v>
      </c>
      <c r="M62" s="5">
        <v>0</v>
      </c>
      <c r="N62" s="9">
        <v>0</v>
      </c>
      <c r="O62" s="8">
        <v>8</v>
      </c>
      <c r="P62" s="5">
        <v>83</v>
      </c>
      <c r="Q62" s="5">
        <v>0</v>
      </c>
      <c r="R62" s="9">
        <v>0</v>
      </c>
      <c r="S62" s="8">
        <v>0</v>
      </c>
      <c r="T62" s="9">
        <v>0</v>
      </c>
    </row>
    <row r="63" spans="1:20" x14ac:dyDescent="0.2">
      <c r="A63" s="5" t="s">
        <v>232</v>
      </c>
      <c r="B63" s="5" t="s">
        <v>162</v>
      </c>
      <c r="C63" s="17" t="s">
        <v>325</v>
      </c>
      <c r="D63" s="7">
        <f t="shared" si="0"/>
        <v>16.399999999999999</v>
      </c>
      <c r="E63" s="8">
        <v>0</v>
      </c>
      <c r="F63" s="5">
        <v>0</v>
      </c>
      <c r="G63" s="5">
        <v>0</v>
      </c>
      <c r="H63" s="5">
        <v>0</v>
      </c>
      <c r="I63" s="5">
        <v>0</v>
      </c>
      <c r="J63" s="9">
        <v>0</v>
      </c>
      <c r="K63" s="8">
        <v>0</v>
      </c>
      <c r="L63" s="5">
        <v>0</v>
      </c>
      <c r="M63" s="5">
        <v>0</v>
      </c>
      <c r="N63" s="9">
        <v>0</v>
      </c>
      <c r="O63" s="8">
        <v>5</v>
      </c>
      <c r="P63" s="5">
        <v>54</v>
      </c>
      <c r="Q63" s="5">
        <v>1</v>
      </c>
      <c r="R63" s="9">
        <v>0</v>
      </c>
      <c r="S63" s="8">
        <v>0</v>
      </c>
      <c r="T63" s="9">
        <v>0</v>
      </c>
    </row>
    <row r="64" spans="1:20" x14ac:dyDescent="0.2">
      <c r="A64" s="5" t="s">
        <v>235</v>
      </c>
      <c r="B64" s="5" t="s">
        <v>162</v>
      </c>
      <c r="C64" s="17" t="s">
        <v>324</v>
      </c>
      <c r="D64" s="7">
        <f t="shared" si="0"/>
        <v>16.399999999999999</v>
      </c>
      <c r="E64" s="8">
        <v>0</v>
      </c>
      <c r="F64" s="5">
        <v>0</v>
      </c>
      <c r="G64" s="5">
        <v>0</v>
      </c>
      <c r="H64" s="5">
        <v>0</v>
      </c>
      <c r="I64" s="5">
        <v>0</v>
      </c>
      <c r="J64" s="9">
        <v>0</v>
      </c>
      <c r="K64" s="8">
        <v>0</v>
      </c>
      <c r="L64" s="5">
        <v>0</v>
      </c>
      <c r="M64" s="5">
        <v>0</v>
      </c>
      <c r="N64" s="9">
        <v>0</v>
      </c>
      <c r="O64" s="8">
        <v>6</v>
      </c>
      <c r="P64" s="5">
        <v>104</v>
      </c>
      <c r="Q64" s="5">
        <v>0</v>
      </c>
      <c r="R64" s="9">
        <v>0</v>
      </c>
      <c r="S64" s="8">
        <v>0</v>
      </c>
      <c r="T64" s="9">
        <v>0</v>
      </c>
    </row>
    <row r="65" spans="1:20" x14ac:dyDescent="0.2">
      <c r="A65" s="5" t="s">
        <v>184</v>
      </c>
      <c r="B65" s="5" t="s">
        <v>162</v>
      </c>
      <c r="C65" s="17" t="s">
        <v>332</v>
      </c>
      <c r="D65" s="7">
        <f t="shared" si="0"/>
        <v>16.3</v>
      </c>
      <c r="E65" s="8">
        <v>0</v>
      </c>
      <c r="F65" s="5">
        <v>0</v>
      </c>
      <c r="G65" s="5">
        <v>0</v>
      </c>
      <c r="H65" s="5">
        <v>0</v>
      </c>
      <c r="I65" s="5">
        <v>0</v>
      </c>
      <c r="J65" s="9">
        <v>0</v>
      </c>
      <c r="K65" s="8">
        <v>0</v>
      </c>
      <c r="L65" s="5">
        <v>0</v>
      </c>
      <c r="M65" s="5">
        <v>0</v>
      </c>
      <c r="N65" s="9">
        <v>0</v>
      </c>
      <c r="O65" s="8">
        <v>2</v>
      </c>
      <c r="P65" s="5">
        <v>83</v>
      </c>
      <c r="Q65" s="5">
        <v>1</v>
      </c>
      <c r="R65" s="9">
        <v>0</v>
      </c>
      <c r="S65" s="8">
        <v>0</v>
      </c>
      <c r="T65" s="9">
        <v>0</v>
      </c>
    </row>
    <row r="66" spans="1:20" x14ac:dyDescent="0.2">
      <c r="A66" s="5" t="s">
        <v>178</v>
      </c>
      <c r="B66" s="5" t="s">
        <v>162</v>
      </c>
      <c r="C66" s="17" t="s">
        <v>328</v>
      </c>
      <c r="D66" s="7">
        <f t="shared" si="0"/>
        <v>16.2</v>
      </c>
      <c r="E66" s="8">
        <v>0</v>
      </c>
      <c r="F66" s="5">
        <v>0</v>
      </c>
      <c r="G66" s="5">
        <v>0</v>
      </c>
      <c r="H66" s="5">
        <v>0</v>
      </c>
      <c r="I66" s="5">
        <v>0</v>
      </c>
      <c r="J66" s="9">
        <v>0</v>
      </c>
      <c r="K66" s="8">
        <v>0</v>
      </c>
      <c r="L66" s="5">
        <v>0</v>
      </c>
      <c r="M66" s="5">
        <v>0</v>
      </c>
      <c r="N66" s="9">
        <v>0</v>
      </c>
      <c r="O66" s="8">
        <v>3</v>
      </c>
      <c r="P66" s="5">
        <v>72</v>
      </c>
      <c r="Q66" s="5">
        <v>1</v>
      </c>
      <c r="R66" s="9">
        <v>0</v>
      </c>
      <c r="S66" s="8">
        <v>0</v>
      </c>
      <c r="T66" s="9">
        <v>0</v>
      </c>
    </row>
    <row r="67" spans="1:20" x14ac:dyDescent="0.2">
      <c r="A67" s="5" t="s">
        <v>218</v>
      </c>
      <c r="B67" s="5" t="s">
        <v>162</v>
      </c>
      <c r="C67" s="17" t="s">
        <v>333</v>
      </c>
      <c r="D67" s="7">
        <f t="shared" si="0"/>
        <v>16</v>
      </c>
      <c r="E67" s="8">
        <v>0</v>
      </c>
      <c r="F67" s="5">
        <v>0</v>
      </c>
      <c r="G67" s="5">
        <v>0</v>
      </c>
      <c r="H67" s="5">
        <v>0</v>
      </c>
      <c r="I67" s="5">
        <v>0</v>
      </c>
      <c r="J67" s="9">
        <v>0</v>
      </c>
      <c r="K67" s="8">
        <v>0</v>
      </c>
      <c r="L67" s="5">
        <v>0</v>
      </c>
      <c r="M67" s="5">
        <v>0</v>
      </c>
      <c r="N67" s="9">
        <v>0</v>
      </c>
      <c r="O67" s="8">
        <v>7</v>
      </c>
      <c r="P67" s="5">
        <v>90</v>
      </c>
      <c r="Q67" s="5">
        <v>0</v>
      </c>
      <c r="R67" s="9">
        <v>0</v>
      </c>
      <c r="S67" s="8">
        <v>0</v>
      </c>
      <c r="T67" s="9">
        <v>0</v>
      </c>
    </row>
    <row r="68" spans="1:20" x14ac:dyDescent="0.2">
      <c r="A68" s="5" t="s">
        <v>270</v>
      </c>
      <c r="B68" s="5" t="s">
        <v>162</v>
      </c>
      <c r="C68" s="17" t="s">
        <v>335</v>
      </c>
      <c r="D68" s="7">
        <f t="shared" si="0"/>
        <v>16</v>
      </c>
      <c r="E68" s="8">
        <v>0</v>
      </c>
      <c r="F68" s="5">
        <v>0</v>
      </c>
      <c r="G68" s="5">
        <v>0</v>
      </c>
      <c r="H68" s="5">
        <v>0</v>
      </c>
      <c r="I68" s="5">
        <v>0</v>
      </c>
      <c r="J68" s="9">
        <v>0</v>
      </c>
      <c r="K68" s="8">
        <v>0</v>
      </c>
      <c r="L68" s="5">
        <v>0</v>
      </c>
      <c r="M68" s="5">
        <v>0</v>
      </c>
      <c r="N68" s="9">
        <v>0</v>
      </c>
      <c r="O68" s="8">
        <v>3</v>
      </c>
      <c r="P68" s="5">
        <v>70</v>
      </c>
      <c r="Q68" s="5">
        <v>1</v>
      </c>
      <c r="R68" s="9">
        <v>0</v>
      </c>
      <c r="S68" s="8">
        <v>0</v>
      </c>
      <c r="T68" s="9">
        <v>0</v>
      </c>
    </row>
    <row r="69" spans="1:20" x14ac:dyDescent="0.2">
      <c r="A69" s="5" t="s">
        <v>341</v>
      </c>
      <c r="B69" s="5" t="s">
        <v>69</v>
      </c>
      <c r="C69" s="17" t="s">
        <v>327</v>
      </c>
      <c r="D69" s="7">
        <f t="shared" si="0"/>
        <v>15.5</v>
      </c>
      <c r="E69" s="8">
        <v>0</v>
      </c>
      <c r="F69" s="5">
        <v>0</v>
      </c>
      <c r="G69" s="5">
        <v>0</v>
      </c>
      <c r="H69" s="5">
        <v>0</v>
      </c>
      <c r="I69" s="5">
        <v>0</v>
      </c>
      <c r="J69" s="9">
        <v>0</v>
      </c>
      <c r="K69" s="8">
        <v>0</v>
      </c>
      <c r="L69" s="5">
        <v>0</v>
      </c>
      <c r="M69" s="5">
        <v>0</v>
      </c>
      <c r="N69" s="9">
        <v>0</v>
      </c>
      <c r="O69" s="8">
        <v>5</v>
      </c>
      <c r="P69" s="5">
        <v>45</v>
      </c>
      <c r="Q69" s="5">
        <v>1</v>
      </c>
      <c r="R69" s="9">
        <v>0</v>
      </c>
      <c r="S69" s="8">
        <v>0</v>
      </c>
      <c r="T69" s="9">
        <v>0</v>
      </c>
    </row>
    <row r="70" spans="1:20" x14ac:dyDescent="0.2">
      <c r="A70" s="5" t="s">
        <v>157</v>
      </c>
      <c r="B70" s="5" t="s">
        <v>75</v>
      </c>
      <c r="C70" s="17" t="s">
        <v>338</v>
      </c>
      <c r="D70" s="7">
        <f t="shared" si="0"/>
        <v>15.4</v>
      </c>
      <c r="E70" s="8">
        <v>0</v>
      </c>
      <c r="F70" s="5">
        <v>0</v>
      </c>
      <c r="G70" s="5">
        <v>0</v>
      </c>
      <c r="H70" s="5">
        <v>0</v>
      </c>
      <c r="I70" s="5">
        <v>0</v>
      </c>
      <c r="J70" s="9">
        <v>0</v>
      </c>
      <c r="K70" s="8">
        <v>12</v>
      </c>
      <c r="L70" s="5">
        <v>34</v>
      </c>
      <c r="M70" s="5">
        <v>2</v>
      </c>
      <c r="N70" s="9">
        <v>0</v>
      </c>
      <c r="O70" s="8">
        <v>0</v>
      </c>
      <c r="P70" s="5">
        <v>0</v>
      </c>
      <c r="Q70" s="5">
        <v>0</v>
      </c>
      <c r="R70" s="9">
        <v>0</v>
      </c>
      <c r="S70" s="8">
        <v>0</v>
      </c>
      <c r="T70" s="9">
        <v>0</v>
      </c>
    </row>
    <row r="71" spans="1:20" x14ac:dyDescent="0.2">
      <c r="A71" s="5" t="s">
        <v>62</v>
      </c>
      <c r="B71" s="5" t="s">
        <v>17</v>
      </c>
      <c r="C71" s="10" t="s">
        <v>327</v>
      </c>
      <c r="D71" s="7">
        <f t="shared" si="0"/>
        <v>15.380000000000003</v>
      </c>
      <c r="E71" s="8">
        <v>41</v>
      </c>
      <c r="F71" s="5">
        <v>27</v>
      </c>
      <c r="G71" s="5">
        <v>222</v>
      </c>
      <c r="H71" s="5">
        <v>2</v>
      </c>
      <c r="I71" s="5">
        <v>1</v>
      </c>
      <c r="J71" s="9">
        <v>0</v>
      </c>
      <c r="K71" s="8">
        <v>1</v>
      </c>
      <c r="L71" s="5">
        <v>5</v>
      </c>
      <c r="M71" s="5">
        <v>0</v>
      </c>
      <c r="N71" s="9">
        <v>0</v>
      </c>
      <c r="O71" s="8">
        <v>0</v>
      </c>
      <c r="P71" s="5">
        <v>0</v>
      </c>
      <c r="Q71" s="5">
        <v>0</v>
      </c>
      <c r="R71" s="9">
        <v>0</v>
      </c>
      <c r="S71" s="8">
        <v>0</v>
      </c>
      <c r="T71" s="9">
        <v>0</v>
      </c>
    </row>
    <row r="72" spans="1:20" x14ac:dyDescent="0.2">
      <c r="A72" s="5" t="s">
        <v>176</v>
      </c>
      <c r="B72" s="5" t="s">
        <v>162</v>
      </c>
      <c r="C72" s="10" t="s">
        <v>323</v>
      </c>
      <c r="D72" s="7">
        <f t="shared" si="0"/>
        <v>15.2</v>
      </c>
      <c r="E72" s="8">
        <v>0</v>
      </c>
      <c r="F72" s="5">
        <v>0</v>
      </c>
      <c r="G72" s="5">
        <v>0</v>
      </c>
      <c r="H72" s="5">
        <v>0</v>
      </c>
      <c r="I72" s="5">
        <v>0</v>
      </c>
      <c r="J72" s="9">
        <v>0</v>
      </c>
      <c r="K72" s="8">
        <v>1</v>
      </c>
      <c r="L72" s="5">
        <v>5</v>
      </c>
      <c r="M72" s="5">
        <v>0</v>
      </c>
      <c r="N72" s="9">
        <v>0</v>
      </c>
      <c r="O72" s="8">
        <v>7</v>
      </c>
      <c r="P72" s="5">
        <v>77</v>
      </c>
      <c r="Q72" s="5">
        <v>0</v>
      </c>
      <c r="R72" s="9">
        <v>0</v>
      </c>
      <c r="S72" s="8">
        <v>0</v>
      </c>
      <c r="T72" s="9">
        <v>0</v>
      </c>
    </row>
    <row r="73" spans="1:20" x14ac:dyDescent="0.2">
      <c r="A73" s="5" t="s">
        <v>87</v>
      </c>
      <c r="B73" s="5" t="s">
        <v>75</v>
      </c>
      <c r="C73" s="10" t="s">
        <v>331</v>
      </c>
      <c r="D73" s="7">
        <f t="shared" si="0"/>
        <v>15</v>
      </c>
      <c r="E73" s="8">
        <v>0</v>
      </c>
      <c r="F73" s="5">
        <v>0</v>
      </c>
      <c r="G73" s="5">
        <v>0</v>
      </c>
      <c r="H73" s="5">
        <v>0</v>
      </c>
      <c r="I73" s="5">
        <v>0</v>
      </c>
      <c r="J73" s="9">
        <v>0</v>
      </c>
      <c r="K73" s="8">
        <v>15</v>
      </c>
      <c r="L73" s="5">
        <v>50</v>
      </c>
      <c r="M73" s="5">
        <v>1</v>
      </c>
      <c r="N73" s="9">
        <v>0</v>
      </c>
      <c r="O73" s="8">
        <v>3</v>
      </c>
      <c r="P73" s="5">
        <v>10</v>
      </c>
      <c r="Q73" s="5">
        <v>0</v>
      </c>
      <c r="R73" s="9">
        <v>0</v>
      </c>
      <c r="S73" s="8">
        <v>0</v>
      </c>
      <c r="T73" s="9">
        <v>0</v>
      </c>
    </row>
    <row r="74" spans="1:20" x14ac:dyDescent="0.2">
      <c r="A74" s="5" t="s">
        <v>161</v>
      </c>
      <c r="B74" s="5" t="s">
        <v>162</v>
      </c>
      <c r="C74" s="17" t="s">
        <v>331</v>
      </c>
      <c r="D74" s="7">
        <f t="shared" si="0"/>
        <v>15</v>
      </c>
      <c r="E74" s="8">
        <v>0</v>
      </c>
      <c r="F74" s="5">
        <v>0</v>
      </c>
      <c r="G74" s="5">
        <v>0</v>
      </c>
      <c r="H74" s="5">
        <v>0</v>
      </c>
      <c r="I74" s="5">
        <v>0</v>
      </c>
      <c r="J74" s="9">
        <v>0</v>
      </c>
      <c r="K74" s="8">
        <v>0</v>
      </c>
      <c r="L74" s="5">
        <v>0</v>
      </c>
      <c r="M74" s="5">
        <v>0</v>
      </c>
      <c r="N74" s="9">
        <v>0</v>
      </c>
      <c r="O74" s="8">
        <v>5</v>
      </c>
      <c r="P74" s="5">
        <v>40</v>
      </c>
      <c r="Q74" s="5">
        <v>1</v>
      </c>
      <c r="R74" s="9">
        <v>0</v>
      </c>
      <c r="S74" s="8">
        <v>0</v>
      </c>
      <c r="T74" s="9">
        <v>0</v>
      </c>
    </row>
    <row r="75" spans="1:20" x14ac:dyDescent="0.2">
      <c r="A75" s="5" t="s">
        <v>43</v>
      </c>
      <c r="B75" s="5" t="s">
        <v>17</v>
      </c>
      <c r="C75" s="17" t="s">
        <v>324</v>
      </c>
      <c r="D75" s="7">
        <f t="shared" si="0"/>
        <v>14.74</v>
      </c>
      <c r="E75" s="8">
        <v>29</v>
      </c>
      <c r="F75" s="5">
        <v>16</v>
      </c>
      <c r="G75" s="5">
        <v>211</v>
      </c>
      <c r="H75" s="5">
        <v>1</v>
      </c>
      <c r="I75" s="5">
        <v>2</v>
      </c>
      <c r="J75" s="9">
        <v>0</v>
      </c>
      <c r="K75" s="8">
        <v>4</v>
      </c>
      <c r="L75" s="5">
        <v>3</v>
      </c>
      <c r="M75" s="5">
        <v>1</v>
      </c>
      <c r="N75" s="9">
        <v>0</v>
      </c>
      <c r="O75" s="8">
        <v>0</v>
      </c>
      <c r="P75" s="5">
        <v>0</v>
      </c>
      <c r="Q75" s="5">
        <v>0</v>
      </c>
      <c r="R75" s="9">
        <v>0</v>
      </c>
      <c r="S75" s="8">
        <v>0</v>
      </c>
      <c r="T75" s="9">
        <v>0</v>
      </c>
    </row>
    <row r="76" spans="1:20" x14ac:dyDescent="0.2">
      <c r="A76" s="5" t="s">
        <v>33</v>
      </c>
      <c r="B76" s="5" t="s">
        <v>17</v>
      </c>
      <c r="C76" s="17" t="s">
        <v>323</v>
      </c>
      <c r="D76" s="7">
        <f t="shared" si="0"/>
        <v>14.74</v>
      </c>
      <c r="E76" s="8">
        <v>25</v>
      </c>
      <c r="F76" s="5">
        <v>17</v>
      </c>
      <c r="G76" s="5">
        <v>206</v>
      </c>
      <c r="H76" s="5">
        <v>0</v>
      </c>
      <c r="I76" s="5">
        <v>0</v>
      </c>
      <c r="J76" s="9">
        <v>0</v>
      </c>
      <c r="K76" s="8">
        <v>3</v>
      </c>
      <c r="L76" s="5">
        <v>5</v>
      </c>
      <c r="M76" s="5">
        <v>1</v>
      </c>
      <c r="N76" s="9">
        <v>0</v>
      </c>
      <c r="O76" s="8">
        <v>0</v>
      </c>
      <c r="P76" s="5">
        <v>0</v>
      </c>
      <c r="Q76" s="5">
        <v>0</v>
      </c>
      <c r="R76" s="9">
        <v>0</v>
      </c>
      <c r="S76" s="8">
        <v>0</v>
      </c>
      <c r="T76" s="9">
        <v>0</v>
      </c>
    </row>
    <row r="77" spans="1:20" x14ac:dyDescent="0.2">
      <c r="A77" s="5" t="s">
        <v>171</v>
      </c>
      <c r="B77" s="5" t="s">
        <v>162</v>
      </c>
      <c r="C77" s="17" t="s">
        <v>338</v>
      </c>
      <c r="D77" s="7">
        <f t="shared" si="0"/>
        <v>14.6</v>
      </c>
      <c r="E77" s="8">
        <v>0</v>
      </c>
      <c r="F77" s="5">
        <v>0</v>
      </c>
      <c r="G77" s="5">
        <v>0</v>
      </c>
      <c r="H77" s="5">
        <v>0</v>
      </c>
      <c r="I77" s="5">
        <v>0</v>
      </c>
      <c r="J77" s="9">
        <v>0</v>
      </c>
      <c r="K77" s="8">
        <v>0</v>
      </c>
      <c r="L77" s="5">
        <v>0</v>
      </c>
      <c r="M77" s="5">
        <v>0</v>
      </c>
      <c r="N77" s="9">
        <v>0</v>
      </c>
      <c r="O77" s="8">
        <v>6</v>
      </c>
      <c r="P77" s="5">
        <v>86</v>
      </c>
      <c r="Q77" s="5">
        <v>0</v>
      </c>
      <c r="R77" s="9">
        <v>0</v>
      </c>
      <c r="S77" s="8">
        <v>0</v>
      </c>
      <c r="T77" s="9">
        <v>0</v>
      </c>
    </row>
    <row r="78" spans="1:20" x14ac:dyDescent="0.2">
      <c r="A78" s="5" t="s">
        <v>173</v>
      </c>
      <c r="B78" s="5" t="s">
        <v>162</v>
      </c>
      <c r="C78" s="10" t="s">
        <v>330</v>
      </c>
      <c r="D78" s="7">
        <f t="shared" si="0"/>
        <v>14.200000000000003</v>
      </c>
      <c r="E78" s="8">
        <v>0</v>
      </c>
      <c r="F78" s="5">
        <v>0</v>
      </c>
      <c r="G78" s="5">
        <v>0</v>
      </c>
      <c r="H78" s="5">
        <v>0</v>
      </c>
      <c r="I78" s="5">
        <v>0</v>
      </c>
      <c r="J78" s="9">
        <v>0</v>
      </c>
      <c r="K78" s="8">
        <v>0</v>
      </c>
      <c r="L78" s="5">
        <v>0</v>
      </c>
      <c r="M78" s="5">
        <v>0</v>
      </c>
      <c r="N78" s="9">
        <v>0</v>
      </c>
      <c r="O78" s="8">
        <v>6</v>
      </c>
      <c r="P78" s="5">
        <v>102</v>
      </c>
      <c r="Q78" s="5">
        <v>0</v>
      </c>
      <c r="R78" s="9">
        <v>0</v>
      </c>
      <c r="S78" s="8">
        <v>1</v>
      </c>
      <c r="T78" s="9">
        <v>0</v>
      </c>
    </row>
    <row r="79" spans="1:20" x14ac:dyDescent="0.2">
      <c r="A79" s="5" t="s">
        <v>252</v>
      </c>
      <c r="B79" s="5" t="s">
        <v>162</v>
      </c>
      <c r="C79" s="17" t="s">
        <v>322</v>
      </c>
      <c r="D79" s="7">
        <f t="shared" si="0"/>
        <v>14</v>
      </c>
      <c r="E79" s="8">
        <v>0</v>
      </c>
      <c r="F79" s="5">
        <v>0</v>
      </c>
      <c r="G79" s="5">
        <v>0</v>
      </c>
      <c r="H79" s="5">
        <v>0</v>
      </c>
      <c r="I79" s="5">
        <v>0</v>
      </c>
      <c r="J79" s="9">
        <v>0</v>
      </c>
      <c r="K79" s="8">
        <v>0</v>
      </c>
      <c r="L79" s="5">
        <v>0</v>
      </c>
      <c r="M79" s="5">
        <v>0</v>
      </c>
      <c r="N79" s="9">
        <v>0</v>
      </c>
      <c r="O79" s="8">
        <v>4</v>
      </c>
      <c r="P79" s="5">
        <v>40</v>
      </c>
      <c r="Q79" s="5">
        <v>1</v>
      </c>
      <c r="R79" s="9">
        <v>0</v>
      </c>
      <c r="S79" s="8">
        <v>0</v>
      </c>
      <c r="T79" s="9">
        <v>0</v>
      </c>
    </row>
    <row r="80" spans="1:20" x14ac:dyDescent="0.2">
      <c r="A80" s="5" t="s">
        <v>46</v>
      </c>
      <c r="B80" s="5" t="s">
        <v>17</v>
      </c>
      <c r="C80" s="10" t="s">
        <v>323</v>
      </c>
      <c r="D80" s="7">
        <f t="shared" si="0"/>
        <v>13.98</v>
      </c>
      <c r="E80" s="8">
        <v>55</v>
      </c>
      <c r="F80" s="5">
        <v>34</v>
      </c>
      <c r="G80" s="5">
        <v>307</v>
      </c>
      <c r="H80" s="5">
        <v>1</v>
      </c>
      <c r="I80" s="5">
        <v>2</v>
      </c>
      <c r="J80" s="9">
        <v>0</v>
      </c>
      <c r="K80" s="8">
        <v>4</v>
      </c>
      <c r="L80" s="5">
        <v>17</v>
      </c>
      <c r="M80" s="5">
        <v>0</v>
      </c>
      <c r="N80" s="9">
        <v>0</v>
      </c>
      <c r="O80" s="8">
        <v>0</v>
      </c>
      <c r="P80" s="5">
        <v>0</v>
      </c>
      <c r="Q80" s="5">
        <v>0</v>
      </c>
      <c r="R80" s="9">
        <v>0</v>
      </c>
      <c r="S80" s="8">
        <v>0</v>
      </c>
      <c r="T80" s="9">
        <v>0</v>
      </c>
    </row>
    <row r="81" spans="1:20" x14ac:dyDescent="0.2">
      <c r="A81" s="5" t="s">
        <v>19</v>
      </c>
      <c r="B81" s="5" t="s">
        <v>17</v>
      </c>
      <c r="C81" s="10" t="s">
        <v>331</v>
      </c>
      <c r="D81" s="7">
        <f t="shared" si="0"/>
        <v>13.74</v>
      </c>
      <c r="E81" s="8">
        <v>42</v>
      </c>
      <c r="F81" s="5">
        <v>31</v>
      </c>
      <c r="G81" s="5">
        <v>231</v>
      </c>
      <c r="H81" s="5">
        <v>1</v>
      </c>
      <c r="I81" s="5">
        <v>1</v>
      </c>
      <c r="J81" s="9">
        <v>0</v>
      </c>
      <c r="K81" s="8">
        <v>5</v>
      </c>
      <c r="L81" s="5">
        <v>25</v>
      </c>
      <c r="M81" s="5">
        <v>0</v>
      </c>
      <c r="N81" s="9">
        <v>0</v>
      </c>
      <c r="O81" s="8">
        <v>0</v>
      </c>
      <c r="P81" s="5">
        <v>0</v>
      </c>
      <c r="Q81" s="5">
        <v>0</v>
      </c>
      <c r="R81" s="9">
        <v>0</v>
      </c>
      <c r="S81" s="8">
        <v>0</v>
      </c>
      <c r="T81" s="9">
        <v>0</v>
      </c>
    </row>
    <row r="82" spans="1:20" x14ac:dyDescent="0.2">
      <c r="A82" s="5" t="s">
        <v>243</v>
      </c>
      <c r="B82" s="5" t="s">
        <v>162</v>
      </c>
      <c r="C82" s="10" t="s">
        <v>330</v>
      </c>
      <c r="D82" s="7">
        <f t="shared" si="0"/>
        <v>13.700000000000001</v>
      </c>
      <c r="E82" s="8">
        <v>0</v>
      </c>
      <c r="F82" s="5">
        <v>0</v>
      </c>
      <c r="G82" s="5">
        <v>0</v>
      </c>
      <c r="H82" s="5">
        <v>0</v>
      </c>
      <c r="I82" s="5">
        <v>0</v>
      </c>
      <c r="J82" s="9">
        <v>0</v>
      </c>
      <c r="K82" s="8">
        <v>1</v>
      </c>
      <c r="L82" s="5">
        <v>11</v>
      </c>
      <c r="M82" s="5">
        <v>0</v>
      </c>
      <c r="N82" s="9">
        <v>0</v>
      </c>
      <c r="O82" s="8">
        <v>2</v>
      </c>
      <c r="P82" s="5">
        <v>46</v>
      </c>
      <c r="Q82" s="5">
        <v>1</v>
      </c>
      <c r="R82" s="9">
        <v>0</v>
      </c>
      <c r="S82" s="8">
        <v>0</v>
      </c>
      <c r="T82" s="9">
        <v>0</v>
      </c>
    </row>
    <row r="83" spans="1:20" x14ac:dyDescent="0.2">
      <c r="A83" s="5" t="s">
        <v>165</v>
      </c>
      <c r="B83" s="5" t="s">
        <v>162</v>
      </c>
      <c r="C83" s="10" t="s">
        <v>334</v>
      </c>
      <c r="D83" s="7">
        <f t="shared" si="0"/>
        <v>13.600000000000001</v>
      </c>
      <c r="E83" s="8">
        <v>0</v>
      </c>
      <c r="F83" s="5">
        <v>0</v>
      </c>
      <c r="G83" s="5">
        <v>0</v>
      </c>
      <c r="H83" s="5">
        <v>0</v>
      </c>
      <c r="I83" s="5">
        <v>0</v>
      </c>
      <c r="J83" s="9">
        <v>0</v>
      </c>
      <c r="K83" s="8">
        <v>0</v>
      </c>
      <c r="L83" s="5">
        <v>0</v>
      </c>
      <c r="M83" s="5">
        <v>0</v>
      </c>
      <c r="N83" s="9">
        <v>0</v>
      </c>
      <c r="O83" s="8">
        <v>7</v>
      </c>
      <c r="P83" s="5">
        <v>66</v>
      </c>
      <c r="Q83" s="5">
        <v>0</v>
      </c>
      <c r="R83" s="9">
        <v>0</v>
      </c>
      <c r="S83" s="8">
        <v>0</v>
      </c>
      <c r="T83" s="9">
        <v>0</v>
      </c>
    </row>
    <row r="84" spans="1:20" x14ac:dyDescent="0.2">
      <c r="A84" s="5" t="s">
        <v>169</v>
      </c>
      <c r="B84" s="5" t="s">
        <v>162</v>
      </c>
      <c r="C84" s="17" t="s">
        <v>329</v>
      </c>
      <c r="D84" s="7">
        <f t="shared" si="0"/>
        <v>13.600000000000001</v>
      </c>
      <c r="E84" s="8">
        <v>0</v>
      </c>
      <c r="F84" s="5">
        <v>0</v>
      </c>
      <c r="G84" s="5">
        <v>0</v>
      </c>
      <c r="H84" s="5">
        <v>0</v>
      </c>
      <c r="I84" s="5">
        <v>0</v>
      </c>
      <c r="J84" s="9">
        <v>0</v>
      </c>
      <c r="K84" s="8">
        <v>0</v>
      </c>
      <c r="L84" s="5">
        <v>0</v>
      </c>
      <c r="M84" s="5">
        <v>0</v>
      </c>
      <c r="N84" s="9">
        <v>0</v>
      </c>
      <c r="O84" s="8">
        <v>8</v>
      </c>
      <c r="P84" s="5">
        <v>56</v>
      </c>
      <c r="Q84" s="5">
        <v>0</v>
      </c>
      <c r="R84" s="9">
        <v>0</v>
      </c>
      <c r="S84" s="8">
        <v>0</v>
      </c>
      <c r="T84" s="9">
        <v>0</v>
      </c>
    </row>
    <row r="85" spans="1:20" x14ac:dyDescent="0.2">
      <c r="A85" s="5" t="s">
        <v>294</v>
      </c>
      <c r="B85" s="5" t="s">
        <v>69</v>
      </c>
      <c r="C85" s="17" t="s">
        <v>322</v>
      </c>
      <c r="D85" s="7">
        <f t="shared" si="0"/>
        <v>13.600000000000001</v>
      </c>
      <c r="E85" s="8">
        <v>0</v>
      </c>
      <c r="F85" s="5">
        <v>0</v>
      </c>
      <c r="G85" s="5">
        <v>0</v>
      </c>
      <c r="H85" s="5">
        <v>0</v>
      </c>
      <c r="I85" s="5">
        <v>0</v>
      </c>
      <c r="J85" s="9">
        <v>0</v>
      </c>
      <c r="K85" s="8">
        <v>0</v>
      </c>
      <c r="L85" s="5">
        <v>0</v>
      </c>
      <c r="M85" s="5">
        <v>0</v>
      </c>
      <c r="N85" s="9">
        <v>0</v>
      </c>
      <c r="O85" s="8">
        <v>6</v>
      </c>
      <c r="P85" s="5">
        <v>76</v>
      </c>
      <c r="Q85" s="5">
        <v>0</v>
      </c>
      <c r="R85" s="9">
        <v>0</v>
      </c>
      <c r="S85" s="8">
        <v>0</v>
      </c>
      <c r="T85" s="9">
        <v>0</v>
      </c>
    </row>
    <row r="86" spans="1:20" x14ac:dyDescent="0.2">
      <c r="A86" s="5" t="s">
        <v>57</v>
      </c>
      <c r="B86" s="5" t="s">
        <v>17</v>
      </c>
      <c r="C86" s="10" t="s">
        <v>338</v>
      </c>
      <c r="D86" s="7">
        <f t="shared" si="0"/>
        <v>13.520000000000001</v>
      </c>
      <c r="E86" s="8">
        <v>33</v>
      </c>
      <c r="F86" s="5">
        <v>22</v>
      </c>
      <c r="G86" s="5">
        <v>153</v>
      </c>
      <c r="H86" s="5">
        <v>1</v>
      </c>
      <c r="I86" s="5">
        <v>0</v>
      </c>
      <c r="J86" s="9">
        <v>1</v>
      </c>
      <c r="K86" s="8">
        <v>2</v>
      </c>
      <c r="L86" s="5">
        <v>34</v>
      </c>
      <c r="M86" s="5">
        <v>0</v>
      </c>
      <c r="N86" s="9">
        <v>0</v>
      </c>
      <c r="O86" s="8">
        <v>0</v>
      </c>
      <c r="P86" s="5">
        <v>0</v>
      </c>
      <c r="Q86" s="5">
        <v>0</v>
      </c>
      <c r="R86" s="9">
        <v>0</v>
      </c>
      <c r="S86" s="8">
        <v>1</v>
      </c>
      <c r="T86" s="9">
        <v>0</v>
      </c>
    </row>
    <row r="87" spans="1:20" x14ac:dyDescent="0.2">
      <c r="A87" s="5" t="s">
        <v>103</v>
      </c>
      <c r="B87" s="5" t="s">
        <v>75</v>
      </c>
      <c r="C87" s="10" t="s">
        <v>327</v>
      </c>
      <c r="D87" s="7">
        <f t="shared" si="0"/>
        <v>13.5</v>
      </c>
      <c r="E87" s="8">
        <v>0</v>
      </c>
      <c r="F87" s="5">
        <v>0</v>
      </c>
      <c r="G87" s="5">
        <v>0</v>
      </c>
      <c r="H87" s="5">
        <v>0</v>
      </c>
      <c r="I87" s="5">
        <v>0</v>
      </c>
      <c r="J87" s="9">
        <v>0</v>
      </c>
      <c r="K87" s="8">
        <v>13</v>
      </c>
      <c r="L87" s="5">
        <v>59</v>
      </c>
      <c r="M87" s="5">
        <v>0</v>
      </c>
      <c r="N87" s="9">
        <v>0</v>
      </c>
      <c r="O87" s="8">
        <v>4</v>
      </c>
      <c r="P87" s="5">
        <v>36</v>
      </c>
      <c r="Q87" s="5">
        <v>0</v>
      </c>
      <c r="R87" s="9">
        <v>0</v>
      </c>
      <c r="S87" s="8">
        <v>0</v>
      </c>
      <c r="T87" s="9">
        <v>0</v>
      </c>
    </row>
    <row r="88" spans="1:20" x14ac:dyDescent="0.2">
      <c r="A88" s="5" t="s">
        <v>188</v>
      </c>
      <c r="B88" s="5" t="s">
        <v>162</v>
      </c>
      <c r="C88" s="17" t="s">
        <v>330</v>
      </c>
      <c r="D88" s="7">
        <f t="shared" si="0"/>
        <v>13.5</v>
      </c>
      <c r="E88" s="8">
        <v>0</v>
      </c>
      <c r="F88" s="5">
        <v>0</v>
      </c>
      <c r="G88" s="5">
        <v>0</v>
      </c>
      <c r="H88" s="5">
        <v>0</v>
      </c>
      <c r="I88" s="5">
        <v>0</v>
      </c>
      <c r="J88" s="9">
        <v>0</v>
      </c>
      <c r="K88" s="8">
        <v>0</v>
      </c>
      <c r="L88" s="5">
        <v>0</v>
      </c>
      <c r="M88" s="5">
        <v>0</v>
      </c>
      <c r="N88" s="9">
        <v>0</v>
      </c>
      <c r="O88" s="8">
        <v>6</v>
      </c>
      <c r="P88" s="5">
        <v>75</v>
      </c>
      <c r="Q88" s="5">
        <v>0</v>
      </c>
      <c r="R88" s="9">
        <v>0</v>
      </c>
      <c r="S88" s="8">
        <v>0</v>
      </c>
      <c r="T88" s="9">
        <v>0</v>
      </c>
    </row>
    <row r="89" spans="1:20" x14ac:dyDescent="0.2">
      <c r="A89" s="5" t="s">
        <v>197</v>
      </c>
      <c r="B89" s="5" t="s">
        <v>162</v>
      </c>
      <c r="C89" s="10" t="s">
        <v>329</v>
      </c>
      <c r="D89" s="7">
        <f t="shared" si="0"/>
        <v>13.4</v>
      </c>
      <c r="E89" s="8">
        <v>0</v>
      </c>
      <c r="F89" s="5">
        <v>0</v>
      </c>
      <c r="G89" s="5">
        <v>0</v>
      </c>
      <c r="H89" s="5">
        <v>0</v>
      </c>
      <c r="I89" s="5">
        <v>0</v>
      </c>
      <c r="J89" s="9">
        <v>0</v>
      </c>
      <c r="K89" s="8">
        <v>0</v>
      </c>
      <c r="L89" s="5">
        <v>0</v>
      </c>
      <c r="M89" s="5">
        <v>0</v>
      </c>
      <c r="N89" s="9">
        <v>0</v>
      </c>
      <c r="O89" s="8">
        <v>6</v>
      </c>
      <c r="P89" s="5">
        <v>74</v>
      </c>
      <c r="Q89" s="5">
        <v>0</v>
      </c>
      <c r="R89" s="9">
        <v>0</v>
      </c>
      <c r="S89" s="8">
        <v>0</v>
      </c>
      <c r="T89" s="9">
        <v>0</v>
      </c>
    </row>
    <row r="90" spans="1:20" x14ac:dyDescent="0.2">
      <c r="A90" s="5" t="s">
        <v>113</v>
      </c>
      <c r="B90" s="5" t="s">
        <v>75</v>
      </c>
      <c r="C90" s="10" t="s">
        <v>333</v>
      </c>
      <c r="D90" s="7">
        <f t="shared" si="0"/>
        <v>12.600000000000001</v>
      </c>
      <c r="E90" s="8">
        <v>0</v>
      </c>
      <c r="F90" s="5">
        <v>0</v>
      </c>
      <c r="G90" s="5">
        <v>0</v>
      </c>
      <c r="H90" s="5">
        <v>0</v>
      </c>
      <c r="I90" s="5">
        <v>0</v>
      </c>
      <c r="J90" s="9">
        <v>0</v>
      </c>
      <c r="K90" s="8">
        <v>6</v>
      </c>
      <c r="L90" s="5">
        <v>20</v>
      </c>
      <c r="M90" s="5">
        <v>0</v>
      </c>
      <c r="N90" s="9">
        <v>0</v>
      </c>
      <c r="O90" s="8">
        <v>4</v>
      </c>
      <c r="P90" s="5">
        <v>66</v>
      </c>
      <c r="Q90" s="5">
        <v>0</v>
      </c>
      <c r="R90" s="9">
        <v>0</v>
      </c>
      <c r="S90" s="8">
        <v>0</v>
      </c>
      <c r="T90" s="9">
        <v>0</v>
      </c>
    </row>
    <row r="91" spans="1:20" x14ac:dyDescent="0.2">
      <c r="A91" s="5" t="s">
        <v>111</v>
      </c>
      <c r="B91" s="5" t="s">
        <v>75</v>
      </c>
      <c r="C91" s="10" t="s">
        <v>330</v>
      </c>
      <c r="D91" s="7">
        <f t="shared" si="0"/>
        <v>12.6</v>
      </c>
      <c r="E91" s="8">
        <v>0</v>
      </c>
      <c r="F91" s="5">
        <v>0</v>
      </c>
      <c r="G91" s="5">
        <v>0</v>
      </c>
      <c r="H91" s="5">
        <v>0</v>
      </c>
      <c r="I91" s="5">
        <v>0</v>
      </c>
      <c r="J91" s="9">
        <v>0</v>
      </c>
      <c r="K91" s="8">
        <v>7</v>
      </c>
      <c r="L91" s="5">
        <v>17</v>
      </c>
      <c r="M91" s="5">
        <v>0</v>
      </c>
      <c r="N91" s="9">
        <v>0</v>
      </c>
      <c r="O91" s="8">
        <v>7</v>
      </c>
      <c r="P91" s="5">
        <v>39</v>
      </c>
      <c r="Q91" s="5">
        <v>0</v>
      </c>
      <c r="R91" s="9">
        <v>0</v>
      </c>
      <c r="S91" s="8">
        <v>0</v>
      </c>
      <c r="T91" s="9">
        <v>0</v>
      </c>
    </row>
    <row r="92" spans="1:20" x14ac:dyDescent="0.2">
      <c r="A92" s="5" t="s">
        <v>342</v>
      </c>
      <c r="B92" s="5" t="s">
        <v>162</v>
      </c>
      <c r="C92" s="17" t="s">
        <v>324</v>
      </c>
      <c r="D92" s="7">
        <f t="shared" si="0"/>
        <v>12.6</v>
      </c>
      <c r="E92" s="8">
        <v>0</v>
      </c>
      <c r="F92" s="5">
        <v>0</v>
      </c>
      <c r="G92" s="5">
        <v>0</v>
      </c>
      <c r="H92" s="5">
        <v>0</v>
      </c>
      <c r="I92" s="5">
        <v>0</v>
      </c>
      <c r="J92" s="9">
        <v>0</v>
      </c>
      <c r="K92" s="8">
        <v>0</v>
      </c>
      <c r="L92" s="5">
        <v>0</v>
      </c>
      <c r="M92" s="5">
        <v>0</v>
      </c>
      <c r="N92" s="9">
        <v>0</v>
      </c>
      <c r="O92" s="8">
        <v>3</v>
      </c>
      <c r="P92" s="5">
        <v>36</v>
      </c>
      <c r="Q92" s="5">
        <v>1</v>
      </c>
      <c r="R92" s="9">
        <v>0</v>
      </c>
      <c r="S92" s="8">
        <v>0</v>
      </c>
      <c r="T92" s="9">
        <v>0</v>
      </c>
    </row>
    <row r="93" spans="1:20" x14ac:dyDescent="0.2">
      <c r="A93" s="5" t="s">
        <v>343</v>
      </c>
      <c r="B93" s="5" t="s">
        <v>69</v>
      </c>
      <c r="C93" s="17" t="s">
        <v>335</v>
      </c>
      <c r="D93" s="7">
        <f t="shared" si="0"/>
        <v>12.6</v>
      </c>
      <c r="E93" s="8">
        <v>0</v>
      </c>
      <c r="F93" s="5">
        <v>0</v>
      </c>
      <c r="G93" s="5">
        <v>0</v>
      </c>
      <c r="H93" s="5">
        <v>0</v>
      </c>
      <c r="I93" s="5">
        <v>0</v>
      </c>
      <c r="J93" s="9">
        <v>0</v>
      </c>
      <c r="K93" s="8">
        <v>0</v>
      </c>
      <c r="L93" s="5">
        <v>0</v>
      </c>
      <c r="M93" s="5">
        <v>0</v>
      </c>
      <c r="N93" s="9">
        <v>0</v>
      </c>
      <c r="O93" s="8">
        <v>4</v>
      </c>
      <c r="P93" s="5">
        <v>26</v>
      </c>
      <c r="Q93" s="5">
        <v>1</v>
      </c>
      <c r="R93" s="9">
        <v>0</v>
      </c>
      <c r="S93" s="8">
        <v>0</v>
      </c>
      <c r="T93" s="9">
        <v>0</v>
      </c>
    </row>
    <row r="94" spans="1:20" x14ac:dyDescent="0.2">
      <c r="A94" s="5" t="s">
        <v>195</v>
      </c>
      <c r="B94" s="5" t="s">
        <v>162</v>
      </c>
      <c r="C94" s="17" t="s">
        <v>338</v>
      </c>
      <c r="D94" s="7">
        <f t="shared" si="0"/>
        <v>12.5</v>
      </c>
      <c r="E94" s="8">
        <v>0</v>
      </c>
      <c r="F94" s="5">
        <v>0</v>
      </c>
      <c r="G94" s="5">
        <v>0</v>
      </c>
      <c r="H94" s="5">
        <v>0</v>
      </c>
      <c r="I94" s="5">
        <v>0</v>
      </c>
      <c r="J94" s="9">
        <v>0</v>
      </c>
      <c r="K94" s="8">
        <v>0</v>
      </c>
      <c r="L94" s="5">
        <v>0</v>
      </c>
      <c r="M94" s="5">
        <v>0</v>
      </c>
      <c r="N94" s="9">
        <v>0</v>
      </c>
      <c r="O94" s="8">
        <v>7</v>
      </c>
      <c r="P94" s="5">
        <v>55</v>
      </c>
      <c r="Q94" s="5">
        <v>0</v>
      </c>
      <c r="R94" s="9">
        <v>0</v>
      </c>
      <c r="S94" s="8">
        <v>0</v>
      </c>
      <c r="T94" s="9">
        <v>0</v>
      </c>
    </row>
    <row r="95" spans="1:20" x14ac:dyDescent="0.2">
      <c r="A95" s="5" t="s">
        <v>224</v>
      </c>
      <c r="B95" s="5" t="s">
        <v>162</v>
      </c>
      <c r="C95" s="17" t="s">
        <v>328</v>
      </c>
      <c r="D95" s="7">
        <f t="shared" si="0"/>
        <v>12.4</v>
      </c>
      <c r="E95" s="8">
        <v>0</v>
      </c>
      <c r="F95" s="5">
        <v>0</v>
      </c>
      <c r="G95" s="5">
        <v>0</v>
      </c>
      <c r="H95" s="5">
        <v>0</v>
      </c>
      <c r="I95" s="5">
        <v>0</v>
      </c>
      <c r="J95" s="9">
        <v>0</v>
      </c>
      <c r="K95" s="8">
        <v>0</v>
      </c>
      <c r="L95" s="5">
        <v>0</v>
      </c>
      <c r="M95" s="5">
        <v>0</v>
      </c>
      <c r="N95" s="9">
        <v>0</v>
      </c>
      <c r="O95" s="8">
        <v>3</v>
      </c>
      <c r="P95" s="5">
        <v>34</v>
      </c>
      <c r="Q95" s="5">
        <v>1</v>
      </c>
      <c r="R95" s="9">
        <v>0</v>
      </c>
      <c r="S95" s="8">
        <v>0</v>
      </c>
      <c r="T95" s="9">
        <v>0</v>
      </c>
    </row>
    <row r="96" spans="1:20" x14ac:dyDescent="0.2">
      <c r="A96" s="5" t="s">
        <v>90</v>
      </c>
      <c r="B96" s="5" t="s">
        <v>75</v>
      </c>
      <c r="C96" s="10" t="s">
        <v>330</v>
      </c>
      <c r="D96" s="7">
        <f t="shared" si="0"/>
        <v>12.399999999999999</v>
      </c>
      <c r="E96" s="8">
        <v>0</v>
      </c>
      <c r="F96" s="5">
        <v>0</v>
      </c>
      <c r="G96" s="5">
        <v>0</v>
      </c>
      <c r="H96" s="5">
        <v>0</v>
      </c>
      <c r="I96" s="5">
        <v>0</v>
      </c>
      <c r="J96" s="9">
        <v>0</v>
      </c>
      <c r="K96" s="8">
        <v>16</v>
      </c>
      <c r="L96" s="5">
        <v>67</v>
      </c>
      <c r="M96" s="5">
        <v>1</v>
      </c>
      <c r="N96" s="9">
        <v>0</v>
      </c>
      <c r="O96" s="8">
        <v>1</v>
      </c>
      <c r="P96" s="5">
        <v>7</v>
      </c>
      <c r="Q96" s="5">
        <v>0</v>
      </c>
      <c r="R96" s="9">
        <v>0</v>
      </c>
      <c r="S96" s="8">
        <v>1</v>
      </c>
      <c r="T96" s="9">
        <v>0</v>
      </c>
    </row>
    <row r="97" spans="1:20" x14ac:dyDescent="0.2">
      <c r="A97" s="5" t="s">
        <v>196</v>
      </c>
      <c r="B97" s="5" t="s">
        <v>162</v>
      </c>
      <c r="C97" s="17" t="s">
        <v>331</v>
      </c>
      <c r="D97" s="7">
        <f t="shared" si="0"/>
        <v>12.399999999999999</v>
      </c>
      <c r="E97" s="8">
        <v>0</v>
      </c>
      <c r="F97" s="5">
        <v>0</v>
      </c>
      <c r="G97" s="5">
        <v>0</v>
      </c>
      <c r="H97" s="5">
        <v>0</v>
      </c>
      <c r="I97" s="5">
        <v>0</v>
      </c>
      <c r="J97" s="9">
        <v>0</v>
      </c>
      <c r="K97" s="8">
        <v>1</v>
      </c>
      <c r="L97" s="5">
        <v>-2</v>
      </c>
      <c r="M97" s="5">
        <v>0</v>
      </c>
      <c r="N97" s="9">
        <v>0</v>
      </c>
      <c r="O97" s="8">
        <v>4</v>
      </c>
      <c r="P97" s="5">
        <v>86</v>
      </c>
      <c r="Q97" s="5">
        <v>0</v>
      </c>
      <c r="R97" s="9">
        <v>0</v>
      </c>
      <c r="S97" s="8">
        <v>0</v>
      </c>
      <c r="T97" s="9">
        <v>0</v>
      </c>
    </row>
    <row r="98" spans="1:20" x14ac:dyDescent="0.2">
      <c r="A98" s="5" t="s">
        <v>16</v>
      </c>
      <c r="B98" s="5" t="s">
        <v>17</v>
      </c>
      <c r="C98" s="17" t="s">
        <v>331</v>
      </c>
      <c r="D98" s="7">
        <f t="shared" si="0"/>
        <v>12.260000000000002</v>
      </c>
      <c r="E98" s="8">
        <v>30</v>
      </c>
      <c r="F98" s="5">
        <v>21</v>
      </c>
      <c r="G98" s="5">
        <v>249</v>
      </c>
      <c r="H98" s="5">
        <v>1</v>
      </c>
      <c r="I98" s="5">
        <v>1</v>
      </c>
      <c r="J98" s="9">
        <v>0</v>
      </c>
      <c r="K98" s="8">
        <v>4</v>
      </c>
      <c r="L98" s="5">
        <v>3</v>
      </c>
      <c r="M98" s="5">
        <v>0</v>
      </c>
      <c r="N98" s="9">
        <v>0</v>
      </c>
      <c r="O98" s="8">
        <v>0</v>
      </c>
      <c r="P98" s="5">
        <v>0</v>
      </c>
      <c r="Q98" s="5">
        <v>0</v>
      </c>
      <c r="R98" s="9">
        <v>0</v>
      </c>
      <c r="S98" s="8">
        <v>0</v>
      </c>
      <c r="T98" s="9">
        <v>0</v>
      </c>
    </row>
    <row r="99" spans="1:20" x14ac:dyDescent="0.2">
      <c r="A99" s="5" t="s">
        <v>116</v>
      </c>
      <c r="B99" s="5" t="s">
        <v>75</v>
      </c>
      <c r="C99" s="17" t="s">
        <v>327</v>
      </c>
      <c r="D99" s="7">
        <f t="shared" si="0"/>
        <v>12.2</v>
      </c>
      <c r="E99" s="8">
        <v>0</v>
      </c>
      <c r="F99" s="5">
        <v>0</v>
      </c>
      <c r="G99" s="5">
        <v>0</v>
      </c>
      <c r="H99" s="5">
        <v>0</v>
      </c>
      <c r="I99" s="5">
        <v>0</v>
      </c>
      <c r="J99" s="9">
        <v>0</v>
      </c>
      <c r="K99" s="8">
        <v>10</v>
      </c>
      <c r="L99" s="5">
        <v>62</v>
      </c>
      <c r="M99" s="5">
        <v>1</v>
      </c>
      <c r="N99" s="9">
        <v>0</v>
      </c>
      <c r="O99" s="8">
        <v>0</v>
      </c>
      <c r="P99" s="5">
        <v>0</v>
      </c>
      <c r="Q99" s="5">
        <v>0</v>
      </c>
      <c r="R99" s="9">
        <v>0</v>
      </c>
      <c r="S99" s="8">
        <v>0</v>
      </c>
      <c r="T99" s="9">
        <v>0</v>
      </c>
    </row>
    <row r="100" spans="1:20" x14ac:dyDescent="0.2">
      <c r="A100" s="5" t="s">
        <v>344</v>
      </c>
      <c r="B100" s="5" t="s">
        <v>162</v>
      </c>
      <c r="C100" s="17" t="s">
        <v>336</v>
      </c>
      <c r="D100" s="7">
        <f t="shared" si="0"/>
        <v>12</v>
      </c>
      <c r="E100" s="8">
        <v>0</v>
      </c>
      <c r="F100" s="5">
        <v>0</v>
      </c>
      <c r="G100" s="5">
        <v>0</v>
      </c>
      <c r="H100" s="5">
        <v>0</v>
      </c>
      <c r="I100" s="5">
        <v>0</v>
      </c>
      <c r="J100" s="9">
        <v>0</v>
      </c>
      <c r="K100" s="8">
        <v>0</v>
      </c>
      <c r="L100" s="5">
        <v>0</v>
      </c>
      <c r="M100" s="5">
        <v>0</v>
      </c>
      <c r="N100" s="9">
        <v>0</v>
      </c>
      <c r="O100" s="8">
        <v>2</v>
      </c>
      <c r="P100" s="5">
        <v>40</v>
      </c>
      <c r="Q100" s="5">
        <v>1</v>
      </c>
      <c r="R100" s="9">
        <v>0</v>
      </c>
      <c r="S100" s="8">
        <v>0</v>
      </c>
      <c r="T100" s="9">
        <v>0</v>
      </c>
    </row>
    <row r="101" spans="1:20" x14ac:dyDescent="0.2">
      <c r="A101" s="5" t="s">
        <v>345</v>
      </c>
      <c r="B101" s="5" t="s">
        <v>162</v>
      </c>
      <c r="C101" s="10" t="s">
        <v>331</v>
      </c>
      <c r="D101" s="7">
        <f t="shared" si="0"/>
        <v>11.7</v>
      </c>
      <c r="E101" s="8">
        <v>0</v>
      </c>
      <c r="F101" s="5">
        <v>0</v>
      </c>
      <c r="G101" s="5">
        <v>0</v>
      </c>
      <c r="H101" s="5">
        <v>0</v>
      </c>
      <c r="I101" s="5">
        <v>0</v>
      </c>
      <c r="J101" s="9">
        <v>0</v>
      </c>
      <c r="K101" s="8">
        <v>0</v>
      </c>
      <c r="L101" s="5">
        <v>0</v>
      </c>
      <c r="M101" s="5">
        <v>0</v>
      </c>
      <c r="N101" s="9">
        <v>0</v>
      </c>
      <c r="O101" s="8">
        <v>6</v>
      </c>
      <c r="P101" s="5">
        <v>57</v>
      </c>
      <c r="Q101" s="5">
        <v>0</v>
      </c>
      <c r="R101" s="9">
        <v>0</v>
      </c>
      <c r="S101" s="8">
        <v>0</v>
      </c>
      <c r="T101" s="9">
        <v>0</v>
      </c>
    </row>
    <row r="102" spans="1:20" x14ac:dyDescent="0.2">
      <c r="A102" s="5" t="s">
        <v>276</v>
      </c>
      <c r="B102" s="5" t="s">
        <v>69</v>
      </c>
      <c r="C102" s="10" t="s">
        <v>335</v>
      </c>
      <c r="D102" s="7">
        <f t="shared" si="0"/>
        <v>11.7</v>
      </c>
      <c r="E102" s="8">
        <v>0</v>
      </c>
      <c r="F102" s="5">
        <v>0</v>
      </c>
      <c r="G102" s="5">
        <v>0</v>
      </c>
      <c r="H102" s="5">
        <v>0</v>
      </c>
      <c r="I102" s="5">
        <v>0</v>
      </c>
      <c r="J102" s="9">
        <v>0</v>
      </c>
      <c r="K102" s="8">
        <v>0</v>
      </c>
      <c r="L102" s="5">
        <v>0</v>
      </c>
      <c r="M102" s="5">
        <v>0</v>
      </c>
      <c r="N102" s="9">
        <v>0</v>
      </c>
      <c r="O102" s="8">
        <v>6</v>
      </c>
      <c r="P102" s="5">
        <v>57</v>
      </c>
      <c r="Q102" s="5">
        <v>0</v>
      </c>
      <c r="R102" s="9">
        <v>0</v>
      </c>
      <c r="S102" s="8">
        <v>0</v>
      </c>
      <c r="T102" s="9">
        <v>0</v>
      </c>
    </row>
    <row r="103" spans="1:20" x14ac:dyDescent="0.2">
      <c r="A103" s="5" t="s">
        <v>28</v>
      </c>
      <c r="B103" s="5" t="s">
        <v>17</v>
      </c>
      <c r="C103" s="17" t="s">
        <v>333</v>
      </c>
      <c r="D103" s="7">
        <f t="shared" si="0"/>
        <v>11.600000000000001</v>
      </c>
      <c r="E103" s="8">
        <v>40</v>
      </c>
      <c r="F103" s="5">
        <v>22</v>
      </c>
      <c r="G103" s="5">
        <v>235</v>
      </c>
      <c r="H103" s="5">
        <v>1</v>
      </c>
      <c r="I103" s="5">
        <v>1</v>
      </c>
      <c r="J103" s="9">
        <v>0</v>
      </c>
      <c r="K103" s="8">
        <v>6</v>
      </c>
      <c r="L103" s="5">
        <v>22</v>
      </c>
      <c r="M103" s="5">
        <v>0</v>
      </c>
      <c r="N103" s="9">
        <v>1</v>
      </c>
      <c r="O103" s="8">
        <v>0</v>
      </c>
      <c r="P103" s="5">
        <v>0</v>
      </c>
      <c r="Q103" s="5">
        <v>0</v>
      </c>
      <c r="R103" s="9">
        <v>0</v>
      </c>
      <c r="S103" s="8">
        <v>2</v>
      </c>
      <c r="T103" s="9">
        <v>0</v>
      </c>
    </row>
    <row r="104" spans="1:20" x14ac:dyDescent="0.2">
      <c r="A104" s="5" t="s">
        <v>189</v>
      </c>
      <c r="B104" s="5" t="s">
        <v>162</v>
      </c>
      <c r="C104" s="10" t="s">
        <v>325</v>
      </c>
      <c r="D104" s="7">
        <f t="shared" si="0"/>
        <v>11.600000000000001</v>
      </c>
      <c r="E104" s="8">
        <v>0</v>
      </c>
      <c r="F104" s="5">
        <v>0</v>
      </c>
      <c r="G104" s="5">
        <v>0</v>
      </c>
      <c r="H104" s="5">
        <v>0</v>
      </c>
      <c r="I104" s="5">
        <v>0</v>
      </c>
      <c r="J104" s="9">
        <v>0</v>
      </c>
      <c r="K104" s="8">
        <v>0</v>
      </c>
      <c r="L104" s="5">
        <v>0</v>
      </c>
      <c r="M104" s="5">
        <v>0</v>
      </c>
      <c r="N104" s="9">
        <v>0</v>
      </c>
      <c r="O104" s="8">
        <v>5</v>
      </c>
      <c r="P104" s="5">
        <v>66</v>
      </c>
      <c r="Q104" s="5">
        <v>0</v>
      </c>
      <c r="R104" s="9">
        <v>0</v>
      </c>
      <c r="S104" s="8">
        <v>0</v>
      </c>
      <c r="T104" s="9">
        <v>0</v>
      </c>
    </row>
    <row r="105" spans="1:20" x14ac:dyDescent="0.2">
      <c r="A105" s="5" t="s">
        <v>279</v>
      </c>
      <c r="B105" s="5" t="s">
        <v>69</v>
      </c>
      <c r="C105" s="10" t="s">
        <v>322</v>
      </c>
      <c r="D105" s="7">
        <f t="shared" si="0"/>
        <v>11.600000000000001</v>
      </c>
      <c r="E105" s="8">
        <v>0</v>
      </c>
      <c r="F105" s="5">
        <v>0</v>
      </c>
      <c r="G105" s="5">
        <v>0</v>
      </c>
      <c r="H105" s="5">
        <v>0</v>
      </c>
      <c r="I105" s="5">
        <v>0</v>
      </c>
      <c r="J105" s="9">
        <v>0</v>
      </c>
      <c r="K105" s="8">
        <v>0</v>
      </c>
      <c r="L105" s="5">
        <v>0</v>
      </c>
      <c r="M105" s="5">
        <v>0</v>
      </c>
      <c r="N105" s="9">
        <v>0</v>
      </c>
      <c r="O105" s="8">
        <v>6</v>
      </c>
      <c r="P105" s="5">
        <v>56</v>
      </c>
      <c r="Q105" s="5">
        <v>0</v>
      </c>
      <c r="R105" s="9">
        <v>0</v>
      </c>
      <c r="S105" s="8">
        <v>0</v>
      </c>
      <c r="T105" s="9">
        <v>0</v>
      </c>
    </row>
    <row r="106" spans="1:20" x14ac:dyDescent="0.2">
      <c r="A106" s="5" t="s">
        <v>205</v>
      </c>
      <c r="B106" s="5" t="s">
        <v>162</v>
      </c>
      <c r="C106" s="10" t="s">
        <v>321</v>
      </c>
      <c r="D106" s="7">
        <f t="shared" si="0"/>
        <v>11.5</v>
      </c>
      <c r="E106" s="8">
        <v>0</v>
      </c>
      <c r="F106" s="5">
        <v>0</v>
      </c>
      <c r="G106" s="5">
        <v>0</v>
      </c>
      <c r="H106" s="5">
        <v>0</v>
      </c>
      <c r="I106" s="5">
        <v>0</v>
      </c>
      <c r="J106" s="9">
        <v>0</v>
      </c>
      <c r="K106" s="8">
        <v>0</v>
      </c>
      <c r="L106" s="5">
        <v>0</v>
      </c>
      <c r="M106" s="5">
        <v>0</v>
      </c>
      <c r="N106" s="9">
        <v>0</v>
      </c>
      <c r="O106" s="8">
        <v>3</v>
      </c>
      <c r="P106" s="5">
        <v>25</v>
      </c>
      <c r="Q106" s="5">
        <v>1</v>
      </c>
      <c r="R106" s="9">
        <v>0</v>
      </c>
      <c r="S106" s="8">
        <v>0</v>
      </c>
      <c r="T106" s="9">
        <v>0</v>
      </c>
    </row>
    <row r="107" spans="1:20" x14ac:dyDescent="0.2">
      <c r="A107" s="5" t="s">
        <v>280</v>
      </c>
      <c r="B107" s="5" t="s">
        <v>69</v>
      </c>
      <c r="C107" s="10" t="s">
        <v>330</v>
      </c>
      <c r="D107" s="7">
        <f t="shared" si="0"/>
        <v>11.3</v>
      </c>
      <c r="E107" s="8">
        <v>0</v>
      </c>
      <c r="F107" s="5">
        <v>0</v>
      </c>
      <c r="G107" s="5">
        <v>0</v>
      </c>
      <c r="H107" s="5">
        <v>0</v>
      </c>
      <c r="I107" s="5">
        <v>0</v>
      </c>
      <c r="J107" s="9">
        <v>0</v>
      </c>
      <c r="K107" s="8">
        <v>0</v>
      </c>
      <c r="L107" s="5">
        <v>0</v>
      </c>
      <c r="M107" s="5">
        <v>0</v>
      </c>
      <c r="N107" s="9">
        <v>0</v>
      </c>
      <c r="O107" s="8">
        <v>5</v>
      </c>
      <c r="P107" s="5">
        <v>63</v>
      </c>
      <c r="Q107" s="5">
        <v>0</v>
      </c>
      <c r="R107" s="9">
        <v>0</v>
      </c>
      <c r="S107" s="8">
        <v>0</v>
      </c>
      <c r="T107" s="9">
        <v>0</v>
      </c>
    </row>
    <row r="108" spans="1:20" x14ac:dyDescent="0.2">
      <c r="A108" s="5" t="s">
        <v>238</v>
      </c>
      <c r="B108" s="5" t="s">
        <v>162</v>
      </c>
      <c r="C108" s="10" t="s">
        <v>327</v>
      </c>
      <c r="D108" s="7">
        <f t="shared" si="0"/>
        <v>11.2</v>
      </c>
      <c r="E108" s="8">
        <v>0</v>
      </c>
      <c r="F108" s="5">
        <v>0</v>
      </c>
      <c r="G108" s="5">
        <v>0</v>
      </c>
      <c r="H108" s="5">
        <v>0</v>
      </c>
      <c r="I108" s="5">
        <v>0</v>
      </c>
      <c r="J108" s="9">
        <v>0</v>
      </c>
      <c r="K108" s="8">
        <v>0</v>
      </c>
      <c r="L108" s="5">
        <v>0</v>
      </c>
      <c r="M108" s="5">
        <v>0</v>
      </c>
      <c r="N108" s="9">
        <v>0</v>
      </c>
      <c r="O108" s="8">
        <v>6</v>
      </c>
      <c r="P108" s="5">
        <v>52</v>
      </c>
      <c r="Q108" s="5">
        <v>0</v>
      </c>
      <c r="R108" s="9">
        <v>0</v>
      </c>
      <c r="S108" s="8">
        <v>0</v>
      </c>
      <c r="T108" s="9">
        <v>0</v>
      </c>
    </row>
    <row r="109" spans="1:20" x14ac:dyDescent="0.2">
      <c r="A109" s="5" t="s">
        <v>70</v>
      </c>
      <c r="B109" s="5" t="s">
        <v>17</v>
      </c>
      <c r="C109" s="17" t="s">
        <v>329</v>
      </c>
      <c r="D109" s="7">
        <f t="shared" si="0"/>
        <v>11.14</v>
      </c>
      <c r="E109" s="8">
        <v>23</v>
      </c>
      <c r="F109" s="5">
        <v>19</v>
      </c>
      <c r="G109" s="5">
        <v>171</v>
      </c>
      <c r="H109" s="5">
        <v>1</v>
      </c>
      <c r="I109" s="5">
        <v>0</v>
      </c>
      <c r="J109" s="9">
        <v>0</v>
      </c>
      <c r="K109" s="8">
        <v>2</v>
      </c>
      <c r="L109" s="5">
        <v>3</v>
      </c>
      <c r="M109" s="5">
        <v>0</v>
      </c>
      <c r="N109" s="9">
        <v>0</v>
      </c>
      <c r="O109" s="8">
        <v>0</v>
      </c>
      <c r="P109" s="5">
        <v>0</v>
      </c>
      <c r="Q109" s="5">
        <v>0</v>
      </c>
      <c r="R109" s="9">
        <v>0</v>
      </c>
      <c r="S109" s="8">
        <v>0</v>
      </c>
      <c r="T109" s="9">
        <v>0</v>
      </c>
    </row>
    <row r="110" spans="1:20" x14ac:dyDescent="0.2">
      <c r="A110" s="5" t="s">
        <v>149</v>
      </c>
      <c r="B110" s="5" t="s">
        <v>75</v>
      </c>
      <c r="C110" s="10" t="s">
        <v>334</v>
      </c>
      <c r="D110" s="7">
        <f t="shared" si="0"/>
        <v>11.1</v>
      </c>
      <c r="E110" s="8">
        <v>0</v>
      </c>
      <c r="F110" s="5">
        <v>0</v>
      </c>
      <c r="G110" s="5">
        <v>0</v>
      </c>
      <c r="H110" s="5">
        <v>0</v>
      </c>
      <c r="I110" s="5">
        <v>0</v>
      </c>
      <c r="J110" s="9">
        <v>0</v>
      </c>
      <c r="K110" s="8">
        <v>6</v>
      </c>
      <c r="L110" s="5">
        <v>22</v>
      </c>
      <c r="M110" s="5">
        <v>1</v>
      </c>
      <c r="N110" s="9">
        <v>0</v>
      </c>
      <c r="O110" s="8">
        <v>2</v>
      </c>
      <c r="P110" s="5">
        <v>9</v>
      </c>
      <c r="Q110" s="5">
        <v>0</v>
      </c>
      <c r="R110" s="9">
        <v>0</v>
      </c>
      <c r="S110" s="8">
        <v>0</v>
      </c>
      <c r="T110" s="9">
        <v>0</v>
      </c>
    </row>
    <row r="111" spans="1:20" x14ac:dyDescent="0.2">
      <c r="A111" s="5" t="s">
        <v>346</v>
      </c>
      <c r="B111" s="5" t="s">
        <v>162</v>
      </c>
      <c r="C111" s="17" t="s">
        <v>322</v>
      </c>
      <c r="D111" s="7">
        <f t="shared" si="0"/>
        <v>10.9</v>
      </c>
      <c r="E111" s="8">
        <v>0</v>
      </c>
      <c r="F111" s="5">
        <v>0</v>
      </c>
      <c r="G111" s="5">
        <v>0</v>
      </c>
      <c r="H111" s="5">
        <v>0</v>
      </c>
      <c r="I111" s="5">
        <v>0</v>
      </c>
      <c r="J111" s="9">
        <v>0</v>
      </c>
      <c r="K111" s="8">
        <v>0</v>
      </c>
      <c r="L111" s="5">
        <v>0</v>
      </c>
      <c r="M111" s="5">
        <v>0</v>
      </c>
      <c r="N111" s="9">
        <v>0</v>
      </c>
      <c r="O111" s="8">
        <v>2</v>
      </c>
      <c r="P111" s="5">
        <v>89</v>
      </c>
      <c r="Q111" s="5">
        <v>0</v>
      </c>
      <c r="R111" s="9">
        <v>0</v>
      </c>
      <c r="S111" s="8">
        <v>0</v>
      </c>
      <c r="T111" s="9">
        <v>0</v>
      </c>
    </row>
    <row r="112" spans="1:20" x14ac:dyDescent="0.2">
      <c r="A112" s="5" t="s">
        <v>179</v>
      </c>
      <c r="B112" s="5" t="s">
        <v>162</v>
      </c>
      <c r="C112" s="17" t="s">
        <v>327</v>
      </c>
      <c r="D112" s="7">
        <f t="shared" si="0"/>
        <v>10.8</v>
      </c>
      <c r="E112" s="8">
        <v>0</v>
      </c>
      <c r="F112" s="5">
        <v>0</v>
      </c>
      <c r="G112" s="5">
        <v>0</v>
      </c>
      <c r="H112" s="5">
        <v>0</v>
      </c>
      <c r="I112" s="5">
        <v>0</v>
      </c>
      <c r="J112" s="9">
        <v>0</v>
      </c>
      <c r="K112" s="8">
        <v>1</v>
      </c>
      <c r="L112" s="5">
        <v>6</v>
      </c>
      <c r="M112" s="5">
        <v>0</v>
      </c>
      <c r="N112" s="9">
        <v>0</v>
      </c>
      <c r="O112" s="8">
        <v>4</v>
      </c>
      <c r="P112" s="5">
        <v>62</v>
      </c>
      <c r="Q112" s="5">
        <v>0</v>
      </c>
      <c r="R112" s="9">
        <v>0</v>
      </c>
      <c r="S112" s="8">
        <v>0</v>
      </c>
      <c r="T112" s="9">
        <v>0</v>
      </c>
    </row>
    <row r="113" spans="1:20" x14ac:dyDescent="0.2">
      <c r="A113" s="5" t="s">
        <v>198</v>
      </c>
      <c r="B113" s="5" t="s">
        <v>162</v>
      </c>
      <c r="C113" s="10" t="s">
        <v>324</v>
      </c>
      <c r="D113" s="7">
        <f t="shared" si="0"/>
        <v>10.8</v>
      </c>
      <c r="E113" s="8">
        <v>0</v>
      </c>
      <c r="F113" s="5">
        <v>0</v>
      </c>
      <c r="G113" s="5">
        <v>0</v>
      </c>
      <c r="H113" s="5">
        <v>0</v>
      </c>
      <c r="I113" s="5">
        <v>0</v>
      </c>
      <c r="J113" s="9">
        <v>0</v>
      </c>
      <c r="K113" s="8">
        <v>0</v>
      </c>
      <c r="L113" s="5">
        <v>0</v>
      </c>
      <c r="M113" s="5">
        <v>0</v>
      </c>
      <c r="N113" s="9">
        <v>0</v>
      </c>
      <c r="O113" s="8">
        <v>5</v>
      </c>
      <c r="P113" s="5">
        <v>58</v>
      </c>
      <c r="Q113" s="5">
        <v>0</v>
      </c>
      <c r="R113" s="9">
        <v>0</v>
      </c>
      <c r="S113" s="8">
        <v>0</v>
      </c>
      <c r="T113" s="9">
        <v>0</v>
      </c>
    </row>
    <row r="114" spans="1:20" x14ac:dyDescent="0.2">
      <c r="A114" s="5" t="s">
        <v>239</v>
      </c>
      <c r="B114" s="5" t="s">
        <v>162</v>
      </c>
      <c r="C114" s="10" t="s">
        <v>321</v>
      </c>
      <c r="D114" s="7">
        <f t="shared" si="0"/>
        <v>10.600000000000001</v>
      </c>
      <c r="E114" s="8">
        <v>0</v>
      </c>
      <c r="F114" s="5">
        <v>0</v>
      </c>
      <c r="G114" s="5">
        <v>0</v>
      </c>
      <c r="H114" s="5">
        <v>0</v>
      </c>
      <c r="I114" s="5">
        <v>0</v>
      </c>
      <c r="J114" s="9">
        <v>0</v>
      </c>
      <c r="K114" s="8">
        <v>0</v>
      </c>
      <c r="L114" s="5">
        <v>0</v>
      </c>
      <c r="M114" s="5">
        <v>0</v>
      </c>
      <c r="N114" s="9">
        <v>0</v>
      </c>
      <c r="O114" s="8">
        <v>3</v>
      </c>
      <c r="P114" s="5">
        <v>76</v>
      </c>
      <c r="Q114" s="5">
        <v>0</v>
      </c>
      <c r="R114" s="9">
        <v>0</v>
      </c>
      <c r="S114" s="8">
        <v>0</v>
      </c>
      <c r="T114" s="9">
        <v>0</v>
      </c>
    </row>
    <row r="115" spans="1:20" x14ac:dyDescent="0.2">
      <c r="A115" s="5" t="s">
        <v>285</v>
      </c>
      <c r="B115" s="5" t="s">
        <v>69</v>
      </c>
      <c r="C115" s="17" t="s">
        <v>329</v>
      </c>
      <c r="D115" s="7">
        <f t="shared" si="0"/>
        <v>10.6</v>
      </c>
      <c r="E115" s="8">
        <v>0</v>
      </c>
      <c r="F115" s="5">
        <v>0</v>
      </c>
      <c r="G115" s="5">
        <v>0</v>
      </c>
      <c r="H115" s="5">
        <v>0</v>
      </c>
      <c r="I115" s="5">
        <v>0</v>
      </c>
      <c r="J115" s="9">
        <v>0</v>
      </c>
      <c r="K115" s="8">
        <v>0</v>
      </c>
      <c r="L115" s="5">
        <v>0</v>
      </c>
      <c r="M115" s="5">
        <v>0</v>
      </c>
      <c r="N115" s="9">
        <v>0</v>
      </c>
      <c r="O115" s="8">
        <v>3</v>
      </c>
      <c r="P115" s="5">
        <v>16</v>
      </c>
      <c r="Q115" s="5">
        <v>1</v>
      </c>
      <c r="R115" s="9">
        <v>0</v>
      </c>
      <c r="S115" s="8">
        <v>0</v>
      </c>
      <c r="T115" s="9">
        <v>0</v>
      </c>
    </row>
    <row r="116" spans="1:20" x14ac:dyDescent="0.2">
      <c r="A116" s="5" t="s">
        <v>172</v>
      </c>
      <c r="B116" s="5" t="s">
        <v>162</v>
      </c>
      <c r="C116" s="17" t="s">
        <v>338</v>
      </c>
      <c r="D116" s="7">
        <f t="shared" si="0"/>
        <v>10.3</v>
      </c>
      <c r="E116" s="8">
        <v>0</v>
      </c>
      <c r="F116" s="5">
        <v>0</v>
      </c>
      <c r="G116" s="5">
        <v>0</v>
      </c>
      <c r="H116" s="5">
        <v>0</v>
      </c>
      <c r="I116" s="5">
        <v>0</v>
      </c>
      <c r="J116" s="9">
        <v>0</v>
      </c>
      <c r="K116" s="8">
        <v>0</v>
      </c>
      <c r="L116" s="5">
        <v>0</v>
      </c>
      <c r="M116" s="5">
        <v>0</v>
      </c>
      <c r="N116" s="9">
        <v>0</v>
      </c>
      <c r="O116" s="8">
        <v>4</v>
      </c>
      <c r="P116" s="5">
        <v>63</v>
      </c>
      <c r="Q116" s="5">
        <v>0</v>
      </c>
      <c r="R116" s="9">
        <v>0</v>
      </c>
      <c r="S116" s="8">
        <v>0</v>
      </c>
      <c r="T116" s="9">
        <v>0</v>
      </c>
    </row>
    <row r="117" spans="1:20" x14ac:dyDescent="0.2">
      <c r="A117" s="5" t="s">
        <v>50</v>
      </c>
      <c r="B117" s="5" t="s">
        <v>17</v>
      </c>
      <c r="C117" s="10" t="s">
        <v>333</v>
      </c>
      <c r="D117" s="7">
        <f t="shared" si="0"/>
        <v>10.280000000000001</v>
      </c>
      <c r="E117" s="8">
        <v>30</v>
      </c>
      <c r="F117" s="5">
        <v>15</v>
      </c>
      <c r="G117" s="5">
        <v>222</v>
      </c>
      <c r="H117" s="5">
        <v>1</v>
      </c>
      <c r="I117" s="5">
        <v>1</v>
      </c>
      <c r="J117" s="9">
        <v>0</v>
      </c>
      <c r="K117" s="8">
        <v>4</v>
      </c>
      <c r="L117" s="5">
        <v>-6</v>
      </c>
      <c r="M117" s="5">
        <v>0</v>
      </c>
      <c r="N117" s="9">
        <v>0</v>
      </c>
      <c r="O117" s="8">
        <v>0</v>
      </c>
      <c r="P117" s="5">
        <v>0</v>
      </c>
      <c r="Q117" s="5">
        <v>0</v>
      </c>
      <c r="R117" s="9">
        <v>0</v>
      </c>
      <c r="S117" s="8">
        <v>0</v>
      </c>
      <c r="T117" s="9">
        <v>0</v>
      </c>
    </row>
    <row r="118" spans="1:20" x14ac:dyDescent="0.2">
      <c r="A118" s="5" t="s">
        <v>282</v>
      </c>
      <c r="B118" s="5" t="s">
        <v>69</v>
      </c>
      <c r="C118" s="17" t="s">
        <v>325</v>
      </c>
      <c r="D118" s="7">
        <f t="shared" si="0"/>
        <v>10.199999999999999</v>
      </c>
      <c r="E118" s="8">
        <v>0</v>
      </c>
      <c r="F118" s="5">
        <v>0</v>
      </c>
      <c r="G118" s="5">
        <v>0</v>
      </c>
      <c r="H118" s="5">
        <v>0</v>
      </c>
      <c r="I118" s="5">
        <v>0</v>
      </c>
      <c r="J118" s="9">
        <v>0</v>
      </c>
      <c r="K118" s="8">
        <v>0</v>
      </c>
      <c r="L118" s="5">
        <v>0</v>
      </c>
      <c r="M118" s="5">
        <v>0</v>
      </c>
      <c r="N118" s="9">
        <v>0</v>
      </c>
      <c r="O118" s="8">
        <v>2</v>
      </c>
      <c r="P118" s="5">
        <v>22</v>
      </c>
      <c r="Q118" s="5">
        <v>1</v>
      </c>
      <c r="R118" s="9">
        <v>0</v>
      </c>
      <c r="S118" s="8">
        <v>0</v>
      </c>
      <c r="T118" s="9">
        <v>0</v>
      </c>
    </row>
    <row r="119" spans="1:20" x14ac:dyDescent="0.2">
      <c r="A119" s="5" t="s">
        <v>309</v>
      </c>
      <c r="B119" s="5" t="s">
        <v>69</v>
      </c>
      <c r="C119" s="10" t="s">
        <v>324</v>
      </c>
      <c r="D119" s="7">
        <f t="shared" si="0"/>
        <v>10.100000000000001</v>
      </c>
      <c r="E119" s="8">
        <v>0</v>
      </c>
      <c r="F119" s="5">
        <v>0</v>
      </c>
      <c r="G119" s="5">
        <v>0</v>
      </c>
      <c r="H119" s="5">
        <v>0</v>
      </c>
      <c r="I119" s="5">
        <v>0</v>
      </c>
      <c r="J119" s="9">
        <v>0</v>
      </c>
      <c r="K119" s="8">
        <v>0</v>
      </c>
      <c r="L119" s="5">
        <v>0</v>
      </c>
      <c r="M119" s="5">
        <v>0</v>
      </c>
      <c r="N119" s="9">
        <v>0</v>
      </c>
      <c r="O119" s="8">
        <v>6</v>
      </c>
      <c r="P119" s="5">
        <v>41</v>
      </c>
      <c r="Q119" s="5">
        <v>0</v>
      </c>
      <c r="R119" s="9">
        <v>0</v>
      </c>
      <c r="S119" s="8">
        <v>0</v>
      </c>
      <c r="T119" s="9">
        <v>0</v>
      </c>
    </row>
    <row r="120" spans="1:20" x14ac:dyDescent="0.2">
      <c r="A120" s="5" t="s">
        <v>304</v>
      </c>
      <c r="B120" s="5" t="s">
        <v>69</v>
      </c>
      <c r="C120" s="10" t="s">
        <v>332</v>
      </c>
      <c r="D120" s="7">
        <f t="shared" si="0"/>
        <v>10.1</v>
      </c>
      <c r="E120" s="8">
        <v>0</v>
      </c>
      <c r="F120" s="5">
        <v>0</v>
      </c>
      <c r="G120" s="5">
        <v>0</v>
      </c>
      <c r="H120" s="5">
        <v>0</v>
      </c>
      <c r="I120" s="5">
        <v>0</v>
      </c>
      <c r="J120" s="9">
        <v>0</v>
      </c>
      <c r="K120" s="8">
        <v>0</v>
      </c>
      <c r="L120" s="5">
        <v>0</v>
      </c>
      <c r="M120" s="5">
        <v>0</v>
      </c>
      <c r="N120" s="9">
        <v>0</v>
      </c>
      <c r="O120" s="8">
        <v>3</v>
      </c>
      <c r="P120" s="5">
        <v>11</v>
      </c>
      <c r="Q120" s="5">
        <v>1</v>
      </c>
      <c r="R120" s="9">
        <v>0</v>
      </c>
      <c r="S120" s="8">
        <v>0</v>
      </c>
      <c r="T120" s="9">
        <v>0</v>
      </c>
    </row>
    <row r="121" spans="1:20" x14ac:dyDescent="0.2">
      <c r="A121" s="5" t="s">
        <v>108</v>
      </c>
      <c r="B121" s="5" t="s">
        <v>75</v>
      </c>
      <c r="C121" s="10" t="s">
        <v>338</v>
      </c>
      <c r="D121" s="7">
        <f t="shared" si="0"/>
        <v>10</v>
      </c>
      <c r="E121" s="8">
        <v>0</v>
      </c>
      <c r="F121" s="5">
        <v>0</v>
      </c>
      <c r="G121" s="5">
        <v>0</v>
      </c>
      <c r="H121" s="5">
        <v>0</v>
      </c>
      <c r="I121" s="5">
        <v>0</v>
      </c>
      <c r="J121" s="9">
        <v>0</v>
      </c>
      <c r="K121" s="8">
        <v>2</v>
      </c>
      <c r="L121" s="5">
        <v>16</v>
      </c>
      <c r="M121" s="5">
        <v>0</v>
      </c>
      <c r="N121" s="9">
        <v>0</v>
      </c>
      <c r="O121" s="8">
        <v>5</v>
      </c>
      <c r="P121" s="5">
        <v>34</v>
      </c>
      <c r="Q121" s="5">
        <v>0</v>
      </c>
      <c r="R121" s="9">
        <v>0</v>
      </c>
      <c r="S121" s="8">
        <v>0</v>
      </c>
      <c r="T121" s="9">
        <v>0</v>
      </c>
    </row>
    <row r="122" spans="1:20" x14ac:dyDescent="0.2">
      <c r="A122" s="5" t="s">
        <v>316</v>
      </c>
      <c r="B122" s="5" t="s">
        <v>69</v>
      </c>
      <c r="C122" s="17" t="s">
        <v>332</v>
      </c>
      <c r="D122" s="7">
        <f t="shared" si="0"/>
        <v>10</v>
      </c>
      <c r="E122" s="8">
        <v>0</v>
      </c>
      <c r="F122" s="5">
        <v>0</v>
      </c>
      <c r="G122" s="5">
        <v>0</v>
      </c>
      <c r="H122" s="5">
        <v>0</v>
      </c>
      <c r="I122" s="5">
        <v>0</v>
      </c>
      <c r="J122" s="9">
        <v>0</v>
      </c>
      <c r="K122" s="8">
        <v>0</v>
      </c>
      <c r="L122" s="5">
        <v>0</v>
      </c>
      <c r="M122" s="5">
        <v>0</v>
      </c>
      <c r="N122" s="9">
        <v>0</v>
      </c>
      <c r="O122" s="8">
        <v>5</v>
      </c>
      <c r="P122" s="5">
        <v>50</v>
      </c>
      <c r="Q122" s="5">
        <v>0</v>
      </c>
      <c r="R122" s="9">
        <v>0</v>
      </c>
      <c r="S122" s="8">
        <v>0</v>
      </c>
      <c r="T122" s="9">
        <v>0</v>
      </c>
    </row>
    <row r="123" spans="1:20" x14ac:dyDescent="0.2">
      <c r="A123" s="5" t="s">
        <v>295</v>
      </c>
      <c r="B123" s="5" t="s">
        <v>69</v>
      </c>
      <c r="C123" s="10" t="s">
        <v>334</v>
      </c>
      <c r="D123" s="7">
        <f t="shared" si="0"/>
        <v>10</v>
      </c>
      <c r="E123" s="8">
        <v>0</v>
      </c>
      <c r="F123" s="5">
        <v>0</v>
      </c>
      <c r="G123" s="5">
        <v>0</v>
      </c>
      <c r="H123" s="5">
        <v>0</v>
      </c>
      <c r="I123" s="5">
        <v>0</v>
      </c>
      <c r="J123" s="9">
        <v>0</v>
      </c>
      <c r="K123" s="8">
        <v>0</v>
      </c>
      <c r="L123" s="5">
        <v>0</v>
      </c>
      <c r="M123" s="5">
        <v>0</v>
      </c>
      <c r="N123" s="9">
        <v>0</v>
      </c>
      <c r="O123" s="8">
        <v>3</v>
      </c>
      <c r="P123" s="5">
        <v>10</v>
      </c>
      <c r="Q123" s="5">
        <v>1</v>
      </c>
      <c r="R123" s="9">
        <v>0</v>
      </c>
      <c r="S123" s="8">
        <v>0</v>
      </c>
      <c r="T123" s="9">
        <v>0</v>
      </c>
    </row>
    <row r="124" spans="1:20" x14ac:dyDescent="0.2">
      <c r="A124" s="5" t="s">
        <v>109</v>
      </c>
      <c r="B124" s="5" t="s">
        <v>75</v>
      </c>
      <c r="C124" s="17" t="s">
        <v>334</v>
      </c>
      <c r="D124" s="7">
        <f t="shared" si="0"/>
        <v>9.9</v>
      </c>
      <c r="E124" s="8">
        <v>0</v>
      </c>
      <c r="F124" s="5">
        <v>0</v>
      </c>
      <c r="G124" s="5">
        <v>0</v>
      </c>
      <c r="H124" s="5">
        <v>0</v>
      </c>
      <c r="I124" s="5">
        <v>0</v>
      </c>
      <c r="J124" s="9">
        <v>0</v>
      </c>
      <c r="K124" s="8">
        <v>9</v>
      </c>
      <c r="L124" s="5">
        <v>-2</v>
      </c>
      <c r="M124" s="5">
        <v>0</v>
      </c>
      <c r="N124" s="9">
        <v>0</v>
      </c>
      <c r="O124" s="8">
        <v>5</v>
      </c>
      <c r="P124" s="5">
        <v>51</v>
      </c>
      <c r="Q124" s="5">
        <v>0</v>
      </c>
      <c r="R124" s="9">
        <v>0</v>
      </c>
      <c r="S124" s="8">
        <v>0</v>
      </c>
      <c r="T124" s="9">
        <v>0</v>
      </c>
    </row>
    <row r="125" spans="1:20" x14ac:dyDescent="0.2">
      <c r="A125" s="5" t="s">
        <v>347</v>
      </c>
      <c r="B125" s="5" t="s">
        <v>69</v>
      </c>
      <c r="C125" s="17" t="s">
        <v>330</v>
      </c>
      <c r="D125" s="7">
        <f t="shared" si="0"/>
        <v>9.6000000000000014</v>
      </c>
      <c r="E125" s="8">
        <v>0</v>
      </c>
      <c r="F125" s="5">
        <v>0</v>
      </c>
      <c r="G125" s="5">
        <v>0</v>
      </c>
      <c r="H125" s="5">
        <v>0</v>
      </c>
      <c r="I125" s="5">
        <v>0</v>
      </c>
      <c r="J125" s="9">
        <v>0</v>
      </c>
      <c r="K125" s="8">
        <v>0</v>
      </c>
      <c r="L125" s="5">
        <v>0</v>
      </c>
      <c r="M125" s="5">
        <v>0</v>
      </c>
      <c r="N125" s="9">
        <v>0</v>
      </c>
      <c r="O125" s="8">
        <v>4</v>
      </c>
      <c r="P125" s="5">
        <v>56</v>
      </c>
      <c r="Q125" s="5">
        <v>0</v>
      </c>
      <c r="R125" s="9">
        <v>0</v>
      </c>
      <c r="S125" s="8">
        <v>0</v>
      </c>
      <c r="T125" s="9">
        <v>0</v>
      </c>
    </row>
    <row r="126" spans="1:20" x14ac:dyDescent="0.2">
      <c r="A126" s="5" t="s">
        <v>127</v>
      </c>
      <c r="B126" s="5" t="s">
        <v>75</v>
      </c>
      <c r="C126" s="10" t="s">
        <v>334</v>
      </c>
      <c r="D126" s="7">
        <f t="shared" si="0"/>
        <v>9.3000000000000007</v>
      </c>
      <c r="E126" s="8">
        <v>0</v>
      </c>
      <c r="F126" s="5">
        <v>0</v>
      </c>
      <c r="G126" s="5">
        <v>0</v>
      </c>
      <c r="H126" s="5">
        <v>0</v>
      </c>
      <c r="I126" s="5">
        <v>0</v>
      </c>
      <c r="J126" s="9">
        <v>0</v>
      </c>
      <c r="K126" s="8">
        <v>7</v>
      </c>
      <c r="L126" s="5">
        <v>33</v>
      </c>
      <c r="M126" s="5">
        <v>1</v>
      </c>
      <c r="N126" s="9">
        <v>0</v>
      </c>
      <c r="O126" s="8">
        <v>0</v>
      </c>
      <c r="P126" s="5">
        <v>0</v>
      </c>
      <c r="Q126" s="5">
        <v>0</v>
      </c>
      <c r="R126" s="9">
        <v>0</v>
      </c>
      <c r="S126" s="8">
        <v>0</v>
      </c>
      <c r="T126" s="9">
        <v>0</v>
      </c>
    </row>
    <row r="127" spans="1:20" x14ac:dyDescent="0.2">
      <c r="A127" s="5" t="s">
        <v>291</v>
      </c>
      <c r="B127" s="5" t="s">
        <v>69</v>
      </c>
      <c r="C127" s="10" t="s">
        <v>334</v>
      </c>
      <c r="D127" s="7">
        <f t="shared" si="0"/>
        <v>9.3000000000000007</v>
      </c>
      <c r="E127" s="8">
        <v>0</v>
      </c>
      <c r="F127" s="5">
        <v>0</v>
      </c>
      <c r="G127" s="5">
        <v>0</v>
      </c>
      <c r="H127" s="5">
        <v>0</v>
      </c>
      <c r="I127" s="5">
        <v>0</v>
      </c>
      <c r="J127" s="9">
        <v>0</v>
      </c>
      <c r="K127" s="8">
        <v>0</v>
      </c>
      <c r="L127" s="5">
        <v>0</v>
      </c>
      <c r="M127" s="5">
        <v>0</v>
      </c>
      <c r="N127" s="9">
        <v>0</v>
      </c>
      <c r="O127" s="8">
        <v>5</v>
      </c>
      <c r="P127" s="5">
        <v>43</v>
      </c>
      <c r="Q127" s="5">
        <v>0</v>
      </c>
      <c r="R127" s="9">
        <v>0</v>
      </c>
      <c r="S127" s="8">
        <v>0</v>
      </c>
      <c r="T127" s="9">
        <v>0</v>
      </c>
    </row>
    <row r="128" spans="1:20" x14ac:dyDescent="0.2">
      <c r="A128" s="5" t="s">
        <v>32</v>
      </c>
      <c r="B128" s="5" t="s">
        <v>17</v>
      </c>
      <c r="C128" s="10" t="s">
        <v>335</v>
      </c>
      <c r="D128" s="7">
        <f t="shared" si="0"/>
        <v>9.24</v>
      </c>
      <c r="E128" s="8">
        <v>41</v>
      </c>
      <c r="F128" s="5">
        <v>22</v>
      </c>
      <c r="G128" s="5">
        <v>216</v>
      </c>
      <c r="H128" s="5">
        <v>0</v>
      </c>
      <c r="I128" s="5">
        <v>0</v>
      </c>
      <c r="J128" s="9">
        <v>0</v>
      </c>
      <c r="K128" s="8">
        <v>5</v>
      </c>
      <c r="L128" s="5">
        <v>26</v>
      </c>
      <c r="M128" s="5">
        <v>0</v>
      </c>
      <c r="N128" s="9">
        <v>0</v>
      </c>
      <c r="O128" s="8">
        <v>0</v>
      </c>
      <c r="P128" s="5">
        <v>0</v>
      </c>
      <c r="Q128" s="5">
        <v>0</v>
      </c>
      <c r="R128" s="9">
        <v>0</v>
      </c>
      <c r="S128" s="8">
        <v>1</v>
      </c>
      <c r="T128" s="9">
        <v>0</v>
      </c>
    </row>
    <row r="129" spans="1:20" x14ac:dyDescent="0.2">
      <c r="A129" s="5" t="s">
        <v>236</v>
      </c>
      <c r="B129" s="5" t="s">
        <v>162</v>
      </c>
      <c r="C129" s="17" t="s">
        <v>322</v>
      </c>
      <c r="D129" s="7">
        <f t="shared" si="0"/>
        <v>9.1999999999999993</v>
      </c>
      <c r="E129" s="8">
        <v>0</v>
      </c>
      <c r="F129" s="5">
        <v>0</v>
      </c>
      <c r="G129" s="5">
        <v>0</v>
      </c>
      <c r="H129" s="5">
        <v>0</v>
      </c>
      <c r="I129" s="5">
        <v>0</v>
      </c>
      <c r="J129" s="9">
        <v>0</v>
      </c>
      <c r="K129" s="8">
        <v>0</v>
      </c>
      <c r="L129" s="5">
        <v>0</v>
      </c>
      <c r="M129" s="5">
        <v>0</v>
      </c>
      <c r="N129" s="9">
        <v>0</v>
      </c>
      <c r="O129" s="8">
        <v>3</v>
      </c>
      <c r="P129" s="5">
        <v>62</v>
      </c>
      <c r="Q129" s="5">
        <v>0</v>
      </c>
      <c r="R129" s="9">
        <v>0</v>
      </c>
      <c r="S129" s="8">
        <v>0</v>
      </c>
      <c r="T129" s="9">
        <v>0</v>
      </c>
    </row>
    <row r="130" spans="1:20" x14ac:dyDescent="0.2">
      <c r="A130" s="5" t="s">
        <v>221</v>
      </c>
      <c r="B130" s="5" t="s">
        <v>162</v>
      </c>
      <c r="C130" s="10" t="s">
        <v>336</v>
      </c>
      <c r="D130" s="7">
        <f t="shared" si="0"/>
        <v>9</v>
      </c>
      <c r="E130" s="8">
        <v>0</v>
      </c>
      <c r="F130" s="5">
        <v>0</v>
      </c>
      <c r="G130" s="5">
        <v>0</v>
      </c>
      <c r="H130" s="5">
        <v>0</v>
      </c>
      <c r="I130" s="5">
        <v>0</v>
      </c>
      <c r="J130" s="9">
        <v>0</v>
      </c>
      <c r="K130" s="8">
        <v>0</v>
      </c>
      <c r="L130" s="5">
        <v>0</v>
      </c>
      <c r="M130" s="5">
        <v>0</v>
      </c>
      <c r="N130" s="9">
        <v>0</v>
      </c>
      <c r="O130" s="8">
        <v>3</v>
      </c>
      <c r="P130" s="5">
        <v>60</v>
      </c>
      <c r="Q130" s="5">
        <v>0</v>
      </c>
      <c r="R130" s="9">
        <v>0</v>
      </c>
      <c r="S130" s="8">
        <v>0</v>
      </c>
      <c r="T130" s="9">
        <v>0</v>
      </c>
    </row>
    <row r="131" spans="1:20" x14ac:dyDescent="0.2">
      <c r="A131" s="5" t="s">
        <v>267</v>
      </c>
      <c r="B131" s="5" t="s">
        <v>162</v>
      </c>
      <c r="C131" s="17" t="s">
        <v>335</v>
      </c>
      <c r="D131" s="7">
        <f t="shared" si="0"/>
        <v>8.8000000000000007</v>
      </c>
      <c r="E131" s="8">
        <v>0</v>
      </c>
      <c r="F131" s="5">
        <v>0</v>
      </c>
      <c r="G131" s="5">
        <v>0</v>
      </c>
      <c r="H131" s="5">
        <v>0</v>
      </c>
      <c r="I131" s="5">
        <v>0</v>
      </c>
      <c r="J131" s="9">
        <v>0</v>
      </c>
      <c r="K131" s="8">
        <v>1</v>
      </c>
      <c r="L131" s="5">
        <v>3</v>
      </c>
      <c r="M131" s="5">
        <v>0</v>
      </c>
      <c r="N131" s="9">
        <v>0</v>
      </c>
      <c r="O131" s="8">
        <v>5</v>
      </c>
      <c r="P131" s="5">
        <v>35</v>
      </c>
      <c r="Q131" s="5">
        <v>0</v>
      </c>
      <c r="R131" s="9">
        <v>0</v>
      </c>
      <c r="S131" s="8">
        <v>0</v>
      </c>
      <c r="T131" s="9">
        <v>0</v>
      </c>
    </row>
    <row r="132" spans="1:20" x14ac:dyDescent="0.2">
      <c r="A132" s="5" t="s">
        <v>68</v>
      </c>
      <c r="B132" s="5" t="s">
        <v>69</v>
      </c>
      <c r="C132" s="17" t="s">
        <v>338</v>
      </c>
      <c r="D132" s="7">
        <f t="shared" si="0"/>
        <v>8.7200000000000006</v>
      </c>
      <c r="E132" s="8">
        <v>1</v>
      </c>
      <c r="F132" s="5">
        <v>1</v>
      </c>
      <c r="G132" s="5">
        <v>8</v>
      </c>
      <c r="H132" s="5">
        <v>0</v>
      </c>
      <c r="I132" s="5">
        <v>0</v>
      </c>
      <c r="J132" s="9">
        <v>0</v>
      </c>
      <c r="K132" s="8">
        <v>9</v>
      </c>
      <c r="L132" s="5">
        <v>75</v>
      </c>
      <c r="M132" s="5">
        <v>0</v>
      </c>
      <c r="N132" s="9">
        <v>0</v>
      </c>
      <c r="O132" s="8">
        <v>1</v>
      </c>
      <c r="P132" s="5">
        <v>-1</v>
      </c>
      <c r="Q132" s="5">
        <v>0</v>
      </c>
      <c r="R132" s="9">
        <v>0</v>
      </c>
      <c r="S132" s="8">
        <v>0</v>
      </c>
      <c r="T132" s="9">
        <v>0</v>
      </c>
    </row>
    <row r="133" spans="1:20" x14ac:dyDescent="0.2">
      <c r="A133" s="5" t="s">
        <v>348</v>
      </c>
      <c r="B133" s="5" t="s">
        <v>69</v>
      </c>
      <c r="C133" s="10" t="s">
        <v>336</v>
      </c>
      <c r="D133" s="7">
        <f t="shared" si="0"/>
        <v>8.6999999999999993</v>
      </c>
      <c r="E133" s="8">
        <v>0</v>
      </c>
      <c r="F133" s="5">
        <v>0</v>
      </c>
      <c r="G133" s="5">
        <v>0</v>
      </c>
      <c r="H133" s="5">
        <v>0</v>
      </c>
      <c r="I133" s="5">
        <v>0</v>
      </c>
      <c r="J133" s="9">
        <v>0</v>
      </c>
      <c r="K133" s="8">
        <v>0</v>
      </c>
      <c r="L133" s="5">
        <v>0</v>
      </c>
      <c r="M133" s="5">
        <v>0</v>
      </c>
      <c r="N133" s="9">
        <v>0</v>
      </c>
      <c r="O133" s="8">
        <v>4</v>
      </c>
      <c r="P133" s="5">
        <v>47</v>
      </c>
      <c r="Q133" s="5">
        <v>0</v>
      </c>
      <c r="R133" s="9">
        <v>0</v>
      </c>
      <c r="S133" s="8">
        <v>0</v>
      </c>
      <c r="T133" s="9">
        <v>0</v>
      </c>
    </row>
    <row r="134" spans="1:20" x14ac:dyDescent="0.2">
      <c r="A134" s="5" t="s">
        <v>250</v>
      </c>
      <c r="B134" s="5" t="s">
        <v>162</v>
      </c>
      <c r="C134" s="10" t="s">
        <v>322</v>
      </c>
      <c r="D134" s="7">
        <f t="shared" si="0"/>
        <v>8.6000000000000014</v>
      </c>
      <c r="E134" s="8">
        <v>0</v>
      </c>
      <c r="F134" s="5">
        <v>0</v>
      </c>
      <c r="G134" s="5">
        <v>0</v>
      </c>
      <c r="H134" s="5">
        <v>0</v>
      </c>
      <c r="I134" s="5">
        <v>0</v>
      </c>
      <c r="J134" s="9">
        <v>0</v>
      </c>
      <c r="K134" s="8">
        <v>0</v>
      </c>
      <c r="L134" s="5">
        <v>0</v>
      </c>
      <c r="M134" s="5">
        <v>0</v>
      </c>
      <c r="N134" s="9">
        <v>0</v>
      </c>
      <c r="O134" s="8">
        <v>3</v>
      </c>
      <c r="P134" s="5">
        <v>56</v>
      </c>
      <c r="Q134" s="5">
        <v>0</v>
      </c>
      <c r="R134" s="9">
        <v>0</v>
      </c>
      <c r="S134" s="8">
        <v>0</v>
      </c>
      <c r="T134" s="9">
        <v>0</v>
      </c>
    </row>
    <row r="135" spans="1:20" x14ac:dyDescent="0.2">
      <c r="A135" s="5" t="s">
        <v>56</v>
      </c>
      <c r="B135" s="5" t="s">
        <v>17</v>
      </c>
      <c r="C135" s="17" t="s">
        <v>332</v>
      </c>
      <c r="D135" s="7">
        <f t="shared" si="0"/>
        <v>8.4</v>
      </c>
      <c r="E135" s="8">
        <v>27</v>
      </c>
      <c r="F135" s="5">
        <v>12</v>
      </c>
      <c r="G135" s="5">
        <v>170</v>
      </c>
      <c r="H135" s="5">
        <v>1</v>
      </c>
      <c r="I135" s="5">
        <v>3</v>
      </c>
      <c r="J135" s="9">
        <v>0</v>
      </c>
      <c r="K135" s="8">
        <v>5</v>
      </c>
      <c r="L135" s="5">
        <v>36</v>
      </c>
      <c r="M135" s="5">
        <v>0</v>
      </c>
      <c r="N135" s="9">
        <v>0</v>
      </c>
      <c r="O135" s="8">
        <v>0</v>
      </c>
      <c r="P135" s="5">
        <v>0</v>
      </c>
      <c r="Q135" s="5">
        <v>0</v>
      </c>
      <c r="R135" s="9">
        <v>0</v>
      </c>
      <c r="S135" s="8">
        <v>0</v>
      </c>
      <c r="T135" s="9">
        <v>0</v>
      </c>
    </row>
    <row r="136" spans="1:20" x14ac:dyDescent="0.2">
      <c r="A136" s="5" t="s">
        <v>237</v>
      </c>
      <c r="B136" s="5" t="s">
        <v>162</v>
      </c>
      <c r="C136" s="17" t="s">
        <v>330</v>
      </c>
      <c r="D136" s="7">
        <f t="shared" si="0"/>
        <v>8.4</v>
      </c>
      <c r="E136" s="8">
        <v>0</v>
      </c>
      <c r="F136" s="5">
        <v>0</v>
      </c>
      <c r="G136" s="5">
        <v>0</v>
      </c>
      <c r="H136" s="5">
        <v>0</v>
      </c>
      <c r="I136" s="5">
        <v>0</v>
      </c>
      <c r="J136" s="9">
        <v>0</v>
      </c>
      <c r="K136" s="8">
        <v>0</v>
      </c>
      <c r="L136" s="5">
        <v>0</v>
      </c>
      <c r="M136" s="5">
        <v>0</v>
      </c>
      <c r="N136" s="9">
        <v>0</v>
      </c>
      <c r="O136" s="8">
        <v>5</v>
      </c>
      <c r="P136" s="5">
        <v>34</v>
      </c>
      <c r="Q136" s="5">
        <v>0</v>
      </c>
      <c r="R136" s="9">
        <v>0</v>
      </c>
      <c r="S136" s="8">
        <v>0</v>
      </c>
      <c r="T136" s="9">
        <v>0</v>
      </c>
    </row>
    <row r="137" spans="1:20" x14ac:dyDescent="0.2">
      <c r="A137" s="5" t="s">
        <v>91</v>
      </c>
      <c r="B137" s="5" t="s">
        <v>75</v>
      </c>
      <c r="C137" s="17" t="s">
        <v>327</v>
      </c>
      <c r="D137" s="7">
        <f t="shared" si="0"/>
        <v>8.3000000000000007</v>
      </c>
      <c r="E137" s="8">
        <v>0</v>
      </c>
      <c r="F137" s="5">
        <v>0</v>
      </c>
      <c r="G137" s="5">
        <v>0</v>
      </c>
      <c r="H137" s="5">
        <v>0</v>
      </c>
      <c r="I137" s="5">
        <v>0</v>
      </c>
      <c r="J137" s="9">
        <v>0</v>
      </c>
      <c r="K137" s="8">
        <v>11</v>
      </c>
      <c r="L137" s="5">
        <v>41</v>
      </c>
      <c r="M137" s="5">
        <v>0</v>
      </c>
      <c r="N137" s="9">
        <v>0</v>
      </c>
      <c r="O137" s="8">
        <v>3</v>
      </c>
      <c r="P137" s="5">
        <v>12</v>
      </c>
      <c r="Q137" s="5">
        <v>0</v>
      </c>
      <c r="R137" s="9">
        <v>0</v>
      </c>
      <c r="S137" s="8">
        <v>0</v>
      </c>
      <c r="T137" s="9">
        <v>0</v>
      </c>
    </row>
    <row r="138" spans="1:20" x14ac:dyDescent="0.2">
      <c r="A138" s="5" t="s">
        <v>145</v>
      </c>
      <c r="B138" s="5" t="s">
        <v>75</v>
      </c>
      <c r="C138" s="17" t="s">
        <v>325</v>
      </c>
      <c r="D138" s="7">
        <f t="shared" si="0"/>
        <v>8.3000000000000007</v>
      </c>
      <c r="E138" s="8">
        <v>0</v>
      </c>
      <c r="F138" s="5">
        <v>0</v>
      </c>
      <c r="G138" s="5">
        <v>0</v>
      </c>
      <c r="H138" s="5">
        <v>0</v>
      </c>
      <c r="I138" s="5">
        <v>0</v>
      </c>
      <c r="J138" s="9">
        <v>0</v>
      </c>
      <c r="K138" s="8">
        <v>2</v>
      </c>
      <c r="L138" s="5">
        <v>9</v>
      </c>
      <c r="M138" s="5">
        <v>0</v>
      </c>
      <c r="N138" s="9">
        <v>0</v>
      </c>
      <c r="O138" s="8">
        <v>3</v>
      </c>
      <c r="P138" s="5">
        <v>44</v>
      </c>
      <c r="Q138" s="5">
        <v>0</v>
      </c>
      <c r="R138" s="9">
        <v>0</v>
      </c>
      <c r="S138" s="8">
        <v>0</v>
      </c>
      <c r="T138" s="9">
        <v>0</v>
      </c>
    </row>
    <row r="139" spans="1:20" x14ac:dyDescent="0.2">
      <c r="A139" s="5" t="s">
        <v>288</v>
      </c>
      <c r="B139" s="5" t="s">
        <v>69</v>
      </c>
      <c r="C139" s="10" t="s">
        <v>331</v>
      </c>
      <c r="D139" s="7">
        <f t="shared" si="0"/>
        <v>8.3000000000000007</v>
      </c>
      <c r="E139" s="8">
        <v>0</v>
      </c>
      <c r="F139" s="5">
        <v>0</v>
      </c>
      <c r="G139" s="5">
        <v>0</v>
      </c>
      <c r="H139" s="5">
        <v>0</v>
      </c>
      <c r="I139" s="5">
        <v>0</v>
      </c>
      <c r="J139" s="9">
        <v>0</v>
      </c>
      <c r="K139" s="8">
        <v>0</v>
      </c>
      <c r="L139" s="5">
        <v>0</v>
      </c>
      <c r="M139" s="5">
        <v>0</v>
      </c>
      <c r="N139" s="9">
        <v>0</v>
      </c>
      <c r="O139" s="8">
        <v>5</v>
      </c>
      <c r="P139" s="5">
        <v>33</v>
      </c>
      <c r="Q139" s="5">
        <v>0</v>
      </c>
      <c r="R139" s="9">
        <v>0</v>
      </c>
      <c r="S139" s="8">
        <v>0</v>
      </c>
      <c r="T139" s="9">
        <v>0</v>
      </c>
    </row>
    <row r="140" spans="1:20" x14ac:dyDescent="0.2">
      <c r="A140" s="5" t="s">
        <v>349</v>
      </c>
      <c r="B140" s="5" t="s">
        <v>69</v>
      </c>
      <c r="C140" s="10" t="s">
        <v>328</v>
      </c>
      <c r="D140" s="7">
        <f t="shared" si="0"/>
        <v>8.1999999999999993</v>
      </c>
      <c r="E140" s="8">
        <v>0</v>
      </c>
      <c r="F140" s="5">
        <v>0</v>
      </c>
      <c r="G140" s="5">
        <v>0</v>
      </c>
      <c r="H140" s="5">
        <v>0</v>
      </c>
      <c r="I140" s="5">
        <v>0</v>
      </c>
      <c r="J140" s="9">
        <v>0</v>
      </c>
      <c r="K140" s="8">
        <v>0</v>
      </c>
      <c r="L140" s="5">
        <v>0</v>
      </c>
      <c r="M140" s="5">
        <v>0</v>
      </c>
      <c r="N140" s="9">
        <v>0</v>
      </c>
      <c r="O140" s="8">
        <v>6</v>
      </c>
      <c r="P140" s="5">
        <v>22</v>
      </c>
      <c r="Q140" s="5">
        <v>0</v>
      </c>
      <c r="R140" s="9">
        <v>0</v>
      </c>
      <c r="S140" s="8">
        <v>0</v>
      </c>
      <c r="T140" s="9">
        <v>0</v>
      </c>
    </row>
    <row r="141" spans="1:20" x14ac:dyDescent="0.2">
      <c r="A141" s="5" t="s">
        <v>206</v>
      </c>
      <c r="B141" s="5" t="s">
        <v>162</v>
      </c>
      <c r="C141" s="10" t="s">
        <v>327</v>
      </c>
      <c r="D141" s="7">
        <f t="shared" si="0"/>
        <v>8.1</v>
      </c>
      <c r="E141" s="8">
        <v>0</v>
      </c>
      <c r="F141" s="5">
        <v>0</v>
      </c>
      <c r="G141" s="5">
        <v>0</v>
      </c>
      <c r="H141" s="5">
        <v>0</v>
      </c>
      <c r="I141" s="5">
        <v>0</v>
      </c>
      <c r="J141" s="9">
        <v>0</v>
      </c>
      <c r="K141" s="8">
        <v>0</v>
      </c>
      <c r="L141" s="5">
        <v>0</v>
      </c>
      <c r="M141" s="5">
        <v>0</v>
      </c>
      <c r="N141" s="9">
        <v>0</v>
      </c>
      <c r="O141" s="8">
        <v>5</v>
      </c>
      <c r="P141" s="5">
        <v>31</v>
      </c>
      <c r="Q141" s="5">
        <v>0</v>
      </c>
      <c r="R141" s="9">
        <v>0</v>
      </c>
      <c r="S141" s="8">
        <v>0</v>
      </c>
      <c r="T141" s="9">
        <v>0</v>
      </c>
    </row>
    <row r="142" spans="1:20" x14ac:dyDescent="0.2">
      <c r="A142" s="5" t="s">
        <v>350</v>
      </c>
      <c r="B142" s="5" t="s">
        <v>162</v>
      </c>
      <c r="C142" s="10" t="s">
        <v>334</v>
      </c>
      <c r="D142" s="7">
        <f t="shared" si="0"/>
        <v>8.1</v>
      </c>
      <c r="E142" s="8">
        <v>0</v>
      </c>
      <c r="F142" s="5">
        <v>0</v>
      </c>
      <c r="G142" s="5">
        <v>0</v>
      </c>
      <c r="H142" s="5">
        <v>0</v>
      </c>
      <c r="I142" s="5">
        <v>0</v>
      </c>
      <c r="J142" s="9">
        <v>0</v>
      </c>
      <c r="K142" s="8">
        <v>0</v>
      </c>
      <c r="L142" s="5">
        <v>0</v>
      </c>
      <c r="M142" s="5">
        <v>0</v>
      </c>
      <c r="N142" s="9">
        <v>0</v>
      </c>
      <c r="O142" s="8">
        <v>1</v>
      </c>
      <c r="P142" s="5">
        <v>11</v>
      </c>
      <c r="Q142" s="5">
        <v>1</v>
      </c>
      <c r="R142" s="9">
        <v>0</v>
      </c>
      <c r="S142" s="8">
        <v>0</v>
      </c>
      <c r="T142" s="9">
        <v>0</v>
      </c>
    </row>
    <row r="143" spans="1:20" x14ac:dyDescent="0.2">
      <c r="A143" s="5" t="s">
        <v>104</v>
      </c>
      <c r="B143" s="5" t="s">
        <v>75</v>
      </c>
      <c r="C143" s="17" t="s">
        <v>335</v>
      </c>
      <c r="D143" s="7">
        <f t="shared" si="0"/>
        <v>8</v>
      </c>
      <c r="E143" s="8">
        <v>0</v>
      </c>
      <c r="F143" s="5">
        <v>0</v>
      </c>
      <c r="G143" s="5">
        <v>0</v>
      </c>
      <c r="H143" s="5">
        <v>0</v>
      </c>
      <c r="I143" s="5">
        <v>0</v>
      </c>
      <c r="J143" s="9">
        <v>0</v>
      </c>
      <c r="K143" s="8">
        <v>12</v>
      </c>
      <c r="L143" s="5">
        <v>70</v>
      </c>
      <c r="M143" s="5">
        <v>0</v>
      </c>
      <c r="N143" s="9">
        <v>0</v>
      </c>
      <c r="O143" s="8">
        <v>1</v>
      </c>
      <c r="P143" s="5">
        <v>0</v>
      </c>
      <c r="Q143" s="5">
        <v>0</v>
      </c>
      <c r="R143" s="9">
        <v>0</v>
      </c>
      <c r="S143" s="8">
        <v>0</v>
      </c>
      <c r="T143" s="9">
        <v>0</v>
      </c>
    </row>
    <row r="144" spans="1:20" x14ac:dyDescent="0.2">
      <c r="A144" s="5" t="s">
        <v>187</v>
      </c>
      <c r="B144" s="5" t="s">
        <v>162</v>
      </c>
      <c r="C144" s="10" t="s">
        <v>321</v>
      </c>
      <c r="D144" s="7">
        <f t="shared" si="0"/>
        <v>8</v>
      </c>
      <c r="E144" s="8">
        <v>0</v>
      </c>
      <c r="F144" s="5">
        <v>0</v>
      </c>
      <c r="G144" s="5">
        <v>0</v>
      </c>
      <c r="H144" s="5">
        <v>0</v>
      </c>
      <c r="I144" s="5">
        <v>0</v>
      </c>
      <c r="J144" s="9">
        <v>0</v>
      </c>
      <c r="K144" s="8">
        <v>0</v>
      </c>
      <c r="L144" s="5">
        <v>0</v>
      </c>
      <c r="M144" s="5">
        <v>0</v>
      </c>
      <c r="N144" s="9">
        <v>0</v>
      </c>
      <c r="O144" s="8">
        <v>4</v>
      </c>
      <c r="P144" s="5">
        <v>40</v>
      </c>
      <c r="Q144" s="5">
        <v>0</v>
      </c>
      <c r="R144" s="9">
        <v>0</v>
      </c>
      <c r="S144" s="8">
        <v>0</v>
      </c>
      <c r="T144" s="9">
        <v>0</v>
      </c>
    </row>
    <row r="145" spans="1:20" x14ac:dyDescent="0.2">
      <c r="A145" s="5" t="s">
        <v>105</v>
      </c>
      <c r="B145" s="5" t="s">
        <v>75</v>
      </c>
      <c r="C145" s="10" t="s">
        <v>325</v>
      </c>
      <c r="D145" s="7">
        <f t="shared" si="0"/>
        <v>7.8000000000000007</v>
      </c>
      <c r="E145" s="8">
        <v>0</v>
      </c>
      <c r="F145" s="5">
        <v>0</v>
      </c>
      <c r="G145" s="5">
        <v>0</v>
      </c>
      <c r="H145" s="5">
        <v>0</v>
      </c>
      <c r="I145" s="5">
        <v>0</v>
      </c>
      <c r="J145" s="9">
        <v>0</v>
      </c>
      <c r="K145" s="8">
        <v>12</v>
      </c>
      <c r="L145" s="5">
        <v>44</v>
      </c>
      <c r="M145" s="5">
        <v>0</v>
      </c>
      <c r="N145" s="9">
        <v>0</v>
      </c>
      <c r="O145" s="8">
        <v>2</v>
      </c>
      <c r="P145" s="5">
        <v>14</v>
      </c>
      <c r="Q145" s="5">
        <v>0</v>
      </c>
      <c r="R145" s="9">
        <v>0</v>
      </c>
      <c r="S145" s="8">
        <v>0</v>
      </c>
      <c r="T145" s="9">
        <v>0</v>
      </c>
    </row>
    <row r="146" spans="1:20" x14ac:dyDescent="0.2">
      <c r="A146" s="5" t="s">
        <v>216</v>
      </c>
      <c r="B146" s="5" t="s">
        <v>162</v>
      </c>
      <c r="C146" s="10" t="s">
        <v>331</v>
      </c>
      <c r="D146" s="7">
        <f t="shared" si="0"/>
        <v>7.8000000000000007</v>
      </c>
      <c r="E146" s="8">
        <v>0</v>
      </c>
      <c r="F146" s="5">
        <v>0</v>
      </c>
      <c r="G146" s="5">
        <v>0</v>
      </c>
      <c r="H146" s="5">
        <v>0</v>
      </c>
      <c r="I146" s="5">
        <v>0</v>
      </c>
      <c r="J146" s="9">
        <v>0</v>
      </c>
      <c r="K146" s="8">
        <v>0</v>
      </c>
      <c r="L146" s="5">
        <v>0</v>
      </c>
      <c r="M146" s="5">
        <v>0</v>
      </c>
      <c r="N146" s="9">
        <v>0</v>
      </c>
      <c r="O146" s="8">
        <v>5</v>
      </c>
      <c r="P146" s="5">
        <v>28</v>
      </c>
      <c r="Q146" s="5">
        <v>0</v>
      </c>
      <c r="R146" s="9">
        <v>0</v>
      </c>
      <c r="S146" s="8">
        <v>0</v>
      </c>
      <c r="T146" s="9">
        <v>0</v>
      </c>
    </row>
    <row r="147" spans="1:20" x14ac:dyDescent="0.2">
      <c r="A147" s="5" t="s">
        <v>277</v>
      </c>
      <c r="B147" s="5" t="s">
        <v>69</v>
      </c>
      <c r="C147" s="17" t="s">
        <v>324</v>
      </c>
      <c r="D147" s="7">
        <f t="shared" si="0"/>
        <v>7.8000000000000007</v>
      </c>
      <c r="E147" s="8">
        <v>0</v>
      </c>
      <c r="F147" s="5">
        <v>0</v>
      </c>
      <c r="G147" s="5">
        <v>0</v>
      </c>
      <c r="H147" s="5">
        <v>0</v>
      </c>
      <c r="I147" s="5">
        <v>0</v>
      </c>
      <c r="J147" s="9">
        <v>0</v>
      </c>
      <c r="K147" s="8">
        <v>0</v>
      </c>
      <c r="L147" s="5">
        <v>0</v>
      </c>
      <c r="M147" s="5">
        <v>0</v>
      </c>
      <c r="N147" s="9">
        <v>0</v>
      </c>
      <c r="O147" s="8">
        <v>4</v>
      </c>
      <c r="P147" s="5">
        <v>38</v>
      </c>
      <c r="Q147" s="5">
        <v>0</v>
      </c>
      <c r="R147" s="9">
        <v>0</v>
      </c>
      <c r="S147" s="8">
        <v>0</v>
      </c>
      <c r="T147" s="9">
        <v>0</v>
      </c>
    </row>
    <row r="148" spans="1:20" x14ac:dyDescent="0.2">
      <c r="A148" s="5" t="s">
        <v>94</v>
      </c>
      <c r="B148" s="5" t="s">
        <v>75</v>
      </c>
      <c r="C148" s="10" t="s">
        <v>338</v>
      </c>
      <c r="D148" s="7">
        <f t="shared" si="0"/>
        <v>7.7</v>
      </c>
      <c r="E148" s="8">
        <v>0</v>
      </c>
      <c r="F148" s="5">
        <v>0</v>
      </c>
      <c r="G148" s="5">
        <v>0</v>
      </c>
      <c r="H148" s="5">
        <v>0</v>
      </c>
      <c r="I148" s="5">
        <v>0</v>
      </c>
      <c r="J148" s="9">
        <v>0</v>
      </c>
      <c r="K148" s="8">
        <v>14</v>
      </c>
      <c r="L148" s="5">
        <v>43</v>
      </c>
      <c r="M148" s="5">
        <v>0</v>
      </c>
      <c r="N148" s="9">
        <v>0</v>
      </c>
      <c r="O148" s="8">
        <v>3</v>
      </c>
      <c r="P148" s="5">
        <v>4</v>
      </c>
      <c r="Q148" s="5">
        <v>0</v>
      </c>
      <c r="R148" s="9">
        <v>0</v>
      </c>
      <c r="S148" s="8">
        <v>0</v>
      </c>
      <c r="T148" s="9">
        <v>0</v>
      </c>
    </row>
    <row r="149" spans="1:20" x14ac:dyDescent="0.2">
      <c r="A149" s="5" t="s">
        <v>220</v>
      </c>
      <c r="B149" s="5" t="s">
        <v>162</v>
      </c>
      <c r="C149" s="17" t="s">
        <v>329</v>
      </c>
      <c r="D149" s="7">
        <f t="shared" si="0"/>
        <v>7.7</v>
      </c>
      <c r="E149" s="8">
        <v>0</v>
      </c>
      <c r="F149" s="5">
        <v>0</v>
      </c>
      <c r="G149" s="5">
        <v>0</v>
      </c>
      <c r="H149" s="5">
        <v>0</v>
      </c>
      <c r="I149" s="5">
        <v>0</v>
      </c>
      <c r="J149" s="9">
        <v>0</v>
      </c>
      <c r="K149" s="8">
        <v>0</v>
      </c>
      <c r="L149" s="5">
        <v>0</v>
      </c>
      <c r="M149" s="5">
        <v>0</v>
      </c>
      <c r="N149" s="9">
        <v>0</v>
      </c>
      <c r="O149" s="8">
        <v>4</v>
      </c>
      <c r="P149" s="5">
        <v>37</v>
      </c>
      <c r="Q149" s="5">
        <v>0</v>
      </c>
      <c r="R149" s="9">
        <v>0</v>
      </c>
      <c r="S149" s="8">
        <v>0</v>
      </c>
      <c r="T149" s="9">
        <v>0</v>
      </c>
    </row>
    <row r="150" spans="1:20" x14ac:dyDescent="0.2">
      <c r="A150" s="5" t="s">
        <v>297</v>
      </c>
      <c r="B150" s="5" t="s">
        <v>69</v>
      </c>
      <c r="C150" s="17" t="s">
        <v>321</v>
      </c>
      <c r="D150" s="7">
        <f t="shared" si="0"/>
        <v>7.7</v>
      </c>
      <c r="E150" s="8">
        <v>0</v>
      </c>
      <c r="F150" s="5">
        <v>0</v>
      </c>
      <c r="G150" s="5">
        <v>0</v>
      </c>
      <c r="H150" s="5">
        <v>0</v>
      </c>
      <c r="I150" s="5">
        <v>0</v>
      </c>
      <c r="J150" s="9">
        <v>0</v>
      </c>
      <c r="K150" s="8">
        <v>0</v>
      </c>
      <c r="L150" s="5">
        <v>0</v>
      </c>
      <c r="M150" s="5">
        <v>0</v>
      </c>
      <c r="N150" s="9">
        <v>0</v>
      </c>
      <c r="O150" s="8">
        <v>3</v>
      </c>
      <c r="P150" s="5">
        <v>47</v>
      </c>
      <c r="Q150" s="5">
        <v>0</v>
      </c>
      <c r="R150" s="9">
        <v>0</v>
      </c>
      <c r="S150" s="8">
        <v>0</v>
      </c>
      <c r="T150" s="9">
        <v>0</v>
      </c>
    </row>
    <row r="151" spans="1:20" x14ac:dyDescent="0.2">
      <c r="A151" s="5" t="s">
        <v>351</v>
      </c>
      <c r="B151" s="5" t="s">
        <v>69</v>
      </c>
      <c r="C151" s="17" t="s">
        <v>325</v>
      </c>
      <c r="D151" s="7">
        <f t="shared" si="0"/>
        <v>7.6000000000000005</v>
      </c>
      <c r="E151" s="8">
        <v>0</v>
      </c>
      <c r="F151" s="5">
        <v>0</v>
      </c>
      <c r="G151" s="5">
        <v>0</v>
      </c>
      <c r="H151" s="5">
        <v>0</v>
      </c>
      <c r="I151" s="5">
        <v>0</v>
      </c>
      <c r="J151" s="9">
        <v>0</v>
      </c>
      <c r="K151" s="8">
        <v>0</v>
      </c>
      <c r="L151" s="5">
        <v>0</v>
      </c>
      <c r="M151" s="5">
        <v>0</v>
      </c>
      <c r="N151" s="9">
        <v>0</v>
      </c>
      <c r="O151" s="8">
        <v>3</v>
      </c>
      <c r="P151" s="5">
        <v>46</v>
      </c>
      <c r="Q151" s="5">
        <v>0</v>
      </c>
      <c r="R151" s="9">
        <v>0</v>
      </c>
      <c r="S151" s="8">
        <v>0</v>
      </c>
      <c r="T151" s="9">
        <v>0</v>
      </c>
    </row>
    <row r="152" spans="1:20" x14ac:dyDescent="0.2">
      <c r="A152" s="5" t="s">
        <v>35</v>
      </c>
      <c r="B152" s="5" t="s">
        <v>17</v>
      </c>
      <c r="C152" s="17" t="s">
        <v>334</v>
      </c>
      <c r="D152" s="7">
        <f t="shared" si="0"/>
        <v>7.5</v>
      </c>
      <c r="E152" s="8">
        <v>24</v>
      </c>
      <c r="F152" s="5">
        <v>16</v>
      </c>
      <c r="G152" s="5">
        <v>185</v>
      </c>
      <c r="H152" s="5">
        <v>1</v>
      </c>
      <c r="I152" s="5">
        <v>2</v>
      </c>
      <c r="J152" s="9">
        <v>0</v>
      </c>
      <c r="K152" s="8">
        <v>1</v>
      </c>
      <c r="L152" s="5">
        <v>1</v>
      </c>
      <c r="M152" s="5">
        <v>0</v>
      </c>
      <c r="N152" s="9">
        <v>0</v>
      </c>
      <c r="O152" s="8">
        <v>0</v>
      </c>
      <c r="P152" s="5">
        <v>0</v>
      </c>
      <c r="Q152" s="5">
        <v>0</v>
      </c>
      <c r="R152" s="9">
        <v>0</v>
      </c>
      <c r="S152" s="8">
        <v>0</v>
      </c>
      <c r="T152" s="9">
        <v>0</v>
      </c>
    </row>
    <row r="153" spans="1:20" x14ac:dyDescent="0.2">
      <c r="A153" s="5" t="s">
        <v>129</v>
      </c>
      <c r="B153" s="5" t="s">
        <v>75</v>
      </c>
      <c r="C153" s="10" t="s">
        <v>321</v>
      </c>
      <c r="D153" s="7">
        <f t="shared" si="0"/>
        <v>7.5</v>
      </c>
      <c r="E153" s="8">
        <v>0</v>
      </c>
      <c r="F153" s="5">
        <v>0</v>
      </c>
      <c r="G153" s="5">
        <v>0</v>
      </c>
      <c r="H153" s="5">
        <v>0</v>
      </c>
      <c r="I153" s="5">
        <v>0</v>
      </c>
      <c r="J153" s="9">
        <v>0</v>
      </c>
      <c r="K153" s="8">
        <v>8</v>
      </c>
      <c r="L153" s="5">
        <v>49</v>
      </c>
      <c r="M153" s="5">
        <v>0</v>
      </c>
      <c r="N153" s="9">
        <v>0</v>
      </c>
      <c r="O153" s="8">
        <v>2</v>
      </c>
      <c r="P153" s="5">
        <v>6</v>
      </c>
      <c r="Q153" s="5">
        <v>0</v>
      </c>
      <c r="R153" s="9">
        <v>0</v>
      </c>
      <c r="S153" s="8">
        <v>0</v>
      </c>
      <c r="T153" s="9">
        <v>0</v>
      </c>
    </row>
    <row r="154" spans="1:20" x14ac:dyDescent="0.2">
      <c r="A154" s="5" t="s">
        <v>352</v>
      </c>
      <c r="B154" s="5" t="s">
        <v>69</v>
      </c>
      <c r="C154" s="10" t="s">
        <v>321</v>
      </c>
      <c r="D154" s="7">
        <f t="shared" si="0"/>
        <v>7.5</v>
      </c>
      <c r="E154" s="8">
        <v>0</v>
      </c>
      <c r="F154" s="5">
        <v>0</v>
      </c>
      <c r="G154" s="5">
        <v>0</v>
      </c>
      <c r="H154" s="5">
        <v>0</v>
      </c>
      <c r="I154" s="5">
        <v>0</v>
      </c>
      <c r="J154" s="9">
        <v>0</v>
      </c>
      <c r="K154" s="8">
        <v>0</v>
      </c>
      <c r="L154" s="5">
        <v>0</v>
      </c>
      <c r="M154" s="5">
        <v>0</v>
      </c>
      <c r="N154" s="9">
        <v>0</v>
      </c>
      <c r="O154" s="8">
        <v>4</v>
      </c>
      <c r="P154" s="5">
        <v>35</v>
      </c>
      <c r="Q154" s="5">
        <v>0</v>
      </c>
      <c r="R154" s="9">
        <v>0</v>
      </c>
      <c r="S154" s="8">
        <v>0</v>
      </c>
      <c r="T154" s="9">
        <v>0</v>
      </c>
    </row>
    <row r="155" spans="1:20" x14ac:dyDescent="0.2">
      <c r="A155" s="5" t="s">
        <v>313</v>
      </c>
      <c r="B155" s="5" t="s">
        <v>69</v>
      </c>
      <c r="C155" s="10" t="s">
        <v>329</v>
      </c>
      <c r="D155" s="7">
        <f t="shared" si="0"/>
        <v>7.4</v>
      </c>
      <c r="E155" s="8">
        <v>0</v>
      </c>
      <c r="F155" s="5">
        <v>0</v>
      </c>
      <c r="G155" s="5">
        <v>0</v>
      </c>
      <c r="H155" s="5">
        <v>0</v>
      </c>
      <c r="I155" s="5">
        <v>0</v>
      </c>
      <c r="J155" s="9">
        <v>0</v>
      </c>
      <c r="K155" s="8">
        <v>0</v>
      </c>
      <c r="L155" s="5">
        <v>0</v>
      </c>
      <c r="M155" s="5">
        <v>0</v>
      </c>
      <c r="N155" s="9">
        <v>0</v>
      </c>
      <c r="O155" s="8">
        <v>4</v>
      </c>
      <c r="P155" s="5">
        <v>34</v>
      </c>
      <c r="Q155" s="5">
        <v>0</v>
      </c>
      <c r="R155" s="9">
        <v>0</v>
      </c>
      <c r="S155" s="8">
        <v>0</v>
      </c>
      <c r="T155" s="9">
        <v>0</v>
      </c>
    </row>
    <row r="156" spans="1:20" x14ac:dyDescent="0.2">
      <c r="A156" s="5" t="s">
        <v>122</v>
      </c>
      <c r="B156" s="5" t="s">
        <v>75</v>
      </c>
      <c r="C156" s="17" t="s">
        <v>336</v>
      </c>
      <c r="D156" s="7">
        <f t="shared" si="0"/>
        <v>7.3</v>
      </c>
      <c r="E156" s="8">
        <v>0</v>
      </c>
      <c r="F156" s="5">
        <v>0</v>
      </c>
      <c r="G156" s="5">
        <v>0</v>
      </c>
      <c r="H156" s="5">
        <v>0</v>
      </c>
      <c r="I156" s="5">
        <v>0</v>
      </c>
      <c r="J156" s="9">
        <v>0</v>
      </c>
      <c r="K156" s="8">
        <v>15</v>
      </c>
      <c r="L156" s="5">
        <v>55</v>
      </c>
      <c r="M156" s="5">
        <v>0</v>
      </c>
      <c r="N156" s="9">
        <v>0</v>
      </c>
      <c r="O156" s="8">
        <v>1</v>
      </c>
      <c r="P156" s="5">
        <v>8</v>
      </c>
      <c r="Q156" s="5">
        <v>0</v>
      </c>
      <c r="R156" s="9">
        <v>0</v>
      </c>
      <c r="S156" s="8">
        <v>0</v>
      </c>
      <c r="T156" s="9">
        <v>0</v>
      </c>
    </row>
    <row r="157" spans="1:20" x14ac:dyDescent="0.2">
      <c r="A157" s="5" t="s">
        <v>163</v>
      </c>
      <c r="B157" s="5" t="s">
        <v>162</v>
      </c>
      <c r="C157" s="17" t="s">
        <v>323</v>
      </c>
      <c r="D157" s="7">
        <f t="shared" si="0"/>
        <v>7.3</v>
      </c>
      <c r="E157" s="8">
        <v>0</v>
      </c>
      <c r="F157" s="5">
        <v>0</v>
      </c>
      <c r="G157" s="5">
        <v>0</v>
      </c>
      <c r="H157" s="5">
        <v>0</v>
      </c>
      <c r="I157" s="5">
        <v>0</v>
      </c>
      <c r="J157" s="9">
        <v>0</v>
      </c>
      <c r="K157" s="8">
        <v>0</v>
      </c>
      <c r="L157" s="5">
        <v>0</v>
      </c>
      <c r="M157" s="5">
        <v>0</v>
      </c>
      <c r="N157" s="9">
        <v>0</v>
      </c>
      <c r="O157" s="8">
        <v>3</v>
      </c>
      <c r="P157" s="5">
        <v>43</v>
      </c>
      <c r="Q157" s="5">
        <v>0</v>
      </c>
      <c r="R157" s="9">
        <v>0</v>
      </c>
      <c r="S157" s="8">
        <v>0</v>
      </c>
      <c r="T157" s="9">
        <v>0</v>
      </c>
    </row>
    <row r="158" spans="1:20" x14ac:dyDescent="0.2">
      <c r="A158" s="5" t="s">
        <v>227</v>
      </c>
      <c r="B158" s="5" t="s">
        <v>162</v>
      </c>
      <c r="C158" s="17" t="s">
        <v>335</v>
      </c>
      <c r="D158" s="7">
        <f t="shared" si="0"/>
        <v>7.1999999999999993</v>
      </c>
      <c r="E158" s="8">
        <v>0</v>
      </c>
      <c r="F158" s="5">
        <v>0</v>
      </c>
      <c r="G158" s="5">
        <v>0</v>
      </c>
      <c r="H158" s="5">
        <v>0</v>
      </c>
      <c r="I158" s="5">
        <v>0</v>
      </c>
      <c r="J158" s="9">
        <v>0</v>
      </c>
      <c r="K158" s="8">
        <v>0</v>
      </c>
      <c r="L158" s="5">
        <v>0</v>
      </c>
      <c r="M158" s="5">
        <v>0</v>
      </c>
      <c r="N158" s="9">
        <v>0</v>
      </c>
      <c r="O158" s="8">
        <v>3</v>
      </c>
      <c r="P158" s="5">
        <v>62</v>
      </c>
      <c r="Q158" s="5">
        <v>0</v>
      </c>
      <c r="R158" s="9">
        <v>0</v>
      </c>
      <c r="S158" s="8">
        <v>1</v>
      </c>
      <c r="T158" s="9">
        <v>0</v>
      </c>
    </row>
    <row r="159" spans="1:20" x14ac:dyDescent="0.2">
      <c r="A159" s="5" t="s">
        <v>353</v>
      </c>
      <c r="B159" s="5" t="s">
        <v>162</v>
      </c>
      <c r="C159" s="17" t="s">
        <v>323</v>
      </c>
      <c r="D159" s="7">
        <f t="shared" si="0"/>
        <v>7.1000000000000005</v>
      </c>
      <c r="E159" s="8">
        <v>0</v>
      </c>
      <c r="F159" s="5">
        <v>0</v>
      </c>
      <c r="G159" s="5">
        <v>0</v>
      </c>
      <c r="H159" s="5">
        <v>0</v>
      </c>
      <c r="I159" s="5">
        <v>0</v>
      </c>
      <c r="J159" s="9">
        <v>0</v>
      </c>
      <c r="K159" s="8">
        <v>0</v>
      </c>
      <c r="L159" s="5">
        <v>0</v>
      </c>
      <c r="M159" s="5">
        <v>0</v>
      </c>
      <c r="N159" s="9">
        <v>0</v>
      </c>
      <c r="O159" s="8">
        <v>2</v>
      </c>
      <c r="P159" s="5">
        <v>51</v>
      </c>
      <c r="Q159" s="5">
        <v>0</v>
      </c>
      <c r="R159" s="9">
        <v>0</v>
      </c>
      <c r="S159" s="8">
        <v>0</v>
      </c>
      <c r="T159" s="9">
        <v>0</v>
      </c>
    </row>
    <row r="160" spans="1:20" x14ac:dyDescent="0.2">
      <c r="A160" s="5" t="s">
        <v>141</v>
      </c>
      <c r="B160" s="5" t="s">
        <v>75</v>
      </c>
      <c r="C160" s="17" t="s">
        <v>331</v>
      </c>
      <c r="D160" s="7">
        <f t="shared" si="0"/>
        <v>7.1</v>
      </c>
      <c r="E160" s="8">
        <v>0</v>
      </c>
      <c r="F160" s="5">
        <v>0</v>
      </c>
      <c r="G160" s="5">
        <v>0</v>
      </c>
      <c r="H160" s="5">
        <v>0</v>
      </c>
      <c r="I160" s="5">
        <v>0</v>
      </c>
      <c r="J160" s="9">
        <v>0</v>
      </c>
      <c r="K160" s="8">
        <v>3</v>
      </c>
      <c r="L160" s="5">
        <v>13</v>
      </c>
      <c r="M160" s="5">
        <v>0</v>
      </c>
      <c r="N160" s="9">
        <v>0</v>
      </c>
      <c r="O160" s="8">
        <v>3</v>
      </c>
      <c r="P160" s="5">
        <v>28</v>
      </c>
      <c r="Q160" s="5">
        <v>0</v>
      </c>
      <c r="R160" s="9">
        <v>0</v>
      </c>
      <c r="S160" s="8">
        <v>0</v>
      </c>
      <c r="T160" s="9">
        <v>0</v>
      </c>
    </row>
    <row r="161" spans="1:20" x14ac:dyDescent="0.2">
      <c r="A161" s="5" t="s">
        <v>208</v>
      </c>
      <c r="B161" s="5" t="s">
        <v>162</v>
      </c>
      <c r="C161" s="17" t="s">
        <v>333</v>
      </c>
      <c r="D161" s="7">
        <f t="shared" si="0"/>
        <v>7.1</v>
      </c>
      <c r="E161" s="8">
        <v>0</v>
      </c>
      <c r="F161" s="5">
        <v>0</v>
      </c>
      <c r="G161" s="5">
        <v>0</v>
      </c>
      <c r="H161" s="5">
        <v>0</v>
      </c>
      <c r="I161" s="5">
        <v>0</v>
      </c>
      <c r="J161" s="9">
        <v>0</v>
      </c>
      <c r="K161" s="8">
        <v>1</v>
      </c>
      <c r="L161" s="5">
        <v>5</v>
      </c>
      <c r="M161" s="5">
        <v>0</v>
      </c>
      <c r="N161" s="9">
        <v>0</v>
      </c>
      <c r="O161" s="8">
        <v>3</v>
      </c>
      <c r="P161" s="5">
        <v>36</v>
      </c>
      <c r="Q161" s="5">
        <v>0</v>
      </c>
      <c r="R161" s="9">
        <v>0</v>
      </c>
      <c r="S161" s="8">
        <v>0</v>
      </c>
      <c r="T161" s="9">
        <v>0</v>
      </c>
    </row>
    <row r="162" spans="1:20" x14ac:dyDescent="0.2">
      <c r="A162" s="5" t="s">
        <v>354</v>
      </c>
      <c r="B162" s="5" t="s">
        <v>69</v>
      </c>
      <c r="C162" s="10" t="s">
        <v>332</v>
      </c>
      <c r="D162" s="7">
        <f t="shared" si="0"/>
        <v>7.1</v>
      </c>
      <c r="E162" s="8">
        <v>0</v>
      </c>
      <c r="F162" s="5">
        <v>0</v>
      </c>
      <c r="G162" s="5">
        <v>0</v>
      </c>
      <c r="H162" s="5">
        <v>0</v>
      </c>
      <c r="I162" s="5">
        <v>0</v>
      </c>
      <c r="J162" s="9">
        <v>0</v>
      </c>
      <c r="K162" s="8">
        <v>0</v>
      </c>
      <c r="L162" s="5">
        <v>0</v>
      </c>
      <c r="M162" s="5">
        <v>0</v>
      </c>
      <c r="N162" s="9">
        <v>0</v>
      </c>
      <c r="O162" s="8">
        <v>1</v>
      </c>
      <c r="P162" s="5">
        <v>1</v>
      </c>
      <c r="Q162" s="5">
        <v>1</v>
      </c>
      <c r="R162" s="9">
        <v>0</v>
      </c>
      <c r="S162" s="8">
        <v>0</v>
      </c>
      <c r="T162" s="9">
        <v>0</v>
      </c>
    </row>
    <row r="163" spans="1:20" x14ac:dyDescent="0.2">
      <c r="A163" s="5" t="s">
        <v>166</v>
      </c>
      <c r="B163" s="5" t="s">
        <v>162</v>
      </c>
      <c r="C163" s="10" t="s">
        <v>331</v>
      </c>
      <c r="D163" s="7">
        <f t="shared" si="0"/>
        <v>6.9</v>
      </c>
      <c r="E163" s="8">
        <v>0</v>
      </c>
      <c r="F163" s="5">
        <v>0</v>
      </c>
      <c r="G163" s="5">
        <v>0</v>
      </c>
      <c r="H163" s="5">
        <v>0</v>
      </c>
      <c r="I163" s="5">
        <v>0</v>
      </c>
      <c r="J163" s="9">
        <v>0</v>
      </c>
      <c r="K163" s="8">
        <v>0</v>
      </c>
      <c r="L163" s="5">
        <v>0</v>
      </c>
      <c r="M163" s="5">
        <v>0</v>
      </c>
      <c r="N163" s="9">
        <v>0</v>
      </c>
      <c r="O163" s="8">
        <v>4</v>
      </c>
      <c r="P163" s="5">
        <v>29</v>
      </c>
      <c r="Q163" s="5">
        <v>0</v>
      </c>
      <c r="R163" s="9">
        <v>0</v>
      </c>
      <c r="S163" s="8">
        <v>0</v>
      </c>
      <c r="T163" s="9">
        <v>0</v>
      </c>
    </row>
    <row r="164" spans="1:20" x14ac:dyDescent="0.2">
      <c r="A164" s="5" t="s">
        <v>182</v>
      </c>
      <c r="B164" s="5" t="s">
        <v>162</v>
      </c>
      <c r="C164" s="10" t="s">
        <v>328</v>
      </c>
      <c r="D164" s="7">
        <f t="shared" si="0"/>
        <v>6.9</v>
      </c>
      <c r="E164" s="8">
        <v>0</v>
      </c>
      <c r="F164" s="5">
        <v>0</v>
      </c>
      <c r="G164" s="5">
        <v>0</v>
      </c>
      <c r="H164" s="5">
        <v>0</v>
      </c>
      <c r="I164" s="5">
        <v>0</v>
      </c>
      <c r="J164" s="9">
        <v>0</v>
      </c>
      <c r="K164" s="8">
        <v>0</v>
      </c>
      <c r="L164" s="5">
        <v>0</v>
      </c>
      <c r="M164" s="5">
        <v>0</v>
      </c>
      <c r="N164" s="9">
        <v>0</v>
      </c>
      <c r="O164" s="8">
        <v>4</v>
      </c>
      <c r="P164" s="5">
        <v>29</v>
      </c>
      <c r="Q164" s="5">
        <v>0</v>
      </c>
      <c r="R164" s="9">
        <v>0</v>
      </c>
      <c r="S164" s="8">
        <v>0</v>
      </c>
      <c r="T164" s="9">
        <v>0</v>
      </c>
    </row>
    <row r="165" spans="1:20" x14ac:dyDescent="0.2">
      <c r="A165" s="5" t="s">
        <v>355</v>
      </c>
      <c r="B165" s="5" t="s">
        <v>69</v>
      </c>
      <c r="C165" s="17" t="s">
        <v>329</v>
      </c>
      <c r="D165" s="7">
        <f t="shared" si="0"/>
        <v>6.9</v>
      </c>
      <c r="E165" s="8">
        <v>0</v>
      </c>
      <c r="F165" s="5">
        <v>0</v>
      </c>
      <c r="G165" s="5">
        <v>0</v>
      </c>
      <c r="H165" s="5">
        <v>0</v>
      </c>
      <c r="I165" s="5">
        <v>0</v>
      </c>
      <c r="J165" s="9">
        <v>0</v>
      </c>
      <c r="K165" s="8">
        <v>0</v>
      </c>
      <c r="L165" s="5">
        <v>0</v>
      </c>
      <c r="M165" s="5">
        <v>0</v>
      </c>
      <c r="N165" s="9">
        <v>0</v>
      </c>
      <c r="O165" s="8">
        <v>2</v>
      </c>
      <c r="P165" s="5">
        <v>49</v>
      </c>
      <c r="Q165" s="5">
        <v>0</v>
      </c>
      <c r="R165" s="9">
        <v>0</v>
      </c>
      <c r="S165" s="8">
        <v>0</v>
      </c>
      <c r="T165" s="9">
        <v>0</v>
      </c>
    </row>
    <row r="166" spans="1:20" x14ac:dyDescent="0.2">
      <c r="A166" s="5" t="s">
        <v>99</v>
      </c>
      <c r="B166" s="5" t="s">
        <v>75</v>
      </c>
      <c r="C166" s="17" t="s">
        <v>324</v>
      </c>
      <c r="D166" s="7">
        <f t="shared" si="0"/>
        <v>6.8000000000000007</v>
      </c>
      <c r="E166" s="8">
        <v>0</v>
      </c>
      <c r="F166" s="5">
        <v>0</v>
      </c>
      <c r="G166" s="5">
        <v>0</v>
      </c>
      <c r="H166" s="5">
        <v>0</v>
      </c>
      <c r="I166" s="5">
        <v>0</v>
      </c>
      <c r="J166" s="9">
        <v>0</v>
      </c>
      <c r="K166" s="8">
        <v>7</v>
      </c>
      <c r="L166" s="5">
        <v>35</v>
      </c>
      <c r="M166" s="5">
        <v>0</v>
      </c>
      <c r="N166" s="9">
        <v>0</v>
      </c>
      <c r="O166" s="8">
        <v>1</v>
      </c>
      <c r="P166" s="5">
        <v>23</v>
      </c>
      <c r="Q166" s="5">
        <v>0</v>
      </c>
      <c r="R166" s="9">
        <v>0</v>
      </c>
      <c r="S166" s="8">
        <v>0</v>
      </c>
      <c r="T166" s="9">
        <v>0</v>
      </c>
    </row>
    <row r="167" spans="1:20" x14ac:dyDescent="0.2">
      <c r="A167" s="5" t="s">
        <v>300</v>
      </c>
      <c r="B167" s="5" t="s">
        <v>69</v>
      </c>
      <c r="C167" s="17" t="s">
        <v>333</v>
      </c>
      <c r="D167" s="7">
        <f t="shared" si="0"/>
        <v>6.8000000000000007</v>
      </c>
      <c r="E167" s="8">
        <v>0</v>
      </c>
      <c r="F167" s="5">
        <v>0</v>
      </c>
      <c r="G167" s="5">
        <v>0</v>
      </c>
      <c r="H167" s="5">
        <v>0</v>
      </c>
      <c r="I167" s="5">
        <v>0</v>
      </c>
      <c r="J167" s="9">
        <v>0</v>
      </c>
      <c r="K167" s="8">
        <v>0</v>
      </c>
      <c r="L167" s="5">
        <v>0</v>
      </c>
      <c r="M167" s="5">
        <v>0</v>
      </c>
      <c r="N167" s="9">
        <v>0</v>
      </c>
      <c r="O167" s="8">
        <v>4</v>
      </c>
      <c r="P167" s="5">
        <v>48</v>
      </c>
      <c r="Q167" s="5">
        <v>0</v>
      </c>
      <c r="R167" s="9">
        <v>0</v>
      </c>
      <c r="S167" s="8">
        <v>1</v>
      </c>
      <c r="T167" s="9">
        <v>0</v>
      </c>
    </row>
    <row r="168" spans="1:20" x14ac:dyDescent="0.2">
      <c r="A168" s="5" t="s">
        <v>289</v>
      </c>
      <c r="B168" s="5" t="s">
        <v>69</v>
      </c>
      <c r="C168" s="17" t="s">
        <v>335</v>
      </c>
      <c r="D168" s="7">
        <f t="shared" si="0"/>
        <v>6.8000000000000007</v>
      </c>
      <c r="E168" s="8">
        <v>0</v>
      </c>
      <c r="F168" s="5">
        <v>0</v>
      </c>
      <c r="G168" s="5">
        <v>0</v>
      </c>
      <c r="H168" s="5">
        <v>0</v>
      </c>
      <c r="I168" s="5">
        <v>0</v>
      </c>
      <c r="J168" s="9">
        <v>0</v>
      </c>
      <c r="K168" s="8">
        <v>0</v>
      </c>
      <c r="L168" s="5">
        <v>0</v>
      </c>
      <c r="M168" s="5">
        <v>0</v>
      </c>
      <c r="N168" s="9">
        <v>0</v>
      </c>
      <c r="O168" s="8">
        <v>3</v>
      </c>
      <c r="P168" s="5">
        <v>38</v>
      </c>
      <c r="Q168" s="5">
        <v>0</v>
      </c>
      <c r="R168" s="9">
        <v>0</v>
      </c>
      <c r="S168" s="8">
        <v>0</v>
      </c>
      <c r="T168" s="9">
        <v>0</v>
      </c>
    </row>
    <row r="169" spans="1:20" x14ac:dyDescent="0.2">
      <c r="A169" s="5" t="s">
        <v>41</v>
      </c>
      <c r="B169" s="5" t="s">
        <v>17</v>
      </c>
      <c r="C169" s="17" t="s">
        <v>338</v>
      </c>
      <c r="D169" s="7">
        <f t="shared" si="0"/>
        <v>6.7200000000000006</v>
      </c>
      <c r="E169" s="8">
        <v>36</v>
      </c>
      <c r="F169" s="5">
        <v>21</v>
      </c>
      <c r="G169" s="5">
        <v>228</v>
      </c>
      <c r="H169" s="5">
        <v>0</v>
      </c>
      <c r="I169" s="5">
        <v>1</v>
      </c>
      <c r="J169" s="9">
        <v>0</v>
      </c>
      <c r="K169" s="8">
        <v>3</v>
      </c>
      <c r="L169" s="5">
        <v>-4</v>
      </c>
      <c r="M169" s="5">
        <v>0</v>
      </c>
      <c r="N169" s="9">
        <v>0</v>
      </c>
      <c r="O169" s="8">
        <v>0</v>
      </c>
      <c r="P169" s="5">
        <v>0</v>
      </c>
      <c r="Q169" s="5">
        <v>0</v>
      </c>
      <c r="R169" s="9">
        <v>0</v>
      </c>
      <c r="S169" s="8">
        <v>0</v>
      </c>
      <c r="T169" s="9">
        <v>0</v>
      </c>
    </row>
    <row r="170" spans="1:20" x14ac:dyDescent="0.2">
      <c r="A170" s="5" t="s">
        <v>147</v>
      </c>
      <c r="B170" s="5" t="s">
        <v>75</v>
      </c>
      <c r="C170" s="10" t="s">
        <v>325</v>
      </c>
      <c r="D170" s="7">
        <f t="shared" si="0"/>
        <v>6.5</v>
      </c>
      <c r="E170" s="8">
        <v>0</v>
      </c>
      <c r="F170" s="5">
        <v>0</v>
      </c>
      <c r="G170" s="5">
        <v>0</v>
      </c>
      <c r="H170" s="5">
        <v>0</v>
      </c>
      <c r="I170" s="5">
        <v>0</v>
      </c>
      <c r="J170" s="9">
        <v>0</v>
      </c>
      <c r="K170" s="8">
        <v>1</v>
      </c>
      <c r="L170" s="5">
        <v>5</v>
      </c>
      <c r="M170" s="5">
        <v>1</v>
      </c>
      <c r="N170" s="9">
        <v>0</v>
      </c>
      <c r="O170" s="8">
        <v>0</v>
      </c>
      <c r="P170" s="5">
        <v>0</v>
      </c>
      <c r="Q170" s="5">
        <v>0</v>
      </c>
      <c r="R170" s="9">
        <v>0</v>
      </c>
      <c r="S170" s="8">
        <v>0</v>
      </c>
      <c r="T170" s="9">
        <v>0</v>
      </c>
    </row>
    <row r="171" spans="1:20" x14ac:dyDescent="0.2">
      <c r="A171" s="5" t="s">
        <v>303</v>
      </c>
      <c r="B171" s="5" t="s">
        <v>69</v>
      </c>
      <c r="C171" s="17" t="s">
        <v>330</v>
      </c>
      <c r="D171" s="7">
        <f t="shared" si="0"/>
        <v>6.5</v>
      </c>
      <c r="E171" s="8">
        <v>0</v>
      </c>
      <c r="F171" s="5">
        <v>0</v>
      </c>
      <c r="G171" s="5">
        <v>0</v>
      </c>
      <c r="H171" s="5">
        <v>0</v>
      </c>
      <c r="I171" s="5">
        <v>0</v>
      </c>
      <c r="J171" s="9">
        <v>0</v>
      </c>
      <c r="K171" s="8">
        <v>0</v>
      </c>
      <c r="L171" s="5">
        <v>0</v>
      </c>
      <c r="M171" s="5">
        <v>0</v>
      </c>
      <c r="N171" s="9">
        <v>0</v>
      </c>
      <c r="O171" s="8">
        <v>3</v>
      </c>
      <c r="P171" s="5">
        <v>35</v>
      </c>
      <c r="Q171" s="5">
        <v>0</v>
      </c>
      <c r="R171" s="9">
        <v>0</v>
      </c>
      <c r="S171" s="8">
        <v>0</v>
      </c>
      <c r="T171" s="9">
        <v>0</v>
      </c>
    </row>
    <row r="172" spans="1:20" x14ac:dyDescent="0.2">
      <c r="A172" s="5" t="s">
        <v>84</v>
      </c>
      <c r="B172" s="5" t="s">
        <v>75</v>
      </c>
      <c r="C172" s="17" t="s">
        <v>333</v>
      </c>
      <c r="D172" s="7">
        <f t="shared" si="0"/>
        <v>6.4</v>
      </c>
      <c r="E172" s="8">
        <v>0</v>
      </c>
      <c r="F172" s="5">
        <v>0</v>
      </c>
      <c r="G172" s="5">
        <v>0</v>
      </c>
      <c r="H172" s="5">
        <v>0</v>
      </c>
      <c r="I172" s="5">
        <v>0</v>
      </c>
      <c r="J172" s="9">
        <v>0</v>
      </c>
      <c r="K172" s="8">
        <v>10</v>
      </c>
      <c r="L172" s="5">
        <v>64</v>
      </c>
      <c r="M172" s="5">
        <v>0</v>
      </c>
      <c r="N172" s="9">
        <v>0</v>
      </c>
      <c r="O172" s="8">
        <v>0</v>
      </c>
      <c r="P172" s="5">
        <v>0</v>
      </c>
      <c r="Q172" s="5">
        <v>0</v>
      </c>
      <c r="R172" s="9">
        <v>0</v>
      </c>
      <c r="S172" s="8">
        <v>0</v>
      </c>
      <c r="T172" s="9">
        <v>0</v>
      </c>
    </row>
    <row r="173" spans="1:20" x14ac:dyDescent="0.2">
      <c r="A173" s="5" t="s">
        <v>80</v>
      </c>
      <c r="B173" s="5" t="s">
        <v>75</v>
      </c>
      <c r="C173" s="10" t="s">
        <v>335</v>
      </c>
      <c r="D173" s="7">
        <f t="shared" si="0"/>
        <v>6.2</v>
      </c>
      <c r="E173" s="8">
        <v>0</v>
      </c>
      <c r="F173" s="5">
        <v>0</v>
      </c>
      <c r="G173" s="5">
        <v>0</v>
      </c>
      <c r="H173" s="5">
        <v>0</v>
      </c>
      <c r="I173" s="5">
        <v>0</v>
      </c>
      <c r="J173" s="9">
        <v>0</v>
      </c>
      <c r="K173" s="8">
        <v>12</v>
      </c>
      <c r="L173" s="5">
        <v>40</v>
      </c>
      <c r="M173" s="5">
        <v>0</v>
      </c>
      <c r="N173" s="9">
        <v>0</v>
      </c>
      <c r="O173" s="8">
        <v>2</v>
      </c>
      <c r="P173" s="5">
        <v>2</v>
      </c>
      <c r="Q173" s="5">
        <v>0</v>
      </c>
      <c r="R173" s="9">
        <v>0</v>
      </c>
      <c r="S173" s="8">
        <v>0</v>
      </c>
      <c r="T173" s="9">
        <v>0</v>
      </c>
    </row>
    <row r="174" spans="1:20" x14ac:dyDescent="0.2">
      <c r="A174" s="5" t="s">
        <v>82</v>
      </c>
      <c r="B174" s="5" t="s">
        <v>75</v>
      </c>
      <c r="C174" s="17" t="s">
        <v>324</v>
      </c>
      <c r="D174" s="7">
        <f t="shared" si="0"/>
        <v>6.2</v>
      </c>
      <c r="E174" s="8">
        <v>0</v>
      </c>
      <c r="F174" s="5">
        <v>0</v>
      </c>
      <c r="G174" s="5">
        <v>0</v>
      </c>
      <c r="H174" s="5">
        <v>0</v>
      </c>
      <c r="I174" s="5">
        <v>0</v>
      </c>
      <c r="J174" s="9">
        <v>0</v>
      </c>
      <c r="K174" s="8">
        <v>4</v>
      </c>
      <c r="L174" s="5">
        <v>32</v>
      </c>
      <c r="M174" s="5">
        <v>0</v>
      </c>
      <c r="N174" s="9">
        <v>0</v>
      </c>
      <c r="O174" s="8">
        <v>2</v>
      </c>
      <c r="P174" s="5">
        <v>10</v>
      </c>
      <c r="Q174" s="5">
        <v>0</v>
      </c>
      <c r="R174" s="9">
        <v>0</v>
      </c>
      <c r="S174" s="8">
        <v>0</v>
      </c>
      <c r="T174" s="9">
        <v>0</v>
      </c>
    </row>
    <row r="175" spans="1:20" x14ac:dyDescent="0.2">
      <c r="A175" s="5" t="s">
        <v>199</v>
      </c>
      <c r="B175" s="5" t="s">
        <v>162</v>
      </c>
      <c r="C175" s="17" t="s">
        <v>325</v>
      </c>
      <c r="D175" s="7">
        <f t="shared" si="0"/>
        <v>6.2</v>
      </c>
      <c r="E175" s="8">
        <v>0</v>
      </c>
      <c r="F175" s="5">
        <v>0</v>
      </c>
      <c r="G175" s="5">
        <v>0</v>
      </c>
      <c r="H175" s="5">
        <v>0</v>
      </c>
      <c r="I175" s="5">
        <v>0</v>
      </c>
      <c r="J175" s="9">
        <v>0</v>
      </c>
      <c r="K175" s="8">
        <v>1</v>
      </c>
      <c r="L175" s="5">
        <v>13</v>
      </c>
      <c r="M175" s="5">
        <v>0</v>
      </c>
      <c r="N175" s="9">
        <v>0</v>
      </c>
      <c r="O175" s="8">
        <v>3</v>
      </c>
      <c r="P175" s="5">
        <v>19</v>
      </c>
      <c r="Q175" s="5">
        <v>0</v>
      </c>
      <c r="R175" s="9">
        <v>0</v>
      </c>
      <c r="S175" s="8">
        <v>0</v>
      </c>
      <c r="T175" s="9">
        <v>0</v>
      </c>
    </row>
    <row r="176" spans="1:20" x14ac:dyDescent="0.2">
      <c r="A176" s="5" t="s">
        <v>159</v>
      </c>
      <c r="B176" s="5" t="s">
        <v>75</v>
      </c>
      <c r="C176" s="10" t="s">
        <v>332</v>
      </c>
      <c r="D176" s="7">
        <f t="shared" si="0"/>
        <v>6.1999999999999993</v>
      </c>
      <c r="E176" s="8">
        <v>0</v>
      </c>
      <c r="F176" s="5">
        <v>0</v>
      </c>
      <c r="G176" s="5">
        <v>0</v>
      </c>
      <c r="H176" s="5">
        <v>0</v>
      </c>
      <c r="I176" s="5">
        <v>0</v>
      </c>
      <c r="J176" s="9">
        <v>0</v>
      </c>
      <c r="K176" s="8">
        <v>3</v>
      </c>
      <c r="L176" s="5">
        <v>16</v>
      </c>
      <c r="M176" s="5">
        <v>0</v>
      </c>
      <c r="N176" s="9">
        <v>0</v>
      </c>
      <c r="O176" s="8">
        <v>3</v>
      </c>
      <c r="P176" s="5">
        <v>16</v>
      </c>
      <c r="Q176" s="5">
        <v>0</v>
      </c>
      <c r="R176" s="9">
        <v>0</v>
      </c>
      <c r="S176" s="8">
        <v>0</v>
      </c>
      <c r="T176" s="9">
        <v>0</v>
      </c>
    </row>
    <row r="177" spans="1:20" x14ac:dyDescent="0.2">
      <c r="A177" s="5" t="s">
        <v>318</v>
      </c>
      <c r="B177" s="5" t="s">
        <v>69</v>
      </c>
      <c r="C177" s="17" t="s">
        <v>330</v>
      </c>
      <c r="D177" s="7">
        <f t="shared" si="0"/>
        <v>6.1000000000000005</v>
      </c>
      <c r="E177" s="8">
        <v>0</v>
      </c>
      <c r="F177" s="5">
        <v>0</v>
      </c>
      <c r="G177" s="5">
        <v>0</v>
      </c>
      <c r="H177" s="5">
        <v>0</v>
      </c>
      <c r="I177" s="5">
        <v>0</v>
      </c>
      <c r="J177" s="9">
        <v>0</v>
      </c>
      <c r="K177" s="8">
        <v>0</v>
      </c>
      <c r="L177" s="5">
        <v>0</v>
      </c>
      <c r="M177" s="5">
        <v>0</v>
      </c>
      <c r="N177" s="9">
        <v>0</v>
      </c>
      <c r="O177" s="8">
        <v>2</v>
      </c>
      <c r="P177" s="5">
        <v>41</v>
      </c>
      <c r="Q177" s="5">
        <v>0</v>
      </c>
      <c r="R177" s="9">
        <v>0</v>
      </c>
      <c r="S177" s="8">
        <v>0</v>
      </c>
      <c r="T177" s="9">
        <v>0</v>
      </c>
    </row>
    <row r="178" spans="1:20" x14ac:dyDescent="0.2">
      <c r="A178" s="5" t="s">
        <v>356</v>
      </c>
      <c r="B178" s="5" t="s">
        <v>75</v>
      </c>
      <c r="C178" s="17" t="s">
        <v>333</v>
      </c>
      <c r="D178" s="7">
        <f t="shared" si="0"/>
        <v>6.1</v>
      </c>
      <c r="E178" s="8">
        <v>0</v>
      </c>
      <c r="F178" s="5">
        <v>0</v>
      </c>
      <c r="G178" s="5">
        <v>0</v>
      </c>
      <c r="H178" s="5">
        <v>0</v>
      </c>
      <c r="I178" s="5">
        <v>0</v>
      </c>
      <c r="J178" s="9">
        <v>0</v>
      </c>
      <c r="K178" s="8">
        <v>2</v>
      </c>
      <c r="L178" s="5">
        <v>1</v>
      </c>
      <c r="M178" s="5">
        <v>1</v>
      </c>
      <c r="N178" s="9">
        <v>0</v>
      </c>
      <c r="O178" s="8">
        <v>0</v>
      </c>
      <c r="P178" s="5">
        <v>0</v>
      </c>
      <c r="Q178" s="5">
        <v>0</v>
      </c>
      <c r="R178" s="9">
        <v>0</v>
      </c>
      <c r="S178" s="8">
        <v>0</v>
      </c>
      <c r="T178" s="9">
        <v>0</v>
      </c>
    </row>
    <row r="179" spans="1:20" x14ac:dyDescent="0.2">
      <c r="A179" s="5" t="s">
        <v>256</v>
      </c>
      <c r="B179" s="5" t="s">
        <v>162</v>
      </c>
      <c r="C179" s="17" t="s">
        <v>322</v>
      </c>
      <c r="D179" s="7">
        <f t="shared" si="0"/>
        <v>6.1</v>
      </c>
      <c r="E179" s="8">
        <v>0</v>
      </c>
      <c r="F179" s="5">
        <v>0</v>
      </c>
      <c r="G179" s="5">
        <v>0</v>
      </c>
      <c r="H179" s="5">
        <v>0</v>
      </c>
      <c r="I179" s="5">
        <v>0</v>
      </c>
      <c r="J179" s="9">
        <v>0</v>
      </c>
      <c r="K179" s="8">
        <v>0</v>
      </c>
      <c r="L179" s="5">
        <v>0</v>
      </c>
      <c r="M179" s="5">
        <v>0</v>
      </c>
      <c r="N179" s="9">
        <v>0</v>
      </c>
      <c r="O179" s="8">
        <v>4</v>
      </c>
      <c r="P179" s="5">
        <v>21</v>
      </c>
      <c r="Q179" s="5">
        <v>0</v>
      </c>
      <c r="R179" s="9">
        <v>0</v>
      </c>
      <c r="S179" s="8">
        <v>0</v>
      </c>
      <c r="T179" s="9">
        <v>0</v>
      </c>
    </row>
    <row r="180" spans="1:20" x14ac:dyDescent="0.2">
      <c r="A180" s="5" t="s">
        <v>298</v>
      </c>
      <c r="B180" s="5" t="s">
        <v>69</v>
      </c>
      <c r="C180" s="17" t="s">
        <v>323</v>
      </c>
      <c r="D180" s="7">
        <f t="shared" si="0"/>
        <v>6</v>
      </c>
      <c r="E180" s="8">
        <v>0</v>
      </c>
      <c r="F180" s="5">
        <v>0</v>
      </c>
      <c r="G180" s="5">
        <v>0</v>
      </c>
      <c r="H180" s="5">
        <v>0</v>
      </c>
      <c r="I180" s="5">
        <v>0</v>
      </c>
      <c r="J180" s="9">
        <v>0</v>
      </c>
      <c r="K180" s="8">
        <v>0</v>
      </c>
      <c r="L180" s="5">
        <v>0</v>
      </c>
      <c r="M180" s="5">
        <v>0</v>
      </c>
      <c r="N180" s="9">
        <v>0</v>
      </c>
      <c r="O180" s="8">
        <v>3</v>
      </c>
      <c r="P180" s="5">
        <v>30</v>
      </c>
      <c r="Q180" s="5">
        <v>0</v>
      </c>
      <c r="R180" s="9">
        <v>0</v>
      </c>
      <c r="S180" s="8">
        <v>0</v>
      </c>
      <c r="T180" s="9">
        <v>0</v>
      </c>
    </row>
    <row r="181" spans="1:20" x14ac:dyDescent="0.2">
      <c r="A181" s="5" t="s">
        <v>228</v>
      </c>
      <c r="B181" s="5" t="s">
        <v>162</v>
      </c>
      <c r="C181" s="17" t="s">
        <v>327</v>
      </c>
      <c r="D181" s="7">
        <f t="shared" si="0"/>
        <v>5.9</v>
      </c>
      <c r="E181" s="8">
        <v>0</v>
      </c>
      <c r="F181" s="5">
        <v>0</v>
      </c>
      <c r="G181" s="5">
        <v>0</v>
      </c>
      <c r="H181" s="5">
        <v>0</v>
      </c>
      <c r="I181" s="5">
        <v>0</v>
      </c>
      <c r="J181" s="9">
        <v>0</v>
      </c>
      <c r="K181" s="8">
        <v>0</v>
      </c>
      <c r="L181" s="5">
        <v>0</v>
      </c>
      <c r="M181" s="5">
        <v>0</v>
      </c>
      <c r="N181" s="9">
        <v>0</v>
      </c>
      <c r="O181" s="8">
        <v>3</v>
      </c>
      <c r="P181" s="5">
        <v>29</v>
      </c>
      <c r="Q181" s="5">
        <v>0</v>
      </c>
      <c r="R181" s="9">
        <v>0</v>
      </c>
      <c r="S181" s="8">
        <v>0</v>
      </c>
      <c r="T181" s="9">
        <v>0</v>
      </c>
    </row>
    <row r="182" spans="1:20" x14ac:dyDescent="0.2">
      <c r="A182" s="5" t="s">
        <v>357</v>
      </c>
      <c r="B182" s="5" t="s">
        <v>162</v>
      </c>
      <c r="C182" s="10" t="s">
        <v>321</v>
      </c>
      <c r="D182" s="7">
        <f t="shared" si="0"/>
        <v>5.9</v>
      </c>
      <c r="E182" s="8">
        <v>0</v>
      </c>
      <c r="F182" s="5">
        <v>0</v>
      </c>
      <c r="G182" s="5">
        <v>0</v>
      </c>
      <c r="H182" s="5">
        <v>0</v>
      </c>
      <c r="I182" s="5">
        <v>0</v>
      </c>
      <c r="J182" s="9">
        <v>0</v>
      </c>
      <c r="K182" s="8">
        <v>0</v>
      </c>
      <c r="L182" s="5">
        <v>0</v>
      </c>
      <c r="M182" s="5">
        <v>0</v>
      </c>
      <c r="N182" s="9">
        <v>0</v>
      </c>
      <c r="O182" s="8">
        <v>1</v>
      </c>
      <c r="P182" s="5">
        <v>49</v>
      </c>
      <c r="Q182" s="5">
        <v>0</v>
      </c>
      <c r="R182" s="9">
        <v>0</v>
      </c>
      <c r="S182" s="8">
        <v>0</v>
      </c>
      <c r="T182" s="9">
        <v>0</v>
      </c>
    </row>
    <row r="183" spans="1:20" x14ac:dyDescent="0.2">
      <c r="A183" s="5" t="s">
        <v>358</v>
      </c>
      <c r="B183" s="5" t="s">
        <v>162</v>
      </c>
      <c r="C183" s="17" t="s">
        <v>333</v>
      </c>
      <c r="D183" s="7">
        <f t="shared" si="0"/>
        <v>5.7</v>
      </c>
      <c r="E183" s="8">
        <v>0</v>
      </c>
      <c r="F183" s="5">
        <v>0</v>
      </c>
      <c r="G183" s="5">
        <v>0</v>
      </c>
      <c r="H183" s="5">
        <v>0</v>
      </c>
      <c r="I183" s="5">
        <v>0</v>
      </c>
      <c r="J183" s="9">
        <v>0</v>
      </c>
      <c r="K183" s="8">
        <v>0</v>
      </c>
      <c r="L183" s="5">
        <v>0</v>
      </c>
      <c r="M183" s="5">
        <v>0</v>
      </c>
      <c r="N183" s="9">
        <v>0</v>
      </c>
      <c r="O183" s="8">
        <v>3</v>
      </c>
      <c r="P183" s="5">
        <v>27</v>
      </c>
      <c r="Q183" s="5">
        <v>0</v>
      </c>
      <c r="R183" s="9">
        <v>0</v>
      </c>
      <c r="S183" s="8">
        <v>0</v>
      </c>
      <c r="T183" s="9">
        <v>0</v>
      </c>
    </row>
    <row r="184" spans="1:20" x14ac:dyDescent="0.2">
      <c r="A184" s="5" t="s">
        <v>242</v>
      </c>
      <c r="B184" s="5" t="s">
        <v>162</v>
      </c>
      <c r="C184" s="10" t="s">
        <v>338</v>
      </c>
      <c r="D184" s="7">
        <f t="shared" si="0"/>
        <v>5.6</v>
      </c>
      <c r="E184" s="8">
        <v>0</v>
      </c>
      <c r="F184" s="5">
        <v>0</v>
      </c>
      <c r="G184" s="5">
        <v>0</v>
      </c>
      <c r="H184" s="5">
        <v>0</v>
      </c>
      <c r="I184" s="5">
        <v>0</v>
      </c>
      <c r="J184" s="9">
        <v>0</v>
      </c>
      <c r="K184" s="8">
        <v>0</v>
      </c>
      <c r="L184" s="5">
        <v>0</v>
      </c>
      <c r="M184" s="5">
        <v>0</v>
      </c>
      <c r="N184" s="9">
        <v>0</v>
      </c>
      <c r="O184" s="8">
        <v>3</v>
      </c>
      <c r="P184" s="5">
        <v>26</v>
      </c>
      <c r="Q184" s="5">
        <v>0</v>
      </c>
      <c r="R184" s="9">
        <v>0</v>
      </c>
      <c r="S184" s="8">
        <v>0</v>
      </c>
      <c r="T184" s="9">
        <v>0</v>
      </c>
    </row>
    <row r="185" spans="1:20" x14ac:dyDescent="0.2">
      <c r="A185" s="5" t="s">
        <v>120</v>
      </c>
      <c r="B185" s="5" t="s">
        <v>75</v>
      </c>
      <c r="C185" s="10" t="s">
        <v>329</v>
      </c>
      <c r="D185" s="7">
        <f t="shared" si="0"/>
        <v>5.5</v>
      </c>
      <c r="E185" s="8">
        <v>0</v>
      </c>
      <c r="F185" s="5">
        <v>0</v>
      </c>
      <c r="G185" s="5">
        <v>0</v>
      </c>
      <c r="H185" s="5">
        <v>0</v>
      </c>
      <c r="I185" s="5">
        <v>0</v>
      </c>
      <c r="J185" s="9">
        <v>0</v>
      </c>
      <c r="K185" s="8">
        <v>15</v>
      </c>
      <c r="L185" s="5">
        <v>31</v>
      </c>
      <c r="M185" s="5">
        <v>0</v>
      </c>
      <c r="N185" s="9">
        <v>0</v>
      </c>
      <c r="O185" s="8">
        <v>2</v>
      </c>
      <c r="P185" s="5">
        <v>4</v>
      </c>
      <c r="Q185" s="5">
        <v>0</v>
      </c>
      <c r="R185" s="9">
        <v>0</v>
      </c>
      <c r="S185" s="8">
        <v>0</v>
      </c>
      <c r="T185" s="9">
        <v>0</v>
      </c>
    </row>
    <row r="186" spans="1:20" x14ac:dyDescent="0.2">
      <c r="A186" s="5" t="s">
        <v>359</v>
      </c>
      <c r="B186" s="5" t="s">
        <v>162</v>
      </c>
      <c r="C186" s="17" t="s">
        <v>325</v>
      </c>
      <c r="D186" s="7">
        <f t="shared" si="0"/>
        <v>5.5</v>
      </c>
      <c r="E186" s="8">
        <v>0</v>
      </c>
      <c r="F186" s="5">
        <v>0</v>
      </c>
      <c r="G186" s="5">
        <v>0</v>
      </c>
      <c r="H186" s="5">
        <v>0</v>
      </c>
      <c r="I186" s="5">
        <v>0</v>
      </c>
      <c r="J186" s="9">
        <v>0</v>
      </c>
      <c r="K186" s="8">
        <v>0</v>
      </c>
      <c r="L186" s="5">
        <v>0</v>
      </c>
      <c r="M186" s="5">
        <v>0</v>
      </c>
      <c r="N186" s="9">
        <v>0</v>
      </c>
      <c r="O186" s="8">
        <v>3</v>
      </c>
      <c r="P186" s="5">
        <v>25</v>
      </c>
      <c r="Q186" s="5">
        <v>0</v>
      </c>
      <c r="R186" s="9">
        <v>0</v>
      </c>
      <c r="S186" s="8">
        <v>0</v>
      </c>
      <c r="T186" s="9">
        <v>0</v>
      </c>
    </row>
    <row r="187" spans="1:20" x14ac:dyDescent="0.2">
      <c r="A187" s="5" t="s">
        <v>360</v>
      </c>
      <c r="B187" s="5" t="s">
        <v>162</v>
      </c>
      <c r="C187" s="10" t="s">
        <v>325</v>
      </c>
      <c r="D187" s="7">
        <f t="shared" si="0"/>
        <v>5.5</v>
      </c>
      <c r="E187" s="8">
        <v>0</v>
      </c>
      <c r="F187" s="5">
        <v>0</v>
      </c>
      <c r="G187" s="5">
        <v>0</v>
      </c>
      <c r="H187" s="5">
        <v>0</v>
      </c>
      <c r="I187" s="5">
        <v>0</v>
      </c>
      <c r="J187" s="9">
        <v>0</v>
      </c>
      <c r="K187" s="8">
        <v>0</v>
      </c>
      <c r="L187" s="5">
        <v>0</v>
      </c>
      <c r="M187" s="5">
        <v>0</v>
      </c>
      <c r="N187" s="9">
        <v>0</v>
      </c>
      <c r="O187" s="8">
        <v>3</v>
      </c>
      <c r="P187" s="5">
        <v>25</v>
      </c>
      <c r="Q187" s="5">
        <v>0</v>
      </c>
      <c r="R187" s="9">
        <v>0</v>
      </c>
      <c r="S187" s="8">
        <v>0</v>
      </c>
      <c r="T187" s="9">
        <v>0</v>
      </c>
    </row>
    <row r="188" spans="1:20" x14ac:dyDescent="0.2">
      <c r="A188" s="5" t="s">
        <v>98</v>
      </c>
      <c r="B188" s="5" t="s">
        <v>75</v>
      </c>
      <c r="C188" s="10" t="s">
        <v>325</v>
      </c>
      <c r="D188" s="7">
        <f t="shared" si="0"/>
        <v>5.4</v>
      </c>
      <c r="E188" s="8">
        <v>0</v>
      </c>
      <c r="F188" s="5">
        <v>0</v>
      </c>
      <c r="G188" s="5">
        <v>0</v>
      </c>
      <c r="H188" s="5">
        <v>0</v>
      </c>
      <c r="I188" s="5">
        <v>0</v>
      </c>
      <c r="J188" s="9">
        <v>0</v>
      </c>
      <c r="K188" s="8">
        <v>1</v>
      </c>
      <c r="L188" s="5">
        <v>4</v>
      </c>
      <c r="M188" s="5">
        <v>0</v>
      </c>
      <c r="N188" s="9">
        <v>0</v>
      </c>
      <c r="O188" s="8">
        <v>3</v>
      </c>
      <c r="P188" s="5">
        <v>20</v>
      </c>
      <c r="Q188" s="5">
        <v>0</v>
      </c>
      <c r="R188" s="9">
        <v>0</v>
      </c>
      <c r="S188" s="8">
        <v>0</v>
      </c>
      <c r="T188" s="9">
        <v>0</v>
      </c>
    </row>
    <row r="189" spans="1:20" x14ac:dyDescent="0.2">
      <c r="A189" s="5" t="s">
        <v>186</v>
      </c>
      <c r="B189" s="5" t="s">
        <v>162</v>
      </c>
      <c r="C189" s="17" t="s">
        <v>331</v>
      </c>
      <c r="D189" s="7">
        <f t="shared" si="0"/>
        <v>5.4</v>
      </c>
      <c r="E189" s="8">
        <v>0</v>
      </c>
      <c r="F189" s="5">
        <v>0</v>
      </c>
      <c r="G189" s="5">
        <v>0</v>
      </c>
      <c r="H189" s="5">
        <v>0</v>
      </c>
      <c r="I189" s="5">
        <v>0</v>
      </c>
      <c r="J189" s="9">
        <v>0</v>
      </c>
      <c r="K189" s="8">
        <v>0</v>
      </c>
      <c r="L189" s="5">
        <v>0</v>
      </c>
      <c r="M189" s="5">
        <v>0</v>
      </c>
      <c r="N189" s="9">
        <v>0</v>
      </c>
      <c r="O189" s="8">
        <v>2</v>
      </c>
      <c r="P189" s="5">
        <v>34</v>
      </c>
      <c r="Q189" s="5">
        <v>0</v>
      </c>
      <c r="R189" s="9">
        <v>0</v>
      </c>
      <c r="S189" s="8">
        <v>0</v>
      </c>
      <c r="T189" s="9">
        <v>0</v>
      </c>
    </row>
    <row r="190" spans="1:20" x14ac:dyDescent="0.2">
      <c r="A190" s="5" t="s">
        <v>134</v>
      </c>
      <c r="B190" s="5" t="s">
        <v>75</v>
      </c>
      <c r="C190" s="10" t="s">
        <v>332</v>
      </c>
      <c r="D190" s="7">
        <f t="shared" si="0"/>
        <v>5.3000000000000007</v>
      </c>
      <c r="E190" s="8">
        <v>0</v>
      </c>
      <c r="F190" s="5">
        <v>0</v>
      </c>
      <c r="G190" s="5">
        <v>0</v>
      </c>
      <c r="H190" s="5">
        <v>0</v>
      </c>
      <c r="I190" s="5">
        <v>0</v>
      </c>
      <c r="J190" s="9">
        <v>0</v>
      </c>
      <c r="K190" s="8">
        <v>7</v>
      </c>
      <c r="L190" s="5">
        <v>26</v>
      </c>
      <c r="M190" s="5">
        <v>0</v>
      </c>
      <c r="N190" s="9">
        <v>0</v>
      </c>
      <c r="O190" s="8">
        <v>1</v>
      </c>
      <c r="P190" s="5">
        <v>17</v>
      </c>
      <c r="Q190" s="5">
        <v>0</v>
      </c>
      <c r="R190" s="9">
        <v>0</v>
      </c>
      <c r="S190" s="8">
        <v>0</v>
      </c>
      <c r="T190" s="9">
        <v>0</v>
      </c>
    </row>
    <row r="191" spans="1:20" x14ac:dyDescent="0.2">
      <c r="A191" s="5" t="s">
        <v>287</v>
      </c>
      <c r="B191" s="5" t="s">
        <v>69</v>
      </c>
      <c r="C191" s="17" t="s">
        <v>331</v>
      </c>
      <c r="D191" s="7">
        <f t="shared" si="0"/>
        <v>5.3000000000000007</v>
      </c>
      <c r="E191" s="8">
        <v>0</v>
      </c>
      <c r="F191" s="5">
        <v>0</v>
      </c>
      <c r="G191" s="5">
        <v>0</v>
      </c>
      <c r="H191" s="5">
        <v>0</v>
      </c>
      <c r="I191" s="5">
        <v>0</v>
      </c>
      <c r="J191" s="9">
        <v>0</v>
      </c>
      <c r="K191" s="8">
        <v>0</v>
      </c>
      <c r="L191" s="5">
        <v>0</v>
      </c>
      <c r="M191" s="5">
        <v>0</v>
      </c>
      <c r="N191" s="9">
        <v>0</v>
      </c>
      <c r="O191" s="8">
        <v>3</v>
      </c>
      <c r="P191" s="5">
        <v>23</v>
      </c>
      <c r="Q191" s="5">
        <v>0</v>
      </c>
      <c r="R191" s="9">
        <v>0</v>
      </c>
      <c r="S191" s="8">
        <v>0</v>
      </c>
      <c r="T191" s="9">
        <v>0</v>
      </c>
    </row>
    <row r="192" spans="1:20" x14ac:dyDescent="0.2">
      <c r="A192" s="5" t="s">
        <v>117</v>
      </c>
      <c r="B192" s="5" t="s">
        <v>75</v>
      </c>
      <c r="C192" s="10" t="s">
        <v>333</v>
      </c>
      <c r="D192" s="7">
        <f t="shared" si="0"/>
        <v>5.3</v>
      </c>
      <c r="E192" s="8">
        <v>0</v>
      </c>
      <c r="F192" s="5">
        <v>0</v>
      </c>
      <c r="G192" s="5">
        <v>0</v>
      </c>
      <c r="H192" s="5">
        <v>0</v>
      </c>
      <c r="I192" s="5">
        <v>0</v>
      </c>
      <c r="J192" s="9">
        <v>0</v>
      </c>
      <c r="K192" s="8">
        <v>10</v>
      </c>
      <c r="L192" s="5">
        <v>43</v>
      </c>
      <c r="M192" s="5">
        <v>0</v>
      </c>
      <c r="N192" s="9">
        <v>0</v>
      </c>
      <c r="O192" s="8">
        <v>1</v>
      </c>
      <c r="P192" s="5">
        <v>0</v>
      </c>
      <c r="Q192" s="5">
        <v>0</v>
      </c>
      <c r="R192" s="9">
        <v>0</v>
      </c>
      <c r="S192" s="8">
        <v>0</v>
      </c>
      <c r="T192" s="9">
        <v>0</v>
      </c>
    </row>
    <row r="193" spans="1:20" x14ac:dyDescent="0.2">
      <c r="A193" s="5" t="s">
        <v>138</v>
      </c>
      <c r="B193" s="5" t="s">
        <v>75</v>
      </c>
      <c r="C193" s="17" t="s">
        <v>335</v>
      </c>
      <c r="D193" s="7">
        <f t="shared" si="0"/>
        <v>5.2</v>
      </c>
      <c r="E193" s="8">
        <v>0</v>
      </c>
      <c r="F193" s="5">
        <v>0</v>
      </c>
      <c r="G193" s="5">
        <v>0</v>
      </c>
      <c r="H193" s="5">
        <v>0</v>
      </c>
      <c r="I193" s="5">
        <v>0</v>
      </c>
      <c r="J193" s="9">
        <v>0</v>
      </c>
      <c r="K193" s="8">
        <v>1</v>
      </c>
      <c r="L193" s="5">
        <v>-2</v>
      </c>
      <c r="M193" s="5">
        <v>0</v>
      </c>
      <c r="N193" s="9">
        <v>0</v>
      </c>
      <c r="O193" s="8">
        <v>3</v>
      </c>
      <c r="P193" s="5">
        <v>24</v>
      </c>
      <c r="Q193" s="5">
        <v>0</v>
      </c>
      <c r="R193" s="9">
        <v>0</v>
      </c>
      <c r="S193" s="8">
        <v>0</v>
      </c>
      <c r="T193" s="9">
        <v>0</v>
      </c>
    </row>
    <row r="194" spans="1:20" x14ac:dyDescent="0.2">
      <c r="A194" s="5" t="s">
        <v>203</v>
      </c>
      <c r="B194" s="5" t="s">
        <v>162</v>
      </c>
      <c r="C194" s="17" t="s">
        <v>325</v>
      </c>
      <c r="D194" s="7">
        <f t="shared" si="0"/>
        <v>5.2</v>
      </c>
      <c r="E194" s="8">
        <v>0</v>
      </c>
      <c r="F194" s="5">
        <v>0</v>
      </c>
      <c r="G194" s="5">
        <v>0</v>
      </c>
      <c r="H194" s="5">
        <v>0</v>
      </c>
      <c r="I194" s="5">
        <v>0</v>
      </c>
      <c r="J194" s="9">
        <v>0</v>
      </c>
      <c r="K194" s="8">
        <v>0</v>
      </c>
      <c r="L194" s="5">
        <v>0</v>
      </c>
      <c r="M194" s="5">
        <v>0</v>
      </c>
      <c r="N194" s="9">
        <v>0</v>
      </c>
      <c r="O194" s="8">
        <v>3</v>
      </c>
      <c r="P194" s="5">
        <v>22</v>
      </c>
      <c r="Q194" s="5">
        <v>0</v>
      </c>
      <c r="R194" s="9">
        <v>0</v>
      </c>
      <c r="S194" s="8">
        <v>0</v>
      </c>
      <c r="T194" s="9">
        <v>0</v>
      </c>
    </row>
    <row r="195" spans="1:20" x14ac:dyDescent="0.2">
      <c r="A195" s="5" t="s">
        <v>168</v>
      </c>
      <c r="B195" s="5" t="s">
        <v>162</v>
      </c>
      <c r="C195" s="10" t="s">
        <v>335</v>
      </c>
      <c r="D195" s="7">
        <f t="shared" si="0"/>
        <v>5.2</v>
      </c>
      <c r="E195" s="8">
        <v>0</v>
      </c>
      <c r="F195" s="5">
        <v>0</v>
      </c>
      <c r="G195" s="5">
        <v>0</v>
      </c>
      <c r="H195" s="5">
        <v>0</v>
      </c>
      <c r="I195" s="5">
        <v>0</v>
      </c>
      <c r="J195" s="9">
        <v>0</v>
      </c>
      <c r="K195" s="8">
        <v>0</v>
      </c>
      <c r="L195" s="5">
        <v>0</v>
      </c>
      <c r="M195" s="5">
        <v>0</v>
      </c>
      <c r="N195" s="9">
        <v>0</v>
      </c>
      <c r="O195" s="8">
        <v>2</v>
      </c>
      <c r="P195" s="5">
        <v>32</v>
      </c>
      <c r="Q195" s="5">
        <v>0</v>
      </c>
      <c r="R195" s="9">
        <v>0</v>
      </c>
      <c r="S195" s="8">
        <v>0</v>
      </c>
      <c r="T195" s="9">
        <v>0</v>
      </c>
    </row>
    <row r="196" spans="1:20" x14ac:dyDescent="0.2">
      <c r="A196" s="5" t="s">
        <v>299</v>
      </c>
      <c r="B196" s="5" t="s">
        <v>69</v>
      </c>
      <c r="C196" s="10" t="s">
        <v>322</v>
      </c>
      <c r="D196" s="7">
        <f t="shared" si="0"/>
        <v>5.2</v>
      </c>
      <c r="E196" s="8">
        <v>0</v>
      </c>
      <c r="F196" s="5">
        <v>0</v>
      </c>
      <c r="G196" s="5">
        <v>0</v>
      </c>
      <c r="H196" s="5">
        <v>0</v>
      </c>
      <c r="I196" s="5">
        <v>0</v>
      </c>
      <c r="J196" s="9">
        <v>0</v>
      </c>
      <c r="K196" s="8">
        <v>0</v>
      </c>
      <c r="L196" s="5">
        <v>0</v>
      </c>
      <c r="M196" s="5">
        <v>0</v>
      </c>
      <c r="N196" s="9">
        <v>0</v>
      </c>
      <c r="O196" s="8">
        <v>2</v>
      </c>
      <c r="P196" s="5">
        <v>32</v>
      </c>
      <c r="Q196" s="5">
        <v>0</v>
      </c>
      <c r="R196" s="9">
        <v>0</v>
      </c>
      <c r="S196" s="8">
        <v>0</v>
      </c>
      <c r="T196" s="9">
        <v>0</v>
      </c>
    </row>
    <row r="197" spans="1:20" x14ac:dyDescent="0.2">
      <c r="A197" s="5" t="s">
        <v>144</v>
      </c>
      <c r="B197" s="5" t="s">
        <v>75</v>
      </c>
      <c r="C197" s="17" t="s">
        <v>330</v>
      </c>
      <c r="D197" s="7">
        <f t="shared" si="0"/>
        <v>5</v>
      </c>
      <c r="E197" s="8">
        <v>0</v>
      </c>
      <c r="F197" s="5">
        <v>0</v>
      </c>
      <c r="G197" s="5">
        <v>0</v>
      </c>
      <c r="H197" s="5">
        <v>0</v>
      </c>
      <c r="I197" s="5">
        <v>0</v>
      </c>
      <c r="J197" s="9">
        <v>0</v>
      </c>
      <c r="K197" s="8">
        <v>4</v>
      </c>
      <c r="L197" s="5">
        <v>16</v>
      </c>
      <c r="M197" s="5">
        <v>0</v>
      </c>
      <c r="N197" s="9">
        <v>0</v>
      </c>
      <c r="O197" s="8">
        <v>2</v>
      </c>
      <c r="P197" s="5">
        <v>14</v>
      </c>
      <c r="Q197" s="5">
        <v>0</v>
      </c>
      <c r="R197" s="9">
        <v>0</v>
      </c>
      <c r="S197" s="8">
        <v>0</v>
      </c>
      <c r="T197" s="9">
        <v>0</v>
      </c>
    </row>
    <row r="198" spans="1:20" x14ac:dyDescent="0.2">
      <c r="A198" s="5" t="s">
        <v>174</v>
      </c>
      <c r="B198" s="5" t="s">
        <v>162</v>
      </c>
      <c r="C198" s="17" t="s">
        <v>336</v>
      </c>
      <c r="D198" s="7">
        <f t="shared" si="0"/>
        <v>5</v>
      </c>
      <c r="E198" s="8">
        <v>0</v>
      </c>
      <c r="F198" s="5">
        <v>0</v>
      </c>
      <c r="G198" s="5">
        <v>0</v>
      </c>
      <c r="H198" s="5">
        <v>0</v>
      </c>
      <c r="I198" s="5">
        <v>0</v>
      </c>
      <c r="J198" s="9">
        <v>0</v>
      </c>
      <c r="K198" s="8">
        <v>0</v>
      </c>
      <c r="L198" s="5">
        <v>0</v>
      </c>
      <c r="M198" s="5">
        <v>0</v>
      </c>
      <c r="N198" s="9">
        <v>0</v>
      </c>
      <c r="O198" s="8">
        <v>2</v>
      </c>
      <c r="P198" s="5">
        <v>30</v>
      </c>
      <c r="Q198" s="5">
        <v>0</v>
      </c>
      <c r="R198" s="9">
        <v>0</v>
      </c>
      <c r="S198" s="8">
        <v>0</v>
      </c>
      <c r="T198" s="9">
        <v>0</v>
      </c>
    </row>
    <row r="199" spans="1:20" x14ac:dyDescent="0.2">
      <c r="A199" s="5" t="s">
        <v>272</v>
      </c>
      <c r="B199" s="5" t="s">
        <v>69</v>
      </c>
      <c r="C199" s="10" t="s">
        <v>338</v>
      </c>
      <c r="D199" s="7">
        <f t="shared" si="0"/>
        <v>5</v>
      </c>
      <c r="E199" s="8">
        <v>0</v>
      </c>
      <c r="F199" s="5">
        <v>0</v>
      </c>
      <c r="G199" s="5">
        <v>0</v>
      </c>
      <c r="H199" s="5">
        <v>0</v>
      </c>
      <c r="I199" s="5">
        <v>0</v>
      </c>
      <c r="J199" s="9">
        <v>0</v>
      </c>
      <c r="K199" s="8">
        <v>0</v>
      </c>
      <c r="L199" s="5">
        <v>0</v>
      </c>
      <c r="M199" s="5">
        <v>0</v>
      </c>
      <c r="N199" s="9">
        <v>0</v>
      </c>
      <c r="O199" s="8">
        <v>3</v>
      </c>
      <c r="P199" s="5">
        <v>20</v>
      </c>
      <c r="Q199" s="5">
        <v>0</v>
      </c>
      <c r="R199" s="9">
        <v>0</v>
      </c>
      <c r="S199" s="8">
        <v>0</v>
      </c>
      <c r="T199" s="9">
        <v>0</v>
      </c>
    </row>
    <row r="200" spans="1:20" x14ac:dyDescent="0.2">
      <c r="A200" s="5" t="s">
        <v>89</v>
      </c>
      <c r="B200" s="5" t="s">
        <v>75</v>
      </c>
      <c r="C200" s="17" t="s">
        <v>328</v>
      </c>
      <c r="D200" s="7">
        <f t="shared" si="0"/>
        <v>4.9000000000000004</v>
      </c>
      <c r="E200" s="8">
        <v>0</v>
      </c>
      <c r="F200" s="5">
        <v>0</v>
      </c>
      <c r="G200" s="5">
        <v>0</v>
      </c>
      <c r="H200" s="5">
        <v>0</v>
      </c>
      <c r="I200" s="5">
        <v>0</v>
      </c>
      <c r="J200" s="9">
        <v>0</v>
      </c>
      <c r="K200" s="8">
        <v>8</v>
      </c>
      <c r="L200" s="5">
        <v>28</v>
      </c>
      <c r="M200" s="5">
        <v>0</v>
      </c>
      <c r="N200" s="9">
        <v>0</v>
      </c>
      <c r="O200" s="8">
        <v>3</v>
      </c>
      <c r="P200" s="5">
        <v>11</v>
      </c>
      <c r="Q200" s="5">
        <v>0</v>
      </c>
      <c r="R200" s="9">
        <v>0</v>
      </c>
      <c r="S200" s="8">
        <v>1</v>
      </c>
      <c r="T200" s="9">
        <v>0</v>
      </c>
    </row>
    <row r="201" spans="1:20" x14ac:dyDescent="0.2">
      <c r="A201" s="5" t="s">
        <v>78</v>
      </c>
      <c r="B201" s="5" t="s">
        <v>75</v>
      </c>
      <c r="C201" s="10" t="s">
        <v>336</v>
      </c>
      <c r="D201" s="7">
        <f t="shared" si="0"/>
        <v>4.8000000000000007</v>
      </c>
      <c r="E201" s="8">
        <v>0</v>
      </c>
      <c r="F201" s="5">
        <v>0</v>
      </c>
      <c r="G201" s="5">
        <v>0</v>
      </c>
      <c r="H201" s="5">
        <v>0</v>
      </c>
      <c r="I201" s="5">
        <v>0</v>
      </c>
      <c r="J201" s="9">
        <v>0</v>
      </c>
      <c r="K201" s="8">
        <v>16</v>
      </c>
      <c r="L201" s="5">
        <v>48</v>
      </c>
      <c r="M201" s="5">
        <v>0</v>
      </c>
      <c r="N201" s="9">
        <v>0</v>
      </c>
      <c r="O201" s="8">
        <v>0</v>
      </c>
      <c r="P201" s="5">
        <v>0</v>
      </c>
      <c r="Q201" s="5">
        <v>0</v>
      </c>
      <c r="R201" s="9">
        <v>0</v>
      </c>
      <c r="S201" s="8">
        <v>0</v>
      </c>
      <c r="T201" s="9">
        <v>0</v>
      </c>
    </row>
    <row r="202" spans="1:20" x14ac:dyDescent="0.2">
      <c r="A202" s="5" t="s">
        <v>212</v>
      </c>
      <c r="B202" s="5" t="s">
        <v>162</v>
      </c>
      <c r="C202" s="17" t="s">
        <v>331</v>
      </c>
      <c r="D202" s="7">
        <f t="shared" si="0"/>
        <v>4.8000000000000007</v>
      </c>
      <c r="E202" s="8">
        <v>0</v>
      </c>
      <c r="F202" s="5">
        <v>0</v>
      </c>
      <c r="G202" s="5">
        <v>0</v>
      </c>
      <c r="H202" s="5">
        <v>0</v>
      </c>
      <c r="I202" s="5">
        <v>0</v>
      </c>
      <c r="J202" s="9">
        <v>0</v>
      </c>
      <c r="K202" s="8">
        <v>0</v>
      </c>
      <c r="L202" s="5">
        <v>0</v>
      </c>
      <c r="M202" s="5">
        <v>0</v>
      </c>
      <c r="N202" s="9">
        <v>0</v>
      </c>
      <c r="O202" s="8">
        <v>2</v>
      </c>
      <c r="P202" s="5">
        <v>28</v>
      </c>
      <c r="Q202" s="5">
        <v>0</v>
      </c>
      <c r="R202" s="9">
        <v>0</v>
      </c>
      <c r="S202" s="8">
        <v>0</v>
      </c>
      <c r="T202" s="9">
        <v>0</v>
      </c>
    </row>
    <row r="203" spans="1:20" x14ac:dyDescent="0.2">
      <c r="A203" s="5" t="s">
        <v>265</v>
      </c>
      <c r="B203" s="5" t="s">
        <v>162</v>
      </c>
      <c r="C203" s="17" t="s">
        <v>329</v>
      </c>
      <c r="D203" s="7">
        <f t="shared" si="0"/>
        <v>4.8000000000000007</v>
      </c>
      <c r="E203" s="8">
        <v>0</v>
      </c>
      <c r="F203" s="5">
        <v>0</v>
      </c>
      <c r="G203" s="5">
        <v>0</v>
      </c>
      <c r="H203" s="5">
        <v>0</v>
      </c>
      <c r="I203" s="5">
        <v>0</v>
      </c>
      <c r="J203" s="9">
        <v>0</v>
      </c>
      <c r="K203" s="8">
        <v>0</v>
      </c>
      <c r="L203" s="5">
        <v>0</v>
      </c>
      <c r="M203" s="5">
        <v>0</v>
      </c>
      <c r="N203" s="9">
        <v>0</v>
      </c>
      <c r="O203" s="8">
        <v>2</v>
      </c>
      <c r="P203" s="5">
        <v>28</v>
      </c>
      <c r="Q203" s="5">
        <v>0</v>
      </c>
      <c r="R203" s="9">
        <v>0</v>
      </c>
      <c r="S203" s="8">
        <v>0</v>
      </c>
      <c r="T203" s="9">
        <v>0</v>
      </c>
    </row>
    <row r="204" spans="1:20" x14ac:dyDescent="0.2">
      <c r="A204" s="5" t="s">
        <v>217</v>
      </c>
      <c r="B204" s="5" t="s">
        <v>162</v>
      </c>
      <c r="C204" s="17" t="s">
        <v>327</v>
      </c>
      <c r="D204" s="7">
        <f t="shared" si="0"/>
        <v>4.8</v>
      </c>
      <c r="E204" s="8">
        <v>0</v>
      </c>
      <c r="F204" s="5">
        <v>0</v>
      </c>
      <c r="G204" s="5">
        <v>0</v>
      </c>
      <c r="H204" s="5">
        <v>0</v>
      </c>
      <c r="I204" s="5">
        <v>0</v>
      </c>
      <c r="J204" s="9">
        <v>0</v>
      </c>
      <c r="K204" s="8">
        <v>0</v>
      </c>
      <c r="L204" s="5">
        <v>0</v>
      </c>
      <c r="M204" s="5">
        <v>0</v>
      </c>
      <c r="N204" s="9">
        <v>0</v>
      </c>
      <c r="O204" s="8">
        <v>3</v>
      </c>
      <c r="P204" s="5">
        <v>18</v>
      </c>
      <c r="Q204" s="5">
        <v>0</v>
      </c>
      <c r="R204" s="9">
        <v>0</v>
      </c>
      <c r="S204" s="8">
        <v>0</v>
      </c>
      <c r="T204" s="9">
        <v>0</v>
      </c>
    </row>
    <row r="205" spans="1:20" x14ac:dyDescent="0.2">
      <c r="A205" s="5" t="s">
        <v>361</v>
      </c>
      <c r="B205" s="5" t="s">
        <v>162</v>
      </c>
      <c r="C205" s="10" t="s">
        <v>332</v>
      </c>
      <c r="D205" s="7">
        <f t="shared" si="0"/>
        <v>4.8</v>
      </c>
      <c r="E205" s="8">
        <v>0</v>
      </c>
      <c r="F205" s="5">
        <v>0</v>
      </c>
      <c r="G205" s="5">
        <v>0</v>
      </c>
      <c r="H205" s="5">
        <v>0</v>
      </c>
      <c r="I205" s="5">
        <v>0</v>
      </c>
      <c r="J205" s="9">
        <v>0</v>
      </c>
      <c r="K205" s="8">
        <v>0</v>
      </c>
      <c r="L205" s="5">
        <v>0</v>
      </c>
      <c r="M205" s="5">
        <v>0</v>
      </c>
      <c r="N205" s="9">
        <v>0</v>
      </c>
      <c r="O205" s="8">
        <v>3</v>
      </c>
      <c r="P205" s="5">
        <v>18</v>
      </c>
      <c r="Q205" s="5">
        <v>0</v>
      </c>
      <c r="R205" s="9">
        <v>0</v>
      </c>
      <c r="S205" s="8">
        <v>0</v>
      </c>
      <c r="T205" s="9">
        <v>0</v>
      </c>
    </row>
    <row r="206" spans="1:20" x14ac:dyDescent="0.2">
      <c r="A206" s="5" t="s">
        <v>362</v>
      </c>
      <c r="B206" s="5" t="s">
        <v>69</v>
      </c>
      <c r="C206" s="10" t="s">
        <v>329</v>
      </c>
      <c r="D206" s="7">
        <f t="shared" si="0"/>
        <v>4.7</v>
      </c>
      <c r="E206" s="8">
        <v>0</v>
      </c>
      <c r="F206" s="5">
        <v>0</v>
      </c>
      <c r="G206" s="5">
        <v>0</v>
      </c>
      <c r="H206" s="5">
        <v>0</v>
      </c>
      <c r="I206" s="5">
        <v>0</v>
      </c>
      <c r="J206" s="9">
        <v>0</v>
      </c>
      <c r="K206" s="8">
        <v>0</v>
      </c>
      <c r="L206" s="5">
        <v>0</v>
      </c>
      <c r="M206" s="5">
        <v>0</v>
      </c>
      <c r="N206" s="9">
        <v>0</v>
      </c>
      <c r="O206" s="8">
        <v>2</v>
      </c>
      <c r="P206" s="5">
        <v>27</v>
      </c>
      <c r="Q206" s="5">
        <v>0</v>
      </c>
      <c r="R206" s="9">
        <v>0</v>
      </c>
      <c r="S206" s="8">
        <v>0</v>
      </c>
      <c r="T206" s="9">
        <v>0</v>
      </c>
    </row>
    <row r="207" spans="1:20" x14ac:dyDescent="0.2">
      <c r="A207" s="5" t="s">
        <v>281</v>
      </c>
      <c r="B207" s="5" t="s">
        <v>69</v>
      </c>
      <c r="C207" s="17" t="s">
        <v>336</v>
      </c>
      <c r="D207" s="7">
        <f t="shared" si="0"/>
        <v>4.5</v>
      </c>
      <c r="E207" s="8">
        <v>0</v>
      </c>
      <c r="F207" s="5">
        <v>0</v>
      </c>
      <c r="G207" s="5">
        <v>0</v>
      </c>
      <c r="H207" s="5">
        <v>0</v>
      </c>
      <c r="I207" s="5">
        <v>0</v>
      </c>
      <c r="J207" s="9">
        <v>0</v>
      </c>
      <c r="K207" s="8">
        <v>0</v>
      </c>
      <c r="L207" s="5">
        <v>0</v>
      </c>
      <c r="M207" s="5">
        <v>0</v>
      </c>
      <c r="N207" s="9">
        <v>0</v>
      </c>
      <c r="O207" s="8">
        <v>2</v>
      </c>
      <c r="P207" s="5">
        <v>25</v>
      </c>
      <c r="Q207" s="5">
        <v>0</v>
      </c>
      <c r="R207" s="9">
        <v>0</v>
      </c>
      <c r="S207" s="8">
        <v>0</v>
      </c>
      <c r="T207" s="9">
        <v>0</v>
      </c>
    </row>
    <row r="208" spans="1:20" x14ac:dyDescent="0.2">
      <c r="A208" s="5" t="s">
        <v>223</v>
      </c>
      <c r="B208" s="5" t="s">
        <v>162</v>
      </c>
      <c r="C208" s="17" t="s">
        <v>332</v>
      </c>
      <c r="D208" s="7">
        <f t="shared" si="0"/>
        <v>4.3000000000000007</v>
      </c>
      <c r="E208" s="8">
        <v>0</v>
      </c>
      <c r="F208" s="5">
        <v>0</v>
      </c>
      <c r="G208" s="5">
        <v>0</v>
      </c>
      <c r="H208" s="5">
        <v>0</v>
      </c>
      <c r="I208" s="5">
        <v>0</v>
      </c>
      <c r="J208" s="9">
        <v>0</v>
      </c>
      <c r="K208" s="8">
        <v>0</v>
      </c>
      <c r="L208" s="5">
        <v>0</v>
      </c>
      <c r="M208" s="5">
        <v>0</v>
      </c>
      <c r="N208" s="9">
        <v>0</v>
      </c>
      <c r="O208" s="8">
        <v>2</v>
      </c>
      <c r="P208" s="5">
        <v>23</v>
      </c>
      <c r="Q208" s="5">
        <v>0</v>
      </c>
      <c r="R208" s="9">
        <v>0</v>
      </c>
      <c r="S208" s="8">
        <v>0</v>
      </c>
      <c r="T208" s="9">
        <v>0</v>
      </c>
    </row>
    <row r="209" spans="1:20" x14ac:dyDescent="0.2">
      <c r="A209" s="5" t="s">
        <v>264</v>
      </c>
      <c r="B209" s="5" t="s">
        <v>162</v>
      </c>
      <c r="C209" s="17" t="s">
        <v>321</v>
      </c>
      <c r="D209" s="7">
        <f t="shared" si="0"/>
        <v>4.3</v>
      </c>
      <c r="E209" s="8">
        <v>0</v>
      </c>
      <c r="F209" s="5">
        <v>0</v>
      </c>
      <c r="G209" s="5">
        <v>0</v>
      </c>
      <c r="H209" s="5">
        <v>0</v>
      </c>
      <c r="I209" s="5">
        <v>0</v>
      </c>
      <c r="J209" s="9">
        <v>0</v>
      </c>
      <c r="K209" s="8">
        <v>0</v>
      </c>
      <c r="L209" s="5">
        <v>0</v>
      </c>
      <c r="M209" s="5">
        <v>0</v>
      </c>
      <c r="N209" s="9">
        <v>0</v>
      </c>
      <c r="O209" s="8">
        <v>3</v>
      </c>
      <c r="P209" s="5">
        <v>13</v>
      </c>
      <c r="Q209" s="5">
        <v>0</v>
      </c>
      <c r="R209" s="9">
        <v>0</v>
      </c>
      <c r="S209" s="8">
        <v>0</v>
      </c>
      <c r="T209" s="9">
        <v>0</v>
      </c>
    </row>
    <row r="210" spans="1:20" x14ac:dyDescent="0.2">
      <c r="A210" s="5" t="s">
        <v>286</v>
      </c>
      <c r="B210" s="5" t="s">
        <v>69</v>
      </c>
      <c r="C210" s="10" t="s">
        <v>323</v>
      </c>
      <c r="D210" s="7">
        <f t="shared" si="0"/>
        <v>4.2</v>
      </c>
      <c r="E210" s="8">
        <v>0</v>
      </c>
      <c r="F210" s="5">
        <v>0</v>
      </c>
      <c r="G210" s="5">
        <v>0</v>
      </c>
      <c r="H210" s="5">
        <v>0</v>
      </c>
      <c r="I210" s="5">
        <v>0</v>
      </c>
      <c r="J210" s="9">
        <v>0</v>
      </c>
      <c r="K210" s="8">
        <v>0</v>
      </c>
      <c r="L210" s="5">
        <v>0</v>
      </c>
      <c r="M210" s="5">
        <v>0</v>
      </c>
      <c r="N210" s="9">
        <v>0</v>
      </c>
      <c r="O210" s="8">
        <v>3</v>
      </c>
      <c r="P210" s="5">
        <v>12</v>
      </c>
      <c r="Q210" s="5">
        <v>0</v>
      </c>
      <c r="R210" s="9">
        <v>0</v>
      </c>
      <c r="S210" s="8">
        <v>0</v>
      </c>
      <c r="T210" s="9">
        <v>0</v>
      </c>
    </row>
    <row r="211" spans="1:20" x14ac:dyDescent="0.2">
      <c r="A211" s="5" t="s">
        <v>314</v>
      </c>
      <c r="B211" s="5" t="s">
        <v>69</v>
      </c>
      <c r="C211" s="17" t="s">
        <v>325</v>
      </c>
      <c r="D211" s="7">
        <f t="shared" si="0"/>
        <v>4.0999999999999996</v>
      </c>
      <c r="E211" s="8">
        <v>0</v>
      </c>
      <c r="F211" s="5">
        <v>0</v>
      </c>
      <c r="G211" s="5">
        <v>0</v>
      </c>
      <c r="H211" s="5">
        <v>0</v>
      </c>
      <c r="I211" s="5">
        <v>0</v>
      </c>
      <c r="J211" s="9">
        <v>0</v>
      </c>
      <c r="K211" s="8">
        <v>0</v>
      </c>
      <c r="L211" s="5">
        <v>0</v>
      </c>
      <c r="M211" s="5">
        <v>0</v>
      </c>
      <c r="N211" s="9">
        <v>0</v>
      </c>
      <c r="O211" s="8">
        <v>2</v>
      </c>
      <c r="P211" s="5">
        <v>21</v>
      </c>
      <c r="Q211" s="5">
        <v>0</v>
      </c>
      <c r="R211" s="9">
        <v>0</v>
      </c>
      <c r="S211" s="8">
        <v>0</v>
      </c>
      <c r="T211" s="9">
        <v>0</v>
      </c>
    </row>
    <row r="212" spans="1:20" x14ac:dyDescent="0.2">
      <c r="A212" s="5" t="s">
        <v>150</v>
      </c>
      <c r="B212" s="5" t="s">
        <v>75</v>
      </c>
      <c r="C212" s="10" t="s">
        <v>328</v>
      </c>
      <c r="D212" s="7">
        <f t="shared" si="0"/>
        <v>4</v>
      </c>
      <c r="E212" s="8">
        <v>0</v>
      </c>
      <c r="F212" s="5">
        <v>0</v>
      </c>
      <c r="G212" s="5">
        <v>0</v>
      </c>
      <c r="H212" s="5">
        <v>0</v>
      </c>
      <c r="I212" s="5">
        <v>0</v>
      </c>
      <c r="J212" s="9">
        <v>0</v>
      </c>
      <c r="K212" s="8">
        <v>5</v>
      </c>
      <c r="L212" s="5">
        <v>40</v>
      </c>
      <c r="M212" s="5">
        <v>0</v>
      </c>
      <c r="N212" s="9">
        <v>0</v>
      </c>
      <c r="O212" s="8">
        <v>0</v>
      </c>
      <c r="P212" s="5">
        <v>0</v>
      </c>
      <c r="Q212" s="5">
        <v>0</v>
      </c>
      <c r="R212" s="9">
        <v>0</v>
      </c>
      <c r="S212" s="8">
        <v>0</v>
      </c>
      <c r="T212" s="9">
        <v>0</v>
      </c>
    </row>
    <row r="213" spans="1:20" x14ac:dyDescent="0.2">
      <c r="A213" s="5" t="s">
        <v>193</v>
      </c>
      <c r="B213" s="5" t="s">
        <v>162</v>
      </c>
      <c r="C213" s="17" t="s">
        <v>335</v>
      </c>
      <c r="D213" s="7">
        <f t="shared" si="0"/>
        <v>4</v>
      </c>
      <c r="E213" s="8">
        <v>0</v>
      </c>
      <c r="F213" s="5">
        <v>0</v>
      </c>
      <c r="G213" s="5">
        <v>0</v>
      </c>
      <c r="H213" s="5">
        <v>0</v>
      </c>
      <c r="I213" s="5">
        <v>0</v>
      </c>
      <c r="J213" s="9">
        <v>0</v>
      </c>
      <c r="K213" s="8">
        <v>0</v>
      </c>
      <c r="L213" s="5">
        <v>0</v>
      </c>
      <c r="M213" s="5">
        <v>0</v>
      </c>
      <c r="N213" s="9">
        <v>0</v>
      </c>
      <c r="O213" s="8">
        <v>2</v>
      </c>
      <c r="P213" s="5">
        <v>20</v>
      </c>
      <c r="Q213" s="5">
        <v>0</v>
      </c>
      <c r="R213" s="9">
        <v>0</v>
      </c>
      <c r="S213" s="8">
        <v>0</v>
      </c>
      <c r="T213" s="9">
        <v>0</v>
      </c>
    </row>
    <row r="214" spans="1:20" x14ac:dyDescent="0.2">
      <c r="A214" s="5" t="s">
        <v>306</v>
      </c>
      <c r="B214" s="5" t="s">
        <v>69</v>
      </c>
      <c r="C214" s="17" t="s">
        <v>334</v>
      </c>
      <c r="D214" s="7">
        <f t="shared" si="0"/>
        <v>4</v>
      </c>
      <c r="E214" s="8">
        <v>0</v>
      </c>
      <c r="F214" s="5">
        <v>0</v>
      </c>
      <c r="G214" s="5">
        <v>0</v>
      </c>
      <c r="H214" s="5">
        <v>0</v>
      </c>
      <c r="I214" s="5">
        <v>0</v>
      </c>
      <c r="J214" s="9">
        <v>0</v>
      </c>
      <c r="K214" s="8">
        <v>0</v>
      </c>
      <c r="L214" s="5">
        <v>0</v>
      </c>
      <c r="M214" s="5">
        <v>0</v>
      </c>
      <c r="N214" s="9">
        <v>0</v>
      </c>
      <c r="O214" s="8">
        <v>2</v>
      </c>
      <c r="P214" s="5">
        <v>20</v>
      </c>
      <c r="Q214" s="5">
        <v>0</v>
      </c>
      <c r="R214" s="9">
        <v>0</v>
      </c>
      <c r="S214" s="8">
        <v>0</v>
      </c>
      <c r="T214" s="9">
        <v>0</v>
      </c>
    </row>
    <row r="215" spans="1:20" x14ac:dyDescent="0.2">
      <c r="A215" s="5" t="s">
        <v>363</v>
      </c>
      <c r="B215" s="5" t="s">
        <v>69</v>
      </c>
      <c r="C215" s="17" t="s">
        <v>338</v>
      </c>
      <c r="D215" s="7">
        <f t="shared" si="0"/>
        <v>4</v>
      </c>
      <c r="E215" s="8">
        <v>0</v>
      </c>
      <c r="F215" s="5">
        <v>0</v>
      </c>
      <c r="G215" s="5">
        <v>0</v>
      </c>
      <c r="H215" s="5">
        <v>0</v>
      </c>
      <c r="I215" s="5">
        <v>0</v>
      </c>
      <c r="J215" s="9">
        <v>0</v>
      </c>
      <c r="K215" s="8">
        <v>0</v>
      </c>
      <c r="L215" s="5">
        <v>0</v>
      </c>
      <c r="M215" s="5">
        <v>0</v>
      </c>
      <c r="N215" s="9">
        <v>0</v>
      </c>
      <c r="O215" s="8">
        <v>2</v>
      </c>
      <c r="P215" s="5">
        <v>20</v>
      </c>
      <c r="Q215" s="5">
        <v>0</v>
      </c>
      <c r="R215" s="9">
        <v>0</v>
      </c>
      <c r="S215" s="8">
        <v>0</v>
      </c>
      <c r="T215" s="9">
        <v>0</v>
      </c>
    </row>
    <row r="216" spans="1:20" x14ac:dyDescent="0.2">
      <c r="A216" s="5" t="s">
        <v>364</v>
      </c>
      <c r="B216" s="5" t="s">
        <v>75</v>
      </c>
      <c r="C216" s="17" t="s">
        <v>321</v>
      </c>
      <c r="D216" s="7">
        <f t="shared" si="0"/>
        <v>3.9000000000000004</v>
      </c>
      <c r="E216" s="8">
        <v>0</v>
      </c>
      <c r="F216" s="5">
        <v>0</v>
      </c>
      <c r="G216" s="5">
        <v>0</v>
      </c>
      <c r="H216" s="5">
        <v>0</v>
      </c>
      <c r="I216" s="5">
        <v>0</v>
      </c>
      <c r="J216" s="9">
        <v>0</v>
      </c>
      <c r="K216" s="8">
        <v>4</v>
      </c>
      <c r="L216" s="5">
        <v>6</v>
      </c>
      <c r="M216" s="5">
        <v>0</v>
      </c>
      <c r="N216" s="9">
        <v>0</v>
      </c>
      <c r="O216" s="8">
        <v>2</v>
      </c>
      <c r="P216" s="5">
        <v>13</v>
      </c>
      <c r="Q216" s="5">
        <v>0</v>
      </c>
      <c r="R216" s="9">
        <v>0</v>
      </c>
      <c r="S216" s="8">
        <v>0</v>
      </c>
      <c r="T216" s="9">
        <v>0</v>
      </c>
    </row>
    <row r="217" spans="1:20" x14ac:dyDescent="0.2">
      <c r="A217" s="5" t="s">
        <v>86</v>
      </c>
      <c r="B217" s="5" t="s">
        <v>75</v>
      </c>
      <c r="C217" s="17" t="s">
        <v>321</v>
      </c>
      <c r="D217" s="7">
        <f t="shared" si="0"/>
        <v>3.9000000000000004</v>
      </c>
      <c r="E217" s="8">
        <v>0</v>
      </c>
      <c r="F217" s="5">
        <v>0</v>
      </c>
      <c r="G217" s="5">
        <v>0</v>
      </c>
      <c r="H217" s="5">
        <v>0</v>
      </c>
      <c r="I217" s="5">
        <v>0</v>
      </c>
      <c r="J217" s="9">
        <v>0</v>
      </c>
      <c r="K217" s="8">
        <v>13</v>
      </c>
      <c r="L217" s="5">
        <v>39</v>
      </c>
      <c r="M217" s="5">
        <v>0</v>
      </c>
      <c r="N217" s="9">
        <v>0</v>
      </c>
      <c r="O217" s="8">
        <v>0</v>
      </c>
      <c r="P217" s="5">
        <v>0</v>
      </c>
      <c r="Q217" s="5">
        <v>0</v>
      </c>
      <c r="R217" s="9">
        <v>0</v>
      </c>
      <c r="S217" s="8">
        <v>0</v>
      </c>
      <c r="T217" s="9">
        <v>0</v>
      </c>
    </row>
    <row r="218" spans="1:20" x14ac:dyDescent="0.2">
      <c r="A218" s="5" t="s">
        <v>124</v>
      </c>
      <c r="B218" s="5" t="s">
        <v>75</v>
      </c>
      <c r="C218" s="17" t="s">
        <v>335</v>
      </c>
      <c r="D218" s="7">
        <f t="shared" si="0"/>
        <v>3.7</v>
      </c>
      <c r="E218" s="8">
        <v>0</v>
      </c>
      <c r="F218" s="5">
        <v>0</v>
      </c>
      <c r="G218" s="5">
        <v>0</v>
      </c>
      <c r="H218" s="5">
        <v>0</v>
      </c>
      <c r="I218" s="5">
        <v>0</v>
      </c>
      <c r="J218" s="9">
        <v>0</v>
      </c>
      <c r="K218" s="8">
        <v>1</v>
      </c>
      <c r="L218" s="5">
        <v>0</v>
      </c>
      <c r="M218" s="5">
        <v>0</v>
      </c>
      <c r="N218" s="9">
        <v>0</v>
      </c>
      <c r="O218" s="8">
        <v>2</v>
      </c>
      <c r="P218" s="5">
        <v>17</v>
      </c>
      <c r="Q218" s="5">
        <v>0</v>
      </c>
      <c r="R218" s="9">
        <v>0</v>
      </c>
      <c r="S218" s="8">
        <v>0</v>
      </c>
      <c r="T218" s="9">
        <v>0</v>
      </c>
    </row>
    <row r="219" spans="1:20" x14ac:dyDescent="0.2">
      <c r="A219" s="5" t="s">
        <v>293</v>
      </c>
      <c r="B219" s="5" t="s">
        <v>69</v>
      </c>
      <c r="C219" s="10" t="s">
        <v>336</v>
      </c>
      <c r="D219" s="7">
        <f t="shared" si="0"/>
        <v>3.5</v>
      </c>
      <c r="E219" s="8">
        <v>0</v>
      </c>
      <c r="F219" s="5">
        <v>0</v>
      </c>
      <c r="G219" s="5">
        <v>0</v>
      </c>
      <c r="H219" s="5">
        <v>0</v>
      </c>
      <c r="I219" s="5">
        <v>0</v>
      </c>
      <c r="J219" s="9">
        <v>0</v>
      </c>
      <c r="K219" s="8">
        <v>0</v>
      </c>
      <c r="L219" s="5">
        <v>0</v>
      </c>
      <c r="M219" s="5">
        <v>0</v>
      </c>
      <c r="N219" s="9">
        <v>0</v>
      </c>
      <c r="O219" s="8">
        <v>2</v>
      </c>
      <c r="P219" s="5">
        <v>15</v>
      </c>
      <c r="Q219" s="5">
        <v>0</v>
      </c>
      <c r="R219" s="9">
        <v>0</v>
      </c>
      <c r="S219" s="8">
        <v>0</v>
      </c>
      <c r="T219" s="9">
        <v>0</v>
      </c>
    </row>
    <row r="220" spans="1:20" x14ac:dyDescent="0.2">
      <c r="A220" s="5" t="s">
        <v>151</v>
      </c>
      <c r="B220" s="5" t="s">
        <v>75</v>
      </c>
      <c r="C220" s="10" t="s">
        <v>329</v>
      </c>
      <c r="D220" s="7">
        <f t="shared" si="0"/>
        <v>3.4000000000000004</v>
      </c>
      <c r="E220" s="8">
        <v>0</v>
      </c>
      <c r="F220" s="5">
        <v>0</v>
      </c>
      <c r="G220" s="5">
        <v>0</v>
      </c>
      <c r="H220" s="5">
        <v>0</v>
      </c>
      <c r="I220" s="5">
        <v>0</v>
      </c>
      <c r="J220" s="9">
        <v>0</v>
      </c>
      <c r="K220" s="8">
        <v>4</v>
      </c>
      <c r="L220" s="5">
        <v>14</v>
      </c>
      <c r="M220" s="5">
        <v>0</v>
      </c>
      <c r="N220" s="9">
        <v>0</v>
      </c>
      <c r="O220" s="8">
        <v>1</v>
      </c>
      <c r="P220" s="5">
        <v>10</v>
      </c>
      <c r="Q220" s="5">
        <v>0</v>
      </c>
      <c r="R220" s="9">
        <v>0</v>
      </c>
      <c r="S220" s="8">
        <v>0</v>
      </c>
      <c r="T220" s="9">
        <v>0</v>
      </c>
    </row>
    <row r="221" spans="1:20" x14ac:dyDescent="0.2">
      <c r="A221" s="5" t="s">
        <v>365</v>
      </c>
      <c r="B221" s="5" t="s">
        <v>162</v>
      </c>
      <c r="C221" s="17" t="s">
        <v>334</v>
      </c>
      <c r="D221" s="7">
        <f t="shared" si="0"/>
        <v>3.4000000000000004</v>
      </c>
      <c r="E221" s="8">
        <v>0</v>
      </c>
      <c r="F221" s="5">
        <v>0</v>
      </c>
      <c r="G221" s="5">
        <v>0</v>
      </c>
      <c r="H221" s="5">
        <v>0</v>
      </c>
      <c r="I221" s="5">
        <v>0</v>
      </c>
      <c r="J221" s="9">
        <v>0</v>
      </c>
      <c r="K221" s="8">
        <v>1</v>
      </c>
      <c r="L221" s="5">
        <v>34</v>
      </c>
      <c r="M221" s="5">
        <v>0</v>
      </c>
      <c r="N221" s="9">
        <v>0</v>
      </c>
      <c r="O221" s="8">
        <v>0</v>
      </c>
      <c r="P221" s="5">
        <v>0</v>
      </c>
      <c r="Q221" s="5">
        <v>0</v>
      </c>
      <c r="R221" s="9">
        <v>0</v>
      </c>
      <c r="S221" s="8">
        <v>0</v>
      </c>
      <c r="T221" s="9">
        <v>0</v>
      </c>
    </row>
    <row r="222" spans="1:20" x14ac:dyDescent="0.2">
      <c r="A222" s="5" t="s">
        <v>366</v>
      </c>
      <c r="B222" s="5" t="s">
        <v>69</v>
      </c>
      <c r="C222" s="17" t="s">
        <v>321</v>
      </c>
      <c r="D222" s="7">
        <f t="shared" si="0"/>
        <v>3.4000000000000004</v>
      </c>
      <c r="E222" s="8">
        <v>0</v>
      </c>
      <c r="F222" s="5">
        <v>0</v>
      </c>
      <c r="G222" s="5">
        <v>0</v>
      </c>
      <c r="H222" s="5">
        <v>0</v>
      </c>
      <c r="I222" s="5">
        <v>0</v>
      </c>
      <c r="J222" s="9">
        <v>0</v>
      </c>
      <c r="K222" s="8">
        <v>0</v>
      </c>
      <c r="L222" s="5">
        <v>0</v>
      </c>
      <c r="M222" s="5">
        <v>0</v>
      </c>
      <c r="N222" s="9">
        <v>0</v>
      </c>
      <c r="O222" s="8">
        <v>1</v>
      </c>
      <c r="P222" s="5">
        <v>24</v>
      </c>
      <c r="Q222" s="5">
        <v>0</v>
      </c>
      <c r="R222" s="9">
        <v>0</v>
      </c>
      <c r="S222" s="8">
        <v>0</v>
      </c>
      <c r="T222" s="9">
        <v>0</v>
      </c>
    </row>
    <row r="223" spans="1:20" x14ac:dyDescent="0.2">
      <c r="A223" s="5" t="s">
        <v>367</v>
      </c>
      <c r="B223" s="5" t="s">
        <v>162</v>
      </c>
      <c r="C223" s="17" t="s">
        <v>334</v>
      </c>
      <c r="D223" s="7">
        <f t="shared" si="0"/>
        <v>3.3000000000000003</v>
      </c>
      <c r="E223" s="8">
        <v>0</v>
      </c>
      <c r="F223" s="5">
        <v>0</v>
      </c>
      <c r="G223" s="5">
        <v>0</v>
      </c>
      <c r="H223" s="5">
        <v>0</v>
      </c>
      <c r="I223" s="5">
        <v>0</v>
      </c>
      <c r="J223" s="9">
        <v>0</v>
      </c>
      <c r="K223" s="8">
        <v>0</v>
      </c>
      <c r="L223" s="5">
        <v>0</v>
      </c>
      <c r="M223" s="5">
        <v>0</v>
      </c>
      <c r="N223" s="9">
        <v>0</v>
      </c>
      <c r="O223" s="8">
        <v>1</v>
      </c>
      <c r="P223" s="5">
        <v>23</v>
      </c>
      <c r="Q223" s="5">
        <v>0</v>
      </c>
      <c r="R223" s="9">
        <v>0</v>
      </c>
      <c r="S223" s="8">
        <v>0</v>
      </c>
      <c r="T223" s="9">
        <v>0</v>
      </c>
    </row>
    <row r="224" spans="1:20" x14ac:dyDescent="0.2">
      <c r="A224" s="5" t="s">
        <v>226</v>
      </c>
      <c r="B224" s="5" t="s">
        <v>162</v>
      </c>
      <c r="C224" s="17" t="s">
        <v>335</v>
      </c>
      <c r="D224" s="7">
        <f t="shared" si="0"/>
        <v>3.3</v>
      </c>
      <c r="E224" s="8">
        <v>0</v>
      </c>
      <c r="F224" s="5">
        <v>0</v>
      </c>
      <c r="G224" s="5">
        <v>0</v>
      </c>
      <c r="H224" s="5">
        <v>0</v>
      </c>
      <c r="I224" s="5">
        <v>0</v>
      </c>
      <c r="J224" s="9">
        <v>0</v>
      </c>
      <c r="K224" s="8">
        <v>0</v>
      </c>
      <c r="L224" s="5">
        <v>0</v>
      </c>
      <c r="M224" s="5">
        <v>0</v>
      </c>
      <c r="N224" s="9">
        <v>0</v>
      </c>
      <c r="O224" s="8">
        <v>2</v>
      </c>
      <c r="P224" s="5">
        <v>13</v>
      </c>
      <c r="Q224" s="5">
        <v>0</v>
      </c>
      <c r="R224" s="9">
        <v>0</v>
      </c>
      <c r="S224" s="8">
        <v>0</v>
      </c>
      <c r="T224" s="9">
        <v>0</v>
      </c>
    </row>
    <row r="225" spans="1:20" x14ac:dyDescent="0.2">
      <c r="A225" s="5" t="s">
        <v>290</v>
      </c>
      <c r="B225" s="5" t="s">
        <v>69</v>
      </c>
      <c r="C225" s="17" t="s">
        <v>338</v>
      </c>
      <c r="D225" s="7">
        <f t="shared" si="0"/>
        <v>3.3</v>
      </c>
      <c r="E225" s="8">
        <v>0</v>
      </c>
      <c r="F225" s="5">
        <v>0</v>
      </c>
      <c r="G225" s="5">
        <v>0</v>
      </c>
      <c r="H225" s="5">
        <v>0</v>
      </c>
      <c r="I225" s="5">
        <v>0</v>
      </c>
      <c r="J225" s="9">
        <v>0</v>
      </c>
      <c r="K225" s="8">
        <v>0</v>
      </c>
      <c r="L225" s="5">
        <v>0</v>
      </c>
      <c r="M225" s="5">
        <v>0</v>
      </c>
      <c r="N225" s="9">
        <v>0</v>
      </c>
      <c r="O225" s="8">
        <v>2</v>
      </c>
      <c r="P225" s="5">
        <v>13</v>
      </c>
      <c r="Q225" s="5">
        <v>0</v>
      </c>
      <c r="R225" s="9">
        <v>0</v>
      </c>
      <c r="S225" s="8">
        <v>0</v>
      </c>
      <c r="T225" s="9">
        <v>0</v>
      </c>
    </row>
    <row r="226" spans="1:20" x14ac:dyDescent="0.2">
      <c r="A226" s="5" t="s">
        <v>292</v>
      </c>
      <c r="B226" s="5" t="s">
        <v>69</v>
      </c>
      <c r="C226" s="17" t="s">
        <v>328</v>
      </c>
      <c r="D226" s="7">
        <f t="shared" si="0"/>
        <v>3.3</v>
      </c>
      <c r="E226" s="8">
        <v>0</v>
      </c>
      <c r="F226" s="5">
        <v>0</v>
      </c>
      <c r="G226" s="5">
        <v>0</v>
      </c>
      <c r="H226" s="5">
        <v>0</v>
      </c>
      <c r="I226" s="5">
        <v>0</v>
      </c>
      <c r="J226" s="9">
        <v>0</v>
      </c>
      <c r="K226" s="8">
        <v>0</v>
      </c>
      <c r="L226" s="5">
        <v>0</v>
      </c>
      <c r="M226" s="5">
        <v>0</v>
      </c>
      <c r="N226" s="9">
        <v>0</v>
      </c>
      <c r="O226" s="8">
        <v>2</v>
      </c>
      <c r="P226" s="5">
        <v>13</v>
      </c>
      <c r="Q226" s="5">
        <v>0</v>
      </c>
      <c r="R226" s="9">
        <v>0</v>
      </c>
      <c r="S226" s="8">
        <v>0</v>
      </c>
      <c r="T226" s="9">
        <v>0</v>
      </c>
    </row>
    <row r="227" spans="1:20" x14ac:dyDescent="0.2">
      <c r="A227" s="5" t="s">
        <v>194</v>
      </c>
      <c r="B227" s="5" t="s">
        <v>162</v>
      </c>
      <c r="C227" s="10" t="s">
        <v>333</v>
      </c>
      <c r="D227" s="7">
        <f t="shared" si="0"/>
        <v>3.2</v>
      </c>
      <c r="E227" s="8">
        <v>0</v>
      </c>
      <c r="F227" s="5">
        <v>0</v>
      </c>
      <c r="G227" s="5">
        <v>0</v>
      </c>
      <c r="H227" s="5">
        <v>0</v>
      </c>
      <c r="I227" s="5">
        <v>0</v>
      </c>
      <c r="J227" s="9">
        <v>0</v>
      </c>
      <c r="K227" s="8">
        <v>0</v>
      </c>
      <c r="L227" s="5">
        <v>0</v>
      </c>
      <c r="M227" s="5">
        <v>0</v>
      </c>
      <c r="N227" s="9">
        <v>0</v>
      </c>
      <c r="O227" s="8">
        <v>2</v>
      </c>
      <c r="P227" s="5">
        <v>12</v>
      </c>
      <c r="Q227" s="5">
        <v>0</v>
      </c>
      <c r="R227" s="9">
        <v>0</v>
      </c>
      <c r="S227" s="8">
        <v>0</v>
      </c>
      <c r="T227" s="9">
        <v>0</v>
      </c>
    </row>
    <row r="228" spans="1:20" x14ac:dyDescent="0.2">
      <c r="A228" s="5" t="s">
        <v>368</v>
      </c>
      <c r="B228" s="5" t="s">
        <v>162</v>
      </c>
      <c r="C228" s="10" t="s">
        <v>323</v>
      </c>
      <c r="D228" s="7">
        <f t="shared" si="0"/>
        <v>3.1</v>
      </c>
      <c r="E228" s="8">
        <v>0</v>
      </c>
      <c r="F228" s="5">
        <v>0</v>
      </c>
      <c r="G228" s="5">
        <v>0</v>
      </c>
      <c r="H228" s="5">
        <v>0</v>
      </c>
      <c r="I228" s="5">
        <v>0</v>
      </c>
      <c r="J228" s="9">
        <v>0</v>
      </c>
      <c r="K228" s="8">
        <v>1</v>
      </c>
      <c r="L228" s="5">
        <v>11</v>
      </c>
      <c r="M228" s="5">
        <v>0</v>
      </c>
      <c r="N228" s="9">
        <v>0</v>
      </c>
      <c r="O228" s="8">
        <v>1</v>
      </c>
      <c r="P228" s="5">
        <v>10</v>
      </c>
      <c r="Q228" s="5">
        <v>0</v>
      </c>
      <c r="R228" s="9">
        <v>0</v>
      </c>
      <c r="S228" s="8">
        <v>0</v>
      </c>
      <c r="T228" s="9">
        <v>0</v>
      </c>
    </row>
    <row r="229" spans="1:20" x14ac:dyDescent="0.2">
      <c r="A229" s="5" t="s">
        <v>209</v>
      </c>
      <c r="B229" s="5" t="s">
        <v>162</v>
      </c>
      <c r="C229" s="10" t="s">
        <v>324</v>
      </c>
      <c r="D229" s="7">
        <f t="shared" si="0"/>
        <v>3</v>
      </c>
      <c r="E229" s="8">
        <v>0</v>
      </c>
      <c r="F229" s="5">
        <v>0</v>
      </c>
      <c r="G229" s="5">
        <v>0</v>
      </c>
      <c r="H229" s="5">
        <v>0</v>
      </c>
      <c r="I229" s="5">
        <v>0</v>
      </c>
      <c r="J229" s="9">
        <v>0</v>
      </c>
      <c r="K229" s="8">
        <v>0</v>
      </c>
      <c r="L229" s="5">
        <v>0</v>
      </c>
      <c r="M229" s="5">
        <v>0</v>
      </c>
      <c r="N229" s="9">
        <v>0</v>
      </c>
      <c r="O229" s="8">
        <v>1</v>
      </c>
      <c r="P229" s="5">
        <v>20</v>
      </c>
      <c r="Q229" s="5">
        <v>0</v>
      </c>
      <c r="R229" s="9">
        <v>0</v>
      </c>
      <c r="S229" s="8">
        <v>0</v>
      </c>
      <c r="T229" s="9">
        <v>0</v>
      </c>
    </row>
    <row r="230" spans="1:20" x14ac:dyDescent="0.2">
      <c r="A230" s="5" t="s">
        <v>301</v>
      </c>
      <c r="B230" s="5" t="s">
        <v>69</v>
      </c>
      <c r="C230" s="10" t="s">
        <v>327</v>
      </c>
      <c r="D230" s="7">
        <f t="shared" si="0"/>
        <v>3</v>
      </c>
      <c r="E230" s="8">
        <v>0</v>
      </c>
      <c r="F230" s="5">
        <v>0</v>
      </c>
      <c r="G230" s="5">
        <v>0</v>
      </c>
      <c r="H230" s="5">
        <v>0</v>
      </c>
      <c r="I230" s="5">
        <v>0</v>
      </c>
      <c r="J230" s="9">
        <v>0</v>
      </c>
      <c r="K230" s="8">
        <v>0</v>
      </c>
      <c r="L230" s="5">
        <v>0</v>
      </c>
      <c r="M230" s="5">
        <v>0</v>
      </c>
      <c r="N230" s="9">
        <v>0</v>
      </c>
      <c r="O230" s="8">
        <v>2</v>
      </c>
      <c r="P230" s="5">
        <v>10</v>
      </c>
      <c r="Q230" s="5">
        <v>0</v>
      </c>
      <c r="R230" s="9">
        <v>0</v>
      </c>
      <c r="S230" s="8">
        <v>0</v>
      </c>
      <c r="T230" s="9">
        <v>0</v>
      </c>
    </row>
    <row r="231" spans="1:20" x14ac:dyDescent="0.2">
      <c r="A231" s="5" t="s">
        <v>115</v>
      </c>
      <c r="B231" s="5" t="s">
        <v>75</v>
      </c>
      <c r="C231" s="17" t="s">
        <v>338</v>
      </c>
      <c r="D231" s="7">
        <f t="shared" si="0"/>
        <v>2.9000000000000004</v>
      </c>
      <c r="E231" s="8">
        <v>0</v>
      </c>
      <c r="F231" s="5">
        <v>0</v>
      </c>
      <c r="G231" s="5">
        <v>0</v>
      </c>
      <c r="H231" s="5">
        <v>0</v>
      </c>
      <c r="I231" s="5">
        <v>0</v>
      </c>
      <c r="J231" s="9">
        <v>0</v>
      </c>
      <c r="K231" s="8">
        <v>9</v>
      </c>
      <c r="L231" s="5">
        <v>29</v>
      </c>
      <c r="M231" s="5">
        <v>0</v>
      </c>
      <c r="N231" s="9">
        <v>0</v>
      </c>
      <c r="O231" s="8">
        <v>0</v>
      </c>
      <c r="P231" s="5">
        <v>0</v>
      </c>
      <c r="Q231" s="5">
        <v>0</v>
      </c>
      <c r="R231" s="9">
        <v>0</v>
      </c>
      <c r="S231" s="8">
        <v>0</v>
      </c>
      <c r="T231" s="9">
        <v>0</v>
      </c>
    </row>
    <row r="232" spans="1:20" x14ac:dyDescent="0.2">
      <c r="A232" s="5" t="s">
        <v>132</v>
      </c>
      <c r="B232" s="5" t="s">
        <v>75</v>
      </c>
      <c r="C232" s="17" t="s">
        <v>328</v>
      </c>
      <c r="D232" s="7">
        <f t="shared" si="0"/>
        <v>2.9</v>
      </c>
      <c r="E232" s="8">
        <v>0</v>
      </c>
      <c r="F232" s="5">
        <v>0</v>
      </c>
      <c r="G232" s="5">
        <v>0</v>
      </c>
      <c r="H232" s="5">
        <v>0</v>
      </c>
      <c r="I232" s="5">
        <v>0</v>
      </c>
      <c r="J232" s="9">
        <v>0</v>
      </c>
      <c r="K232" s="8">
        <v>1</v>
      </c>
      <c r="L232" s="5">
        <v>0</v>
      </c>
      <c r="M232" s="5">
        <v>0</v>
      </c>
      <c r="N232" s="9">
        <v>0</v>
      </c>
      <c r="O232" s="8">
        <v>2</v>
      </c>
      <c r="P232" s="5">
        <v>9</v>
      </c>
      <c r="Q232" s="5">
        <v>0</v>
      </c>
      <c r="R232" s="9">
        <v>0</v>
      </c>
      <c r="S232" s="8">
        <v>0</v>
      </c>
      <c r="T232" s="9">
        <v>0</v>
      </c>
    </row>
    <row r="233" spans="1:20" x14ac:dyDescent="0.2">
      <c r="A233" s="5" t="s">
        <v>156</v>
      </c>
      <c r="B233" s="5" t="s">
        <v>75</v>
      </c>
      <c r="C233" s="10" t="s">
        <v>335</v>
      </c>
      <c r="D233" s="7">
        <f t="shared" si="0"/>
        <v>2.7</v>
      </c>
      <c r="E233" s="8">
        <v>0</v>
      </c>
      <c r="F233" s="5">
        <v>0</v>
      </c>
      <c r="G233" s="5">
        <v>0</v>
      </c>
      <c r="H233" s="5">
        <v>0</v>
      </c>
      <c r="I233" s="5">
        <v>0</v>
      </c>
      <c r="J233" s="9">
        <v>0</v>
      </c>
      <c r="K233" s="8">
        <v>1</v>
      </c>
      <c r="L233" s="5">
        <v>8</v>
      </c>
      <c r="M233" s="5">
        <v>0</v>
      </c>
      <c r="N233" s="9">
        <v>0</v>
      </c>
      <c r="O233" s="8">
        <v>1</v>
      </c>
      <c r="P233" s="5">
        <v>9</v>
      </c>
      <c r="Q233" s="5">
        <v>0</v>
      </c>
      <c r="R233" s="9">
        <v>0</v>
      </c>
      <c r="S233" s="8">
        <v>0</v>
      </c>
      <c r="T233" s="9">
        <v>0</v>
      </c>
    </row>
    <row r="234" spans="1:20" x14ac:dyDescent="0.2">
      <c r="A234" s="5" t="s">
        <v>369</v>
      </c>
      <c r="B234" s="5" t="s">
        <v>162</v>
      </c>
      <c r="C234" s="10" t="s">
        <v>329</v>
      </c>
      <c r="D234" s="7">
        <f t="shared" si="0"/>
        <v>2.7</v>
      </c>
      <c r="E234" s="8">
        <v>0</v>
      </c>
      <c r="F234" s="5">
        <v>0</v>
      </c>
      <c r="G234" s="5">
        <v>0</v>
      </c>
      <c r="H234" s="5">
        <v>0</v>
      </c>
      <c r="I234" s="5">
        <v>0</v>
      </c>
      <c r="J234" s="9">
        <v>0</v>
      </c>
      <c r="K234" s="8">
        <v>0</v>
      </c>
      <c r="L234" s="5">
        <v>0</v>
      </c>
      <c r="M234" s="5">
        <v>0</v>
      </c>
      <c r="N234" s="9">
        <v>0</v>
      </c>
      <c r="O234" s="8">
        <v>1</v>
      </c>
      <c r="P234" s="5">
        <v>17</v>
      </c>
      <c r="Q234" s="5">
        <v>0</v>
      </c>
      <c r="R234" s="9">
        <v>0</v>
      </c>
      <c r="S234" s="8">
        <v>0</v>
      </c>
      <c r="T234" s="9">
        <v>0</v>
      </c>
    </row>
    <row r="235" spans="1:20" x14ac:dyDescent="0.2">
      <c r="A235" s="5" t="s">
        <v>370</v>
      </c>
      <c r="B235" s="5" t="s">
        <v>75</v>
      </c>
      <c r="C235" s="10" t="s">
        <v>322</v>
      </c>
      <c r="D235" s="7">
        <f t="shared" si="0"/>
        <v>2.5</v>
      </c>
      <c r="E235" s="8">
        <v>0</v>
      </c>
      <c r="F235" s="5">
        <v>0</v>
      </c>
      <c r="G235" s="5">
        <v>0</v>
      </c>
      <c r="H235" s="5">
        <v>0</v>
      </c>
      <c r="I235" s="5">
        <v>0</v>
      </c>
      <c r="J235" s="9">
        <v>0</v>
      </c>
      <c r="K235" s="8">
        <v>1</v>
      </c>
      <c r="L235" s="5">
        <v>-2</v>
      </c>
      <c r="M235" s="5">
        <v>0</v>
      </c>
      <c r="N235" s="9">
        <v>0</v>
      </c>
      <c r="O235" s="8">
        <v>2</v>
      </c>
      <c r="P235" s="5">
        <v>7</v>
      </c>
      <c r="Q235" s="5">
        <v>0</v>
      </c>
      <c r="R235" s="9">
        <v>0</v>
      </c>
      <c r="S235" s="8">
        <v>0</v>
      </c>
      <c r="T235" s="9">
        <v>0</v>
      </c>
    </row>
    <row r="236" spans="1:20" x14ac:dyDescent="0.2">
      <c r="A236" s="5" t="s">
        <v>371</v>
      </c>
      <c r="B236" s="5" t="s">
        <v>162</v>
      </c>
      <c r="C236" s="10" t="s">
        <v>338</v>
      </c>
      <c r="D236" s="7">
        <f t="shared" si="0"/>
        <v>2.5</v>
      </c>
      <c r="E236" s="8">
        <v>0</v>
      </c>
      <c r="F236" s="5">
        <v>0</v>
      </c>
      <c r="G236" s="5">
        <v>0</v>
      </c>
      <c r="H236" s="5">
        <v>0</v>
      </c>
      <c r="I236" s="5">
        <v>0</v>
      </c>
      <c r="J236" s="9">
        <v>0</v>
      </c>
      <c r="K236" s="8">
        <v>0</v>
      </c>
      <c r="L236" s="5">
        <v>0</v>
      </c>
      <c r="M236" s="5">
        <v>0</v>
      </c>
      <c r="N236" s="9">
        <v>0</v>
      </c>
      <c r="O236" s="8">
        <v>1</v>
      </c>
      <c r="P236" s="5">
        <v>15</v>
      </c>
      <c r="Q236" s="5">
        <v>0</v>
      </c>
      <c r="R236" s="9">
        <v>0</v>
      </c>
      <c r="S236" s="8">
        <v>0</v>
      </c>
      <c r="T236" s="9">
        <v>0</v>
      </c>
    </row>
    <row r="237" spans="1:20" x14ac:dyDescent="0.2">
      <c r="A237" s="5" t="s">
        <v>201</v>
      </c>
      <c r="B237" s="5" t="s">
        <v>162</v>
      </c>
      <c r="C237" s="10" t="s">
        <v>332</v>
      </c>
      <c r="D237" s="7">
        <f t="shared" si="0"/>
        <v>2.5</v>
      </c>
      <c r="E237" s="8">
        <v>0</v>
      </c>
      <c r="F237" s="5">
        <v>0</v>
      </c>
      <c r="G237" s="5">
        <v>0</v>
      </c>
      <c r="H237" s="5">
        <v>0</v>
      </c>
      <c r="I237" s="5">
        <v>0</v>
      </c>
      <c r="J237" s="9">
        <v>0</v>
      </c>
      <c r="K237" s="8">
        <v>2</v>
      </c>
      <c r="L237" s="5">
        <v>6</v>
      </c>
      <c r="M237" s="5">
        <v>0</v>
      </c>
      <c r="N237" s="9">
        <v>0</v>
      </c>
      <c r="O237" s="8">
        <v>1</v>
      </c>
      <c r="P237" s="5">
        <v>9</v>
      </c>
      <c r="Q237" s="5">
        <v>0</v>
      </c>
      <c r="R237" s="9">
        <v>0</v>
      </c>
      <c r="S237" s="8">
        <v>0</v>
      </c>
      <c r="T237" s="9">
        <v>0</v>
      </c>
    </row>
    <row r="238" spans="1:20" x14ac:dyDescent="0.2">
      <c r="A238" s="5" t="s">
        <v>372</v>
      </c>
      <c r="B238" s="5" t="s">
        <v>69</v>
      </c>
      <c r="C238" s="17" t="s">
        <v>329</v>
      </c>
      <c r="D238" s="7">
        <f t="shared" si="0"/>
        <v>2.5</v>
      </c>
      <c r="E238" s="8">
        <v>0</v>
      </c>
      <c r="F238" s="5">
        <v>0</v>
      </c>
      <c r="G238" s="5">
        <v>0</v>
      </c>
      <c r="H238" s="5">
        <v>0</v>
      </c>
      <c r="I238" s="5">
        <v>0</v>
      </c>
      <c r="J238" s="9">
        <v>0</v>
      </c>
      <c r="K238" s="8">
        <v>0</v>
      </c>
      <c r="L238" s="5">
        <v>0</v>
      </c>
      <c r="M238" s="5">
        <v>0</v>
      </c>
      <c r="N238" s="9">
        <v>0</v>
      </c>
      <c r="O238" s="8">
        <v>1</v>
      </c>
      <c r="P238" s="5">
        <v>15</v>
      </c>
      <c r="Q238" s="5">
        <v>0</v>
      </c>
      <c r="R238" s="9">
        <v>0</v>
      </c>
      <c r="S238" s="8">
        <v>0</v>
      </c>
      <c r="T238" s="9">
        <v>0</v>
      </c>
    </row>
    <row r="239" spans="1:20" x14ac:dyDescent="0.2">
      <c r="A239" s="5" t="s">
        <v>373</v>
      </c>
      <c r="B239" s="5" t="s">
        <v>69</v>
      </c>
      <c r="C239" s="17" t="s">
        <v>336</v>
      </c>
      <c r="D239" s="7">
        <f t="shared" si="0"/>
        <v>2.5</v>
      </c>
      <c r="E239" s="8">
        <v>0</v>
      </c>
      <c r="F239" s="5">
        <v>0</v>
      </c>
      <c r="G239" s="5">
        <v>0</v>
      </c>
      <c r="H239" s="5">
        <v>0</v>
      </c>
      <c r="I239" s="5">
        <v>0</v>
      </c>
      <c r="J239" s="9">
        <v>0</v>
      </c>
      <c r="K239" s="8">
        <v>0</v>
      </c>
      <c r="L239" s="5">
        <v>0</v>
      </c>
      <c r="M239" s="5">
        <v>0</v>
      </c>
      <c r="N239" s="9">
        <v>0</v>
      </c>
      <c r="O239" s="8">
        <v>2</v>
      </c>
      <c r="P239" s="5">
        <v>5</v>
      </c>
      <c r="Q239" s="5">
        <v>0</v>
      </c>
      <c r="R239" s="9">
        <v>0</v>
      </c>
      <c r="S239" s="8">
        <v>0</v>
      </c>
      <c r="T239" s="9">
        <v>0</v>
      </c>
    </row>
    <row r="240" spans="1:20" x14ac:dyDescent="0.2">
      <c r="A240" s="5" t="s">
        <v>215</v>
      </c>
      <c r="B240" s="5" t="s">
        <v>162</v>
      </c>
      <c r="C240" s="10" t="s">
        <v>322</v>
      </c>
      <c r="D240" s="7">
        <f t="shared" si="0"/>
        <v>2.4000000000000004</v>
      </c>
      <c r="E240" s="8">
        <v>0</v>
      </c>
      <c r="F240" s="5">
        <v>0</v>
      </c>
      <c r="G240" s="5">
        <v>0</v>
      </c>
      <c r="H240" s="5">
        <v>0</v>
      </c>
      <c r="I240" s="5">
        <v>0</v>
      </c>
      <c r="J240" s="9">
        <v>0</v>
      </c>
      <c r="K240" s="8">
        <v>0</v>
      </c>
      <c r="L240" s="5">
        <v>0</v>
      </c>
      <c r="M240" s="5">
        <v>0</v>
      </c>
      <c r="N240" s="9">
        <v>0</v>
      </c>
      <c r="O240" s="8">
        <v>1</v>
      </c>
      <c r="P240" s="5">
        <v>14</v>
      </c>
      <c r="Q240" s="5">
        <v>0</v>
      </c>
      <c r="R240" s="9">
        <v>0</v>
      </c>
      <c r="S240" s="8">
        <v>0</v>
      </c>
      <c r="T240" s="9">
        <v>0</v>
      </c>
    </row>
    <row r="241" spans="1:20" x14ac:dyDescent="0.2">
      <c r="A241" s="5" t="s">
        <v>160</v>
      </c>
      <c r="B241" s="5" t="s">
        <v>75</v>
      </c>
      <c r="C241" s="10" t="s">
        <v>327</v>
      </c>
      <c r="D241" s="7">
        <f t="shared" si="0"/>
        <v>2.4</v>
      </c>
      <c r="E241" s="8">
        <v>0</v>
      </c>
      <c r="F241" s="5">
        <v>0</v>
      </c>
      <c r="G241" s="5">
        <v>0</v>
      </c>
      <c r="H241" s="5">
        <v>0</v>
      </c>
      <c r="I241" s="5">
        <v>0</v>
      </c>
      <c r="J241" s="9">
        <v>0</v>
      </c>
      <c r="K241" s="8">
        <v>0</v>
      </c>
      <c r="L241" s="5">
        <v>0</v>
      </c>
      <c r="M241" s="5">
        <v>0</v>
      </c>
      <c r="N241" s="9">
        <v>0</v>
      </c>
      <c r="O241" s="8">
        <v>2</v>
      </c>
      <c r="P241" s="5">
        <v>4</v>
      </c>
      <c r="Q241" s="5">
        <v>0</v>
      </c>
      <c r="R241" s="9">
        <v>0</v>
      </c>
      <c r="S241" s="8">
        <v>0</v>
      </c>
      <c r="T241" s="9">
        <v>0</v>
      </c>
    </row>
    <row r="242" spans="1:20" x14ac:dyDescent="0.2">
      <c r="A242" s="5" t="s">
        <v>374</v>
      </c>
      <c r="B242" s="5" t="s">
        <v>75</v>
      </c>
      <c r="C242" s="10" t="s">
        <v>328</v>
      </c>
      <c r="D242" s="7">
        <f t="shared" si="0"/>
        <v>2.4</v>
      </c>
      <c r="E242" s="8">
        <v>0</v>
      </c>
      <c r="F242" s="5">
        <v>0</v>
      </c>
      <c r="G242" s="5">
        <v>0</v>
      </c>
      <c r="H242" s="5">
        <v>0</v>
      </c>
      <c r="I242" s="5">
        <v>0</v>
      </c>
      <c r="J242" s="9">
        <v>0</v>
      </c>
      <c r="K242" s="8">
        <v>3</v>
      </c>
      <c r="L242" s="5">
        <v>9</v>
      </c>
      <c r="M242" s="5">
        <v>0</v>
      </c>
      <c r="N242" s="9">
        <v>0</v>
      </c>
      <c r="O242" s="8">
        <v>1</v>
      </c>
      <c r="P242" s="5">
        <v>5</v>
      </c>
      <c r="Q242" s="5">
        <v>0</v>
      </c>
      <c r="R242" s="9">
        <v>0</v>
      </c>
      <c r="S242" s="8">
        <v>0</v>
      </c>
      <c r="T242" s="9">
        <v>0</v>
      </c>
    </row>
    <row r="243" spans="1:20" x14ac:dyDescent="0.2">
      <c r="A243" s="5" t="s">
        <v>240</v>
      </c>
      <c r="B243" s="5" t="s">
        <v>162</v>
      </c>
      <c r="C243" s="10" t="s">
        <v>334</v>
      </c>
      <c r="D243" s="7">
        <f t="shared" si="0"/>
        <v>2.4</v>
      </c>
      <c r="E243" s="8">
        <v>0</v>
      </c>
      <c r="F243" s="5">
        <v>0</v>
      </c>
      <c r="G243" s="5">
        <v>0</v>
      </c>
      <c r="H243" s="5">
        <v>0</v>
      </c>
      <c r="I243" s="5">
        <v>0</v>
      </c>
      <c r="J243" s="9">
        <v>0</v>
      </c>
      <c r="K243" s="8">
        <v>0</v>
      </c>
      <c r="L243" s="5">
        <v>0</v>
      </c>
      <c r="M243" s="5">
        <v>0</v>
      </c>
      <c r="N243" s="9">
        <v>0</v>
      </c>
      <c r="O243" s="8">
        <v>2</v>
      </c>
      <c r="P243" s="5">
        <v>4</v>
      </c>
      <c r="Q243" s="5">
        <v>0</v>
      </c>
      <c r="R243" s="9">
        <v>0</v>
      </c>
      <c r="S243" s="8">
        <v>0</v>
      </c>
      <c r="T243" s="9">
        <v>0</v>
      </c>
    </row>
    <row r="244" spans="1:20" x14ac:dyDescent="0.2">
      <c r="A244" s="5" t="s">
        <v>123</v>
      </c>
      <c r="B244" s="5" t="s">
        <v>75</v>
      </c>
      <c r="C244" s="17" t="s">
        <v>332</v>
      </c>
      <c r="D244" s="7">
        <f t="shared" si="0"/>
        <v>2.1</v>
      </c>
      <c r="E244" s="8">
        <v>0</v>
      </c>
      <c r="F244" s="5">
        <v>0</v>
      </c>
      <c r="G244" s="5">
        <v>0</v>
      </c>
      <c r="H244" s="5">
        <v>0</v>
      </c>
      <c r="I244" s="5">
        <v>0</v>
      </c>
      <c r="J244" s="9">
        <v>0</v>
      </c>
      <c r="K244" s="8">
        <v>2</v>
      </c>
      <c r="L244" s="5">
        <v>8</v>
      </c>
      <c r="M244" s="5">
        <v>0</v>
      </c>
      <c r="N244" s="9">
        <v>0</v>
      </c>
      <c r="O244" s="8">
        <v>1</v>
      </c>
      <c r="P244" s="5">
        <v>3</v>
      </c>
      <c r="Q244" s="5">
        <v>0</v>
      </c>
      <c r="R244" s="9">
        <v>0</v>
      </c>
      <c r="S244" s="8">
        <v>0</v>
      </c>
      <c r="T244" s="9">
        <v>0</v>
      </c>
    </row>
    <row r="245" spans="1:20" x14ac:dyDescent="0.2">
      <c r="A245" s="5" t="s">
        <v>207</v>
      </c>
      <c r="B245" s="5" t="s">
        <v>162</v>
      </c>
      <c r="C245" s="10" t="s">
        <v>331</v>
      </c>
      <c r="D245" s="7">
        <f t="shared" si="0"/>
        <v>1.9000000000000004</v>
      </c>
      <c r="E245" s="8">
        <v>0</v>
      </c>
      <c r="F245" s="5">
        <v>0</v>
      </c>
      <c r="G245" s="5">
        <v>0</v>
      </c>
      <c r="H245" s="5">
        <v>0</v>
      </c>
      <c r="I245" s="5">
        <v>0</v>
      </c>
      <c r="J245" s="9">
        <v>0</v>
      </c>
      <c r="K245" s="8">
        <v>0</v>
      </c>
      <c r="L245" s="5">
        <v>0</v>
      </c>
      <c r="M245" s="5">
        <v>0</v>
      </c>
      <c r="N245" s="9">
        <v>0</v>
      </c>
      <c r="O245" s="8">
        <v>2</v>
      </c>
      <c r="P245" s="5">
        <v>19</v>
      </c>
      <c r="Q245" s="5">
        <v>0</v>
      </c>
      <c r="R245" s="9">
        <v>0</v>
      </c>
      <c r="S245" s="8">
        <v>1</v>
      </c>
      <c r="T245" s="9">
        <v>0</v>
      </c>
    </row>
    <row r="246" spans="1:20" x14ac:dyDescent="0.2">
      <c r="A246" s="5" t="s">
        <v>375</v>
      </c>
      <c r="B246" s="5" t="s">
        <v>75</v>
      </c>
      <c r="C246" s="17" t="s">
        <v>331</v>
      </c>
      <c r="D246" s="7">
        <f t="shared" si="0"/>
        <v>1.9</v>
      </c>
      <c r="E246" s="8">
        <v>0</v>
      </c>
      <c r="F246" s="5">
        <v>0</v>
      </c>
      <c r="G246" s="5">
        <v>0</v>
      </c>
      <c r="H246" s="5">
        <v>0</v>
      </c>
      <c r="I246" s="5">
        <v>0</v>
      </c>
      <c r="J246" s="9">
        <v>0</v>
      </c>
      <c r="K246" s="8">
        <v>1</v>
      </c>
      <c r="L246" s="5">
        <v>5</v>
      </c>
      <c r="M246" s="5">
        <v>0</v>
      </c>
      <c r="N246" s="9">
        <v>0</v>
      </c>
      <c r="O246" s="8">
        <v>1</v>
      </c>
      <c r="P246" s="5">
        <v>4</v>
      </c>
      <c r="Q246" s="5">
        <v>0</v>
      </c>
      <c r="R246" s="9">
        <v>0</v>
      </c>
      <c r="S246" s="8">
        <v>0</v>
      </c>
      <c r="T246" s="9">
        <v>0</v>
      </c>
    </row>
    <row r="247" spans="1:20" x14ac:dyDescent="0.2">
      <c r="A247" s="5" t="s">
        <v>222</v>
      </c>
      <c r="B247" s="5" t="s">
        <v>162</v>
      </c>
      <c r="C247" s="17" t="s">
        <v>323</v>
      </c>
      <c r="D247" s="7">
        <f t="shared" si="0"/>
        <v>1.9</v>
      </c>
      <c r="E247" s="8">
        <v>0</v>
      </c>
      <c r="F247" s="5">
        <v>0</v>
      </c>
      <c r="G247" s="5">
        <v>0</v>
      </c>
      <c r="H247" s="5">
        <v>0</v>
      </c>
      <c r="I247" s="5">
        <v>0</v>
      </c>
      <c r="J247" s="9">
        <v>0</v>
      </c>
      <c r="K247" s="8">
        <v>0</v>
      </c>
      <c r="L247" s="5">
        <v>0</v>
      </c>
      <c r="M247" s="5">
        <v>0</v>
      </c>
      <c r="N247" s="9">
        <v>0</v>
      </c>
      <c r="O247" s="8">
        <v>1</v>
      </c>
      <c r="P247" s="5">
        <v>9</v>
      </c>
      <c r="Q247" s="5">
        <v>0</v>
      </c>
      <c r="R247" s="9">
        <v>0</v>
      </c>
      <c r="S247" s="8">
        <v>0</v>
      </c>
      <c r="T247" s="9">
        <v>0</v>
      </c>
    </row>
    <row r="248" spans="1:20" x14ac:dyDescent="0.2">
      <c r="A248" s="5" t="s">
        <v>376</v>
      </c>
      <c r="B248" s="5" t="s">
        <v>162</v>
      </c>
      <c r="C248" s="10" t="s">
        <v>322</v>
      </c>
      <c r="D248" s="7">
        <f t="shared" si="0"/>
        <v>1.9</v>
      </c>
      <c r="E248" s="8">
        <v>0</v>
      </c>
      <c r="F248" s="5">
        <v>0</v>
      </c>
      <c r="G248" s="5">
        <v>0</v>
      </c>
      <c r="H248" s="5">
        <v>0</v>
      </c>
      <c r="I248" s="5">
        <v>0</v>
      </c>
      <c r="J248" s="9">
        <v>0</v>
      </c>
      <c r="K248" s="8">
        <v>0</v>
      </c>
      <c r="L248" s="5">
        <v>0</v>
      </c>
      <c r="M248" s="5">
        <v>0</v>
      </c>
      <c r="N248" s="9">
        <v>0</v>
      </c>
      <c r="O248" s="8">
        <v>1</v>
      </c>
      <c r="P248" s="5">
        <v>9</v>
      </c>
      <c r="Q248" s="5">
        <v>0</v>
      </c>
      <c r="R248" s="9">
        <v>0</v>
      </c>
      <c r="S248" s="8">
        <v>0</v>
      </c>
      <c r="T248" s="9">
        <v>0</v>
      </c>
    </row>
    <row r="249" spans="1:20" x14ac:dyDescent="0.2">
      <c r="A249" s="5" t="s">
        <v>202</v>
      </c>
      <c r="B249" s="5" t="s">
        <v>162</v>
      </c>
      <c r="C249" s="10" t="s">
        <v>333</v>
      </c>
      <c r="D249" s="7">
        <f t="shared" si="0"/>
        <v>1.8</v>
      </c>
      <c r="E249" s="8">
        <v>0</v>
      </c>
      <c r="F249" s="5">
        <v>0</v>
      </c>
      <c r="G249" s="5">
        <v>0</v>
      </c>
      <c r="H249" s="5">
        <v>0</v>
      </c>
      <c r="I249" s="5">
        <v>0</v>
      </c>
      <c r="J249" s="9">
        <v>0</v>
      </c>
      <c r="K249" s="8">
        <v>1</v>
      </c>
      <c r="L249" s="5">
        <v>-2</v>
      </c>
      <c r="M249" s="5">
        <v>0</v>
      </c>
      <c r="N249" s="9">
        <v>0</v>
      </c>
      <c r="O249" s="8">
        <v>1</v>
      </c>
      <c r="P249" s="5">
        <v>10</v>
      </c>
      <c r="Q249" s="5">
        <v>0</v>
      </c>
      <c r="R249" s="9">
        <v>0</v>
      </c>
      <c r="S249" s="8">
        <v>0</v>
      </c>
      <c r="T249" s="9">
        <v>0</v>
      </c>
    </row>
    <row r="250" spans="1:20" x14ac:dyDescent="0.2">
      <c r="A250" s="5" t="s">
        <v>317</v>
      </c>
      <c r="B250" s="5" t="s">
        <v>69</v>
      </c>
      <c r="C250" s="17" t="s">
        <v>327</v>
      </c>
      <c r="D250" s="7">
        <f t="shared" si="0"/>
        <v>1.8</v>
      </c>
      <c r="E250" s="8">
        <v>0</v>
      </c>
      <c r="F250" s="5">
        <v>0</v>
      </c>
      <c r="G250" s="5">
        <v>0</v>
      </c>
      <c r="H250" s="5">
        <v>0</v>
      </c>
      <c r="I250" s="5">
        <v>0</v>
      </c>
      <c r="J250" s="9">
        <v>0</v>
      </c>
      <c r="K250" s="8">
        <v>0</v>
      </c>
      <c r="L250" s="5">
        <v>0</v>
      </c>
      <c r="M250" s="5">
        <v>0</v>
      </c>
      <c r="N250" s="9">
        <v>0</v>
      </c>
      <c r="O250" s="8">
        <v>1</v>
      </c>
      <c r="P250" s="5">
        <v>8</v>
      </c>
      <c r="Q250" s="5">
        <v>0</v>
      </c>
      <c r="R250" s="9">
        <v>0</v>
      </c>
      <c r="S250" s="8">
        <v>0</v>
      </c>
      <c r="T250" s="9">
        <v>0</v>
      </c>
    </row>
    <row r="251" spans="1:20" x14ac:dyDescent="0.2">
      <c r="A251" s="5" t="s">
        <v>269</v>
      </c>
      <c r="B251" s="5" t="s">
        <v>162</v>
      </c>
      <c r="C251" s="10" t="s">
        <v>324</v>
      </c>
      <c r="D251" s="7">
        <f t="shared" si="0"/>
        <v>1.7000000000000002</v>
      </c>
      <c r="E251" s="8">
        <v>0</v>
      </c>
      <c r="F251" s="5">
        <v>0</v>
      </c>
      <c r="G251" s="5">
        <v>0</v>
      </c>
      <c r="H251" s="5">
        <v>0</v>
      </c>
      <c r="I251" s="5">
        <v>0</v>
      </c>
      <c r="J251" s="9">
        <v>0</v>
      </c>
      <c r="K251" s="8">
        <v>0</v>
      </c>
      <c r="L251" s="5">
        <v>0</v>
      </c>
      <c r="M251" s="5">
        <v>0</v>
      </c>
      <c r="N251" s="9">
        <v>0</v>
      </c>
      <c r="O251" s="8">
        <v>1</v>
      </c>
      <c r="P251" s="5">
        <v>7</v>
      </c>
      <c r="Q251" s="5">
        <v>0</v>
      </c>
      <c r="R251" s="9">
        <v>0</v>
      </c>
      <c r="S251" s="8">
        <v>0</v>
      </c>
      <c r="T251" s="9">
        <v>0</v>
      </c>
    </row>
    <row r="252" spans="1:20" x14ac:dyDescent="0.2">
      <c r="A252" s="5" t="s">
        <v>253</v>
      </c>
      <c r="B252" s="5" t="s">
        <v>162</v>
      </c>
      <c r="C252" s="17" t="s">
        <v>321</v>
      </c>
      <c r="D252" s="7">
        <f t="shared" si="0"/>
        <v>1.7000000000000002</v>
      </c>
      <c r="E252" s="8">
        <v>0</v>
      </c>
      <c r="F252" s="5">
        <v>0</v>
      </c>
      <c r="G252" s="5">
        <v>0</v>
      </c>
      <c r="H252" s="5">
        <v>0</v>
      </c>
      <c r="I252" s="5">
        <v>0</v>
      </c>
      <c r="J252" s="9">
        <v>0</v>
      </c>
      <c r="K252" s="8">
        <v>0</v>
      </c>
      <c r="L252" s="5">
        <v>0</v>
      </c>
      <c r="M252" s="5">
        <v>0</v>
      </c>
      <c r="N252" s="9">
        <v>0</v>
      </c>
      <c r="O252" s="8">
        <v>1</v>
      </c>
      <c r="P252" s="5">
        <v>7</v>
      </c>
      <c r="Q252" s="5">
        <v>0</v>
      </c>
      <c r="R252" s="9">
        <v>0</v>
      </c>
      <c r="S252" s="8">
        <v>0</v>
      </c>
      <c r="T252" s="9">
        <v>0</v>
      </c>
    </row>
    <row r="253" spans="1:20" x14ac:dyDescent="0.2">
      <c r="A253" s="5" t="s">
        <v>377</v>
      </c>
      <c r="B253" s="5" t="s">
        <v>162</v>
      </c>
      <c r="C253" s="17" t="s">
        <v>329</v>
      </c>
      <c r="D253" s="7">
        <f t="shared" si="0"/>
        <v>1.7000000000000002</v>
      </c>
      <c r="E253" s="8">
        <v>0</v>
      </c>
      <c r="F253" s="5">
        <v>0</v>
      </c>
      <c r="G253" s="5">
        <v>0</v>
      </c>
      <c r="H253" s="5">
        <v>0</v>
      </c>
      <c r="I253" s="5">
        <v>0</v>
      </c>
      <c r="J253" s="9">
        <v>0</v>
      </c>
      <c r="K253" s="8">
        <v>0</v>
      </c>
      <c r="L253" s="5">
        <v>0</v>
      </c>
      <c r="M253" s="5">
        <v>0</v>
      </c>
      <c r="N253" s="9">
        <v>0</v>
      </c>
      <c r="O253" s="8">
        <v>1</v>
      </c>
      <c r="P253" s="5">
        <v>7</v>
      </c>
      <c r="Q253" s="5">
        <v>0</v>
      </c>
      <c r="R253" s="9">
        <v>0</v>
      </c>
      <c r="S253" s="8">
        <v>0</v>
      </c>
      <c r="T253" s="9">
        <v>0</v>
      </c>
    </row>
    <row r="254" spans="1:20" x14ac:dyDescent="0.2">
      <c r="A254" s="5" t="s">
        <v>255</v>
      </c>
      <c r="B254" s="5" t="s">
        <v>162</v>
      </c>
      <c r="C254" s="17" t="s">
        <v>333</v>
      </c>
      <c r="D254" s="7">
        <f t="shared" si="0"/>
        <v>1.7000000000000002</v>
      </c>
      <c r="E254" s="8">
        <v>0</v>
      </c>
      <c r="F254" s="5">
        <v>0</v>
      </c>
      <c r="G254" s="5">
        <v>0</v>
      </c>
      <c r="H254" s="5">
        <v>0</v>
      </c>
      <c r="I254" s="5">
        <v>0</v>
      </c>
      <c r="J254" s="9">
        <v>0</v>
      </c>
      <c r="K254" s="8">
        <v>0</v>
      </c>
      <c r="L254" s="5">
        <v>0</v>
      </c>
      <c r="M254" s="5">
        <v>0</v>
      </c>
      <c r="N254" s="9">
        <v>0</v>
      </c>
      <c r="O254" s="8">
        <v>1</v>
      </c>
      <c r="P254" s="5">
        <v>7</v>
      </c>
      <c r="Q254" s="5">
        <v>0</v>
      </c>
      <c r="R254" s="9">
        <v>0</v>
      </c>
      <c r="S254" s="8">
        <v>0</v>
      </c>
      <c r="T254" s="9">
        <v>0</v>
      </c>
    </row>
    <row r="255" spans="1:20" x14ac:dyDescent="0.2">
      <c r="A255" s="5" t="s">
        <v>274</v>
      </c>
      <c r="B255" s="5" t="s">
        <v>69</v>
      </c>
      <c r="C255" s="17" t="s">
        <v>321</v>
      </c>
      <c r="D255" s="7">
        <f t="shared" si="0"/>
        <v>1.7000000000000002</v>
      </c>
      <c r="E255" s="8">
        <v>0</v>
      </c>
      <c r="F255" s="5">
        <v>0</v>
      </c>
      <c r="G255" s="5">
        <v>0</v>
      </c>
      <c r="H255" s="5">
        <v>0</v>
      </c>
      <c r="I255" s="5">
        <v>0</v>
      </c>
      <c r="J255" s="9">
        <v>0</v>
      </c>
      <c r="K255" s="8">
        <v>0</v>
      </c>
      <c r="L255" s="5">
        <v>0</v>
      </c>
      <c r="M255" s="5">
        <v>0</v>
      </c>
      <c r="N255" s="9">
        <v>0</v>
      </c>
      <c r="O255" s="8">
        <v>1</v>
      </c>
      <c r="P255" s="5">
        <v>7</v>
      </c>
      <c r="Q255" s="5">
        <v>0</v>
      </c>
      <c r="R255" s="9">
        <v>0</v>
      </c>
      <c r="S255" s="8">
        <v>0</v>
      </c>
      <c r="T255" s="9">
        <v>0</v>
      </c>
    </row>
    <row r="256" spans="1:20" x14ac:dyDescent="0.2">
      <c r="A256" s="5" t="s">
        <v>378</v>
      </c>
      <c r="B256" s="5" t="s">
        <v>162</v>
      </c>
      <c r="C256" s="17" t="s">
        <v>332</v>
      </c>
      <c r="D256" s="7">
        <f t="shared" si="0"/>
        <v>1.6</v>
      </c>
      <c r="E256" s="8">
        <v>0</v>
      </c>
      <c r="F256" s="5">
        <v>0</v>
      </c>
      <c r="G256" s="5">
        <v>0</v>
      </c>
      <c r="H256" s="5">
        <v>0</v>
      </c>
      <c r="I256" s="5">
        <v>0</v>
      </c>
      <c r="J256" s="9">
        <v>0</v>
      </c>
      <c r="K256" s="8">
        <v>0</v>
      </c>
      <c r="L256" s="5">
        <v>0</v>
      </c>
      <c r="M256" s="5">
        <v>0</v>
      </c>
      <c r="N256" s="9">
        <v>0</v>
      </c>
      <c r="O256" s="8">
        <v>1</v>
      </c>
      <c r="P256" s="5">
        <v>6</v>
      </c>
      <c r="Q256" s="5">
        <v>0</v>
      </c>
      <c r="R256" s="9">
        <v>0</v>
      </c>
      <c r="S256" s="8">
        <v>0</v>
      </c>
      <c r="T256" s="9">
        <v>0</v>
      </c>
    </row>
    <row r="257" spans="1:20" x14ac:dyDescent="0.2">
      <c r="A257" s="5" t="s">
        <v>248</v>
      </c>
      <c r="B257" s="5" t="s">
        <v>162</v>
      </c>
      <c r="C257" s="17" t="s">
        <v>336</v>
      </c>
      <c r="D257" s="7">
        <f t="shared" si="0"/>
        <v>1.6</v>
      </c>
      <c r="E257" s="8">
        <v>0</v>
      </c>
      <c r="F257" s="5">
        <v>0</v>
      </c>
      <c r="G257" s="5">
        <v>0</v>
      </c>
      <c r="H257" s="5">
        <v>0</v>
      </c>
      <c r="I257" s="5">
        <v>0</v>
      </c>
      <c r="J257" s="9">
        <v>0</v>
      </c>
      <c r="K257" s="8">
        <v>0</v>
      </c>
      <c r="L257" s="5">
        <v>0</v>
      </c>
      <c r="M257" s="5">
        <v>0</v>
      </c>
      <c r="N257" s="9">
        <v>0</v>
      </c>
      <c r="O257" s="8">
        <v>1</v>
      </c>
      <c r="P257" s="5">
        <v>6</v>
      </c>
      <c r="Q257" s="5">
        <v>0</v>
      </c>
      <c r="R257" s="9">
        <v>0</v>
      </c>
      <c r="S257" s="8">
        <v>0</v>
      </c>
      <c r="T257" s="9">
        <v>0</v>
      </c>
    </row>
    <row r="258" spans="1:20" x14ac:dyDescent="0.2">
      <c r="A258" s="5" t="s">
        <v>379</v>
      </c>
      <c r="B258" s="5" t="s">
        <v>75</v>
      </c>
      <c r="C258" s="10" t="s">
        <v>330</v>
      </c>
      <c r="D258" s="7">
        <f t="shared" ref="D258:D295" si="1">0.04*G258+4*H258-2*I258+2*J258+0.1*L258+6*M258+2*N258+1*O258+0.1*P258+6*Q258+2*R258-2*S258</f>
        <v>1.5000000000000002</v>
      </c>
      <c r="E258" s="8">
        <v>0</v>
      </c>
      <c r="F258" s="5">
        <v>0</v>
      </c>
      <c r="G258" s="5">
        <v>0</v>
      </c>
      <c r="H258" s="5">
        <v>0</v>
      </c>
      <c r="I258" s="5">
        <v>0</v>
      </c>
      <c r="J258" s="9">
        <v>0</v>
      </c>
      <c r="K258" s="8">
        <v>3</v>
      </c>
      <c r="L258" s="5">
        <v>7</v>
      </c>
      <c r="M258" s="5">
        <v>0</v>
      </c>
      <c r="N258" s="9">
        <v>0</v>
      </c>
      <c r="O258" s="8">
        <v>1</v>
      </c>
      <c r="P258" s="5">
        <v>-2</v>
      </c>
      <c r="Q258" s="5">
        <v>0</v>
      </c>
      <c r="R258" s="9">
        <v>0</v>
      </c>
      <c r="S258" s="8">
        <v>0</v>
      </c>
      <c r="T258" s="9">
        <v>0</v>
      </c>
    </row>
    <row r="259" spans="1:20" x14ac:dyDescent="0.2">
      <c r="A259" s="5" t="s">
        <v>380</v>
      </c>
      <c r="B259" s="5" t="s">
        <v>75</v>
      </c>
      <c r="C259" s="17" t="s">
        <v>334</v>
      </c>
      <c r="D259" s="7">
        <f t="shared" si="1"/>
        <v>1.5</v>
      </c>
      <c r="E259" s="8">
        <v>0</v>
      </c>
      <c r="F259" s="5">
        <v>0</v>
      </c>
      <c r="G259" s="5">
        <v>0</v>
      </c>
      <c r="H259" s="5">
        <v>0</v>
      </c>
      <c r="I259" s="5">
        <v>0</v>
      </c>
      <c r="J259" s="9">
        <v>0</v>
      </c>
      <c r="K259" s="8">
        <v>0</v>
      </c>
      <c r="L259" s="5">
        <v>0</v>
      </c>
      <c r="M259" s="5">
        <v>0</v>
      </c>
      <c r="N259" s="9">
        <v>0</v>
      </c>
      <c r="O259" s="8">
        <v>1</v>
      </c>
      <c r="P259" s="5">
        <v>5</v>
      </c>
      <c r="Q259" s="5">
        <v>0</v>
      </c>
      <c r="R259" s="9">
        <v>0</v>
      </c>
      <c r="S259" s="8">
        <v>0</v>
      </c>
      <c r="T259" s="9">
        <v>0</v>
      </c>
    </row>
    <row r="260" spans="1:20" x14ac:dyDescent="0.2">
      <c r="A260" s="5" t="s">
        <v>268</v>
      </c>
      <c r="B260" s="5" t="s">
        <v>162</v>
      </c>
      <c r="C260" s="10" t="s">
        <v>335</v>
      </c>
      <c r="D260" s="7">
        <f t="shared" si="1"/>
        <v>1.5</v>
      </c>
      <c r="E260" s="8">
        <v>0</v>
      </c>
      <c r="F260" s="5">
        <v>0</v>
      </c>
      <c r="G260" s="5">
        <v>0</v>
      </c>
      <c r="H260" s="5">
        <v>0</v>
      </c>
      <c r="I260" s="5">
        <v>0</v>
      </c>
      <c r="J260" s="9">
        <v>0</v>
      </c>
      <c r="K260" s="8">
        <v>0</v>
      </c>
      <c r="L260" s="5">
        <v>0</v>
      </c>
      <c r="M260" s="5">
        <v>0</v>
      </c>
      <c r="N260" s="9">
        <v>0</v>
      </c>
      <c r="O260" s="8">
        <v>1</v>
      </c>
      <c r="P260" s="5">
        <v>5</v>
      </c>
      <c r="Q260" s="5">
        <v>0</v>
      </c>
      <c r="R260" s="9">
        <v>0</v>
      </c>
      <c r="S260" s="8">
        <v>0</v>
      </c>
      <c r="T260" s="9">
        <v>0</v>
      </c>
    </row>
    <row r="261" spans="1:20" x14ac:dyDescent="0.2">
      <c r="A261" s="5" t="s">
        <v>381</v>
      </c>
      <c r="B261" s="5" t="s">
        <v>162</v>
      </c>
      <c r="C261" s="10" t="s">
        <v>333</v>
      </c>
      <c r="D261" s="7">
        <f t="shared" si="1"/>
        <v>1.5</v>
      </c>
      <c r="E261" s="8">
        <v>0</v>
      </c>
      <c r="F261" s="5">
        <v>0</v>
      </c>
      <c r="G261" s="5">
        <v>0</v>
      </c>
      <c r="H261" s="5">
        <v>0</v>
      </c>
      <c r="I261" s="5">
        <v>0</v>
      </c>
      <c r="J261" s="9">
        <v>0</v>
      </c>
      <c r="K261" s="8">
        <v>0</v>
      </c>
      <c r="L261" s="5">
        <v>0</v>
      </c>
      <c r="M261" s="5">
        <v>0</v>
      </c>
      <c r="N261" s="9">
        <v>0</v>
      </c>
      <c r="O261" s="8">
        <v>1</v>
      </c>
      <c r="P261" s="5">
        <v>5</v>
      </c>
      <c r="Q261" s="5">
        <v>0</v>
      </c>
      <c r="R261" s="9">
        <v>0</v>
      </c>
      <c r="S261" s="8">
        <v>0</v>
      </c>
      <c r="T261" s="9">
        <v>0</v>
      </c>
    </row>
    <row r="262" spans="1:20" x14ac:dyDescent="0.2">
      <c r="A262" s="5" t="s">
        <v>382</v>
      </c>
      <c r="B262" s="5" t="s">
        <v>162</v>
      </c>
      <c r="C262" s="17" t="s">
        <v>327</v>
      </c>
      <c r="D262" s="7">
        <f t="shared" si="1"/>
        <v>1.5</v>
      </c>
      <c r="E262" s="8">
        <v>0</v>
      </c>
      <c r="F262" s="5">
        <v>0</v>
      </c>
      <c r="G262" s="5">
        <v>0</v>
      </c>
      <c r="H262" s="5">
        <v>0</v>
      </c>
      <c r="I262" s="5">
        <v>0</v>
      </c>
      <c r="J262" s="9">
        <v>0</v>
      </c>
      <c r="K262" s="8">
        <v>3</v>
      </c>
      <c r="L262" s="5">
        <v>15</v>
      </c>
      <c r="M262" s="5">
        <v>0</v>
      </c>
      <c r="N262" s="9">
        <v>0</v>
      </c>
      <c r="O262" s="8">
        <v>0</v>
      </c>
      <c r="P262" s="5">
        <v>0</v>
      </c>
      <c r="Q262" s="5">
        <v>0</v>
      </c>
      <c r="R262" s="9">
        <v>0</v>
      </c>
      <c r="S262" s="8">
        <v>0</v>
      </c>
      <c r="T262" s="9">
        <v>0</v>
      </c>
    </row>
    <row r="263" spans="1:20" x14ac:dyDescent="0.2">
      <c r="A263" s="5" t="s">
        <v>383</v>
      </c>
      <c r="B263" s="5" t="s">
        <v>75</v>
      </c>
      <c r="C263" s="10" t="s">
        <v>323</v>
      </c>
      <c r="D263" s="7">
        <f t="shared" si="1"/>
        <v>1.4</v>
      </c>
      <c r="E263" s="8">
        <v>0</v>
      </c>
      <c r="F263" s="5">
        <v>0</v>
      </c>
      <c r="G263" s="5">
        <v>0</v>
      </c>
      <c r="H263" s="5">
        <v>0</v>
      </c>
      <c r="I263" s="5">
        <v>0</v>
      </c>
      <c r="J263" s="9">
        <v>0</v>
      </c>
      <c r="K263" s="8">
        <v>0</v>
      </c>
      <c r="L263" s="5">
        <v>0</v>
      </c>
      <c r="M263" s="5">
        <v>0</v>
      </c>
      <c r="N263" s="9">
        <v>0</v>
      </c>
      <c r="O263" s="8">
        <v>1</v>
      </c>
      <c r="P263" s="5">
        <v>4</v>
      </c>
      <c r="Q263" s="5">
        <v>0</v>
      </c>
      <c r="R263" s="9">
        <v>0</v>
      </c>
      <c r="S263" s="8">
        <v>0</v>
      </c>
      <c r="T263" s="9">
        <v>0</v>
      </c>
    </row>
    <row r="264" spans="1:20" x14ac:dyDescent="0.2">
      <c r="A264" s="5" t="s">
        <v>204</v>
      </c>
      <c r="B264" s="5" t="s">
        <v>162</v>
      </c>
      <c r="C264" s="10" t="s">
        <v>325</v>
      </c>
      <c r="D264" s="7">
        <f t="shared" si="1"/>
        <v>1.4</v>
      </c>
      <c r="E264" s="8">
        <v>0</v>
      </c>
      <c r="F264" s="5">
        <v>0</v>
      </c>
      <c r="G264" s="5">
        <v>0</v>
      </c>
      <c r="H264" s="5">
        <v>0</v>
      </c>
      <c r="I264" s="5">
        <v>0</v>
      </c>
      <c r="J264" s="9">
        <v>0</v>
      </c>
      <c r="K264" s="8">
        <v>0</v>
      </c>
      <c r="L264" s="5">
        <v>0</v>
      </c>
      <c r="M264" s="5">
        <v>0</v>
      </c>
      <c r="N264" s="9">
        <v>0</v>
      </c>
      <c r="O264" s="8">
        <v>1</v>
      </c>
      <c r="P264" s="5">
        <v>4</v>
      </c>
      <c r="Q264" s="5">
        <v>0</v>
      </c>
      <c r="R264" s="9">
        <v>0</v>
      </c>
      <c r="S264" s="8">
        <v>0</v>
      </c>
      <c r="T264" s="9">
        <v>0</v>
      </c>
    </row>
    <row r="265" spans="1:20" x14ac:dyDescent="0.2">
      <c r="A265" s="5" t="s">
        <v>384</v>
      </c>
      <c r="B265" s="5" t="s">
        <v>162</v>
      </c>
      <c r="C265" s="17" t="s">
        <v>325</v>
      </c>
      <c r="D265" s="7">
        <f t="shared" si="1"/>
        <v>1.4</v>
      </c>
      <c r="E265" s="8">
        <v>0</v>
      </c>
      <c r="F265" s="5">
        <v>0</v>
      </c>
      <c r="G265" s="5">
        <v>0</v>
      </c>
      <c r="H265" s="5">
        <v>0</v>
      </c>
      <c r="I265" s="5">
        <v>0</v>
      </c>
      <c r="J265" s="9">
        <v>0</v>
      </c>
      <c r="K265" s="8">
        <v>0</v>
      </c>
      <c r="L265" s="5">
        <v>0</v>
      </c>
      <c r="M265" s="5">
        <v>0</v>
      </c>
      <c r="N265" s="9">
        <v>0</v>
      </c>
      <c r="O265" s="8">
        <v>1</v>
      </c>
      <c r="P265" s="5">
        <v>4</v>
      </c>
      <c r="Q265" s="5">
        <v>0</v>
      </c>
      <c r="R265" s="9">
        <v>0</v>
      </c>
      <c r="S265" s="8">
        <v>0</v>
      </c>
      <c r="T265" s="9">
        <v>0</v>
      </c>
    </row>
    <row r="266" spans="1:20" x14ac:dyDescent="0.2">
      <c r="A266" s="5" t="s">
        <v>385</v>
      </c>
      <c r="B266" s="5" t="s">
        <v>162</v>
      </c>
      <c r="C266" s="17" t="s">
        <v>322</v>
      </c>
      <c r="D266" s="7">
        <f t="shared" si="1"/>
        <v>1.4</v>
      </c>
      <c r="E266" s="8">
        <v>0</v>
      </c>
      <c r="F266" s="5">
        <v>0</v>
      </c>
      <c r="G266" s="5">
        <v>0</v>
      </c>
      <c r="H266" s="5">
        <v>0</v>
      </c>
      <c r="I266" s="5">
        <v>0</v>
      </c>
      <c r="J266" s="9">
        <v>0</v>
      </c>
      <c r="K266" s="8">
        <v>0</v>
      </c>
      <c r="L266" s="5">
        <v>0</v>
      </c>
      <c r="M266" s="5">
        <v>0</v>
      </c>
      <c r="N266" s="9">
        <v>0</v>
      </c>
      <c r="O266" s="8">
        <v>1</v>
      </c>
      <c r="P266" s="5">
        <v>4</v>
      </c>
      <c r="Q266" s="5">
        <v>0</v>
      </c>
      <c r="R266" s="9">
        <v>0</v>
      </c>
      <c r="S266" s="8">
        <v>0</v>
      </c>
      <c r="T266" s="9">
        <v>0</v>
      </c>
    </row>
    <row r="267" spans="1:20" x14ac:dyDescent="0.2">
      <c r="A267" s="5" t="s">
        <v>110</v>
      </c>
      <c r="B267" s="5" t="s">
        <v>75</v>
      </c>
      <c r="C267" s="10" t="s">
        <v>331</v>
      </c>
      <c r="D267" s="7">
        <f t="shared" si="1"/>
        <v>1.3</v>
      </c>
      <c r="E267" s="8">
        <v>0</v>
      </c>
      <c r="F267" s="5">
        <v>0</v>
      </c>
      <c r="G267" s="5">
        <v>0</v>
      </c>
      <c r="H267" s="5">
        <v>0</v>
      </c>
      <c r="I267" s="5">
        <v>0</v>
      </c>
      <c r="J267" s="9">
        <v>0</v>
      </c>
      <c r="K267" s="8">
        <v>5</v>
      </c>
      <c r="L267" s="5">
        <v>13</v>
      </c>
      <c r="M267" s="5">
        <v>0</v>
      </c>
      <c r="N267" s="9">
        <v>0</v>
      </c>
      <c r="O267" s="8">
        <v>0</v>
      </c>
      <c r="P267" s="5">
        <v>0</v>
      </c>
      <c r="Q267" s="5">
        <v>0</v>
      </c>
      <c r="R267" s="9">
        <v>0</v>
      </c>
      <c r="S267" s="8">
        <v>0</v>
      </c>
      <c r="T267" s="9">
        <v>0</v>
      </c>
    </row>
    <row r="268" spans="1:20" x14ac:dyDescent="0.2">
      <c r="A268" s="5" t="s">
        <v>386</v>
      </c>
      <c r="B268" s="5" t="s">
        <v>75</v>
      </c>
      <c r="C268" s="10" t="s">
        <v>334</v>
      </c>
      <c r="D268" s="7">
        <f t="shared" si="1"/>
        <v>1.3</v>
      </c>
      <c r="E268" s="8">
        <v>0</v>
      </c>
      <c r="F268" s="5">
        <v>0</v>
      </c>
      <c r="G268" s="5">
        <v>0</v>
      </c>
      <c r="H268" s="5">
        <v>0</v>
      </c>
      <c r="I268" s="5">
        <v>0</v>
      </c>
      <c r="J268" s="9">
        <v>0</v>
      </c>
      <c r="K268" s="8">
        <v>0</v>
      </c>
      <c r="L268" s="5">
        <v>0</v>
      </c>
      <c r="M268" s="5">
        <v>0</v>
      </c>
      <c r="N268" s="9">
        <v>0</v>
      </c>
      <c r="O268" s="8">
        <v>1</v>
      </c>
      <c r="P268" s="5">
        <v>3</v>
      </c>
      <c r="Q268" s="5">
        <v>0</v>
      </c>
      <c r="R268" s="9">
        <v>0</v>
      </c>
      <c r="S268" s="8">
        <v>0</v>
      </c>
      <c r="T268" s="9">
        <v>0</v>
      </c>
    </row>
    <row r="269" spans="1:20" x14ac:dyDescent="0.2">
      <c r="A269" s="5" t="s">
        <v>387</v>
      </c>
      <c r="B269" s="5" t="s">
        <v>162</v>
      </c>
      <c r="C269" s="17" t="s">
        <v>330</v>
      </c>
      <c r="D269" s="7">
        <f t="shared" si="1"/>
        <v>1.3</v>
      </c>
      <c r="E269" s="8">
        <v>0</v>
      </c>
      <c r="F269" s="5">
        <v>0</v>
      </c>
      <c r="G269" s="5">
        <v>0</v>
      </c>
      <c r="H269" s="5">
        <v>0</v>
      </c>
      <c r="I269" s="5">
        <v>0</v>
      </c>
      <c r="J269" s="9">
        <v>0</v>
      </c>
      <c r="K269" s="8">
        <v>0</v>
      </c>
      <c r="L269" s="5">
        <v>0</v>
      </c>
      <c r="M269" s="5">
        <v>0</v>
      </c>
      <c r="N269" s="9">
        <v>0</v>
      </c>
      <c r="O269" s="8">
        <v>1</v>
      </c>
      <c r="P269" s="5">
        <v>3</v>
      </c>
      <c r="Q269" s="5">
        <v>0</v>
      </c>
      <c r="R269" s="9">
        <v>0</v>
      </c>
      <c r="S269" s="8">
        <v>0</v>
      </c>
      <c r="T269" s="9">
        <v>0</v>
      </c>
    </row>
    <row r="270" spans="1:20" x14ac:dyDescent="0.2">
      <c r="A270" s="5" t="s">
        <v>251</v>
      </c>
      <c r="B270" s="5" t="s">
        <v>162</v>
      </c>
      <c r="C270" s="10" t="s">
        <v>332</v>
      </c>
      <c r="D270" s="7">
        <f t="shared" si="1"/>
        <v>1.3</v>
      </c>
      <c r="E270" s="8">
        <v>0</v>
      </c>
      <c r="F270" s="5">
        <v>0</v>
      </c>
      <c r="G270" s="5">
        <v>0</v>
      </c>
      <c r="H270" s="5">
        <v>0</v>
      </c>
      <c r="I270" s="5">
        <v>0</v>
      </c>
      <c r="J270" s="9">
        <v>0</v>
      </c>
      <c r="K270" s="8">
        <v>0</v>
      </c>
      <c r="L270" s="5">
        <v>0</v>
      </c>
      <c r="M270" s="5">
        <v>0</v>
      </c>
      <c r="N270" s="9">
        <v>0</v>
      </c>
      <c r="O270" s="8">
        <v>1</v>
      </c>
      <c r="P270" s="5">
        <v>3</v>
      </c>
      <c r="Q270" s="5">
        <v>0</v>
      </c>
      <c r="R270" s="9">
        <v>0</v>
      </c>
      <c r="S270" s="8">
        <v>0</v>
      </c>
      <c r="T270" s="9">
        <v>0</v>
      </c>
    </row>
    <row r="271" spans="1:20" x14ac:dyDescent="0.2">
      <c r="A271" s="5" t="s">
        <v>154</v>
      </c>
      <c r="B271" s="5" t="s">
        <v>75</v>
      </c>
      <c r="C271" s="10" t="s">
        <v>324</v>
      </c>
      <c r="D271" s="7">
        <f t="shared" si="1"/>
        <v>1.2000000000000002</v>
      </c>
      <c r="E271" s="8">
        <v>0</v>
      </c>
      <c r="F271" s="5">
        <v>0</v>
      </c>
      <c r="G271" s="5">
        <v>0</v>
      </c>
      <c r="H271" s="5">
        <v>0</v>
      </c>
      <c r="I271" s="5">
        <v>0</v>
      </c>
      <c r="J271" s="9">
        <v>0</v>
      </c>
      <c r="K271" s="8">
        <v>2</v>
      </c>
      <c r="L271" s="5">
        <v>12</v>
      </c>
      <c r="M271" s="5">
        <v>0</v>
      </c>
      <c r="N271" s="9">
        <v>0</v>
      </c>
      <c r="O271" s="8">
        <v>0</v>
      </c>
      <c r="P271" s="5">
        <v>0</v>
      </c>
      <c r="Q271" s="5">
        <v>0</v>
      </c>
      <c r="R271" s="9">
        <v>0</v>
      </c>
      <c r="S271" s="8">
        <v>0</v>
      </c>
      <c r="T271" s="9">
        <v>0</v>
      </c>
    </row>
    <row r="272" spans="1:20" x14ac:dyDescent="0.2">
      <c r="A272" s="5" t="s">
        <v>388</v>
      </c>
      <c r="B272" s="5" t="s">
        <v>162</v>
      </c>
      <c r="C272" s="10" t="s">
        <v>330</v>
      </c>
      <c r="D272" s="7">
        <f t="shared" si="1"/>
        <v>1.2</v>
      </c>
      <c r="E272" s="8">
        <v>0</v>
      </c>
      <c r="F272" s="5">
        <v>0</v>
      </c>
      <c r="G272" s="5">
        <v>0</v>
      </c>
      <c r="H272" s="5">
        <v>0</v>
      </c>
      <c r="I272" s="5">
        <v>0</v>
      </c>
      <c r="J272" s="9">
        <v>0</v>
      </c>
      <c r="K272" s="8">
        <v>0</v>
      </c>
      <c r="L272" s="5">
        <v>0</v>
      </c>
      <c r="M272" s="5">
        <v>0</v>
      </c>
      <c r="N272" s="9">
        <v>0</v>
      </c>
      <c r="O272" s="8">
        <v>1</v>
      </c>
      <c r="P272" s="5">
        <v>2</v>
      </c>
      <c r="Q272" s="5">
        <v>0</v>
      </c>
      <c r="R272" s="9">
        <v>0</v>
      </c>
      <c r="S272" s="8">
        <v>0</v>
      </c>
      <c r="T272" s="9">
        <v>0</v>
      </c>
    </row>
    <row r="273" spans="1:20" x14ac:dyDescent="0.2">
      <c r="A273" s="5" t="s">
        <v>311</v>
      </c>
      <c r="B273" s="5" t="s">
        <v>69</v>
      </c>
      <c r="C273" s="17" t="s">
        <v>333</v>
      </c>
      <c r="D273" s="7">
        <f t="shared" si="1"/>
        <v>1.2</v>
      </c>
      <c r="E273" s="8">
        <v>0</v>
      </c>
      <c r="F273" s="5">
        <v>0</v>
      </c>
      <c r="G273" s="5">
        <v>0</v>
      </c>
      <c r="H273" s="5">
        <v>0</v>
      </c>
      <c r="I273" s="5">
        <v>0</v>
      </c>
      <c r="J273" s="9">
        <v>0</v>
      </c>
      <c r="K273" s="8">
        <v>0</v>
      </c>
      <c r="L273" s="5">
        <v>0</v>
      </c>
      <c r="M273" s="5">
        <v>0</v>
      </c>
      <c r="N273" s="9">
        <v>0</v>
      </c>
      <c r="O273" s="8">
        <v>1</v>
      </c>
      <c r="P273" s="5">
        <v>2</v>
      </c>
      <c r="Q273" s="5">
        <v>0</v>
      </c>
      <c r="R273" s="9">
        <v>0</v>
      </c>
      <c r="S273" s="8">
        <v>0</v>
      </c>
      <c r="T273" s="9">
        <v>0</v>
      </c>
    </row>
    <row r="274" spans="1:20" x14ac:dyDescent="0.2">
      <c r="A274" s="5" t="s">
        <v>284</v>
      </c>
      <c r="B274" s="5" t="s">
        <v>69</v>
      </c>
      <c r="C274" s="10" t="s">
        <v>333</v>
      </c>
      <c r="D274" s="7">
        <f t="shared" si="1"/>
        <v>1.2</v>
      </c>
      <c r="E274" s="8">
        <v>0</v>
      </c>
      <c r="F274" s="5">
        <v>0</v>
      </c>
      <c r="G274" s="5">
        <v>0</v>
      </c>
      <c r="H274" s="5">
        <v>0</v>
      </c>
      <c r="I274" s="5">
        <v>0</v>
      </c>
      <c r="J274" s="9">
        <v>0</v>
      </c>
      <c r="K274" s="8">
        <v>0</v>
      </c>
      <c r="L274" s="5">
        <v>0</v>
      </c>
      <c r="M274" s="5">
        <v>0</v>
      </c>
      <c r="N274" s="9">
        <v>0</v>
      </c>
      <c r="O274" s="8">
        <v>1</v>
      </c>
      <c r="P274" s="5">
        <v>2</v>
      </c>
      <c r="Q274" s="5">
        <v>0</v>
      </c>
      <c r="R274" s="9">
        <v>0</v>
      </c>
      <c r="S274" s="8">
        <v>0</v>
      </c>
      <c r="T274" s="9">
        <v>0</v>
      </c>
    </row>
    <row r="275" spans="1:20" x14ac:dyDescent="0.2">
      <c r="A275" s="5" t="s">
        <v>389</v>
      </c>
      <c r="B275" s="5" t="s">
        <v>69</v>
      </c>
      <c r="C275" s="17" t="s">
        <v>334</v>
      </c>
      <c r="D275" s="7">
        <f t="shared" si="1"/>
        <v>1.2</v>
      </c>
      <c r="E275" s="8">
        <v>0</v>
      </c>
      <c r="F275" s="5">
        <v>0</v>
      </c>
      <c r="G275" s="5">
        <v>0</v>
      </c>
      <c r="H275" s="5">
        <v>0</v>
      </c>
      <c r="I275" s="5">
        <v>0</v>
      </c>
      <c r="J275" s="9">
        <v>0</v>
      </c>
      <c r="K275" s="8">
        <v>0</v>
      </c>
      <c r="L275" s="5">
        <v>0</v>
      </c>
      <c r="M275" s="5">
        <v>0</v>
      </c>
      <c r="N275" s="9">
        <v>0</v>
      </c>
      <c r="O275" s="8">
        <v>1</v>
      </c>
      <c r="P275" s="5">
        <v>2</v>
      </c>
      <c r="Q275" s="5">
        <v>0</v>
      </c>
      <c r="R275" s="9">
        <v>0</v>
      </c>
      <c r="S275" s="8">
        <v>0</v>
      </c>
      <c r="T275" s="9">
        <v>0</v>
      </c>
    </row>
    <row r="276" spans="1:20" x14ac:dyDescent="0.2">
      <c r="A276" s="5" t="s">
        <v>247</v>
      </c>
      <c r="B276" s="5" t="s">
        <v>162</v>
      </c>
      <c r="C276" s="10" t="s">
        <v>324</v>
      </c>
      <c r="D276" s="7">
        <f t="shared" si="1"/>
        <v>1.1000000000000001</v>
      </c>
      <c r="E276" s="8">
        <v>0</v>
      </c>
      <c r="F276" s="5">
        <v>0</v>
      </c>
      <c r="G276" s="5">
        <v>0</v>
      </c>
      <c r="H276" s="5">
        <v>0</v>
      </c>
      <c r="I276" s="5">
        <v>0</v>
      </c>
      <c r="J276" s="9">
        <v>0</v>
      </c>
      <c r="K276" s="8">
        <v>1</v>
      </c>
      <c r="L276" s="5">
        <v>11</v>
      </c>
      <c r="M276" s="5">
        <v>0</v>
      </c>
      <c r="N276" s="9">
        <v>0</v>
      </c>
      <c r="O276" s="8">
        <v>0</v>
      </c>
      <c r="P276" s="5">
        <v>0</v>
      </c>
      <c r="Q276" s="5">
        <v>0</v>
      </c>
      <c r="R276" s="9">
        <v>0</v>
      </c>
      <c r="S276" s="8">
        <v>0</v>
      </c>
      <c r="T276" s="9">
        <v>0</v>
      </c>
    </row>
    <row r="277" spans="1:20" x14ac:dyDescent="0.2">
      <c r="A277" s="5" t="s">
        <v>258</v>
      </c>
      <c r="B277" s="5" t="s">
        <v>162</v>
      </c>
      <c r="C277" s="17" t="s">
        <v>321</v>
      </c>
      <c r="D277" s="7">
        <f t="shared" si="1"/>
        <v>1</v>
      </c>
      <c r="E277" s="8">
        <v>0</v>
      </c>
      <c r="F277" s="5">
        <v>0</v>
      </c>
      <c r="G277" s="5">
        <v>0</v>
      </c>
      <c r="H277" s="5">
        <v>0</v>
      </c>
      <c r="I277" s="5">
        <v>0</v>
      </c>
      <c r="J277" s="9">
        <v>0</v>
      </c>
      <c r="K277" s="8">
        <v>1</v>
      </c>
      <c r="L277" s="5">
        <v>10</v>
      </c>
      <c r="M277" s="5">
        <v>0</v>
      </c>
      <c r="N277" s="9">
        <v>0</v>
      </c>
      <c r="O277" s="8">
        <v>0</v>
      </c>
      <c r="P277" s="5">
        <v>0</v>
      </c>
      <c r="Q277" s="5">
        <v>0</v>
      </c>
      <c r="R277" s="9">
        <v>0</v>
      </c>
      <c r="S277" s="8">
        <v>0</v>
      </c>
      <c r="T277" s="9">
        <v>0</v>
      </c>
    </row>
    <row r="278" spans="1:20" x14ac:dyDescent="0.2">
      <c r="A278" s="5" t="s">
        <v>390</v>
      </c>
      <c r="B278" s="5" t="s">
        <v>69</v>
      </c>
      <c r="C278" s="10" t="s">
        <v>324</v>
      </c>
      <c r="D278" s="7">
        <f t="shared" si="1"/>
        <v>1</v>
      </c>
      <c r="E278" s="8">
        <v>0</v>
      </c>
      <c r="F278" s="5">
        <v>0</v>
      </c>
      <c r="G278" s="5">
        <v>0</v>
      </c>
      <c r="H278" s="5">
        <v>0</v>
      </c>
      <c r="I278" s="5">
        <v>0</v>
      </c>
      <c r="J278" s="9">
        <v>0</v>
      </c>
      <c r="K278" s="8">
        <v>0</v>
      </c>
      <c r="L278" s="5">
        <v>0</v>
      </c>
      <c r="M278" s="5">
        <v>0</v>
      </c>
      <c r="N278" s="9">
        <v>0</v>
      </c>
      <c r="O278" s="8">
        <v>2</v>
      </c>
      <c r="P278" s="5">
        <v>-10</v>
      </c>
      <c r="Q278" s="5">
        <v>0</v>
      </c>
      <c r="R278" s="9">
        <v>0</v>
      </c>
      <c r="S278" s="8">
        <v>0</v>
      </c>
      <c r="T278" s="9">
        <v>0</v>
      </c>
    </row>
    <row r="279" spans="1:20" x14ac:dyDescent="0.2">
      <c r="A279" s="5" t="s">
        <v>85</v>
      </c>
      <c r="B279" s="5" t="s">
        <v>75</v>
      </c>
      <c r="C279" s="17" t="s">
        <v>332</v>
      </c>
      <c r="D279" s="7">
        <f t="shared" si="1"/>
        <v>0.9</v>
      </c>
      <c r="E279" s="8">
        <v>0</v>
      </c>
      <c r="F279" s="5">
        <v>0</v>
      </c>
      <c r="G279" s="5">
        <v>0</v>
      </c>
      <c r="H279" s="5">
        <v>0</v>
      </c>
      <c r="I279" s="5">
        <v>0</v>
      </c>
      <c r="J279" s="9">
        <v>0</v>
      </c>
      <c r="K279" s="8">
        <v>4</v>
      </c>
      <c r="L279" s="5">
        <v>9</v>
      </c>
      <c r="M279" s="5">
        <v>0</v>
      </c>
      <c r="N279" s="9">
        <v>0</v>
      </c>
      <c r="O279" s="8">
        <v>0</v>
      </c>
      <c r="P279" s="5">
        <v>0</v>
      </c>
      <c r="Q279" s="5">
        <v>0</v>
      </c>
      <c r="R279" s="9">
        <v>0</v>
      </c>
      <c r="S279" s="8">
        <v>0</v>
      </c>
      <c r="T279" s="9">
        <v>0</v>
      </c>
    </row>
    <row r="280" spans="1:20" x14ac:dyDescent="0.2">
      <c r="A280" s="5" t="s">
        <v>130</v>
      </c>
      <c r="B280" s="5" t="s">
        <v>75</v>
      </c>
      <c r="C280" s="10" t="s">
        <v>324</v>
      </c>
      <c r="D280" s="7">
        <f t="shared" si="1"/>
        <v>0.70000000000000007</v>
      </c>
      <c r="E280" s="8">
        <v>0</v>
      </c>
      <c r="F280" s="5">
        <v>0</v>
      </c>
      <c r="G280" s="5">
        <v>0</v>
      </c>
      <c r="H280" s="5">
        <v>0</v>
      </c>
      <c r="I280" s="5">
        <v>0</v>
      </c>
      <c r="J280" s="9">
        <v>0</v>
      </c>
      <c r="K280" s="8">
        <v>8</v>
      </c>
      <c r="L280" s="5">
        <v>7</v>
      </c>
      <c r="M280" s="5">
        <v>0</v>
      </c>
      <c r="N280" s="9">
        <v>0</v>
      </c>
      <c r="O280" s="8">
        <v>0</v>
      </c>
      <c r="P280" s="5">
        <v>0</v>
      </c>
      <c r="Q280" s="5">
        <v>0</v>
      </c>
      <c r="R280" s="9">
        <v>0</v>
      </c>
      <c r="S280" s="8">
        <v>0</v>
      </c>
      <c r="T280" s="9">
        <v>0</v>
      </c>
    </row>
    <row r="281" spans="1:20" x14ac:dyDescent="0.2">
      <c r="A281" s="5" t="s">
        <v>245</v>
      </c>
      <c r="B281" s="5" t="s">
        <v>162</v>
      </c>
      <c r="C281" s="10" t="s">
        <v>338</v>
      </c>
      <c r="D281" s="7">
        <f t="shared" si="1"/>
        <v>0.70000000000000007</v>
      </c>
      <c r="E281" s="8">
        <v>0</v>
      </c>
      <c r="F281" s="5">
        <v>0</v>
      </c>
      <c r="G281" s="5">
        <v>0</v>
      </c>
      <c r="H281" s="5">
        <v>0</v>
      </c>
      <c r="I281" s="5">
        <v>0</v>
      </c>
      <c r="J281" s="9">
        <v>0</v>
      </c>
      <c r="K281" s="8">
        <v>1</v>
      </c>
      <c r="L281" s="5">
        <v>7</v>
      </c>
      <c r="M281" s="5">
        <v>0</v>
      </c>
      <c r="N281" s="9">
        <v>0</v>
      </c>
      <c r="O281" s="8">
        <v>0</v>
      </c>
      <c r="P281" s="5">
        <v>0</v>
      </c>
      <c r="Q281" s="5">
        <v>0</v>
      </c>
      <c r="R281" s="9">
        <v>0</v>
      </c>
      <c r="S281" s="8">
        <v>0</v>
      </c>
      <c r="T281" s="9">
        <v>0</v>
      </c>
    </row>
    <row r="282" spans="1:20" x14ac:dyDescent="0.2">
      <c r="A282" s="5" t="s">
        <v>155</v>
      </c>
      <c r="B282" s="5" t="s">
        <v>75</v>
      </c>
      <c r="C282" s="10" t="s">
        <v>322</v>
      </c>
      <c r="D282" s="7">
        <f t="shared" si="1"/>
        <v>0.60000000000000009</v>
      </c>
      <c r="E282" s="8">
        <v>0</v>
      </c>
      <c r="F282" s="5">
        <v>0</v>
      </c>
      <c r="G282" s="5">
        <v>0</v>
      </c>
      <c r="H282" s="5">
        <v>0</v>
      </c>
      <c r="I282" s="5">
        <v>0</v>
      </c>
      <c r="J282" s="9">
        <v>0</v>
      </c>
      <c r="K282" s="8">
        <v>2</v>
      </c>
      <c r="L282" s="5">
        <v>6</v>
      </c>
      <c r="M282" s="5">
        <v>0</v>
      </c>
      <c r="N282" s="9">
        <v>0</v>
      </c>
      <c r="O282" s="8">
        <v>0</v>
      </c>
      <c r="P282" s="5">
        <v>0</v>
      </c>
      <c r="Q282" s="5">
        <v>0</v>
      </c>
      <c r="R282" s="9">
        <v>0</v>
      </c>
      <c r="S282" s="8">
        <v>0</v>
      </c>
      <c r="T282" s="9">
        <v>0</v>
      </c>
    </row>
    <row r="283" spans="1:20" x14ac:dyDescent="0.2">
      <c r="A283" s="5" t="s">
        <v>142</v>
      </c>
      <c r="B283" s="5" t="s">
        <v>75</v>
      </c>
      <c r="C283" s="17" t="s">
        <v>322</v>
      </c>
      <c r="D283" s="7">
        <f t="shared" si="1"/>
        <v>0.5</v>
      </c>
      <c r="E283" s="8">
        <v>0</v>
      </c>
      <c r="F283" s="5">
        <v>0</v>
      </c>
      <c r="G283" s="5">
        <v>0</v>
      </c>
      <c r="H283" s="5">
        <v>0</v>
      </c>
      <c r="I283" s="5">
        <v>0</v>
      </c>
      <c r="J283" s="9">
        <v>0</v>
      </c>
      <c r="K283" s="8">
        <v>1</v>
      </c>
      <c r="L283" s="5">
        <v>5</v>
      </c>
      <c r="M283" s="5">
        <v>0</v>
      </c>
      <c r="N283" s="9">
        <v>0</v>
      </c>
      <c r="O283" s="8">
        <v>0</v>
      </c>
      <c r="P283" s="5">
        <v>0</v>
      </c>
      <c r="Q283" s="5">
        <v>0</v>
      </c>
      <c r="R283" s="9">
        <v>0</v>
      </c>
      <c r="S283" s="8">
        <v>0</v>
      </c>
      <c r="T283" s="9">
        <v>0</v>
      </c>
    </row>
    <row r="284" spans="1:20" x14ac:dyDescent="0.2">
      <c r="A284" s="5" t="s">
        <v>391</v>
      </c>
      <c r="B284" s="5" t="s">
        <v>75</v>
      </c>
      <c r="C284" s="17" t="s">
        <v>336</v>
      </c>
      <c r="D284" s="7">
        <f t="shared" si="1"/>
        <v>0.5</v>
      </c>
      <c r="E284" s="8">
        <v>0</v>
      </c>
      <c r="F284" s="5">
        <v>0</v>
      </c>
      <c r="G284" s="5">
        <v>0</v>
      </c>
      <c r="H284" s="5">
        <v>0</v>
      </c>
      <c r="I284" s="5">
        <v>0</v>
      </c>
      <c r="J284" s="9">
        <v>0</v>
      </c>
      <c r="K284" s="8">
        <v>3</v>
      </c>
      <c r="L284" s="5">
        <v>5</v>
      </c>
      <c r="M284" s="5">
        <v>0</v>
      </c>
      <c r="N284" s="9">
        <v>0</v>
      </c>
      <c r="O284" s="8">
        <v>0</v>
      </c>
      <c r="P284" s="5">
        <v>0</v>
      </c>
      <c r="Q284" s="5">
        <v>0</v>
      </c>
      <c r="R284" s="9">
        <v>0</v>
      </c>
      <c r="S284" s="8">
        <v>0</v>
      </c>
      <c r="T284" s="9">
        <v>0</v>
      </c>
    </row>
    <row r="285" spans="1:20" x14ac:dyDescent="0.2">
      <c r="A285" s="5" t="s">
        <v>259</v>
      </c>
      <c r="B285" s="5" t="s">
        <v>162</v>
      </c>
      <c r="C285" s="17" t="s">
        <v>331</v>
      </c>
      <c r="D285" s="7">
        <f t="shared" si="1"/>
        <v>0.5</v>
      </c>
      <c r="E285" s="8">
        <v>0</v>
      </c>
      <c r="F285" s="5">
        <v>0</v>
      </c>
      <c r="G285" s="5">
        <v>0</v>
      </c>
      <c r="H285" s="5">
        <v>0</v>
      </c>
      <c r="I285" s="5">
        <v>0</v>
      </c>
      <c r="J285" s="9">
        <v>0</v>
      </c>
      <c r="K285" s="8">
        <v>3</v>
      </c>
      <c r="L285" s="5">
        <v>5</v>
      </c>
      <c r="M285" s="5">
        <v>0</v>
      </c>
      <c r="N285" s="9">
        <v>0</v>
      </c>
      <c r="O285" s="8">
        <v>0</v>
      </c>
      <c r="P285" s="5">
        <v>0</v>
      </c>
      <c r="Q285" s="5">
        <v>0</v>
      </c>
      <c r="R285" s="9">
        <v>0</v>
      </c>
      <c r="S285" s="8">
        <v>0</v>
      </c>
      <c r="T285" s="9">
        <v>0</v>
      </c>
    </row>
    <row r="286" spans="1:20" x14ac:dyDescent="0.2">
      <c r="A286" s="5" t="s">
        <v>392</v>
      </c>
      <c r="B286" s="5" t="s">
        <v>75</v>
      </c>
      <c r="C286" s="10" t="s">
        <v>329</v>
      </c>
      <c r="D286" s="7">
        <f t="shared" si="1"/>
        <v>0.4</v>
      </c>
      <c r="E286" s="8">
        <v>0</v>
      </c>
      <c r="F286" s="5">
        <v>0</v>
      </c>
      <c r="G286" s="5">
        <v>0</v>
      </c>
      <c r="H286" s="5">
        <v>0</v>
      </c>
      <c r="I286" s="5">
        <v>0</v>
      </c>
      <c r="J286" s="9">
        <v>0</v>
      </c>
      <c r="K286" s="8">
        <v>2</v>
      </c>
      <c r="L286" s="5">
        <v>4</v>
      </c>
      <c r="M286" s="5">
        <v>0</v>
      </c>
      <c r="N286" s="9">
        <v>0</v>
      </c>
      <c r="O286" s="8">
        <v>0</v>
      </c>
      <c r="P286" s="5">
        <v>0</v>
      </c>
      <c r="Q286" s="5">
        <v>0</v>
      </c>
      <c r="R286" s="9">
        <v>0</v>
      </c>
      <c r="S286" s="8">
        <v>0</v>
      </c>
      <c r="T286" s="9">
        <v>0</v>
      </c>
    </row>
    <row r="287" spans="1:20" x14ac:dyDescent="0.2">
      <c r="A287" s="5" t="s">
        <v>143</v>
      </c>
      <c r="B287" s="5" t="s">
        <v>75</v>
      </c>
      <c r="C287" s="10" t="s">
        <v>325</v>
      </c>
      <c r="D287" s="7">
        <f t="shared" si="1"/>
        <v>0.30000000000000004</v>
      </c>
      <c r="E287" s="8">
        <v>0</v>
      </c>
      <c r="F287" s="5">
        <v>0</v>
      </c>
      <c r="G287" s="5">
        <v>0</v>
      </c>
      <c r="H287" s="5">
        <v>0</v>
      </c>
      <c r="I287" s="5">
        <v>0</v>
      </c>
      <c r="J287" s="9">
        <v>0</v>
      </c>
      <c r="K287" s="8">
        <v>1</v>
      </c>
      <c r="L287" s="5">
        <v>3</v>
      </c>
      <c r="M287" s="5">
        <v>0</v>
      </c>
      <c r="N287" s="9">
        <v>0</v>
      </c>
      <c r="O287" s="8">
        <v>0</v>
      </c>
      <c r="P287" s="5">
        <v>0</v>
      </c>
      <c r="Q287" s="5">
        <v>0</v>
      </c>
      <c r="R287" s="9">
        <v>0</v>
      </c>
      <c r="S287" s="8">
        <v>0</v>
      </c>
      <c r="T287" s="9">
        <v>0</v>
      </c>
    </row>
    <row r="288" spans="1:20" x14ac:dyDescent="0.2">
      <c r="A288" s="5" t="s">
        <v>133</v>
      </c>
      <c r="B288" s="5" t="s">
        <v>75</v>
      </c>
      <c r="C288" s="17" t="s">
        <v>330</v>
      </c>
      <c r="D288" s="7">
        <f t="shared" si="1"/>
        <v>0.30000000000000004</v>
      </c>
      <c r="E288" s="8">
        <v>0</v>
      </c>
      <c r="F288" s="5">
        <v>0</v>
      </c>
      <c r="G288" s="5">
        <v>0</v>
      </c>
      <c r="H288" s="5">
        <v>0</v>
      </c>
      <c r="I288" s="5">
        <v>0</v>
      </c>
      <c r="J288" s="9">
        <v>0</v>
      </c>
      <c r="K288" s="8">
        <v>1</v>
      </c>
      <c r="L288" s="5">
        <v>3</v>
      </c>
      <c r="M288" s="5">
        <v>0</v>
      </c>
      <c r="N288" s="9">
        <v>0</v>
      </c>
      <c r="O288" s="8">
        <v>0</v>
      </c>
      <c r="P288" s="5">
        <v>0</v>
      </c>
      <c r="Q288" s="5">
        <v>0</v>
      </c>
      <c r="R288" s="9">
        <v>0</v>
      </c>
      <c r="S288" s="8">
        <v>0</v>
      </c>
      <c r="T288" s="9">
        <v>0</v>
      </c>
    </row>
    <row r="289" spans="1:20" x14ac:dyDescent="0.2">
      <c r="A289" s="5" t="s">
        <v>393</v>
      </c>
      <c r="B289" s="5" t="s">
        <v>75</v>
      </c>
      <c r="C289" s="17" t="s">
        <v>321</v>
      </c>
      <c r="D289" s="7">
        <f t="shared" si="1"/>
        <v>0.30000000000000004</v>
      </c>
      <c r="E289" s="8">
        <v>0</v>
      </c>
      <c r="F289" s="5">
        <v>0</v>
      </c>
      <c r="G289" s="5">
        <v>0</v>
      </c>
      <c r="H289" s="5">
        <v>0</v>
      </c>
      <c r="I289" s="5">
        <v>0</v>
      </c>
      <c r="J289" s="9">
        <v>0</v>
      </c>
      <c r="K289" s="8">
        <v>1</v>
      </c>
      <c r="L289" s="5">
        <v>3</v>
      </c>
      <c r="M289" s="5">
        <v>0</v>
      </c>
      <c r="N289" s="9">
        <v>0</v>
      </c>
      <c r="O289" s="8">
        <v>0</v>
      </c>
      <c r="P289" s="5">
        <v>0</v>
      </c>
      <c r="Q289" s="5">
        <v>0</v>
      </c>
      <c r="R289" s="9">
        <v>0</v>
      </c>
      <c r="S289" s="8">
        <v>0</v>
      </c>
      <c r="T289" s="9">
        <v>0</v>
      </c>
    </row>
    <row r="290" spans="1:20" x14ac:dyDescent="0.2">
      <c r="A290" s="5" t="s">
        <v>153</v>
      </c>
      <c r="B290" s="5" t="s">
        <v>75</v>
      </c>
      <c r="C290" s="17" t="s">
        <v>334</v>
      </c>
      <c r="D290" s="7">
        <f t="shared" si="1"/>
        <v>0.20000000000000018</v>
      </c>
      <c r="E290" s="8">
        <v>0</v>
      </c>
      <c r="F290" s="5">
        <v>0</v>
      </c>
      <c r="G290" s="5">
        <v>0</v>
      </c>
      <c r="H290" s="5">
        <v>0</v>
      </c>
      <c r="I290" s="5">
        <v>0</v>
      </c>
      <c r="J290" s="9">
        <v>0</v>
      </c>
      <c r="K290" s="8">
        <v>4</v>
      </c>
      <c r="L290" s="5">
        <v>22</v>
      </c>
      <c r="M290" s="5">
        <v>0</v>
      </c>
      <c r="N290" s="9">
        <v>0</v>
      </c>
      <c r="O290" s="8">
        <v>0</v>
      </c>
      <c r="P290" s="5">
        <v>0</v>
      </c>
      <c r="Q290" s="5">
        <v>0</v>
      </c>
      <c r="R290" s="9">
        <v>0</v>
      </c>
      <c r="S290" s="8">
        <v>1</v>
      </c>
      <c r="T290" s="9">
        <v>0</v>
      </c>
    </row>
    <row r="291" spans="1:20" x14ac:dyDescent="0.2">
      <c r="A291" s="5" t="s">
        <v>107</v>
      </c>
      <c r="B291" s="5" t="s">
        <v>75</v>
      </c>
      <c r="C291" s="17" t="s">
        <v>332</v>
      </c>
      <c r="D291" s="7">
        <f t="shared" si="1"/>
        <v>0.20000000000000018</v>
      </c>
      <c r="E291" s="8">
        <v>0</v>
      </c>
      <c r="F291" s="5">
        <v>0</v>
      </c>
      <c r="G291" s="5">
        <v>0</v>
      </c>
      <c r="H291" s="5">
        <v>0</v>
      </c>
      <c r="I291" s="5">
        <v>0</v>
      </c>
      <c r="J291" s="9">
        <v>0</v>
      </c>
      <c r="K291" s="8">
        <v>4</v>
      </c>
      <c r="L291" s="5">
        <v>7</v>
      </c>
      <c r="M291" s="5">
        <v>0</v>
      </c>
      <c r="N291" s="9">
        <v>0</v>
      </c>
      <c r="O291" s="8">
        <v>1</v>
      </c>
      <c r="P291" s="5">
        <v>5</v>
      </c>
      <c r="Q291" s="5">
        <v>0</v>
      </c>
      <c r="R291" s="9">
        <v>0</v>
      </c>
      <c r="S291" s="8">
        <v>1</v>
      </c>
      <c r="T291" s="9">
        <v>0</v>
      </c>
    </row>
    <row r="292" spans="1:20" x14ac:dyDescent="0.2">
      <c r="A292" s="5" t="s">
        <v>394</v>
      </c>
      <c r="B292" s="5" t="s">
        <v>75</v>
      </c>
      <c r="C292" s="10" t="s">
        <v>329</v>
      </c>
      <c r="D292" s="7">
        <f t="shared" si="1"/>
        <v>0.2</v>
      </c>
      <c r="E292" s="8">
        <v>0</v>
      </c>
      <c r="F292" s="5">
        <v>0</v>
      </c>
      <c r="G292" s="5">
        <v>0</v>
      </c>
      <c r="H292" s="5">
        <v>0</v>
      </c>
      <c r="I292" s="5">
        <v>0</v>
      </c>
      <c r="J292" s="9">
        <v>0</v>
      </c>
      <c r="K292" s="8">
        <v>2</v>
      </c>
      <c r="L292" s="5">
        <v>2</v>
      </c>
      <c r="M292" s="5">
        <v>0</v>
      </c>
      <c r="N292" s="9">
        <v>0</v>
      </c>
      <c r="O292" s="8">
        <v>0</v>
      </c>
      <c r="P292" s="5">
        <v>0</v>
      </c>
      <c r="Q292" s="5">
        <v>0</v>
      </c>
      <c r="R292" s="9">
        <v>0</v>
      </c>
      <c r="S292" s="8">
        <v>0</v>
      </c>
      <c r="T292" s="9">
        <v>0</v>
      </c>
    </row>
    <row r="293" spans="1:20" x14ac:dyDescent="0.2">
      <c r="A293" s="5" t="s">
        <v>395</v>
      </c>
      <c r="B293" s="5" t="s">
        <v>75</v>
      </c>
      <c r="C293" s="10" t="s">
        <v>327</v>
      </c>
      <c r="D293" s="7">
        <f t="shared" si="1"/>
        <v>0.2</v>
      </c>
      <c r="E293" s="8">
        <v>0</v>
      </c>
      <c r="F293" s="5">
        <v>0</v>
      </c>
      <c r="G293" s="5">
        <v>0</v>
      </c>
      <c r="H293" s="5">
        <v>0</v>
      </c>
      <c r="I293" s="5">
        <v>0</v>
      </c>
      <c r="J293" s="9">
        <v>0</v>
      </c>
      <c r="K293" s="8">
        <v>1</v>
      </c>
      <c r="L293" s="5">
        <v>2</v>
      </c>
      <c r="M293" s="5">
        <v>0</v>
      </c>
      <c r="N293" s="9">
        <v>0</v>
      </c>
      <c r="O293" s="8">
        <v>0</v>
      </c>
      <c r="P293" s="5">
        <v>0</v>
      </c>
      <c r="Q293" s="5">
        <v>0</v>
      </c>
      <c r="R293" s="9">
        <v>0</v>
      </c>
      <c r="S293" s="8">
        <v>0</v>
      </c>
      <c r="T293" s="9">
        <v>0</v>
      </c>
    </row>
    <row r="294" spans="1:20" x14ac:dyDescent="0.2">
      <c r="A294" s="5" t="s">
        <v>140</v>
      </c>
      <c r="B294" s="5" t="s">
        <v>75</v>
      </c>
      <c r="C294" s="17" t="s">
        <v>336</v>
      </c>
      <c r="D294" s="7">
        <f t="shared" si="1"/>
        <v>0.1</v>
      </c>
      <c r="E294" s="8">
        <v>0</v>
      </c>
      <c r="F294" s="5">
        <v>0</v>
      </c>
      <c r="G294" s="5">
        <v>0</v>
      </c>
      <c r="H294" s="5">
        <v>0</v>
      </c>
      <c r="I294" s="5">
        <v>0</v>
      </c>
      <c r="J294" s="9">
        <v>0</v>
      </c>
      <c r="K294" s="8">
        <v>1</v>
      </c>
      <c r="L294" s="5">
        <v>1</v>
      </c>
      <c r="M294" s="5">
        <v>0</v>
      </c>
      <c r="N294" s="9">
        <v>0</v>
      </c>
      <c r="O294" s="8">
        <v>0</v>
      </c>
      <c r="P294" s="5">
        <v>0</v>
      </c>
      <c r="Q294" s="5">
        <v>0</v>
      </c>
      <c r="R294" s="9">
        <v>0</v>
      </c>
      <c r="S294" s="8">
        <v>0</v>
      </c>
      <c r="T294" s="9">
        <v>0</v>
      </c>
    </row>
    <row r="295" spans="1:20" x14ac:dyDescent="0.2">
      <c r="A295" s="5" t="s">
        <v>396</v>
      </c>
      <c r="B295" s="5" t="s">
        <v>69</v>
      </c>
      <c r="C295" s="10" t="s">
        <v>332</v>
      </c>
      <c r="D295" s="7">
        <f t="shared" si="1"/>
        <v>0</v>
      </c>
      <c r="E295" s="8">
        <v>0</v>
      </c>
      <c r="F295" s="5">
        <v>0</v>
      </c>
      <c r="G295" s="5">
        <v>0</v>
      </c>
      <c r="H295" s="5">
        <v>0</v>
      </c>
      <c r="I295" s="5">
        <v>0</v>
      </c>
      <c r="J295" s="9">
        <v>0</v>
      </c>
      <c r="K295" s="8">
        <v>1</v>
      </c>
      <c r="L295" s="5">
        <v>0</v>
      </c>
      <c r="M295" s="5">
        <v>0</v>
      </c>
      <c r="N295" s="9">
        <v>0</v>
      </c>
      <c r="O295" s="8">
        <v>0</v>
      </c>
      <c r="P295" s="5">
        <v>0</v>
      </c>
      <c r="Q295" s="5">
        <v>0</v>
      </c>
      <c r="R295" s="9">
        <v>0</v>
      </c>
      <c r="S295" s="8">
        <v>0</v>
      </c>
      <c r="T295" s="9">
        <v>0</v>
      </c>
    </row>
    <row r="296" spans="1:20" x14ac:dyDescent="0.2">
      <c r="A296" s="5" t="s">
        <v>320</v>
      </c>
      <c r="B296" s="5"/>
      <c r="C296" s="10"/>
      <c r="D296" s="10">
        <v>0</v>
      </c>
      <c r="E296" s="8"/>
      <c r="F296" s="5"/>
      <c r="G296" s="5"/>
      <c r="H296" s="5"/>
      <c r="I296" s="5"/>
      <c r="J296" s="9"/>
      <c r="K296" s="8"/>
      <c r="L296" s="5"/>
      <c r="M296" s="5"/>
      <c r="N296" s="9"/>
      <c r="O296" s="8"/>
      <c r="P296" s="5"/>
      <c r="Q296" s="5"/>
      <c r="R296" s="9"/>
      <c r="S296" s="8"/>
      <c r="T296" s="9"/>
    </row>
    <row r="297" spans="1:20" x14ac:dyDescent="0.2">
      <c r="A297" s="5" t="s">
        <v>397</v>
      </c>
      <c r="B297" s="5" t="s">
        <v>17</v>
      </c>
      <c r="C297" s="10" t="s">
        <v>334</v>
      </c>
      <c r="D297" s="7">
        <f t="shared" ref="D297:D301" si="2">0.04*G297+4*H297-2*I297+2*J297+0.1*L297+6*M297+2*N297+1*O297+0.1*P297+6*Q297+2*R297-2*S297</f>
        <v>-0.2</v>
      </c>
      <c r="E297" s="8">
        <v>0</v>
      </c>
      <c r="F297" s="5">
        <v>0</v>
      </c>
      <c r="G297" s="5">
        <v>0</v>
      </c>
      <c r="H297" s="5">
        <v>0</v>
      </c>
      <c r="I297" s="5">
        <v>0</v>
      </c>
      <c r="J297" s="9">
        <v>0</v>
      </c>
      <c r="K297" s="8">
        <v>2</v>
      </c>
      <c r="L297" s="5">
        <v>-2</v>
      </c>
      <c r="M297" s="5">
        <v>0</v>
      </c>
      <c r="N297" s="9">
        <v>0</v>
      </c>
      <c r="O297" s="8">
        <v>0</v>
      </c>
      <c r="P297" s="5">
        <v>0</v>
      </c>
      <c r="Q297" s="5">
        <v>0</v>
      </c>
      <c r="R297" s="9">
        <v>0</v>
      </c>
      <c r="S297" s="8">
        <v>0</v>
      </c>
      <c r="T297" s="9">
        <v>0</v>
      </c>
    </row>
    <row r="298" spans="1:20" x14ac:dyDescent="0.2">
      <c r="A298" s="5" t="s">
        <v>398</v>
      </c>
      <c r="B298" s="5" t="s">
        <v>162</v>
      </c>
      <c r="C298" s="17" t="s">
        <v>324</v>
      </c>
      <c r="D298" s="7">
        <f t="shared" si="2"/>
        <v>-0.30000000000000004</v>
      </c>
      <c r="E298" s="8">
        <v>0</v>
      </c>
      <c r="F298" s="5">
        <v>0</v>
      </c>
      <c r="G298" s="5">
        <v>0</v>
      </c>
      <c r="H298" s="5">
        <v>0</v>
      </c>
      <c r="I298" s="5">
        <v>0</v>
      </c>
      <c r="J298" s="9">
        <v>0</v>
      </c>
      <c r="K298" s="8">
        <v>1</v>
      </c>
      <c r="L298" s="5">
        <v>-3</v>
      </c>
      <c r="M298" s="5">
        <v>0</v>
      </c>
      <c r="N298" s="9">
        <v>0</v>
      </c>
      <c r="O298" s="8">
        <v>0</v>
      </c>
      <c r="P298" s="5">
        <v>0</v>
      </c>
      <c r="Q298" s="5">
        <v>0</v>
      </c>
      <c r="R298" s="9">
        <v>0</v>
      </c>
      <c r="S298" s="8">
        <v>0</v>
      </c>
      <c r="T298" s="9">
        <v>0</v>
      </c>
    </row>
    <row r="299" spans="1:20" x14ac:dyDescent="0.2">
      <c r="A299" s="5" t="s">
        <v>399</v>
      </c>
      <c r="B299" s="5" t="s">
        <v>162</v>
      </c>
      <c r="C299" s="17" t="s">
        <v>333</v>
      </c>
      <c r="D299" s="7">
        <f t="shared" si="2"/>
        <v>-1</v>
      </c>
      <c r="E299" s="8">
        <v>0</v>
      </c>
      <c r="F299" s="5">
        <v>0</v>
      </c>
      <c r="G299" s="5">
        <v>0</v>
      </c>
      <c r="H299" s="5">
        <v>0</v>
      </c>
      <c r="I299" s="5">
        <v>0</v>
      </c>
      <c r="J299" s="9">
        <v>0</v>
      </c>
      <c r="K299" s="8">
        <v>0</v>
      </c>
      <c r="L299" s="5">
        <v>0</v>
      </c>
      <c r="M299" s="5">
        <v>0</v>
      </c>
      <c r="N299" s="9">
        <v>0</v>
      </c>
      <c r="O299" s="8">
        <v>1</v>
      </c>
      <c r="P299" s="5">
        <v>0</v>
      </c>
      <c r="Q299" s="5">
        <v>0</v>
      </c>
      <c r="R299" s="9">
        <v>0</v>
      </c>
      <c r="S299" s="8">
        <v>1</v>
      </c>
      <c r="T299" s="9">
        <v>0</v>
      </c>
    </row>
    <row r="300" spans="1:20" x14ac:dyDescent="0.2">
      <c r="A300" s="5" t="s">
        <v>261</v>
      </c>
      <c r="B300" s="5" t="s">
        <v>162</v>
      </c>
      <c r="C300" s="17" t="s">
        <v>335</v>
      </c>
      <c r="D300" s="7">
        <f t="shared" si="2"/>
        <v>-2</v>
      </c>
      <c r="E300" s="8">
        <v>0</v>
      </c>
      <c r="F300" s="5">
        <v>0</v>
      </c>
      <c r="G300" s="5">
        <v>0</v>
      </c>
      <c r="H300" s="5">
        <v>0</v>
      </c>
      <c r="I300" s="5">
        <v>0</v>
      </c>
      <c r="J300" s="9">
        <v>0</v>
      </c>
      <c r="K300" s="8">
        <v>0</v>
      </c>
      <c r="L300" s="5">
        <v>0</v>
      </c>
      <c r="M300" s="5">
        <v>0</v>
      </c>
      <c r="N300" s="9">
        <v>0</v>
      </c>
      <c r="O300" s="8">
        <v>0</v>
      </c>
      <c r="P300" s="5">
        <v>0</v>
      </c>
      <c r="Q300" s="5">
        <v>0</v>
      </c>
      <c r="R300" s="9">
        <v>0</v>
      </c>
      <c r="S300" s="8">
        <v>1</v>
      </c>
      <c r="T300" s="9">
        <v>0</v>
      </c>
    </row>
    <row r="301" spans="1:20" x14ac:dyDescent="0.2">
      <c r="A301" s="5" t="s">
        <v>400</v>
      </c>
      <c r="B301" s="5" t="s">
        <v>162</v>
      </c>
      <c r="C301" s="17" t="s">
        <v>328</v>
      </c>
      <c r="D301" s="7">
        <f t="shared" si="2"/>
        <v>-2</v>
      </c>
      <c r="E301" s="8">
        <v>0</v>
      </c>
      <c r="F301" s="5">
        <v>0</v>
      </c>
      <c r="G301" s="5">
        <v>0</v>
      </c>
      <c r="H301" s="5">
        <v>0</v>
      </c>
      <c r="I301" s="5">
        <v>0</v>
      </c>
      <c r="J301" s="9">
        <v>0</v>
      </c>
      <c r="K301" s="8">
        <v>0</v>
      </c>
      <c r="L301" s="5">
        <v>0</v>
      </c>
      <c r="M301" s="5">
        <v>0</v>
      </c>
      <c r="N301" s="9">
        <v>0</v>
      </c>
      <c r="O301" s="8">
        <v>0</v>
      </c>
      <c r="P301" s="5">
        <v>0</v>
      </c>
      <c r="Q301" s="5">
        <v>0</v>
      </c>
      <c r="R301" s="9">
        <v>0</v>
      </c>
      <c r="S301" s="8">
        <v>1</v>
      </c>
      <c r="T301" s="9">
        <v>0</v>
      </c>
    </row>
    <row r="302" spans="1:20" x14ac:dyDescent="0.2">
      <c r="C302" s="10"/>
      <c r="D302" s="8"/>
      <c r="E302" s="8"/>
      <c r="J302" s="9"/>
      <c r="K302" s="8"/>
      <c r="N302" s="9"/>
      <c r="O302" s="8"/>
      <c r="R302" s="9"/>
      <c r="S302" s="8"/>
      <c r="T302" s="9"/>
    </row>
    <row r="303" spans="1:20" x14ac:dyDescent="0.2">
      <c r="C303" s="10"/>
      <c r="D303" s="8"/>
      <c r="E303" s="8"/>
      <c r="J303" s="9"/>
      <c r="K303" s="8"/>
      <c r="N303" s="9"/>
      <c r="O303" s="8"/>
      <c r="R303" s="9"/>
      <c r="S303" s="8"/>
      <c r="T303" s="9"/>
    </row>
    <row r="304" spans="1:20" x14ac:dyDescent="0.2">
      <c r="C304" s="10"/>
      <c r="D304" s="8"/>
      <c r="E304" s="8"/>
      <c r="J304" s="9"/>
      <c r="K304" s="8"/>
      <c r="N304" s="9"/>
      <c r="O304" s="8"/>
      <c r="R304" s="9"/>
      <c r="S304" s="8"/>
      <c r="T304" s="9"/>
    </row>
    <row r="305" spans="3:20" x14ac:dyDescent="0.2">
      <c r="C305" s="10"/>
      <c r="D305" s="8"/>
      <c r="E305" s="8"/>
      <c r="J305" s="9"/>
      <c r="K305" s="8"/>
      <c r="N305" s="9"/>
      <c r="O305" s="8"/>
      <c r="R305" s="9"/>
      <c r="S305" s="8"/>
      <c r="T305" s="9"/>
    </row>
    <row r="306" spans="3:20" x14ac:dyDescent="0.2">
      <c r="C306" s="10"/>
      <c r="D306" s="8"/>
      <c r="E306" s="8"/>
      <c r="J306" s="9"/>
      <c r="K306" s="8"/>
      <c r="N306" s="9"/>
      <c r="O306" s="8"/>
      <c r="R306" s="9"/>
      <c r="S306" s="8"/>
      <c r="T306" s="9"/>
    </row>
    <row r="307" spans="3:20" x14ac:dyDescent="0.2">
      <c r="C307" s="10"/>
      <c r="D307" s="8"/>
      <c r="E307" s="8"/>
      <c r="J307" s="9"/>
      <c r="K307" s="8"/>
      <c r="N307" s="9"/>
      <c r="O307" s="8"/>
      <c r="R307" s="9"/>
      <c r="S307" s="8"/>
      <c r="T307" s="9"/>
    </row>
    <row r="308" spans="3:20" x14ac:dyDescent="0.2">
      <c r="C308" s="10"/>
      <c r="D308" s="8"/>
      <c r="E308" s="8"/>
      <c r="J308" s="9"/>
      <c r="K308" s="8"/>
      <c r="N308" s="9"/>
      <c r="O308" s="8"/>
      <c r="R308" s="9"/>
      <c r="S308" s="8"/>
      <c r="T308" s="9"/>
    </row>
    <row r="309" spans="3:20" x14ac:dyDescent="0.2">
      <c r="C309" s="10"/>
      <c r="D309" s="8"/>
      <c r="E309" s="8"/>
      <c r="J309" s="9"/>
      <c r="K309" s="8"/>
      <c r="N309" s="9"/>
      <c r="O309" s="8"/>
      <c r="R309" s="9"/>
      <c r="S309" s="8"/>
      <c r="T309" s="9"/>
    </row>
    <row r="310" spans="3:20" x14ac:dyDescent="0.2">
      <c r="C310" s="10"/>
      <c r="D310" s="8"/>
      <c r="E310" s="8"/>
      <c r="J310" s="9"/>
      <c r="K310" s="8"/>
      <c r="N310" s="9"/>
      <c r="O310" s="8"/>
      <c r="R310" s="9"/>
      <c r="S310" s="8"/>
      <c r="T310" s="9"/>
    </row>
  </sheetData>
  <autoFilter ref="A2:T301" xr:uid="{00000000-0009-0000-0000-000001000000}">
    <sortState xmlns:xlrd2="http://schemas.microsoft.com/office/spreadsheetml/2017/richdata2" ref="A2:T301">
      <sortCondition descending="1" ref="D2:D301"/>
    </sortState>
  </autoFilter>
  <mergeCells count="4">
    <mergeCell ref="E1:J1"/>
    <mergeCell ref="K1:N1"/>
    <mergeCell ref="O1:R1"/>
    <mergeCell ref="S1:T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310"/>
  <sheetViews>
    <sheetView workbookViewId="0"/>
  </sheetViews>
  <sheetFormatPr defaultColWidth="12.5703125" defaultRowHeight="15.75" customHeight="1" x14ac:dyDescent="0.2"/>
  <cols>
    <col min="1" max="1" width="19.85546875" customWidth="1"/>
    <col min="2" max="2" width="9.85546875" customWidth="1"/>
    <col min="3" max="3" width="9.710937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3"/>
      <c r="D1" s="3"/>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5" t="s">
        <v>6</v>
      </c>
      <c r="D2" s="15"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375</v>
      </c>
      <c r="B3" s="5" t="s">
        <v>75</v>
      </c>
      <c r="C3" s="8" t="s">
        <v>401</v>
      </c>
      <c r="D3" s="7">
        <f t="shared" ref="D3:D257" si="0">0.04*G3+4*H3-2*I3+2*J3+0.1*L3+6*M3+2*N3+1*O3+0.1*P3+6*Q3+2*R3-2*S3</f>
        <v>51.3</v>
      </c>
      <c r="E3" s="8">
        <v>0</v>
      </c>
      <c r="F3" s="5">
        <v>0</v>
      </c>
      <c r="G3" s="5">
        <v>0</v>
      </c>
      <c r="H3" s="5">
        <v>0</v>
      </c>
      <c r="I3" s="5">
        <v>0</v>
      </c>
      <c r="J3" s="9">
        <v>0</v>
      </c>
      <c r="K3" s="8">
        <v>18</v>
      </c>
      <c r="L3" s="5">
        <v>203</v>
      </c>
      <c r="M3" s="5">
        <v>2</v>
      </c>
      <c r="N3" s="9">
        <v>0</v>
      </c>
      <c r="O3" s="8">
        <v>4</v>
      </c>
      <c r="P3" s="5">
        <v>30</v>
      </c>
      <c r="Q3" s="5">
        <v>2</v>
      </c>
      <c r="R3" s="9">
        <v>0</v>
      </c>
      <c r="S3" s="8">
        <v>0</v>
      </c>
      <c r="T3" s="9">
        <v>0</v>
      </c>
    </row>
    <row r="4" spans="1:20" x14ac:dyDescent="0.2">
      <c r="A4" s="5" t="s">
        <v>185</v>
      </c>
      <c r="B4" s="18" t="s">
        <v>162</v>
      </c>
      <c r="C4" s="6" t="s">
        <v>402</v>
      </c>
      <c r="D4" s="7">
        <f t="shared" si="0"/>
        <v>45.46</v>
      </c>
      <c r="E4" s="8">
        <v>1</v>
      </c>
      <c r="F4" s="5">
        <v>1</v>
      </c>
      <c r="G4" s="5">
        <v>49</v>
      </c>
      <c r="H4" s="5">
        <v>1</v>
      </c>
      <c r="I4" s="5">
        <v>0</v>
      </c>
      <c r="J4" s="9">
        <v>0</v>
      </c>
      <c r="K4" s="8">
        <v>0</v>
      </c>
      <c r="L4" s="5">
        <v>0</v>
      </c>
      <c r="M4" s="5">
        <v>0</v>
      </c>
      <c r="N4" s="9">
        <v>0</v>
      </c>
      <c r="O4" s="8">
        <v>18</v>
      </c>
      <c r="P4" s="5">
        <v>215</v>
      </c>
      <c r="Q4" s="5">
        <v>0</v>
      </c>
      <c r="R4" s="9">
        <v>0</v>
      </c>
      <c r="S4" s="8">
        <v>0</v>
      </c>
      <c r="T4" s="9">
        <v>0</v>
      </c>
    </row>
    <row r="5" spans="1:20" x14ac:dyDescent="0.2">
      <c r="A5" s="5" t="s">
        <v>92</v>
      </c>
      <c r="B5" s="5" t="s">
        <v>75</v>
      </c>
      <c r="C5" s="8" t="s">
        <v>401</v>
      </c>
      <c r="D5" s="7">
        <f t="shared" si="0"/>
        <v>45.2</v>
      </c>
      <c r="E5" s="8">
        <v>0</v>
      </c>
      <c r="F5" s="5">
        <v>0</v>
      </c>
      <c r="G5" s="5">
        <v>0</v>
      </c>
      <c r="H5" s="5">
        <v>0</v>
      </c>
      <c r="I5" s="5">
        <v>0</v>
      </c>
      <c r="J5" s="9">
        <v>0</v>
      </c>
      <c r="K5" s="8">
        <v>13</v>
      </c>
      <c r="L5" s="5">
        <v>82</v>
      </c>
      <c r="M5" s="5">
        <v>3</v>
      </c>
      <c r="N5" s="9">
        <v>0</v>
      </c>
      <c r="O5" s="8">
        <v>7</v>
      </c>
      <c r="P5" s="5">
        <v>60</v>
      </c>
      <c r="Q5" s="5">
        <v>1</v>
      </c>
      <c r="R5" s="9">
        <v>0</v>
      </c>
      <c r="S5" s="8">
        <v>0</v>
      </c>
      <c r="T5" s="9">
        <v>0</v>
      </c>
    </row>
    <row r="6" spans="1:20" x14ac:dyDescent="0.2">
      <c r="A6" s="5" t="s">
        <v>190</v>
      </c>
      <c r="B6" s="18" t="s">
        <v>162</v>
      </c>
      <c r="C6" s="8" t="s">
        <v>403</v>
      </c>
      <c r="D6" s="7">
        <f t="shared" si="0"/>
        <v>42.2</v>
      </c>
      <c r="E6" s="8">
        <v>0</v>
      </c>
      <c r="F6" s="5">
        <v>0</v>
      </c>
      <c r="G6" s="5">
        <v>0</v>
      </c>
      <c r="H6" s="5">
        <v>0</v>
      </c>
      <c r="I6" s="5">
        <v>0</v>
      </c>
      <c r="J6" s="9">
        <v>0</v>
      </c>
      <c r="K6" s="8">
        <v>0</v>
      </c>
      <c r="L6" s="5">
        <v>0</v>
      </c>
      <c r="M6" s="5">
        <v>0</v>
      </c>
      <c r="N6" s="9">
        <v>0</v>
      </c>
      <c r="O6" s="8">
        <v>13</v>
      </c>
      <c r="P6" s="5">
        <v>172</v>
      </c>
      <c r="Q6" s="5">
        <v>2</v>
      </c>
      <c r="R6" s="9">
        <v>0</v>
      </c>
      <c r="S6" s="8">
        <v>0</v>
      </c>
      <c r="T6" s="9">
        <v>0</v>
      </c>
    </row>
    <row r="7" spans="1:20" x14ac:dyDescent="0.2">
      <c r="A7" s="5" t="s">
        <v>246</v>
      </c>
      <c r="B7" s="18" t="s">
        <v>162</v>
      </c>
      <c r="C7" s="6" t="s">
        <v>404</v>
      </c>
      <c r="D7" s="7">
        <f t="shared" si="0"/>
        <v>31.5</v>
      </c>
      <c r="E7" s="8">
        <v>0</v>
      </c>
      <c r="F7" s="5">
        <v>0</v>
      </c>
      <c r="G7" s="5">
        <v>0</v>
      </c>
      <c r="H7" s="5">
        <v>0</v>
      </c>
      <c r="I7" s="5">
        <v>0</v>
      </c>
      <c r="J7" s="9">
        <v>0</v>
      </c>
      <c r="K7" s="8">
        <v>0</v>
      </c>
      <c r="L7" s="5">
        <v>0</v>
      </c>
      <c r="M7" s="5">
        <v>0</v>
      </c>
      <c r="N7" s="9">
        <v>0</v>
      </c>
      <c r="O7" s="8">
        <v>11</v>
      </c>
      <c r="P7" s="5">
        <v>145</v>
      </c>
      <c r="Q7" s="5">
        <v>1</v>
      </c>
      <c r="R7" s="9">
        <v>0</v>
      </c>
      <c r="S7" s="8">
        <v>0</v>
      </c>
      <c r="T7" s="9">
        <v>0</v>
      </c>
    </row>
    <row r="8" spans="1:20" x14ac:dyDescent="0.2">
      <c r="A8" s="5" t="s">
        <v>161</v>
      </c>
      <c r="B8" s="18" t="s">
        <v>162</v>
      </c>
      <c r="C8" s="8" t="s">
        <v>401</v>
      </c>
      <c r="D8" s="7">
        <f t="shared" si="0"/>
        <v>30.700000000000003</v>
      </c>
      <c r="E8" s="8">
        <v>0</v>
      </c>
      <c r="F8" s="5">
        <v>0</v>
      </c>
      <c r="G8" s="5">
        <v>0</v>
      </c>
      <c r="H8" s="5">
        <v>0</v>
      </c>
      <c r="I8" s="5">
        <v>0</v>
      </c>
      <c r="J8" s="9">
        <v>0</v>
      </c>
      <c r="K8" s="8">
        <v>0</v>
      </c>
      <c r="L8" s="5">
        <v>0</v>
      </c>
      <c r="M8" s="5">
        <v>0</v>
      </c>
      <c r="N8" s="9">
        <v>0</v>
      </c>
      <c r="O8" s="8">
        <v>9</v>
      </c>
      <c r="P8" s="5">
        <v>157</v>
      </c>
      <c r="Q8" s="5">
        <v>1</v>
      </c>
      <c r="R8" s="9">
        <v>0</v>
      </c>
      <c r="S8" s="8">
        <v>0</v>
      </c>
      <c r="T8" s="9">
        <v>0</v>
      </c>
    </row>
    <row r="9" spans="1:20" x14ac:dyDescent="0.2">
      <c r="A9" s="5" t="s">
        <v>100</v>
      </c>
      <c r="B9" s="5" t="s">
        <v>75</v>
      </c>
      <c r="C9" s="8" t="s">
        <v>404</v>
      </c>
      <c r="D9" s="7">
        <f t="shared" si="0"/>
        <v>30.6</v>
      </c>
      <c r="E9" s="8">
        <v>0</v>
      </c>
      <c r="F9" s="5">
        <v>0</v>
      </c>
      <c r="G9" s="5">
        <v>0</v>
      </c>
      <c r="H9" s="5">
        <v>0</v>
      </c>
      <c r="I9" s="5">
        <v>0</v>
      </c>
      <c r="J9" s="9">
        <v>0</v>
      </c>
      <c r="K9" s="8">
        <v>18</v>
      </c>
      <c r="L9" s="5">
        <v>97</v>
      </c>
      <c r="M9" s="5">
        <v>2</v>
      </c>
      <c r="N9" s="9">
        <v>0</v>
      </c>
      <c r="O9" s="8">
        <v>3</v>
      </c>
      <c r="P9" s="5">
        <v>59</v>
      </c>
      <c r="Q9" s="5">
        <v>0</v>
      </c>
      <c r="R9" s="9">
        <v>0</v>
      </c>
      <c r="S9" s="8">
        <v>0</v>
      </c>
      <c r="T9" s="9">
        <v>0</v>
      </c>
    </row>
    <row r="10" spans="1:20" x14ac:dyDescent="0.2">
      <c r="A10" s="5" t="s">
        <v>25</v>
      </c>
      <c r="B10" s="5" t="s">
        <v>17</v>
      </c>
      <c r="C10" s="6" t="s">
        <v>402</v>
      </c>
      <c r="D10" s="7">
        <f t="shared" si="0"/>
        <v>29.3</v>
      </c>
      <c r="E10" s="8">
        <v>47</v>
      </c>
      <c r="F10" s="5">
        <v>40</v>
      </c>
      <c r="G10" s="5">
        <v>405</v>
      </c>
      <c r="H10" s="5">
        <v>3</v>
      </c>
      <c r="I10" s="5">
        <v>0</v>
      </c>
      <c r="J10" s="9">
        <v>0</v>
      </c>
      <c r="K10" s="8">
        <v>2</v>
      </c>
      <c r="L10" s="5">
        <v>11</v>
      </c>
      <c r="M10" s="5">
        <v>0</v>
      </c>
      <c r="N10" s="9">
        <v>0</v>
      </c>
      <c r="O10" s="8">
        <v>0</v>
      </c>
      <c r="P10" s="5">
        <v>0</v>
      </c>
      <c r="Q10" s="5">
        <v>0</v>
      </c>
      <c r="R10" s="9">
        <v>0</v>
      </c>
      <c r="S10" s="8">
        <v>0</v>
      </c>
      <c r="T10" s="9">
        <v>0</v>
      </c>
    </row>
    <row r="11" spans="1:20" x14ac:dyDescent="0.2">
      <c r="A11" s="5" t="s">
        <v>16</v>
      </c>
      <c r="B11" s="5" t="s">
        <v>17</v>
      </c>
      <c r="C11" s="8" t="s">
        <v>401</v>
      </c>
      <c r="D11" s="7">
        <f t="shared" si="0"/>
        <v>28.36</v>
      </c>
      <c r="E11" s="8">
        <v>26</v>
      </c>
      <c r="F11" s="5">
        <v>23</v>
      </c>
      <c r="G11" s="5">
        <v>309</v>
      </c>
      <c r="H11" s="5">
        <v>4</v>
      </c>
      <c r="I11" s="5">
        <v>0</v>
      </c>
      <c r="J11" s="9">
        <v>0</v>
      </c>
      <c r="K11" s="8">
        <v>0</v>
      </c>
      <c r="L11" s="5">
        <v>0</v>
      </c>
      <c r="M11" s="5">
        <v>0</v>
      </c>
      <c r="N11" s="9">
        <v>0</v>
      </c>
      <c r="O11" s="8">
        <v>0</v>
      </c>
      <c r="P11" s="5">
        <v>0</v>
      </c>
      <c r="Q11" s="5">
        <v>0</v>
      </c>
      <c r="R11" s="9">
        <v>0</v>
      </c>
      <c r="S11" s="8">
        <v>0</v>
      </c>
      <c r="T11" s="9">
        <v>0</v>
      </c>
    </row>
    <row r="12" spans="1:20" x14ac:dyDescent="0.2">
      <c r="A12" s="5" t="s">
        <v>58</v>
      </c>
      <c r="B12" s="5" t="s">
        <v>17</v>
      </c>
      <c r="C12" s="8" t="s">
        <v>405</v>
      </c>
      <c r="D12" s="7">
        <f t="shared" si="0"/>
        <v>28.18</v>
      </c>
      <c r="E12" s="8">
        <v>31</v>
      </c>
      <c r="F12" s="5">
        <v>22</v>
      </c>
      <c r="G12" s="5">
        <v>202</v>
      </c>
      <c r="H12" s="5">
        <v>0</v>
      </c>
      <c r="I12" s="5">
        <v>0</v>
      </c>
      <c r="J12" s="9">
        <v>0</v>
      </c>
      <c r="K12" s="8">
        <v>14</v>
      </c>
      <c r="L12" s="5">
        <v>101</v>
      </c>
      <c r="M12" s="5">
        <v>2</v>
      </c>
      <c r="N12" s="9">
        <v>0</v>
      </c>
      <c r="O12" s="8">
        <v>0</v>
      </c>
      <c r="P12" s="5">
        <v>0</v>
      </c>
      <c r="Q12" s="5">
        <v>0</v>
      </c>
      <c r="R12" s="9">
        <v>0</v>
      </c>
      <c r="S12" s="8">
        <v>1</v>
      </c>
      <c r="T12" s="9">
        <v>0</v>
      </c>
    </row>
    <row r="13" spans="1:20" x14ac:dyDescent="0.2">
      <c r="A13" s="5" t="s">
        <v>167</v>
      </c>
      <c r="B13" s="18" t="s">
        <v>162</v>
      </c>
      <c r="C13" s="8" t="s">
        <v>402</v>
      </c>
      <c r="D13" s="7">
        <f t="shared" si="0"/>
        <v>27.9</v>
      </c>
      <c r="E13" s="8">
        <v>0</v>
      </c>
      <c r="F13" s="5">
        <v>0</v>
      </c>
      <c r="G13" s="5">
        <v>0</v>
      </c>
      <c r="H13" s="5">
        <v>0</v>
      </c>
      <c r="I13" s="5">
        <v>0</v>
      </c>
      <c r="J13" s="9">
        <v>0</v>
      </c>
      <c r="K13" s="8">
        <v>0</v>
      </c>
      <c r="L13" s="5">
        <v>0</v>
      </c>
      <c r="M13" s="5">
        <v>0</v>
      </c>
      <c r="N13" s="9">
        <v>0</v>
      </c>
      <c r="O13" s="8">
        <v>7</v>
      </c>
      <c r="P13" s="5">
        <v>149</v>
      </c>
      <c r="Q13" s="5">
        <v>1</v>
      </c>
      <c r="R13" s="9">
        <v>0</v>
      </c>
      <c r="S13" s="8">
        <v>0</v>
      </c>
      <c r="T13" s="9">
        <v>0</v>
      </c>
    </row>
    <row r="14" spans="1:20" x14ac:dyDescent="0.2">
      <c r="A14" s="5" t="s">
        <v>206</v>
      </c>
      <c r="B14" s="18" t="s">
        <v>162</v>
      </c>
      <c r="C14" s="8" t="s">
        <v>406</v>
      </c>
      <c r="D14" s="7">
        <f t="shared" si="0"/>
        <v>26.1</v>
      </c>
      <c r="E14" s="8">
        <v>0</v>
      </c>
      <c r="F14" s="5">
        <v>0</v>
      </c>
      <c r="G14" s="5">
        <v>0</v>
      </c>
      <c r="H14" s="5">
        <v>0</v>
      </c>
      <c r="I14" s="5">
        <v>0</v>
      </c>
      <c r="J14" s="9">
        <v>0</v>
      </c>
      <c r="K14" s="8">
        <v>0</v>
      </c>
      <c r="L14" s="5">
        <v>0</v>
      </c>
      <c r="M14" s="5">
        <v>0</v>
      </c>
      <c r="N14" s="9">
        <v>0</v>
      </c>
      <c r="O14" s="8">
        <v>12</v>
      </c>
      <c r="P14" s="5">
        <v>141</v>
      </c>
      <c r="Q14" s="5">
        <v>0</v>
      </c>
      <c r="R14" s="9">
        <v>0</v>
      </c>
      <c r="S14" s="8">
        <v>0</v>
      </c>
      <c r="T14" s="9">
        <v>0</v>
      </c>
    </row>
    <row r="15" spans="1:20" x14ac:dyDescent="0.2">
      <c r="A15" s="5" t="s">
        <v>23</v>
      </c>
      <c r="B15" s="5" t="s">
        <v>17</v>
      </c>
      <c r="C15" s="8" t="s">
        <v>407</v>
      </c>
      <c r="D15" s="7">
        <f t="shared" si="0"/>
        <v>25.680000000000003</v>
      </c>
      <c r="E15" s="8">
        <v>33</v>
      </c>
      <c r="F15" s="5">
        <v>24</v>
      </c>
      <c r="G15" s="5">
        <v>272</v>
      </c>
      <c r="H15" s="5">
        <v>3</v>
      </c>
      <c r="I15" s="5">
        <v>0</v>
      </c>
      <c r="J15" s="9">
        <v>0</v>
      </c>
      <c r="K15" s="8">
        <v>3</v>
      </c>
      <c r="L15" s="5">
        <v>28</v>
      </c>
      <c r="M15" s="5">
        <v>0</v>
      </c>
      <c r="N15" s="9">
        <v>0</v>
      </c>
      <c r="O15" s="8">
        <v>0</v>
      </c>
      <c r="P15" s="5">
        <v>0</v>
      </c>
      <c r="Q15" s="5">
        <v>0</v>
      </c>
      <c r="R15" s="9">
        <v>0</v>
      </c>
      <c r="S15" s="8">
        <v>0</v>
      </c>
      <c r="T15" s="9">
        <v>0</v>
      </c>
    </row>
    <row r="16" spans="1:20" x14ac:dyDescent="0.2">
      <c r="A16" s="5" t="s">
        <v>30</v>
      </c>
      <c r="B16" s="5" t="s">
        <v>17</v>
      </c>
      <c r="C16" s="8" t="s">
        <v>402</v>
      </c>
      <c r="D16" s="7">
        <f t="shared" si="0"/>
        <v>25.68</v>
      </c>
      <c r="E16" s="8">
        <v>50</v>
      </c>
      <c r="F16" s="5">
        <v>32</v>
      </c>
      <c r="G16" s="5">
        <v>367</v>
      </c>
      <c r="H16" s="5">
        <v>3</v>
      </c>
      <c r="I16" s="5">
        <v>1</v>
      </c>
      <c r="J16" s="9">
        <v>0</v>
      </c>
      <c r="K16" s="8">
        <v>1</v>
      </c>
      <c r="L16" s="5">
        <v>10</v>
      </c>
      <c r="M16" s="5">
        <v>0</v>
      </c>
      <c r="N16" s="9">
        <v>0</v>
      </c>
      <c r="O16" s="8">
        <v>0</v>
      </c>
      <c r="P16" s="5">
        <v>0</v>
      </c>
      <c r="Q16" s="5">
        <v>0</v>
      </c>
      <c r="R16" s="9">
        <v>0</v>
      </c>
      <c r="S16" s="8">
        <v>0</v>
      </c>
      <c r="T16" s="9">
        <v>0</v>
      </c>
    </row>
    <row r="17" spans="1:20" x14ac:dyDescent="0.2">
      <c r="A17" s="5" t="s">
        <v>219</v>
      </c>
      <c r="B17" s="18" t="s">
        <v>162</v>
      </c>
      <c r="C17" s="6" t="s">
        <v>408</v>
      </c>
      <c r="D17" s="7">
        <f t="shared" si="0"/>
        <v>25.5</v>
      </c>
      <c r="E17" s="8">
        <v>0</v>
      </c>
      <c r="F17" s="5">
        <v>0</v>
      </c>
      <c r="G17" s="5">
        <v>0</v>
      </c>
      <c r="H17" s="5">
        <v>0</v>
      </c>
      <c r="I17" s="5">
        <v>0</v>
      </c>
      <c r="J17" s="9">
        <v>0</v>
      </c>
      <c r="K17" s="8">
        <v>0</v>
      </c>
      <c r="L17" s="5">
        <v>0</v>
      </c>
      <c r="M17" s="5">
        <v>0</v>
      </c>
      <c r="N17" s="9">
        <v>0</v>
      </c>
      <c r="O17" s="8">
        <v>5</v>
      </c>
      <c r="P17" s="5">
        <v>145</v>
      </c>
      <c r="Q17" s="5">
        <v>1</v>
      </c>
      <c r="R17" s="9">
        <v>0</v>
      </c>
      <c r="S17" s="8">
        <v>0</v>
      </c>
      <c r="T17" s="9">
        <v>0</v>
      </c>
    </row>
    <row r="18" spans="1:20" x14ac:dyDescent="0.2">
      <c r="A18" s="5" t="s">
        <v>211</v>
      </c>
      <c r="B18" s="18" t="s">
        <v>162</v>
      </c>
      <c r="C18" s="6" t="s">
        <v>402</v>
      </c>
      <c r="D18" s="7">
        <f t="shared" si="0"/>
        <v>25.1</v>
      </c>
      <c r="E18" s="8">
        <v>0</v>
      </c>
      <c r="F18" s="5">
        <v>0</v>
      </c>
      <c r="G18" s="5">
        <v>0</v>
      </c>
      <c r="H18" s="5">
        <v>0</v>
      </c>
      <c r="I18" s="5">
        <v>0</v>
      </c>
      <c r="J18" s="9">
        <v>0</v>
      </c>
      <c r="K18" s="8">
        <v>0</v>
      </c>
      <c r="L18" s="5">
        <v>0</v>
      </c>
      <c r="M18" s="5">
        <v>0</v>
      </c>
      <c r="N18" s="9">
        <v>0</v>
      </c>
      <c r="O18" s="8">
        <v>7</v>
      </c>
      <c r="P18" s="5">
        <v>121</v>
      </c>
      <c r="Q18" s="5">
        <v>1</v>
      </c>
      <c r="R18" s="9">
        <v>0</v>
      </c>
      <c r="S18" s="8">
        <v>0</v>
      </c>
      <c r="T18" s="9">
        <v>0</v>
      </c>
    </row>
    <row r="19" spans="1:20" x14ac:dyDescent="0.2">
      <c r="A19" s="5" t="s">
        <v>200</v>
      </c>
      <c r="B19" s="18" t="s">
        <v>162</v>
      </c>
      <c r="C19" s="8" t="s">
        <v>409</v>
      </c>
      <c r="D19" s="7">
        <f t="shared" si="0"/>
        <v>25.1</v>
      </c>
      <c r="E19" s="8">
        <v>0</v>
      </c>
      <c r="F19" s="5">
        <v>0</v>
      </c>
      <c r="G19" s="5">
        <v>0</v>
      </c>
      <c r="H19" s="5">
        <v>0</v>
      </c>
      <c r="I19" s="5">
        <v>0</v>
      </c>
      <c r="J19" s="9">
        <v>0</v>
      </c>
      <c r="K19" s="8">
        <v>1</v>
      </c>
      <c r="L19" s="5">
        <v>2</v>
      </c>
      <c r="M19" s="5">
        <v>0</v>
      </c>
      <c r="N19" s="9">
        <v>0</v>
      </c>
      <c r="O19" s="8">
        <v>6</v>
      </c>
      <c r="P19" s="5">
        <v>129</v>
      </c>
      <c r="Q19" s="5">
        <v>1</v>
      </c>
      <c r="R19" s="9">
        <v>0</v>
      </c>
      <c r="S19" s="8">
        <v>0</v>
      </c>
      <c r="T19" s="9">
        <v>0</v>
      </c>
    </row>
    <row r="20" spans="1:20" x14ac:dyDescent="0.2">
      <c r="A20" s="5" t="s">
        <v>218</v>
      </c>
      <c r="B20" s="18" t="s">
        <v>162</v>
      </c>
      <c r="C20" s="8" t="s">
        <v>410</v>
      </c>
      <c r="D20" s="7">
        <f t="shared" si="0"/>
        <v>24.6</v>
      </c>
      <c r="E20" s="8">
        <v>0</v>
      </c>
      <c r="F20" s="5">
        <v>0</v>
      </c>
      <c r="G20" s="5">
        <v>0</v>
      </c>
      <c r="H20" s="5">
        <v>0</v>
      </c>
      <c r="I20" s="5">
        <v>0</v>
      </c>
      <c r="J20" s="9">
        <v>0</v>
      </c>
      <c r="K20" s="8">
        <v>0</v>
      </c>
      <c r="L20" s="5">
        <v>0</v>
      </c>
      <c r="M20" s="5">
        <v>0</v>
      </c>
      <c r="N20" s="9">
        <v>0</v>
      </c>
      <c r="O20" s="8">
        <v>7</v>
      </c>
      <c r="P20" s="5">
        <v>116</v>
      </c>
      <c r="Q20" s="5">
        <v>1</v>
      </c>
      <c r="R20" s="9">
        <v>0</v>
      </c>
      <c r="S20" s="8">
        <v>0</v>
      </c>
      <c r="T20" s="9">
        <v>0</v>
      </c>
    </row>
    <row r="21" spans="1:20" x14ac:dyDescent="0.2">
      <c r="A21" s="5" t="s">
        <v>21</v>
      </c>
      <c r="B21" s="5" t="s">
        <v>17</v>
      </c>
      <c r="C21" s="8" t="s">
        <v>411</v>
      </c>
      <c r="D21" s="7">
        <f t="shared" si="0"/>
        <v>24.259999999999998</v>
      </c>
      <c r="E21" s="8">
        <v>44</v>
      </c>
      <c r="F21" s="5">
        <v>22</v>
      </c>
      <c r="G21" s="5">
        <v>259</v>
      </c>
      <c r="H21" s="5">
        <v>1</v>
      </c>
      <c r="I21" s="5">
        <v>1</v>
      </c>
      <c r="J21" s="9">
        <v>1</v>
      </c>
      <c r="K21" s="8">
        <v>9</v>
      </c>
      <c r="L21" s="5">
        <v>39</v>
      </c>
      <c r="M21" s="5">
        <v>1</v>
      </c>
      <c r="N21" s="9">
        <v>0</v>
      </c>
      <c r="O21" s="8">
        <v>0</v>
      </c>
      <c r="P21" s="5">
        <v>0</v>
      </c>
      <c r="Q21" s="5">
        <v>0</v>
      </c>
      <c r="R21" s="9">
        <v>0</v>
      </c>
      <c r="S21" s="8">
        <v>0</v>
      </c>
      <c r="T21" s="9">
        <v>0</v>
      </c>
    </row>
    <row r="22" spans="1:20" x14ac:dyDescent="0.2">
      <c r="A22" s="5" t="s">
        <v>412</v>
      </c>
      <c r="B22" s="5" t="s">
        <v>17</v>
      </c>
      <c r="C22" s="6" t="s">
        <v>404</v>
      </c>
      <c r="D22" s="7">
        <f t="shared" si="0"/>
        <v>23.54</v>
      </c>
      <c r="E22" s="8">
        <v>58</v>
      </c>
      <c r="F22" s="5">
        <v>34</v>
      </c>
      <c r="G22" s="5">
        <v>361</v>
      </c>
      <c r="H22" s="5">
        <v>2</v>
      </c>
      <c r="I22" s="5">
        <v>0</v>
      </c>
      <c r="J22" s="9">
        <v>0</v>
      </c>
      <c r="K22" s="8">
        <v>2</v>
      </c>
      <c r="L22" s="5">
        <v>11</v>
      </c>
      <c r="M22" s="5">
        <v>0</v>
      </c>
      <c r="N22" s="9">
        <v>0</v>
      </c>
      <c r="O22" s="8">
        <v>0</v>
      </c>
      <c r="P22" s="5">
        <v>0</v>
      </c>
      <c r="Q22" s="5">
        <v>0</v>
      </c>
      <c r="R22" s="9">
        <v>0</v>
      </c>
      <c r="S22" s="8">
        <v>0</v>
      </c>
      <c r="T22" s="9">
        <v>0</v>
      </c>
    </row>
    <row r="23" spans="1:20" x14ac:dyDescent="0.2">
      <c r="A23" s="5" t="s">
        <v>77</v>
      </c>
      <c r="B23" s="5" t="s">
        <v>75</v>
      </c>
      <c r="C23" s="8" t="s">
        <v>409</v>
      </c>
      <c r="D23" s="7">
        <f t="shared" si="0"/>
        <v>22.9</v>
      </c>
      <c r="E23" s="8">
        <v>0</v>
      </c>
      <c r="F23" s="5">
        <v>0</v>
      </c>
      <c r="G23" s="5">
        <v>0</v>
      </c>
      <c r="H23" s="5">
        <v>0</v>
      </c>
      <c r="I23" s="5">
        <v>0</v>
      </c>
      <c r="J23" s="9">
        <v>0</v>
      </c>
      <c r="K23" s="8">
        <v>18</v>
      </c>
      <c r="L23" s="5">
        <v>85</v>
      </c>
      <c r="M23" s="5">
        <v>1</v>
      </c>
      <c r="N23" s="9">
        <v>0</v>
      </c>
      <c r="O23" s="8">
        <v>5</v>
      </c>
      <c r="P23" s="5">
        <v>34</v>
      </c>
      <c r="Q23" s="5">
        <v>0</v>
      </c>
      <c r="R23" s="9">
        <v>0</v>
      </c>
      <c r="S23" s="8">
        <v>0</v>
      </c>
      <c r="T23" s="9">
        <v>0</v>
      </c>
    </row>
    <row r="24" spans="1:20" x14ac:dyDescent="0.2">
      <c r="A24" s="5" t="s">
        <v>337</v>
      </c>
      <c r="B24" s="5" t="s">
        <v>75</v>
      </c>
      <c r="C24" s="6" t="s">
        <v>405</v>
      </c>
      <c r="D24" s="7">
        <f t="shared" si="0"/>
        <v>22.5</v>
      </c>
      <c r="E24" s="8">
        <v>0</v>
      </c>
      <c r="F24" s="5">
        <v>0</v>
      </c>
      <c r="G24" s="5">
        <v>0</v>
      </c>
      <c r="H24" s="5">
        <v>0</v>
      </c>
      <c r="I24" s="5">
        <v>0</v>
      </c>
      <c r="J24" s="9">
        <v>0</v>
      </c>
      <c r="K24" s="8">
        <v>30</v>
      </c>
      <c r="L24" s="5">
        <v>122</v>
      </c>
      <c r="M24" s="5">
        <v>0</v>
      </c>
      <c r="N24" s="9">
        <v>0</v>
      </c>
      <c r="O24" s="8">
        <v>2</v>
      </c>
      <c r="P24" s="5">
        <v>23</v>
      </c>
      <c r="Q24" s="5">
        <v>1</v>
      </c>
      <c r="R24" s="9">
        <v>0</v>
      </c>
      <c r="S24" s="8">
        <v>0</v>
      </c>
      <c r="T24" s="9">
        <v>0</v>
      </c>
    </row>
    <row r="25" spans="1:20" x14ac:dyDescent="0.2">
      <c r="A25" s="5" t="s">
        <v>280</v>
      </c>
      <c r="B25" s="5" t="s">
        <v>69</v>
      </c>
      <c r="C25" s="8" t="s">
        <v>413</v>
      </c>
      <c r="D25" s="7">
        <f t="shared" si="0"/>
        <v>22.4</v>
      </c>
      <c r="E25" s="8">
        <v>0</v>
      </c>
      <c r="F25" s="5">
        <v>0</v>
      </c>
      <c r="G25" s="5">
        <v>0</v>
      </c>
      <c r="H25" s="5">
        <v>0</v>
      </c>
      <c r="I25" s="5">
        <v>0</v>
      </c>
      <c r="J25" s="9">
        <v>0</v>
      </c>
      <c r="K25" s="8">
        <v>0</v>
      </c>
      <c r="L25" s="5">
        <v>0</v>
      </c>
      <c r="M25" s="5">
        <v>0</v>
      </c>
      <c r="N25" s="9">
        <v>0</v>
      </c>
      <c r="O25" s="8">
        <v>8</v>
      </c>
      <c r="P25" s="5">
        <v>84</v>
      </c>
      <c r="Q25" s="5">
        <v>1</v>
      </c>
      <c r="R25" s="9">
        <v>0</v>
      </c>
      <c r="S25" s="8">
        <v>0</v>
      </c>
      <c r="T25" s="9">
        <v>0</v>
      </c>
    </row>
    <row r="26" spans="1:20" x14ac:dyDescent="0.2">
      <c r="A26" s="5" t="s">
        <v>182</v>
      </c>
      <c r="B26" s="18" t="s">
        <v>162</v>
      </c>
      <c r="C26" s="6" t="s">
        <v>414</v>
      </c>
      <c r="D26" s="7">
        <f t="shared" si="0"/>
        <v>22.1</v>
      </c>
      <c r="E26" s="8">
        <v>0</v>
      </c>
      <c r="F26" s="5">
        <v>0</v>
      </c>
      <c r="G26" s="5">
        <v>0</v>
      </c>
      <c r="H26" s="5">
        <v>0</v>
      </c>
      <c r="I26" s="5">
        <v>0</v>
      </c>
      <c r="J26" s="9">
        <v>0</v>
      </c>
      <c r="K26" s="8">
        <v>0</v>
      </c>
      <c r="L26" s="5">
        <v>0</v>
      </c>
      <c r="M26" s="5">
        <v>0</v>
      </c>
      <c r="N26" s="9">
        <v>0</v>
      </c>
      <c r="O26" s="8">
        <v>9</v>
      </c>
      <c r="P26" s="5">
        <v>131</v>
      </c>
      <c r="Q26" s="5">
        <v>0</v>
      </c>
      <c r="R26" s="9">
        <v>0</v>
      </c>
      <c r="S26" s="8">
        <v>0</v>
      </c>
      <c r="T26" s="9">
        <v>0</v>
      </c>
    </row>
    <row r="27" spans="1:20" x14ac:dyDescent="0.2">
      <c r="A27" s="5" t="s">
        <v>48</v>
      </c>
      <c r="B27" s="5" t="s">
        <v>17</v>
      </c>
      <c r="C27" s="6" t="s">
        <v>415</v>
      </c>
      <c r="D27" s="7">
        <f t="shared" si="0"/>
        <v>21.32</v>
      </c>
      <c r="E27" s="8">
        <v>32</v>
      </c>
      <c r="F27" s="5">
        <v>20</v>
      </c>
      <c r="G27" s="5">
        <v>218</v>
      </c>
      <c r="H27" s="5">
        <v>1</v>
      </c>
      <c r="I27" s="5">
        <v>1</v>
      </c>
      <c r="J27" s="9">
        <v>0</v>
      </c>
      <c r="K27" s="8">
        <v>3</v>
      </c>
      <c r="L27" s="5">
        <v>46</v>
      </c>
      <c r="M27" s="5">
        <v>1</v>
      </c>
      <c r="N27" s="9">
        <v>0</v>
      </c>
      <c r="O27" s="8">
        <v>0</v>
      </c>
      <c r="P27" s="5">
        <v>0</v>
      </c>
      <c r="Q27" s="5">
        <v>0</v>
      </c>
      <c r="R27" s="9">
        <v>0</v>
      </c>
      <c r="S27" s="8">
        <v>0</v>
      </c>
      <c r="T27" s="9">
        <v>0</v>
      </c>
    </row>
    <row r="28" spans="1:20" x14ac:dyDescent="0.2">
      <c r="A28" s="5" t="s">
        <v>28</v>
      </c>
      <c r="B28" s="5" t="s">
        <v>17</v>
      </c>
      <c r="C28" s="8" t="s">
        <v>410</v>
      </c>
      <c r="D28" s="7">
        <f t="shared" si="0"/>
        <v>21.160000000000004</v>
      </c>
      <c r="E28" s="8">
        <v>33</v>
      </c>
      <c r="F28" s="5">
        <v>27</v>
      </c>
      <c r="G28" s="5">
        <v>289</v>
      </c>
      <c r="H28" s="5">
        <v>2</v>
      </c>
      <c r="I28" s="5">
        <v>0</v>
      </c>
      <c r="J28" s="9">
        <v>0</v>
      </c>
      <c r="K28" s="8">
        <v>4</v>
      </c>
      <c r="L28" s="5">
        <v>16</v>
      </c>
      <c r="M28" s="5">
        <v>0</v>
      </c>
      <c r="N28" s="9">
        <v>0</v>
      </c>
      <c r="O28" s="8">
        <v>0</v>
      </c>
      <c r="P28" s="5">
        <v>0</v>
      </c>
      <c r="Q28" s="5">
        <v>0</v>
      </c>
      <c r="R28" s="9">
        <v>0</v>
      </c>
      <c r="S28" s="8">
        <v>0</v>
      </c>
      <c r="T28" s="9">
        <v>0</v>
      </c>
    </row>
    <row r="29" spans="1:20" x14ac:dyDescent="0.2">
      <c r="A29" s="5" t="s">
        <v>53</v>
      </c>
      <c r="B29" s="5" t="s">
        <v>17</v>
      </c>
      <c r="C29" s="6" t="s">
        <v>408</v>
      </c>
      <c r="D29" s="7">
        <f t="shared" si="0"/>
        <v>20.6</v>
      </c>
      <c r="E29" s="8">
        <v>30</v>
      </c>
      <c r="F29" s="5">
        <v>20</v>
      </c>
      <c r="G29" s="5">
        <v>280</v>
      </c>
      <c r="H29" s="5">
        <v>2</v>
      </c>
      <c r="I29" s="5">
        <v>0</v>
      </c>
      <c r="J29" s="9">
        <v>0</v>
      </c>
      <c r="K29" s="8">
        <v>3</v>
      </c>
      <c r="L29" s="5">
        <v>14</v>
      </c>
      <c r="M29" s="5">
        <v>0</v>
      </c>
      <c r="N29" s="9">
        <v>0</v>
      </c>
      <c r="O29" s="8">
        <v>0</v>
      </c>
      <c r="P29" s="5">
        <v>0</v>
      </c>
      <c r="Q29" s="5">
        <v>0</v>
      </c>
      <c r="R29" s="9">
        <v>0</v>
      </c>
      <c r="S29" s="8">
        <v>0</v>
      </c>
      <c r="T29" s="9">
        <v>0</v>
      </c>
    </row>
    <row r="30" spans="1:20" x14ac:dyDescent="0.2">
      <c r="A30" s="5" t="s">
        <v>33</v>
      </c>
      <c r="B30" s="5" t="s">
        <v>17</v>
      </c>
      <c r="C30" s="8" t="s">
        <v>409</v>
      </c>
      <c r="D30" s="7">
        <f t="shared" si="0"/>
        <v>20.299999999999997</v>
      </c>
      <c r="E30" s="8">
        <v>37</v>
      </c>
      <c r="F30" s="5">
        <v>25</v>
      </c>
      <c r="G30" s="5">
        <v>310</v>
      </c>
      <c r="H30" s="5">
        <v>2</v>
      </c>
      <c r="I30" s="5">
        <v>0</v>
      </c>
      <c r="J30" s="9">
        <v>0</v>
      </c>
      <c r="K30" s="8">
        <v>4</v>
      </c>
      <c r="L30" s="5">
        <v>-1</v>
      </c>
      <c r="M30" s="5">
        <v>0</v>
      </c>
      <c r="N30" s="9">
        <v>0</v>
      </c>
      <c r="O30" s="8">
        <v>0</v>
      </c>
      <c r="P30" s="5">
        <v>0</v>
      </c>
      <c r="Q30" s="5">
        <v>0</v>
      </c>
      <c r="R30" s="9">
        <v>0</v>
      </c>
      <c r="S30" s="8">
        <v>0</v>
      </c>
      <c r="T30" s="9">
        <v>0</v>
      </c>
    </row>
    <row r="31" spans="1:20" x14ac:dyDescent="0.2">
      <c r="A31" s="5" t="s">
        <v>343</v>
      </c>
      <c r="B31" s="5" t="s">
        <v>69</v>
      </c>
      <c r="C31" s="8" t="s">
        <v>407</v>
      </c>
      <c r="D31" s="7">
        <f t="shared" si="0"/>
        <v>19.899999999999999</v>
      </c>
      <c r="E31" s="8">
        <v>0</v>
      </c>
      <c r="F31" s="5">
        <v>0</v>
      </c>
      <c r="G31" s="5">
        <v>0</v>
      </c>
      <c r="H31" s="5">
        <v>0</v>
      </c>
      <c r="I31" s="5">
        <v>0</v>
      </c>
      <c r="J31" s="9">
        <v>0</v>
      </c>
      <c r="K31" s="8">
        <v>0</v>
      </c>
      <c r="L31" s="5">
        <v>0</v>
      </c>
      <c r="M31" s="5">
        <v>0</v>
      </c>
      <c r="N31" s="9">
        <v>0</v>
      </c>
      <c r="O31" s="8">
        <v>7</v>
      </c>
      <c r="P31" s="5">
        <v>69</v>
      </c>
      <c r="Q31" s="5">
        <v>1</v>
      </c>
      <c r="R31" s="9">
        <v>0</v>
      </c>
      <c r="S31" s="8">
        <v>0</v>
      </c>
      <c r="T31" s="9">
        <v>0</v>
      </c>
    </row>
    <row r="32" spans="1:20" x14ac:dyDescent="0.2">
      <c r="A32" s="5" t="s">
        <v>45</v>
      </c>
      <c r="B32" s="5" t="s">
        <v>17</v>
      </c>
      <c r="C32" s="6" t="s">
        <v>414</v>
      </c>
      <c r="D32" s="7">
        <f t="shared" si="0"/>
        <v>19.880000000000003</v>
      </c>
      <c r="E32" s="8">
        <v>37</v>
      </c>
      <c r="F32" s="5">
        <v>23</v>
      </c>
      <c r="G32" s="5">
        <v>277</v>
      </c>
      <c r="H32" s="5">
        <v>1</v>
      </c>
      <c r="I32" s="5">
        <v>2</v>
      </c>
      <c r="J32" s="9">
        <v>0</v>
      </c>
      <c r="K32" s="8">
        <v>10</v>
      </c>
      <c r="L32" s="5">
        <v>28</v>
      </c>
      <c r="M32" s="5">
        <v>1</v>
      </c>
      <c r="N32" s="9">
        <v>0</v>
      </c>
      <c r="O32" s="8">
        <v>0</v>
      </c>
      <c r="P32" s="5">
        <v>0</v>
      </c>
      <c r="Q32" s="5">
        <v>0</v>
      </c>
      <c r="R32" s="9">
        <v>0</v>
      </c>
      <c r="S32" s="8">
        <v>0</v>
      </c>
      <c r="T32" s="9">
        <v>0</v>
      </c>
    </row>
    <row r="33" spans="1:20" x14ac:dyDescent="0.2">
      <c r="A33" s="5" t="s">
        <v>95</v>
      </c>
      <c r="B33" s="5" t="s">
        <v>75</v>
      </c>
      <c r="C33" s="8" t="s">
        <v>416</v>
      </c>
      <c r="D33" s="7">
        <f t="shared" si="0"/>
        <v>19.600000000000001</v>
      </c>
      <c r="E33" s="8">
        <v>0</v>
      </c>
      <c r="F33" s="5">
        <v>0</v>
      </c>
      <c r="G33" s="5">
        <v>0</v>
      </c>
      <c r="H33" s="5">
        <v>0</v>
      </c>
      <c r="I33" s="5">
        <v>0</v>
      </c>
      <c r="J33" s="9">
        <v>0</v>
      </c>
      <c r="K33" s="8">
        <v>14</v>
      </c>
      <c r="L33" s="5">
        <v>98</v>
      </c>
      <c r="M33" s="5">
        <v>1</v>
      </c>
      <c r="N33" s="9">
        <v>0</v>
      </c>
      <c r="O33" s="8">
        <v>2</v>
      </c>
      <c r="P33" s="5">
        <v>18</v>
      </c>
      <c r="Q33" s="5">
        <v>0</v>
      </c>
      <c r="R33" s="9">
        <v>0</v>
      </c>
      <c r="S33" s="8">
        <v>0</v>
      </c>
      <c r="T33" s="9">
        <v>0</v>
      </c>
    </row>
    <row r="34" spans="1:20" x14ac:dyDescent="0.2">
      <c r="A34" s="5" t="s">
        <v>173</v>
      </c>
      <c r="B34" s="18" t="s">
        <v>162</v>
      </c>
      <c r="C34" s="8" t="s">
        <v>413</v>
      </c>
      <c r="D34" s="7">
        <f t="shared" si="0"/>
        <v>19.600000000000001</v>
      </c>
      <c r="E34" s="8">
        <v>0</v>
      </c>
      <c r="F34" s="5">
        <v>0</v>
      </c>
      <c r="G34" s="5">
        <v>0</v>
      </c>
      <c r="H34" s="5">
        <v>0</v>
      </c>
      <c r="I34" s="5">
        <v>0</v>
      </c>
      <c r="J34" s="9">
        <v>0</v>
      </c>
      <c r="K34" s="8">
        <v>1</v>
      </c>
      <c r="L34" s="5">
        <v>4</v>
      </c>
      <c r="M34" s="5">
        <v>0</v>
      </c>
      <c r="N34" s="9">
        <v>0</v>
      </c>
      <c r="O34" s="8">
        <v>9</v>
      </c>
      <c r="P34" s="5">
        <v>102</v>
      </c>
      <c r="Q34" s="5">
        <v>0</v>
      </c>
      <c r="R34" s="9">
        <v>0</v>
      </c>
      <c r="S34" s="8">
        <v>0</v>
      </c>
      <c r="T34" s="9">
        <v>0</v>
      </c>
    </row>
    <row r="35" spans="1:20" x14ac:dyDescent="0.2">
      <c r="A35" s="5" t="s">
        <v>136</v>
      </c>
      <c r="B35" s="5" t="s">
        <v>75</v>
      </c>
      <c r="C35" s="8" t="s">
        <v>410</v>
      </c>
      <c r="D35" s="7">
        <f t="shared" si="0"/>
        <v>19.100000000000001</v>
      </c>
      <c r="E35" s="8">
        <v>0</v>
      </c>
      <c r="F35" s="5">
        <v>0</v>
      </c>
      <c r="G35" s="5">
        <v>0</v>
      </c>
      <c r="H35" s="5">
        <v>0</v>
      </c>
      <c r="I35" s="5">
        <v>0</v>
      </c>
      <c r="J35" s="9">
        <v>0</v>
      </c>
      <c r="K35" s="8">
        <v>10</v>
      </c>
      <c r="L35" s="5">
        <v>18</v>
      </c>
      <c r="M35" s="5">
        <v>1</v>
      </c>
      <c r="N35" s="9">
        <v>0</v>
      </c>
      <c r="O35" s="8">
        <v>2</v>
      </c>
      <c r="P35" s="5">
        <v>33</v>
      </c>
      <c r="Q35" s="5">
        <v>1</v>
      </c>
      <c r="R35" s="9">
        <v>0</v>
      </c>
      <c r="S35" s="8">
        <v>0</v>
      </c>
      <c r="T35" s="9">
        <v>0</v>
      </c>
    </row>
    <row r="36" spans="1:20" x14ac:dyDescent="0.2">
      <c r="A36" s="5" t="s">
        <v>189</v>
      </c>
      <c r="B36" s="18" t="s">
        <v>162</v>
      </c>
      <c r="C36" s="6" t="s">
        <v>401</v>
      </c>
      <c r="D36" s="7">
        <f t="shared" si="0"/>
        <v>19.100000000000001</v>
      </c>
      <c r="E36" s="8">
        <v>0</v>
      </c>
      <c r="F36" s="5">
        <v>0</v>
      </c>
      <c r="G36" s="5">
        <v>0</v>
      </c>
      <c r="H36" s="5">
        <v>0</v>
      </c>
      <c r="I36" s="5">
        <v>0</v>
      </c>
      <c r="J36" s="9">
        <v>0</v>
      </c>
      <c r="K36" s="8">
        <v>0</v>
      </c>
      <c r="L36" s="5">
        <v>0</v>
      </c>
      <c r="M36" s="5">
        <v>0</v>
      </c>
      <c r="N36" s="9">
        <v>0</v>
      </c>
      <c r="O36" s="8">
        <v>8</v>
      </c>
      <c r="P36" s="5">
        <v>91</v>
      </c>
      <c r="Q36" s="5">
        <v>1</v>
      </c>
      <c r="R36" s="9">
        <v>0</v>
      </c>
      <c r="S36" s="8">
        <v>2</v>
      </c>
      <c r="T36" s="9">
        <v>0</v>
      </c>
    </row>
    <row r="37" spans="1:20" x14ac:dyDescent="0.2">
      <c r="A37" s="5" t="s">
        <v>165</v>
      </c>
      <c r="B37" s="18" t="s">
        <v>162</v>
      </c>
      <c r="C37" s="6" t="s">
        <v>415</v>
      </c>
      <c r="D37" s="7">
        <f t="shared" si="0"/>
        <v>19.100000000000001</v>
      </c>
      <c r="E37" s="8">
        <v>0</v>
      </c>
      <c r="F37" s="5">
        <v>0</v>
      </c>
      <c r="G37" s="5">
        <v>0</v>
      </c>
      <c r="H37" s="5">
        <v>0</v>
      </c>
      <c r="I37" s="5">
        <v>0</v>
      </c>
      <c r="J37" s="9">
        <v>0</v>
      </c>
      <c r="K37" s="8">
        <v>0</v>
      </c>
      <c r="L37" s="5">
        <v>0</v>
      </c>
      <c r="M37" s="5">
        <v>0</v>
      </c>
      <c r="N37" s="9">
        <v>0</v>
      </c>
      <c r="O37" s="8">
        <v>8</v>
      </c>
      <c r="P37" s="5">
        <v>111</v>
      </c>
      <c r="Q37" s="5">
        <v>0</v>
      </c>
      <c r="R37" s="9">
        <v>0</v>
      </c>
      <c r="S37" s="8">
        <v>0</v>
      </c>
      <c r="T37" s="9">
        <v>0</v>
      </c>
    </row>
    <row r="38" spans="1:20" x14ac:dyDescent="0.2">
      <c r="A38" s="5" t="s">
        <v>371</v>
      </c>
      <c r="B38" s="18" t="s">
        <v>162</v>
      </c>
      <c r="C38" s="6" t="s">
        <v>404</v>
      </c>
      <c r="D38" s="7">
        <f t="shared" si="0"/>
        <v>18.600000000000001</v>
      </c>
      <c r="E38" s="8">
        <v>0</v>
      </c>
      <c r="F38" s="5">
        <v>0</v>
      </c>
      <c r="G38" s="5">
        <v>0</v>
      </c>
      <c r="H38" s="5">
        <v>0</v>
      </c>
      <c r="I38" s="5">
        <v>0</v>
      </c>
      <c r="J38" s="9">
        <v>0</v>
      </c>
      <c r="K38" s="8">
        <v>0</v>
      </c>
      <c r="L38" s="5">
        <v>0</v>
      </c>
      <c r="M38" s="5">
        <v>0</v>
      </c>
      <c r="N38" s="9">
        <v>0</v>
      </c>
      <c r="O38" s="8">
        <v>4</v>
      </c>
      <c r="P38" s="5">
        <v>86</v>
      </c>
      <c r="Q38" s="5">
        <v>1</v>
      </c>
      <c r="R38" s="9">
        <v>0</v>
      </c>
      <c r="S38" s="8">
        <v>0</v>
      </c>
      <c r="T38" s="9">
        <v>0</v>
      </c>
    </row>
    <row r="39" spans="1:20" x14ac:dyDescent="0.2">
      <c r="A39" s="5" t="s">
        <v>50</v>
      </c>
      <c r="B39" s="5" t="s">
        <v>17</v>
      </c>
      <c r="C39" s="6" t="s">
        <v>403</v>
      </c>
      <c r="D39" s="7">
        <f t="shared" si="0"/>
        <v>18.5</v>
      </c>
      <c r="E39" s="8">
        <v>28</v>
      </c>
      <c r="F39" s="5">
        <v>16</v>
      </c>
      <c r="G39" s="5">
        <v>235</v>
      </c>
      <c r="H39" s="5">
        <v>2</v>
      </c>
      <c r="I39" s="5">
        <v>0</v>
      </c>
      <c r="J39" s="9">
        <v>0</v>
      </c>
      <c r="K39" s="8">
        <v>3</v>
      </c>
      <c r="L39" s="5">
        <v>11</v>
      </c>
      <c r="M39" s="5">
        <v>0</v>
      </c>
      <c r="N39" s="9">
        <v>0</v>
      </c>
      <c r="O39" s="8">
        <v>0</v>
      </c>
      <c r="P39" s="5">
        <v>0</v>
      </c>
      <c r="Q39" s="5">
        <v>0</v>
      </c>
      <c r="R39" s="9">
        <v>0</v>
      </c>
      <c r="S39" s="8">
        <v>0</v>
      </c>
      <c r="T39" s="9">
        <v>0</v>
      </c>
    </row>
    <row r="40" spans="1:20" x14ac:dyDescent="0.2">
      <c r="A40" s="5" t="s">
        <v>171</v>
      </c>
      <c r="B40" s="18" t="s">
        <v>162</v>
      </c>
      <c r="C40" s="6" t="s">
        <v>411</v>
      </c>
      <c r="D40" s="7">
        <f t="shared" si="0"/>
        <v>18.399999999999999</v>
      </c>
      <c r="E40" s="8">
        <v>0</v>
      </c>
      <c r="F40" s="5">
        <v>0</v>
      </c>
      <c r="G40" s="5">
        <v>0</v>
      </c>
      <c r="H40" s="5">
        <v>0</v>
      </c>
      <c r="I40" s="5">
        <v>0</v>
      </c>
      <c r="J40" s="9">
        <v>0</v>
      </c>
      <c r="K40" s="8">
        <v>0</v>
      </c>
      <c r="L40" s="5">
        <v>0</v>
      </c>
      <c r="M40" s="5">
        <v>0</v>
      </c>
      <c r="N40" s="9">
        <v>0</v>
      </c>
      <c r="O40" s="8">
        <v>8</v>
      </c>
      <c r="P40" s="5">
        <v>104</v>
      </c>
      <c r="Q40" s="5">
        <v>0</v>
      </c>
      <c r="R40" s="9">
        <v>0</v>
      </c>
      <c r="S40" s="8">
        <v>0</v>
      </c>
      <c r="T40" s="9">
        <v>0</v>
      </c>
    </row>
    <row r="41" spans="1:20" x14ac:dyDescent="0.2">
      <c r="A41" s="5" t="s">
        <v>174</v>
      </c>
      <c r="B41" s="18" t="s">
        <v>162</v>
      </c>
      <c r="C41" s="8" t="s">
        <v>411</v>
      </c>
      <c r="D41" s="7">
        <f t="shared" si="0"/>
        <v>18.3</v>
      </c>
      <c r="E41" s="8">
        <v>0</v>
      </c>
      <c r="F41" s="5">
        <v>0</v>
      </c>
      <c r="G41" s="5">
        <v>0</v>
      </c>
      <c r="H41" s="5">
        <v>0</v>
      </c>
      <c r="I41" s="5">
        <v>0</v>
      </c>
      <c r="J41" s="9">
        <v>0</v>
      </c>
      <c r="K41" s="8">
        <v>0</v>
      </c>
      <c r="L41" s="5">
        <v>0</v>
      </c>
      <c r="M41" s="5">
        <v>0</v>
      </c>
      <c r="N41" s="9">
        <v>0</v>
      </c>
      <c r="O41" s="8">
        <v>5</v>
      </c>
      <c r="P41" s="5">
        <v>73</v>
      </c>
      <c r="Q41" s="5">
        <v>1</v>
      </c>
      <c r="R41" s="9">
        <v>0</v>
      </c>
      <c r="S41" s="8">
        <v>0</v>
      </c>
      <c r="T41" s="9">
        <v>0</v>
      </c>
    </row>
    <row r="42" spans="1:20" x14ac:dyDescent="0.2">
      <c r="A42" s="5" t="s">
        <v>44</v>
      </c>
      <c r="B42" s="5" t="s">
        <v>17</v>
      </c>
      <c r="C42" s="8" t="s">
        <v>413</v>
      </c>
      <c r="D42" s="7">
        <f t="shared" si="0"/>
        <v>18.020000000000003</v>
      </c>
      <c r="E42" s="8">
        <v>33</v>
      </c>
      <c r="F42" s="5">
        <v>22</v>
      </c>
      <c r="G42" s="5">
        <v>243</v>
      </c>
      <c r="H42" s="5">
        <v>1</v>
      </c>
      <c r="I42" s="5">
        <v>1</v>
      </c>
      <c r="J42" s="9">
        <v>0</v>
      </c>
      <c r="K42" s="8">
        <v>5</v>
      </c>
      <c r="L42" s="5">
        <v>3</v>
      </c>
      <c r="M42" s="5">
        <v>1</v>
      </c>
      <c r="N42" s="9">
        <v>0</v>
      </c>
      <c r="O42" s="8">
        <v>0</v>
      </c>
      <c r="P42" s="5">
        <v>0</v>
      </c>
      <c r="Q42" s="5">
        <v>0</v>
      </c>
      <c r="R42" s="9">
        <v>0</v>
      </c>
      <c r="S42" s="8">
        <v>0</v>
      </c>
      <c r="T42" s="9">
        <v>0</v>
      </c>
    </row>
    <row r="43" spans="1:20" x14ac:dyDescent="0.2">
      <c r="A43" s="5" t="s">
        <v>80</v>
      </c>
      <c r="B43" s="5" t="s">
        <v>75</v>
      </c>
      <c r="C43" s="8" t="s">
        <v>408</v>
      </c>
      <c r="D43" s="7">
        <f t="shared" si="0"/>
        <v>17.8</v>
      </c>
      <c r="E43" s="8">
        <v>0</v>
      </c>
      <c r="F43" s="5">
        <v>0</v>
      </c>
      <c r="G43" s="5">
        <v>0</v>
      </c>
      <c r="H43" s="5">
        <v>0</v>
      </c>
      <c r="I43" s="5">
        <v>0</v>
      </c>
      <c r="J43" s="9">
        <v>0</v>
      </c>
      <c r="K43" s="8">
        <v>19</v>
      </c>
      <c r="L43" s="5">
        <v>88</v>
      </c>
      <c r="M43" s="5">
        <v>0</v>
      </c>
      <c r="N43" s="9">
        <v>0</v>
      </c>
      <c r="O43" s="8">
        <v>4</v>
      </c>
      <c r="P43" s="5">
        <v>50</v>
      </c>
      <c r="Q43" s="5">
        <v>0</v>
      </c>
      <c r="R43" s="9">
        <v>0</v>
      </c>
      <c r="S43" s="8">
        <v>0</v>
      </c>
      <c r="T43" s="9">
        <v>0</v>
      </c>
    </row>
    <row r="44" spans="1:20" x14ac:dyDescent="0.2">
      <c r="A44" s="5" t="s">
        <v>138</v>
      </c>
      <c r="B44" s="5" t="s">
        <v>75</v>
      </c>
      <c r="C44" s="8" t="s">
        <v>407</v>
      </c>
      <c r="D44" s="7">
        <f t="shared" si="0"/>
        <v>17.8</v>
      </c>
      <c r="E44" s="8">
        <v>0</v>
      </c>
      <c r="F44" s="5">
        <v>0</v>
      </c>
      <c r="G44" s="5">
        <v>0</v>
      </c>
      <c r="H44" s="5">
        <v>0</v>
      </c>
      <c r="I44" s="5">
        <v>0</v>
      </c>
      <c r="J44" s="9">
        <v>0</v>
      </c>
      <c r="K44" s="8">
        <v>2</v>
      </c>
      <c r="L44" s="5">
        <v>9</v>
      </c>
      <c r="M44" s="5">
        <v>0</v>
      </c>
      <c r="N44" s="9">
        <v>0</v>
      </c>
      <c r="O44" s="8">
        <v>3</v>
      </c>
      <c r="P44" s="5">
        <v>19</v>
      </c>
      <c r="Q44" s="5">
        <v>2</v>
      </c>
      <c r="R44" s="9">
        <v>0</v>
      </c>
      <c r="S44" s="8">
        <v>0</v>
      </c>
      <c r="T44" s="9">
        <v>0</v>
      </c>
    </row>
    <row r="45" spans="1:20" x14ac:dyDescent="0.2">
      <c r="A45" s="5" t="s">
        <v>35</v>
      </c>
      <c r="B45" s="5" t="s">
        <v>17</v>
      </c>
      <c r="C45" s="8" t="s">
        <v>403</v>
      </c>
      <c r="D45" s="7">
        <f t="shared" si="0"/>
        <v>17.66</v>
      </c>
      <c r="E45" s="8">
        <v>44</v>
      </c>
      <c r="F45" s="5">
        <v>28</v>
      </c>
      <c r="G45" s="5">
        <v>324</v>
      </c>
      <c r="H45" s="5">
        <v>2</v>
      </c>
      <c r="I45" s="5">
        <v>3</v>
      </c>
      <c r="J45" s="9">
        <v>1</v>
      </c>
      <c r="K45" s="8">
        <v>2</v>
      </c>
      <c r="L45" s="5">
        <v>7</v>
      </c>
      <c r="M45" s="5">
        <v>0</v>
      </c>
      <c r="N45" s="9">
        <v>0</v>
      </c>
      <c r="O45" s="8">
        <v>0</v>
      </c>
      <c r="P45" s="5">
        <v>0</v>
      </c>
      <c r="Q45" s="5">
        <v>0</v>
      </c>
      <c r="R45" s="9">
        <v>0</v>
      </c>
      <c r="S45" s="8">
        <v>0</v>
      </c>
      <c r="T45" s="9">
        <v>0</v>
      </c>
    </row>
    <row r="46" spans="1:20" x14ac:dyDescent="0.2">
      <c r="A46" s="5" t="s">
        <v>89</v>
      </c>
      <c r="B46" s="5" t="s">
        <v>75</v>
      </c>
      <c r="C46" s="8" t="s">
        <v>402</v>
      </c>
      <c r="D46" s="7">
        <f t="shared" si="0"/>
        <v>17.5</v>
      </c>
      <c r="E46" s="8">
        <v>0</v>
      </c>
      <c r="F46" s="5">
        <v>0</v>
      </c>
      <c r="G46" s="5">
        <v>0</v>
      </c>
      <c r="H46" s="5">
        <v>0</v>
      </c>
      <c r="I46" s="5">
        <v>0</v>
      </c>
      <c r="J46" s="9">
        <v>0</v>
      </c>
      <c r="K46" s="8">
        <v>20</v>
      </c>
      <c r="L46" s="5">
        <v>93</v>
      </c>
      <c r="M46" s="5">
        <v>0</v>
      </c>
      <c r="N46" s="9">
        <v>0</v>
      </c>
      <c r="O46" s="8">
        <v>5</v>
      </c>
      <c r="P46" s="5">
        <v>32</v>
      </c>
      <c r="Q46" s="5">
        <v>0</v>
      </c>
      <c r="R46" s="9">
        <v>0</v>
      </c>
      <c r="S46" s="8">
        <v>0</v>
      </c>
      <c r="T46" s="9">
        <v>0</v>
      </c>
    </row>
    <row r="47" spans="1:20" x14ac:dyDescent="0.2">
      <c r="A47" s="5" t="s">
        <v>188</v>
      </c>
      <c r="B47" s="18" t="s">
        <v>162</v>
      </c>
      <c r="C47" s="8" t="s">
        <v>404</v>
      </c>
      <c r="D47" s="7">
        <f t="shared" si="0"/>
        <v>17.200000000000003</v>
      </c>
      <c r="E47" s="8">
        <v>0</v>
      </c>
      <c r="F47" s="5">
        <v>0</v>
      </c>
      <c r="G47" s="5">
        <v>0</v>
      </c>
      <c r="H47" s="5">
        <v>0</v>
      </c>
      <c r="I47" s="5">
        <v>0</v>
      </c>
      <c r="J47" s="9">
        <v>0</v>
      </c>
      <c r="K47" s="8">
        <v>0</v>
      </c>
      <c r="L47" s="5">
        <v>0</v>
      </c>
      <c r="M47" s="5">
        <v>0</v>
      </c>
      <c r="N47" s="9">
        <v>0</v>
      </c>
      <c r="O47" s="8">
        <v>6</v>
      </c>
      <c r="P47" s="5">
        <v>112</v>
      </c>
      <c r="Q47" s="5">
        <v>0</v>
      </c>
      <c r="R47" s="9">
        <v>0</v>
      </c>
      <c r="S47" s="8">
        <v>0</v>
      </c>
      <c r="T47" s="9">
        <v>0</v>
      </c>
    </row>
    <row r="48" spans="1:20" x14ac:dyDescent="0.2">
      <c r="A48" s="5" t="s">
        <v>94</v>
      </c>
      <c r="B48" s="5" t="s">
        <v>75</v>
      </c>
      <c r="C48" s="6" t="s">
        <v>404</v>
      </c>
      <c r="D48" s="7">
        <f t="shared" si="0"/>
        <v>17.2</v>
      </c>
      <c r="E48" s="8">
        <v>0</v>
      </c>
      <c r="F48" s="5">
        <v>0</v>
      </c>
      <c r="G48" s="5">
        <v>0</v>
      </c>
      <c r="H48" s="5">
        <v>0</v>
      </c>
      <c r="I48" s="5">
        <v>0</v>
      </c>
      <c r="J48" s="9">
        <v>0</v>
      </c>
      <c r="K48" s="8">
        <v>9</v>
      </c>
      <c r="L48" s="5">
        <v>24</v>
      </c>
      <c r="M48" s="5">
        <v>1</v>
      </c>
      <c r="N48" s="9">
        <v>0</v>
      </c>
      <c r="O48" s="8">
        <v>5</v>
      </c>
      <c r="P48" s="5">
        <v>38</v>
      </c>
      <c r="Q48" s="5">
        <v>0</v>
      </c>
      <c r="R48" s="9">
        <v>0</v>
      </c>
      <c r="S48" s="8">
        <v>0</v>
      </c>
      <c r="T48" s="9">
        <v>0</v>
      </c>
    </row>
    <row r="49" spans="1:20" x14ac:dyDescent="0.2">
      <c r="A49" s="5" t="s">
        <v>176</v>
      </c>
      <c r="B49" s="18" t="s">
        <v>162</v>
      </c>
      <c r="C49" s="6" t="s">
        <v>406</v>
      </c>
      <c r="D49" s="7">
        <f t="shared" si="0"/>
        <v>17.2</v>
      </c>
      <c r="E49" s="8">
        <v>0</v>
      </c>
      <c r="F49" s="5">
        <v>0</v>
      </c>
      <c r="G49" s="5">
        <v>0</v>
      </c>
      <c r="H49" s="5">
        <v>0</v>
      </c>
      <c r="I49" s="5">
        <v>0</v>
      </c>
      <c r="J49" s="9">
        <v>0</v>
      </c>
      <c r="K49" s="8">
        <v>1</v>
      </c>
      <c r="L49" s="5">
        <v>22</v>
      </c>
      <c r="M49" s="5">
        <v>0</v>
      </c>
      <c r="N49" s="9">
        <v>0</v>
      </c>
      <c r="O49" s="8">
        <v>4</v>
      </c>
      <c r="P49" s="5">
        <v>50</v>
      </c>
      <c r="Q49" s="5">
        <v>1</v>
      </c>
      <c r="R49" s="9">
        <v>0</v>
      </c>
      <c r="S49" s="8">
        <v>0</v>
      </c>
      <c r="T49" s="9">
        <v>0</v>
      </c>
    </row>
    <row r="50" spans="1:20" x14ac:dyDescent="0.2">
      <c r="A50" s="5" t="s">
        <v>213</v>
      </c>
      <c r="B50" s="18" t="s">
        <v>162</v>
      </c>
      <c r="C50" s="8" t="s">
        <v>416</v>
      </c>
      <c r="D50" s="7">
        <f t="shared" si="0"/>
        <v>17.100000000000001</v>
      </c>
      <c r="E50" s="8">
        <v>0</v>
      </c>
      <c r="F50" s="5">
        <v>0</v>
      </c>
      <c r="G50" s="5">
        <v>0</v>
      </c>
      <c r="H50" s="5">
        <v>0</v>
      </c>
      <c r="I50" s="5">
        <v>0</v>
      </c>
      <c r="J50" s="9">
        <v>0</v>
      </c>
      <c r="K50" s="8">
        <v>0</v>
      </c>
      <c r="L50" s="5">
        <v>0</v>
      </c>
      <c r="M50" s="5">
        <v>0</v>
      </c>
      <c r="N50" s="9">
        <v>0</v>
      </c>
      <c r="O50" s="8">
        <v>5</v>
      </c>
      <c r="P50" s="5">
        <v>61</v>
      </c>
      <c r="Q50" s="5">
        <v>1</v>
      </c>
      <c r="R50" s="9">
        <v>0</v>
      </c>
      <c r="S50" s="8">
        <v>0</v>
      </c>
      <c r="T50" s="9">
        <v>0</v>
      </c>
    </row>
    <row r="51" spans="1:20" x14ac:dyDescent="0.2">
      <c r="A51" s="5" t="s">
        <v>63</v>
      </c>
      <c r="B51" s="5" t="s">
        <v>17</v>
      </c>
      <c r="C51" s="6" t="s">
        <v>416</v>
      </c>
      <c r="D51" s="7">
        <f t="shared" si="0"/>
        <v>17.060000000000002</v>
      </c>
      <c r="E51" s="8">
        <v>21</v>
      </c>
      <c r="F51" s="5">
        <v>17</v>
      </c>
      <c r="G51" s="5">
        <v>189</v>
      </c>
      <c r="H51" s="5">
        <v>1</v>
      </c>
      <c r="I51" s="5">
        <v>0</v>
      </c>
      <c r="J51" s="9">
        <v>0</v>
      </c>
      <c r="K51" s="8">
        <v>6</v>
      </c>
      <c r="L51" s="5">
        <v>55</v>
      </c>
      <c r="M51" s="5">
        <v>0</v>
      </c>
      <c r="N51" s="9">
        <v>0</v>
      </c>
      <c r="O51" s="8">
        <v>0</v>
      </c>
      <c r="P51" s="5">
        <v>0</v>
      </c>
      <c r="Q51" s="5">
        <v>0</v>
      </c>
      <c r="R51" s="9">
        <v>0</v>
      </c>
      <c r="S51" s="8">
        <v>0</v>
      </c>
      <c r="T51" s="9">
        <v>0</v>
      </c>
    </row>
    <row r="52" spans="1:20" x14ac:dyDescent="0.2">
      <c r="A52" s="5" t="s">
        <v>175</v>
      </c>
      <c r="B52" s="18" t="s">
        <v>162</v>
      </c>
      <c r="C52" s="8" t="s">
        <v>414</v>
      </c>
      <c r="D52" s="7">
        <f t="shared" si="0"/>
        <v>17</v>
      </c>
      <c r="E52" s="8">
        <v>0</v>
      </c>
      <c r="F52" s="5">
        <v>0</v>
      </c>
      <c r="G52" s="5">
        <v>0</v>
      </c>
      <c r="H52" s="5">
        <v>0</v>
      </c>
      <c r="I52" s="5">
        <v>0</v>
      </c>
      <c r="J52" s="9">
        <v>0</v>
      </c>
      <c r="K52" s="8">
        <v>0</v>
      </c>
      <c r="L52" s="5">
        <v>0</v>
      </c>
      <c r="M52" s="5">
        <v>0</v>
      </c>
      <c r="N52" s="9">
        <v>0</v>
      </c>
      <c r="O52" s="8">
        <v>5</v>
      </c>
      <c r="P52" s="5">
        <v>60</v>
      </c>
      <c r="Q52" s="5">
        <v>1</v>
      </c>
      <c r="R52" s="9">
        <v>0</v>
      </c>
      <c r="S52" s="8">
        <v>0</v>
      </c>
      <c r="T52" s="9">
        <v>0</v>
      </c>
    </row>
    <row r="53" spans="1:20" x14ac:dyDescent="0.2">
      <c r="A53" s="5" t="s">
        <v>169</v>
      </c>
      <c r="B53" s="18" t="s">
        <v>162</v>
      </c>
      <c r="C53" s="6" t="s">
        <v>405</v>
      </c>
      <c r="D53" s="7">
        <f t="shared" si="0"/>
        <v>16.7</v>
      </c>
      <c r="E53" s="8">
        <v>0</v>
      </c>
      <c r="F53" s="5">
        <v>0</v>
      </c>
      <c r="G53" s="5">
        <v>0</v>
      </c>
      <c r="H53" s="5">
        <v>0</v>
      </c>
      <c r="I53" s="5">
        <v>0</v>
      </c>
      <c r="J53" s="9">
        <v>0</v>
      </c>
      <c r="K53" s="8">
        <v>0</v>
      </c>
      <c r="L53" s="5">
        <v>0</v>
      </c>
      <c r="M53" s="5">
        <v>0</v>
      </c>
      <c r="N53" s="9">
        <v>0</v>
      </c>
      <c r="O53" s="8">
        <v>9</v>
      </c>
      <c r="P53" s="5">
        <v>77</v>
      </c>
      <c r="Q53" s="5">
        <v>0</v>
      </c>
      <c r="R53" s="9">
        <v>0</v>
      </c>
      <c r="S53" s="8">
        <v>0</v>
      </c>
      <c r="T53" s="9">
        <v>0</v>
      </c>
    </row>
    <row r="54" spans="1:20" x14ac:dyDescent="0.2">
      <c r="A54" s="5" t="s">
        <v>215</v>
      </c>
      <c r="B54" s="18" t="s">
        <v>162</v>
      </c>
      <c r="C54" s="8" t="s">
        <v>416</v>
      </c>
      <c r="D54" s="7">
        <f t="shared" si="0"/>
        <v>16.2</v>
      </c>
      <c r="E54" s="8">
        <v>0</v>
      </c>
      <c r="F54" s="5">
        <v>0</v>
      </c>
      <c r="G54" s="5">
        <v>0</v>
      </c>
      <c r="H54" s="5">
        <v>0</v>
      </c>
      <c r="I54" s="5">
        <v>0</v>
      </c>
      <c r="J54" s="9">
        <v>0</v>
      </c>
      <c r="K54" s="8">
        <v>3</v>
      </c>
      <c r="L54" s="5">
        <v>54</v>
      </c>
      <c r="M54" s="5">
        <v>1</v>
      </c>
      <c r="N54" s="9">
        <v>0</v>
      </c>
      <c r="O54" s="8">
        <v>4</v>
      </c>
      <c r="P54" s="5">
        <v>8</v>
      </c>
      <c r="Q54" s="5">
        <v>0</v>
      </c>
      <c r="R54" s="9">
        <v>0</v>
      </c>
      <c r="S54" s="8">
        <v>0</v>
      </c>
      <c r="T54" s="9">
        <v>0</v>
      </c>
    </row>
    <row r="55" spans="1:20" x14ac:dyDescent="0.2">
      <c r="A55" s="5" t="s">
        <v>298</v>
      </c>
      <c r="B55" s="5" t="s">
        <v>69</v>
      </c>
      <c r="C55" s="8" t="s">
        <v>409</v>
      </c>
      <c r="D55" s="7">
        <f t="shared" si="0"/>
        <v>16</v>
      </c>
      <c r="E55" s="8">
        <v>0</v>
      </c>
      <c r="F55" s="5">
        <v>0</v>
      </c>
      <c r="G55" s="5">
        <v>0</v>
      </c>
      <c r="H55" s="5">
        <v>0</v>
      </c>
      <c r="I55" s="5">
        <v>0</v>
      </c>
      <c r="J55" s="9">
        <v>0</v>
      </c>
      <c r="K55" s="8">
        <v>0</v>
      </c>
      <c r="L55" s="5">
        <v>0</v>
      </c>
      <c r="M55" s="5">
        <v>0</v>
      </c>
      <c r="N55" s="9">
        <v>0</v>
      </c>
      <c r="O55" s="8">
        <v>7</v>
      </c>
      <c r="P55" s="5">
        <v>90</v>
      </c>
      <c r="Q55" s="5">
        <v>0</v>
      </c>
      <c r="R55" s="9">
        <v>0</v>
      </c>
      <c r="S55" s="8">
        <v>0</v>
      </c>
      <c r="T55" s="9">
        <v>0</v>
      </c>
    </row>
    <row r="56" spans="1:20" x14ac:dyDescent="0.2">
      <c r="A56" s="5" t="s">
        <v>104</v>
      </c>
      <c r="B56" s="5" t="s">
        <v>75</v>
      </c>
      <c r="C56" s="8" t="s">
        <v>407</v>
      </c>
      <c r="D56" s="7">
        <f t="shared" si="0"/>
        <v>15.799999999999999</v>
      </c>
      <c r="E56" s="8">
        <v>0</v>
      </c>
      <c r="F56" s="5">
        <v>0</v>
      </c>
      <c r="G56" s="5">
        <v>0</v>
      </c>
      <c r="H56" s="5">
        <v>0</v>
      </c>
      <c r="I56" s="5">
        <v>0</v>
      </c>
      <c r="J56" s="9">
        <v>0</v>
      </c>
      <c r="K56" s="8">
        <v>15</v>
      </c>
      <c r="L56" s="5">
        <v>62</v>
      </c>
      <c r="M56" s="5">
        <v>1</v>
      </c>
      <c r="N56" s="9">
        <v>0</v>
      </c>
      <c r="O56" s="8">
        <v>2</v>
      </c>
      <c r="P56" s="5">
        <v>16</v>
      </c>
      <c r="Q56" s="5">
        <v>0</v>
      </c>
      <c r="R56" s="9">
        <v>0</v>
      </c>
      <c r="S56" s="8">
        <v>0</v>
      </c>
      <c r="T56" s="9">
        <v>0</v>
      </c>
    </row>
    <row r="57" spans="1:20" x14ac:dyDescent="0.2">
      <c r="A57" s="5" t="s">
        <v>164</v>
      </c>
      <c r="B57" s="18" t="s">
        <v>162</v>
      </c>
      <c r="C57" s="8" t="s">
        <v>403</v>
      </c>
      <c r="D57" s="7">
        <f t="shared" si="0"/>
        <v>15.5</v>
      </c>
      <c r="E57" s="8">
        <v>0</v>
      </c>
      <c r="F57" s="5">
        <v>0</v>
      </c>
      <c r="G57" s="5">
        <v>0</v>
      </c>
      <c r="H57" s="5">
        <v>0</v>
      </c>
      <c r="I57" s="5">
        <v>0</v>
      </c>
      <c r="J57" s="9">
        <v>0</v>
      </c>
      <c r="K57" s="8">
        <v>0</v>
      </c>
      <c r="L57" s="5">
        <v>0</v>
      </c>
      <c r="M57" s="5">
        <v>0</v>
      </c>
      <c r="N57" s="9">
        <v>0</v>
      </c>
      <c r="O57" s="8">
        <v>7</v>
      </c>
      <c r="P57" s="5">
        <v>85</v>
      </c>
      <c r="Q57" s="5">
        <v>0</v>
      </c>
      <c r="R57" s="9">
        <v>0</v>
      </c>
      <c r="S57" s="8">
        <v>0</v>
      </c>
      <c r="T57" s="9">
        <v>0</v>
      </c>
    </row>
    <row r="58" spans="1:20" x14ac:dyDescent="0.2">
      <c r="A58" s="5" t="s">
        <v>55</v>
      </c>
      <c r="B58" s="5" t="s">
        <v>17</v>
      </c>
      <c r="C58" s="8" t="s">
        <v>404</v>
      </c>
      <c r="D58" s="7">
        <f t="shared" si="0"/>
        <v>15.44</v>
      </c>
      <c r="E58" s="8">
        <v>36</v>
      </c>
      <c r="F58" s="5">
        <v>23</v>
      </c>
      <c r="G58" s="5">
        <v>296</v>
      </c>
      <c r="H58" s="5">
        <v>1</v>
      </c>
      <c r="I58" s="5">
        <v>1</v>
      </c>
      <c r="J58" s="9">
        <v>1</v>
      </c>
      <c r="K58" s="8">
        <v>4</v>
      </c>
      <c r="L58" s="5">
        <v>-4</v>
      </c>
      <c r="M58" s="5">
        <v>0</v>
      </c>
      <c r="N58" s="9">
        <v>0</v>
      </c>
      <c r="O58" s="8">
        <v>0</v>
      </c>
      <c r="P58" s="5">
        <v>0</v>
      </c>
      <c r="Q58" s="5">
        <v>0</v>
      </c>
      <c r="R58" s="9">
        <v>0</v>
      </c>
      <c r="S58" s="8">
        <v>0</v>
      </c>
      <c r="T58" s="9">
        <v>0</v>
      </c>
    </row>
    <row r="59" spans="1:20" x14ac:dyDescent="0.2">
      <c r="A59" s="5" t="s">
        <v>263</v>
      </c>
      <c r="B59" s="18" t="s">
        <v>162</v>
      </c>
      <c r="C59" s="8" t="s">
        <v>408</v>
      </c>
      <c r="D59" s="7">
        <f t="shared" si="0"/>
        <v>15.4</v>
      </c>
      <c r="E59" s="8">
        <v>0</v>
      </c>
      <c r="F59" s="5">
        <v>0</v>
      </c>
      <c r="G59" s="5">
        <v>0</v>
      </c>
      <c r="H59" s="5">
        <v>0</v>
      </c>
      <c r="I59" s="5">
        <v>0</v>
      </c>
      <c r="J59" s="9">
        <v>0</v>
      </c>
      <c r="K59" s="8">
        <v>0</v>
      </c>
      <c r="L59" s="5">
        <v>0</v>
      </c>
      <c r="M59" s="5">
        <v>0</v>
      </c>
      <c r="N59" s="9">
        <v>0</v>
      </c>
      <c r="O59" s="8">
        <v>4</v>
      </c>
      <c r="P59" s="5">
        <v>54</v>
      </c>
      <c r="Q59" s="5">
        <v>1</v>
      </c>
      <c r="R59" s="9">
        <v>0</v>
      </c>
      <c r="S59" s="8">
        <v>0</v>
      </c>
      <c r="T59" s="9">
        <v>0</v>
      </c>
    </row>
    <row r="60" spans="1:20" x14ac:dyDescent="0.2">
      <c r="A60" s="5" t="s">
        <v>251</v>
      </c>
      <c r="B60" s="18" t="s">
        <v>162</v>
      </c>
      <c r="C60" s="6" t="s">
        <v>416</v>
      </c>
      <c r="D60" s="7">
        <f t="shared" si="0"/>
        <v>15.200000000000001</v>
      </c>
      <c r="E60" s="8">
        <v>0</v>
      </c>
      <c r="F60" s="5">
        <v>0</v>
      </c>
      <c r="G60" s="5">
        <v>0</v>
      </c>
      <c r="H60" s="5">
        <v>0</v>
      </c>
      <c r="I60" s="5">
        <v>0</v>
      </c>
      <c r="J60" s="9">
        <v>0</v>
      </c>
      <c r="K60" s="8">
        <v>0</v>
      </c>
      <c r="L60" s="5">
        <v>0</v>
      </c>
      <c r="M60" s="5">
        <v>0</v>
      </c>
      <c r="N60" s="9">
        <v>0</v>
      </c>
      <c r="O60" s="8">
        <v>6</v>
      </c>
      <c r="P60" s="5">
        <v>92</v>
      </c>
      <c r="Q60" s="5">
        <v>0</v>
      </c>
      <c r="R60" s="9">
        <v>0</v>
      </c>
      <c r="S60" s="8">
        <v>0</v>
      </c>
      <c r="T60" s="9">
        <v>0</v>
      </c>
    </row>
    <row r="61" spans="1:20" x14ac:dyDescent="0.2">
      <c r="A61" s="5" t="s">
        <v>202</v>
      </c>
      <c r="B61" s="18" t="s">
        <v>162</v>
      </c>
      <c r="C61" s="6" t="s">
        <v>403</v>
      </c>
      <c r="D61" s="7">
        <f t="shared" si="0"/>
        <v>15.2</v>
      </c>
      <c r="E61" s="8">
        <v>0</v>
      </c>
      <c r="F61" s="5">
        <v>0</v>
      </c>
      <c r="G61" s="5">
        <v>0</v>
      </c>
      <c r="H61" s="5">
        <v>0</v>
      </c>
      <c r="I61" s="5">
        <v>0</v>
      </c>
      <c r="J61" s="9">
        <v>0</v>
      </c>
      <c r="K61" s="8">
        <v>0</v>
      </c>
      <c r="L61" s="5">
        <v>0</v>
      </c>
      <c r="M61" s="5">
        <v>0</v>
      </c>
      <c r="N61" s="9">
        <v>0</v>
      </c>
      <c r="O61" s="8">
        <v>2</v>
      </c>
      <c r="P61" s="5">
        <v>72</v>
      </c>
      <c r="Q61" s="5">
        <v>1</v>
      </c>
      <c r="R61" s="9">
        <v>0</v>
      </c>
      <c r="S61" s="8">
        <v>0</v>
      </c>
      <c r="T61" s="9">
        <v>0</v>
      </c>
    </row>
    <row r="62" spans="1:20" x14ac:dyDescent="0.2">
      <c r="A62" s="5" t="s">
        <v>79</v>
      </c>
      <c r="B62" s="5" t="s">
        <v>75</v>
      </c>
      <c r="C62" s="6" t="s">
        <v>416</v>
      </c>
      <c r="D62" s="7">
        <f t="shared" si="0"/>
        <v>15.100000000000001</v>
      </c>
      <c r="E62" s="8">
        <v>0</v>
      </c>
      <c r="F62" s="5">
        <v>0</v>
      </c>
      <c r="G62" s="5">
        <v>0</v>
      </c>
      <c r="H62" s="5">
        <v>0</v>
      </c>
      <c r="I62" s="5">
        <v>0</v>
      </c>
      <c r="J62" s="9">
        <v>0</v>
      </c>
      <c r="K62" s="8">
        <v>23</v>
      </c>
      <c r="L62" s="5">
        <v>122</v>
      </c>
      <c r="M62" s="5">
        <v>0</v>
      </c>
      <c r="N62" s="9">
        <v>0</v>
      </c>
      <c r="O62" s="8">
        <v>3</v>
      </c>
      <c r="P62" s="5">
        <v>-1</v>
      </c>
      <c r="Q62" s="5">
        <v>0</v>
      </c>
      <c r="R62" s="9">
        <v>0</v>
      </c>
      <c r="S62" s="8">
        <v>0</v>
      </c>
      <c r="T62" s="9">
        <v>0</v>
      </c>
    </row>
    <row r="63" spans="1:20" x14ac:dyDescent="0.2">
      <c r="A63" s="5" t="s">
        <v>417</v>
      </c>
      <c r="B63" s="5" t="s">
        <v>69</v>
      </c>
      <c r="C63" s="6" t="s">
        <v>418</v>
      </c>
      <c r="D63" s="7">
        <f t="shared" si="0"/>
        <v>15.100000000000001</v>
      </c>
      <c r="E63" s="8">
        <v>0</v>
      </c>
      <c r="F63" s="5">
        <v>0</v>
      </c>
      <c r="G63" s="5">
        <v>0</v>
      </c>
      <c r="H63" s="5">
        <v>0</v>
      </c>
      <c r="I63" s="5">
        <v>0</v>
      </c>
      <c r="J63" s="9">
        <v>0</v>
      </c>
      <c r="K63" s="8">
        <v>0</v>
      </c>
      <c r="L63" s="5">
        <v>0</v>
      </c>
      <c r="M63" s="5">
        <v>0</v>
      </c>
      <c r="N63" s="9">
        <v>0</v>
      </c>
      <c r="O63" s="8">
        <v>2</v>
      </c>
      <c r="P63" s="5">
        <v>71</v>
      </c>
      <c r="Q63" s="5">
        <v>1</v>
      </c>
      <c r="R63" s="9">
        <v>0</v>
      </c>
      <c r="S63" s="8">
        <v>0</v>
      </c>
      <c r="T63" s="9">
        <v>0</v>
      </c>
    </row>
    <row r="64" spans="1:20" x14ac:dyDescent="0.2">
      <c r="A64" s="5" t="s">
        <v>120</v>
      </c>
      <c r="B64" s="5" t="s">
        <v>75</v>
      </c>
      <c r="C64" s="6" t="s">
        <v>408</v>
      </c>
      <c r="D64" s="7">
        <f t="shared" si="0"/>
        <v>14.9</v>
      </c>
      <c r="E64" s="8">
        <v>0</v>
      </c>
      <c r="F64" s="5">
        <v>0</v>
      </c>
      <c r="G64" s="5">
        <v>0</v>
      </c>
      <c r="H64" s="5">
        <v>0</v>
      </c>
      <c r="I64" s="5">
        <v>0</v>
      </c>
      <c r="J64" s="9">
        <v>0</v>
      </c>
      <c r="K64" s="8">
        <v>14</v>
      </c>
      <c r="L64" s="5">
        <v>31</v>
      </c>
      <c r="M64" s="5">
        <v>1</v>
      </c>
      <c r="N64" s="9">
        <v>0</v>
      </c>
      <c r="O64" s="8">
        <v>3</v>
      </c>
      <c r="P64" s="5">
        <v>28</v>
      </c>
      <c r="Q64" s="5">
        <v>0</v>
      </c>
      <c r="R64" s="9">
        <v>0</v>
      </c>
      <c r="S64" s="8">
        <v>0</v>
      </c>
      <c r="T64" s="9">
        <v>0</v>
      </c>
    </row>
    <row r="65" spans="1:20" x14ac:dyDescent="0.2">
      <c r="A65" s="5" t="s">
        <v>152</v>
      </c>
      <c r="B65" s="5" t="s">
        <v>75</v>
      </c>
      <c r="C65" s="6" t="s">
        <v>414</v>
      </c>
      <c r="D65" s="7">
        <f t="shared" si="0"/>
        <v>14.8</v>
      </c>
      <c r="E65" s="8">
        <v>0</v>
      </c>
      <c r="F65" s="5">
        <v>0</v>
      </c>
      <c r="G65" s="5">
        <v>0</v>
      </c>
      <c r="H65" s="5">
        <v>0</v>
      </c>
      <c r="I65" s="5">
        <v>0</v>
      </c>
      <c r="J65" s="9">
        <v>0</v>
      </c>
      <c r="K65" s="8">
        <v>16</v>
      </c>
      <c r="L65" s="5">
        <v>130</v>
      </c>
      <c r="M65" s="5">
        <v>0</v>
      </c>
      <c r="N65" s="9">
        <v>0</v>
      </c>
      <c r="O65" s="8">
        <v>1</v>
      </c>
      <c r="P65" s="5">
        <v>8</v>
      </c>
      <c r="Q65" s="5">
        <v>0</v>
      </c>
      <c r="R65" s="9">
        <v>0</v>
      </c>
      <c r="S65" s="8">
        <v>0</v>
      </c>
      <c r="T65" s="9">
        <v>0</v>
      </c>
    </row>
    <row r="66" spans="1:20" x14ac:dyDescent="0.2">
      <c r="A66" s="5" t="s">
        <v>264</v>
      </c>
      <c r="B66" s="18" t="s">
        <v>162</v>
      </c>
      <c r="C66" s="6" t="s">
        <v>402</v>
      </c>
      <c r="D66" s="7">
        <f t="shared" si="0"/>
        <v>14.600000000000001</v>
      </c>
      <c r="E66" s="8">
        <v>0</v>
      </c>
      <c r="F66" s="5">
        <v>0</v>
      </c>
      <c r="G66" s="5">
        <v>0</v>
      </c>
      <c r="H66" s="5">
        <v>0</v>
      </c>
      <c r="I66" s="5">
        <v>0</v>
      </c>
      <c r="J66" s="9">
        <v>0</v>
      </c>
      <c r="K66" s="8">
        <v>0</v>
      </c>
      <c r="L66" s="5">
        <v>0</v>
      </c>
      <c r="M66" s="5">
        <v>0</v>
      </c>
      <c r="N66" s="9">
        <v>0</v>
      </c>
      <c r="O66" s="8">
        <v>4</v>
      </c>
      <c r="P66" s="5">
        <v>66</v>
      </c>
      <c r="Q66" s="5">
        <v>1</v>
      </c>
      <c r="R66" s="9">
        <v>0</v>
      </c>
      <c r="S66" s="8">
        <v>1</v>
      </c>
      <c r="T66" s="9">
        <v>0</v>
      </c>
    </row>
    <row r="67" spans="1:20" x14ac:dyDescent="0.2">
      <c r="A67" s="5" t="s">
        <v>274</v>
      </c>
      <c r="B67" s="5" t="s">
        <v>69</v>
      </c>
      <c r="C67" s="6" t="s">
        <v>402</v>
      </c>
      <c r="D67" s="7">
        <f t="shared" si="0"/>
        <v>14.4</v>
      </c>
      <c r="E67" s="8">
        <v>0</v>
      </c>
      <c r="F67" s="5">
        <v>0</v>
      </c>
      <c r="G67" s="5">
        <v>0</v>
      </c>
      <c r="H67" s="5">
        <v>0</v>
      </c>
      <c r="I67" s="5">
        <v>0</v>
      </c>
      <c r="J67" s="9">
        <v>0</v>
      </c>
      <c r="K67" s="8">
        <v>0</v>
      </c>
      <c r="L67" s="5">
        <v>0</v>
      </c>
      <c r="M67" s="5">
        <v>0</v>
      </c>
      <c r="N67" s="9">
        <v>0</v>
      </c>
      <c r="O67" s="8">
        <v>2</v>
      </c>
      <c r="P67" s="5">
        <v>4</v>
      </c>
      <c r="Q67" s="5">
        <v>2</v>
      </c>
      <c r="R67" s="9">
        <v>0</v>
      </c>
      <c r="S67" s="8">
        <v>0</v>
      </c>
      <c r="T67" s="9">
        <v>0</v>
      </c>
    </row>
    <row r="68" spans="1:20" x14ac:dyDescent="0.2">
      <c r="A68" s="5" t="s">
        <v>59</v>
      </c>
      <c r="B68" s="5" t="s">
        <v>17</v>
      </c>
      <c r="C68" s="6" t="s">
        <v>416</v>
      </c>
      <c r="D68" s="7">
        <f t="shared" si="0"/>
        <v>14.360000000000001</v>
      </c>
      <c r="E68" s="8">
        <v>40</v>
      </c>
      <c r="F68" s="5">
        <v>25</v>
      </c>
      <c r="G68" s="5">
        <v>249</v>
      </c>
      <c r="H68" s="5">
        <v>1</v>
      </c>
      <c r="I68" s="5">
        <v>1</v>
      </c>
      <c r="J68" s="9">
        <v>0</v>
      </c>
      <c r="K68" s="8">
        <v>3</v>
      </c>
      <c r="L68" s="5">
        <v>24</v>
      </c>
      <c r="M68" s="5">
        <v>0</v>
      </c>
      <c r="N68" s="9">
        <v>0</v>
      </c>
      <c r="O68" s="8">
        <v>0</v>
      </c>
      <c r="P68" s="5">
        <v>0</v>
      </c>
      <c r="Q68" s="5">
        <v>0</v>
      </c>
      <c r="R68" s="9">
        <v>0</v>
      </c>
      <c r="S68" s="8">
        <v>0</v>
      </c>
      <c r="T68" s="9">
        <v>0</v>
      </c>
    </row>
    <row r="69" spans="1:20" x14ac:dyDescent="0.2">
      <c r="A69" s="5" t="s">
        <v>32</v>
      </c>
      <c r="B69" s="5" t="s">
        <v>17</v>
      </c>
      <c r="C69" s="8" t="s">
        <v>408</v>
      </c>
      <c r="D69" s="7">
        <f t="shared" si="0"/>
        <v>14.36</v>
      </c>
      <c r="E69" s="8">
        <v>40</v>
      </c>
      <c r="F69" s="5">
        <v>27</v>
      </c>
      <c r="G69" s="5">
        <v>279</v>
      </c>
      <c r="H69" s="5">
        <v>1</v>
      </c>
      <c r="I69" s="5">
        <v>1</v>
      </c>
      <c r="J69" s="9">
        <v>0</v>
      </c>
      <c r="K69" s="8">
        <v>3</v>
      </c>
      <c r="L69" s="5">
        <v>12</v>
      </c>
      <c r="M69" s="5">
        <v>0</v>
      </c>
      <c r="N69" s="9">
        <v>0</v>
      </c>
      <c r="O69" s="8">
        <v>0</v>
      </c>
      <c r="P69" s="5">
        <v>0</v>
      </c>
      <c r="Q69" s="5">
        <v>0</v>
      </c>
      <c r="R69" s="9">
        <v>0</v>
      </c>
      <c r="S69" s="8">
        <v>0</v>
      </c>
      <c r="T69" s="9">
        <v>0</v>
      </c>
    </row>
    <row r="70" spans="1:20" x14ac:dyDescent="0.2">
      <c r="A70" s="5" t="s">
        <v>38</v>
      </c>
      <c r="B70" s="5" t="s">
        <v>17</v>
      </c>
      <c r="C70" s="6" t="s">
        <v>401</v>
      </c>
      <c r="D70" s="7">
        <f t="shared" si="0"/>
        <v>14.240000000000002</v>
      </c>
      <c r="E70" s="8">
        <v>38</v>
      </c>
      <c r="F70" s="5">
        <v>23</v>
      </c>
      <c r="G70" s="5">
        <v>306</v>
      </c>
      <c r="H70" s="5">
        <v>1</v>
      </c>
      <c r="I70" s="5">
        <v>1</v>
      </c>
      <c r="J70" s="9">
        <v>0</v>
      </c>
      <c r="K70" s="8">
        <v>0</v>
      </c>
      <c r="L70" s="5">
        <v>0</v>
      </c>
      <c r="M70" s="5">
        <v>0</v>
      </c>
      <c r="N70" s="9">
        <v>0</v>
      </c>
      <c r="O70" s="8">
        <v>0</v>
      </c>
      <c r="P70" s="5">
        <v>0</v>
      </c>
      <c r="Q70" s="5">
        <v>0</v>
      </c>
      <c r="R70" s="9">
        <v>0</v>
      </c>
      <c r="S70" s="8">
        <v>0</v>
      </c>
      <c r="T70" s="9">
        <v>0</v>
      </c>
    </row>
    <row r="71" spans="1:20" x14ac:dyDescent="0.2">
      <c r="A71" s="5" t="s">
        <v>103</v>
      </c>
      <c r="B71" s="5" t="s">
        <v>75</v>
      </c>
      <c r="C71" s="8" t="s">
        <v>406</v>
      </c>
      <c r="D71" s="7">
        <f t="shared" si="0"/>
        <v>14</v>
      </c>
      <c r="E71" s="8">
        <v>0</v>
      </c>
      <c r="F71" s="5">
        <v>0</v>
      </c>
      <c r="G71" s="5">
        <v>0</v>
      </c>
      <c r="H71" s="5">
        <v>0</v>
      </c>
      <c r="I71" s="5">
        <v>0</v>
      </c>
      <c r="J71" s="9">
        <v>0</v>
      </c>
      <c r="K71" s="8">
        <v>19</v>
      </c>
      <c r="L71" s="5">
        <v>65</v>
      </c>
      <c r="M71" s="5">
        <v>1</v>
      </c>
      <c r="N71" s="9">
        <v>0</v>
      </c>
      <c r="O71" s="8">
        <v>1</v>
      </c>
      <c r="P71" s="5">
        <v>5</v>
      </c>
      <c r="Q71" s="5">
        <v>0</v>
      </c>
      <c r="R71" s="9">
        <v>0</v>
      </c>
      <c r="S71" s="8">
        <v>0</v>
      </c>
      <c r="T71" s="9">
        <v>0</v>
      </c>
    </row>
    <row r="72" spans="1:20" x14ac:dyDescent="0.2">
      <c r="A72" s="5" t="s">
        <v>419</v>
      </c>
      <c r="B72" s="18" t="s">
        <v>162</v>
      </c>
      <c r="C72" s="8" t="s">
        <v>401</v>
      </c>
      <c r="D72" s="7">
        <f t="shared" si="0"/>
        <v>13.8</v>
      </c>
      <c r="E72" s="8">
        <v>0</v>
      </c>
      <c r="F72" s="5">
        <v>0</v>
      </c>
      <c r="G72" s="5">
        <v>0</v>
      </c>
      <c r="H72" s="5">
        <v>0</v>
      </c>
      <c r="I72" s="5">
        <v>0</v>
      </c>
      <c r="J72" s="9">
        <v>0</v>
      </c>
      <c r="K72" s="8">
        <v>0</v>
      </c>
      <c r="L72" s="5">
        <v>0</v>
      </c>
      <c r="M72" s="5">
        <v>0</v>
      </c>
      <c r="N72" s="9">
        <v>0</v>
      </c>
      <c r="O72" s="8">
        <v>1</v>
      </c>
      <c r="P72" s="5">
        <v>68</v>
      </c>
      <c r="Q72" s="5">
        <v>1</v>
      </c>
      <c r="R72" s="9">
        <v>0</v>
      </c>
      <c r="S72" s="8">
        <v>0</v>
      </c>
      <c r="T72" s="9">
        <v>0</v>
      </c>
    </row>
    <row r="73" spans="1:20" x14ac:dyDescent="0.2">
      <c r="A73" s="5" t="s">
        <v>420</v>
      </c>
      <c r="B73" s="18" t="s">
        <v>162</v>
      </c>
      <c r="C73" s="6" t="s">
        <v>414</v>
      </c>
      <c r="D73" s="7">
        <f t="shared" si="0"/>
        <v>13.8</v>
      </c>
      <c r="E73" s="8">
        <v>0</v>
      </c>
      <c r="F73" s="5">
        <v>0</v>
      </c>
      <c r="G73" s="5">
        <v>0</v>
      </c>
      <c r="H73" s="5">
        <v>0</v>
      </c>
      <c r="I73" s="5">
        <v>0</v>
      </c>
      <c r="J73" s="9">
        <v>0</v>
      </c>
      <c r="K73" s="8">
        <v>0</v>
      </c>
      <c r="L73" s="5">
        <v>0</v>
      </c>
      <c r="M73" s="5">
        <v>0</v>
      </c>
      <c r="N73" s="9">
        <v>0</v>
      </c>
      <c r="O73" s="8">
        <v>2</v>
      </c>
      <c r="P73" s="5">
        <v>58</v>
      </c>
      <c r="Q73" s="5">
        <v>1</v>
      </c>
      <c r="R73" s="9">
        <v>0</v>
      </c>
      <c r="S73" s="8">
        <v>0</v>
      </c>
      <c r="T73" s="9">
        <v>0</v>
      </c>
    </row>
    <row r="74" spans="1:20" x14ac:dyDescent="0.2">
      <c r="A74" s="5" t="s">
        <v>273</v>
      </c>
      <c r="B74" s="5" t="s">
        <v>69</v>
      </c>
      <c r="C74" s="8" t="s">
        <v>402</v>
      </c>
      <c r="D74" s="7">
        <f t="shared" si="0"/>
        <v>13.8</v>
      </c>
      <c r="E74" s="8">
        <v>0</v>
      </c>
      <c r="F74" s="5">
        <v>0</v>
      </c>
      <c r="G74" s="5">
        <v>0</v>
      </c>
      <c r="H74" s="5">
        <v>0</v>
      </c>
      <c r="I74" s="5">
        <v>0</v>
      </c>
      <c r="J74" s="9">
        <v>0</v>
      </c>
      <c r="K74" s="8">
        <v>0</v>
      </c>
      <c r="L74" s="5">
        <v>0</v>
      </c>
      <c r="M74" s="5">
        <v>0</v>
      </c>
      <c r="N74" s="9">
        <v>0</v>
      </c>
      <c r="O74" s="8">
        <v>8</v>
      </c>
      <c r="P74" s="5">
        <v>78</v>
      </c>
      <c r="Q74" s="5">
        <v>0</v>
      </c>
      <c r="R74" s="9">
        <v>0</v>
      </c>
      <c r="S74" s="8">
        <v>1</v>
      </c>
      <c r="T74" s="9">
        <v>0</v>
      </c>
    </row>
    <row r="75" spans="1:20" x14ac:dyDescent="0.2">
      <c r="A75" s="5" t="s">
        <v>220</v>
      </c>
      <c r="B75" s="18" t="s">
        <v>162</v>
      </c>
      <c r="C75" s="6" t="s">
        <v>405</v>
      </c>
      <c r="D75" s="7">
        <f t="shared" si="0"/>
        <v>13.7</v>
      </c>
      <c r="E75" s="8">
        <v>0</v>
      </c>
      <c r="F75" s="5">
        <v>0</v>
      </c>
      <c r="G75" s="5">
        <v>0</v>
      </c>
      <c r="H75" s="5">
        <v>0</v>
      </c>
      <c r="I75" s="5">
        <v>0</v>
      </c>
      <c r="J75" s="9">
        <v>0</v>
      </c>
      <c r="K75" s="8">
        <v>0</v>
      </c>
      <c r="L75" s="5">
        <v>0</v>
      </c>
      <c r="M75" s="5">
        <v>0</v>
      </c>
      <c r="N75" s="9">
        <v>0</v>
      </c>
      <c r="O75" s="8">
        <v>8</v>
      </c>
      <c r="P75" s="5">
        <v>57</v>
      </c>
      <c r="Q75" s="5">
        <v>0</v>
      </c>
      <c r="R75" s="9">
        <v>0</v>
      </c>
      <c r="S75" s="8">
        <v>0</v>
      </c>
      <c r="T75" s="9">
        <v>0</v>
      </c>
    </row>
    <row r="76" spans="1:20" x14ac:dyDescent="0.2">
      <c r="A76" s="5" t="s">
        <v>276</v>
      </c>
      <c r="B76" s="5" t="s">
        <v>69</v>
      </c>
      <c r="C76" s="8" t="s">
        <v>408</v>
      </c>
      <c r="D76" s="7">
        <f t="shared" si="0"/>
        <v>13.7</v>
      </c>
      <c r="E76" s="8">
        <v>0</v>
      </c>
      <c r="F76" s="5">
        <v>0</v>
      </c>
      <c r="G76" s="5">
        <v>0</v>
      </c>
      <c r="H76" s="5">
        <v>0</v>
      </c>
      <c r="I76" s="5">
        <v>0</v>
      </c>
      <c r="J76" s="9">
        <v>0</v>
      </c>
      <c r="K76" s="8">
        <v>0</v>
      </c>
      <c r="L76" s="5">
        <v>0</v>
      </c>
      <c r="M76" s="5">
        <v>0</v>
      </c>
      <c r="N76" s="9">
        <v>0</v>
      </c>
      <c r="O76" s="8">
        <v>7</v>
      </c>
      <c r="P76" s="5">
        <v>67</v>
      </c>
      <c r="Q76" s="5">
        <v>0</v>
      </c>
      <c r="R76" s="9">
        <v>0</v>
      </c>
      <c r="S76" s="8">
        <v>0</v>
      </c>
      <c r="T76" s="9">
        <v>0</v>
      </c>
    </row>
    <row r="77" spans="1:20" x14ac:dyDescent="0.2">
      <c r="A77" s="5" t="s">
        <v>134</v>
      </c>
      <c r="B77" s="5" t="s">
        <v>75</v>
      </c>
      <c r="C77" s="6" t="s">
        <v>416</v>
      </c>
      <c r="D77" s="7">
        <f t="shared" si="0"/>
        <v>13.6</v>
      </c>
      <c r="E77" s="8">
        <v>0</v>
      </c>
      <c r="F77" s="5">
        <v>0</v>
      </c>
      <c r="G77" s="5">
        <v>0</v>
      </c>
      <c r="H77" s="5">
        <v>0</v>
      </c>
      <c r="I77" s="5">
        <v>0</v>
      </c>
      <c r="J77" s="9">
        <v>0</v>
      </c>
      <c r="K77" s="8">
        <v>4</v>
      </c>
      <c r="L77" s="5">
        <v>21</v>
      </c>
      <c r="M77" s="5">
        <v>0</v>
      </c>
      <c r="N77" s="9">
        <v>0</v>
      </c>
      <c r="O77" s="8">
        <v>3</v>
      </c>
      <c r="P77" s="5">
        <v>25</v>
      </c>
      <c r="Q77" s="5">
        <v>1</v>
      </c>
      <c r="R77" s="9">
        <v>0</v>
      </c>
      <c r="S77" s="8">
        <v>0</v>
      </c>
      <c r="T77" s="9">
        <v>0</v>
      </c>
    </row>
    <row r="78" spans="1:20" x14ac:dyDescent="0.2">
      <c r="A78" s="5" t="s">
        <v>19</v>
      </c>
      <c r="B78" s="5" t="s">
        <v>17</v>
      </c>
      <c r="C78" s="6" t="s">
        <v>418</v>
      </c>
      <c r="D78" s="7">
        <f t="shared" si="0"/>
        <v>13.340000000000002</v>
      </c>
      <c r="E78" s="8">
        <v>29</v>
      </c>
      <c r="F78" s="5">
        <v>15</v>
      </c>
      <c r="G78" s="5">
        <v>201</v>
      </c>
      <c r="H78" s="5">
        <v>1</v>
      </c>
      <c r="I78" s="5">
        <v>0</v>
      </c>
      <c r="J78" s="9">
        <v>0</v>
      </c>
      <c r="K78" s="8">
        <v>4</v>
      </c>
      <c r="L78" s="5">
        <v>13</v>
      </c>
      <c r="M78" s="5">
        <v>0</v>
      </c>
      <c r="N78" s="9">
        <v>0</v>
      </c>
      <c r="O78" s="8">
        <v>0</v>
      </c>
      <c r="P78" s="5">
        <v>0</v>
      </c>
      <c r="Q78" s="5">
        <v>0</v>
      </c>
      <c r="R78" s="9">
        <v>0</v>
      </c>
      <c r="S78" s="8">
        <v>0</v>
      </c>
      <c r="T78" s="9">
        <v>0</v>
      </c>
    </row>
    <row r="79" spans="1:20" x14ac:dyDescent="0.2">
      <c r="A79" s="5" t="s">
        <v>102</v>
      </c>
      <c r="B79" s="5" t="s">
        <v>75</v>
      </c>
      <c r="C79" s="6" t="s">
        <v>415</v>
      </c>
      <c r="D79" s="7">
        <f t="shared" si="0"/>
        <v>13.200000000000001</v>
      </c>
      <c r="E79" s="8">
        <v>0</v>
      </c>
      <c r="F79" s="5">
        <v>0</v>
      </c>
      <c r="G79" s="5">
        <v>0</v>
      </c>
      <c r="H79" s="5">
        <v>0</v>
      </c>
      <c r="I79" s="5">
        <v>0</v>
      </c>
      <c r="J79" s="9">
        <v>0</v>
      </c>
      <c r="K79" s="8">
        <v>15</v>
      </c>
      <c r="L79" s="5">
        <v>98</v>
      </c>
      <c r="M79" s="5">
        <v>0</v>
      </c>
      <c r="N79" s="9">
        <v>0</v>
      </c>
      <c r="O79" s="8">
        <v>2</v>
      </c>
      <c r="P79" s="5">
        <v>14</v>
      </c>
      <c r="Q79" s="5">
        <v>0</v>
      </c>
      <c r="R79" s="9">
        <v>0</v>
      </c>
      <c r="S79" s="8">
        <v>0</v>
      </c>
      <c r="T79" s="9">
        <v>0</v>
      </c>
    </row>
    <row r="80" spans="1:20" x14ac:dyDescent="0.2">
      <c r="A80" s="5" t="s">
        <v>235</v>
      </c>
      <c r="B80" s="18" t="s">
        <v>162</v>
      </c>
      <c r="C80" s="6" t="s">
        <v>407</v>
      </c>
      <c r="D80" s="7">
        <f t="shared" si="0"/>
        <v>13.100000000000001</v>
      </c>
      <c r="E80" s="8">
        <v>0</v>
      </c>
      <c r="F80" s="5">
        <v>0</v>
      </c>
      <c r="G80" s="5">
        <v>0</v>
      </c>
      <c r="H80" s="5">
        <v>0</v>
      </c>
      <c r="I80" s="5">
        <v>0</v>
      </c>
      <c r="J80" s="9">
        <v>0</v>
      </c>
      <c r="K80" s="8">
        <v>0</v>
      </c>
      <c r="L80" s="5">
        <v>0</v>
      </c>
      <c r="M80" s="5">
        <v>0</v>
      </c>
      <c r="N80" s="9">
        <v>0</v>
      </c>
      <c r="O80" s="8">
        <v>3</v>
      </c>
      <c r="P80" s="5">
        <v>41</v>
      </c>
      <c r="Q80" s="5">
        <v>1</v>
      </c>
      <c r="R80" s="9">
        <v>0</v>
      </c>
      <c r="S80" s="8">
        <v>0</v>
      </c>
      <c r="T80" s="9">
        <v>0</v>
      </c>
    </row>
    <row r="81" spans="1:20" x14ac:dyDescent="0.2">
      <c r="A81" s="5" t="s">
        <v>284</v>
      </c>
      <c r="B81" s="5" t="s">
        <v>69</v>
      </c>
      <c r="C81" s="6" t="s">
        <v>403</v>
      </c>
      <c r="D81" s="7">
        <f t="shared" si="0"/>
        <v>13.100000000000001</v>
      </c>
      <c r="E81" s="8">
        <v>0</v>
      </c>
      <c r="F81" s="5">
        <v>0</v>
      </c>
      <c r="G81" s="5">
        <v>0</v>
      </c>
      <c r="H81" s="5">
        <v>0</v>
      </c>
      <c r="I81" s="5">
        <v>0</v>
      </c>
      <c r="J81" s="9">
        <v>0</v>
      </c>
      <c r="K81" s="8">
        <v>0</v>
      </c>
      <c r="L81" s="5">
        <v>0</v>
      </c>
      <c r="M81" s="5">
        <v>0</v>
      </c>
      <c r="N81" s="9">
        <v>0</v>
      </c>
      <c r="O81" s="8">
        <v>3</v>
      </c>
      <c r="P81" s="5">
        <v>41</v>
      </c>
      <c r="Q81" s="5">
        <v>1</v>
      </c>
      <c r="R81" s="9">
        <v>0</v>
      </c>
      <c r="S81" s="8">
        <v>0</v>
      </c>
      <c r="T81" s="9">
        <v>0</v>
      </c>
    </row>
    <row r="82" spans="1:20" x14ac:dyDescent="0.2">
      <c r="A82" s="5" t="s">
        <v>360</v>
      </c>
      <c r="B82" s="18" t="s">
        <v>162</v>
      </c>
      <c r="C82" s="6" t="s">
        <v>401</v>
      </c>
      <c r="D82" s="7">
        <f t="shared" si="0"/>
        <v>13.1</v>
      </c>
      <c r="E82" s="8">
        <v>0</v>
      </c>
      <c r="F82" s="5">
        <v>0</v>
      </c>
      <c r="G82" s="5">
        <v>0</v>
      </c>
      <c r="H82" s="5">
        <v>0</v>
      </c>
      <c r="I82" s="5">
        <v>0</v>
      </c>
      <c r="J82" s="9">
        <v>0</v>
      </c>
      <c r="K82" s="8">
        <v>0</v>
      </c>
      <c r="L82" s="5">
        <v>0</v>
      </c>
      <c r="M82" s="5">
        <v>0</v>
      </c>
      <c r="N82" s="9">
        <v>0</v>
      </c>
      <c r="O82" s="8">
        <v>5</v>
      </c>
      <c r="P82" s="5">
        <v>81</v>
      </c>
      <c r="Q82" s="5">
        <v>0</v>
      </c>
      <c r="R82" s="9">
        <v>0</v>
      </c>
      <c r="S82" s="8">
        <v>0</v>
      </c>
      <c r="T82" s="9">
        <v>0</v>
      </c>
    </row>
    <row r="83" spans="1:20" x14ac:dyDescent="0.2">
      <c r="A83" s="5" t="s">
        <v>70</v>
      </c>
      <c r="B83" s="5" t="s">
        <v>17</v>
      </c>
      <c r="C83" s="6" t="s">
        <v>405</v>
      </c>
      <c r="D83" s="7">
        <f t="shared" si="0"/>
        <v>13.08</v>
      </c>
      <c r="E83" s="8">
        <v>44</v>
      </c>
      <c r="F83" s="5">
        <v>27</v>
      </c>
      <c r="G83" s="5">
        <v>227</v>
      </c>
      <c r="H83" s="5">
        <v>1</v>
      </c>
      <c r="I83" s="5">
        <v>0</v>
      </c>
      <c r="J83" s="9">
        <v>0</v>
      </c>
      <c r="K83" s="8">
        <v>0</v>
      </c>
      <c r="L83" s="5">
        <v>0</v>
      </c>
      <c r="M83" s="5">
        <v>0</v>
      </c>
      <c r="N83" s="9">
        <v>0</v>
      </c>
      <c r="O83" s="8">
        <v>0</v>
      </c>
      <c r="P83" s="5">
        <v>0</v>
      </c>
      <c r="Q83" s="5">
        <v>0</v>
      </c>
      <c r="R83" s="9">
        <v>0</v>
      </c>
      <c r="S83" s="8">
        <v>0</v>
      </c>
      <c r="T83" s="9">
        <v>0</v>
      </c>
    </row>
    <row r="84" spans="1:20" x14ac:dyDescent="0.2">
      <c r="A84" s="5" t="s">
        <v>179</v>
      </c>
      <c r="B84" s="18" t="s">
        <v>162</v>
      </c>
      <c r="C84" s="8" t="s">
        <v>405</v>
      </c>
      <c r="D84" s="7">
        <f t="shared" si="0"/>
        <v>13</v>
      </c>
      <c r="E84" s="8">
        <v>0</v>
      </c>
      <c r="F84" s="5">
        <v>0</v>
      </c>
      <c r="G84" s="5">
        <v>0</v>
      </c>
      <c r="H84" s="5">
        <v>0</v>
      </c>
      <c r="I84" s="5">
        <v>0</v>
      </c>
      <c r="J84" s="9">
        <v>0</v>
      </c>
      <c r="K84" s="8">
        <v>1</v>
      </c>
      <c r="L84" s="5">
        <v>2</v>
      </c>
      <c r="M84" s="5">
        <v>0</v>
      </c>
      <c r="N84" s="9">
        <v>0</v>
      </c>
      <c r="O84" s="8">
        <v>8</v>
      </c>
      <c r="P84" s="5">
        <v>48</v>
      </c>
      <c r="Q84" s="5">
        <v>0</v>
      </c>
      <c r="R84" s="9">
        <v>0</v>
      </c>
      <c r="S84" s="8">
        <v>0</v>
      </c>
      <c r="T84" s="9">
        <v>0</v>
      </c>
    </row>
    <row r="85" spans="1:20" x14ac:dyDescent="0.2">
      <c r="A85" s="5" t="s">
        <v>124</v>
      </c>
      <c r="B85" s="5" t="s">
        <v>75</v>
      </c>
      <c r="C85" s="8" t="s">
        <v>407</v>
      </c>
      <c r="D85" s="7">
        <f t="shared" si="0"/>
        <v>12.7</v>
      </c>
      <c r="E85" s="8">
        <v>0</v>
      </c>
      <c r="F85" s="5">
        <v>0</v>
      </c>
      <c r="G85" s="5">
        <v>0</v>
      </c>
      <c r="H85" s="5">
        <v>0</v>
      </c>
      <c r="I85" s="5">
        <v>0</v>
      </c>
      <c r="J85" s="9">
        <v>0</v>
      </c>
      <c r="K85" s="8">
        <v>15</v>
      </c>
      <c r="L85" s="5">
        <v>55</v>
      </c>
      <c r="M85" s="5">
        <v>1</v>
      </c>
      <c r="N85" s="9">
        <v>0</v>
      </c>
      <c r="O85" s="8">
        <v>1</v>
      </c>
      <c r="P85" s="5">
        <v>2</v>
      </c>
      <c r="Q85" s="5">
        <v>0</v>
      </c>
      <c r="R85" s="9">
        <v>0</v>
      </c>
      <c r="S85" s="8">
        <v>0</v>
      </c>
      <c r="T85" s="9">
        <v>0</v>
      </c>
    </row>
    <row r="86" spans="1:20" x14ac:dyDescent="0.2">
      <c r="A86" s="5" t="s">
        <v>170</v>
      </c>
      <c r="B86" s="18" t="s">
        <v>162</v>
      </c>
      <c r="C86" s="6" t="s">
        <v>406</v>
      </c>
      <c r="D86" s="7">
        <f t="shared" si="0"/>
        <v>12.2</v>
      </c>
      <c r="E86" s="8">
        <v>0</v>
      </c>
      <c r="F86" s="5">
        <v>0</v>
      </c>
      <c r="G86" s="5">
        <v>0</v>
      </c>
      <c r="H86" s="5">
        <v>0</v>
      </c>
      <c r="I86" s="5">
        <v>0</v>
      </c>
      <c r="J86" s="9">
        <v>0</v>
      </c>
      <c r="K86" s="8">
        <v>0</v>
      </c>
      <c r="L86" s="5">
        <v>0</v>
      </c>
      <c r="M86" s="5">
        <v>0</v>
      </c>
      <c r="N86" s="9">
        <v>0</v>
      </c>
      <c r="O86" s="8">
        <v>5</v>
      </c>
      <c r="P86" s="5">
        <v>72</v>
      </c>
      <c r="Q86" s="5">
        <v>0</v>
      </c>
      <c r="R86" s="9">
        <v>0</v>
      </c>
      <c r="S86" s="8">
        <v>0</v>
      </c>
      <c r="T86" s="9">
        <v>0</v>
      </c>
    </row>
    <row r="87" spans="1:20" x14ac:dyDescent="0.2">
      <c r="A87" s="5" t="s">
        <v>286</v>
      </c>
      <c r="B87" s="5" t="s">
        <v>69</v>
      </c>
      <c r="C87" s="6" t="s">
        <v>406</v>
      </c>
      <c r="D87" s="7">
        <f t="shared" si="0"/>
        <v>12.100000000000001</v>
      </c>
      <c r="E87" s="8">
        <v>0</v>
      </c>
      <c r="F87" s="5">
        <v>0</v>
      </c>
      <c r="G87" s="5">
        <v>0</v>
      </c>
      <c r="H87" s="5">
        <v>0</v>
      </c>
      <c r="I87" s="5">
        <v>0</v>
      </c>
      <c r="J87" s="9">
        <v>0</v>
      </c>
      <c r="K87" s="8">
        <v>0</v>
      </c>
      <c r="L87" s="5">
        <v>0</v>
      </c>
      <c r="M87" s="5">
        <v>0</v>
      </c>
      <c r="N87" s="9">
        <v>0</v>
      </c>
      <c r="O87" s="8">
        <v>5</v>
      </c>
      <c r="P87" s="5">
        <v>71</v>
      </c>
      <c r="Q87" s="5">
        <v>0</v>
      </c>
      <c r="R87" s="9">
        <v>0</v>
      </c>
      <c r="S87" s="8">
        <v>0</v>
      </c>
      <c r="T87" s="9">
        <v>0</v>
      </c>
    </row>
    <row r="88" spans="1:20" x14ac:dyDescent="0.2">
      <c r="A88" s="5" t="s">
        <v>208</v>
      </c>
      <c r="B88" s="18" t="s">
        <v>162</v>
      </c>
      <c r="C88" s="8" t="s">
        <v>410</v>
      </c>
      <c r="D88" s="7">
        <f t="shared" si="0"/>
        <v>11.8</v>
      </c>
      <c r="E88" s="8">
        <v>0</v>
      </c>
      <c r="F88" s="5">
        <v>0</v>
      </c>
      <c r="G88" s="5">
        <v>0</v>
      </c>
      <c r="H88" s="5">
        <v>0</v>
      </c>
      <c r="I88" s="5">
        <v>0</v>
      </c>
      <c r="J88" s="9">
        <v>0</v>
      </c>
      <c r="K88" s="8">
        <v>3</v>
      </c>
      <c r="L88" s="5">
        <v>-1</v>
      </c>
      <c r="M88" s="5">
        <v>0</v>
      </c>
      <c r="N88" s="9">
        <v>0</v>
      </c>
      <c r="O88" s="8">
        <v>9</v>
      </c>
      <c r="P88" s="5">
        <v>49</v>
      </c>
      <c r="Q88" s="5">
        <v>0</v>
      </c>
      <c r="R88" s="9">
        <v>0</v>
      </c>
      <c r="S88" s="8">
        <v>1</v>
      </c>
      <c r="T88" s="9">
        <v>0</v>
      </c>
    </row>
    <row r="89" spans="1:20" x14ac:dyDescent="0.2">
      <c r="A89" s="5" t="s">
        <v>210</v>
      </c>
      <c r="B89" s="18" t="s">
        <v>162</v>
      </c>
      <c r="C89" s="6" t="s">
        <v>403</v>
      </c>
      <c r="D89" s="7">
        <f t="shared" si="0"/>
        <v>11.5</v>
      </c>
      <c r="E89" s="8">
        <v>0</v>
      </c>
      <c r="F89" s="5">
        <v>0</v>
      </c>
      <c r="G89" s="5">
        <v>0</v>
      </c>
      <c r="H89" s="5">
        <v>0</v>
      </c>
      <c r="I89" s="5">
        <v>0</v>
      </c>
      <c r="J89" s="9">
        <v>0</v>
      </c>
      <c r="K89" s="8">
        <v>0</v>
      </c>
      <c r="L89" s="5">
        <v>0</v>
      </c>
      <c r="M89" s="5">
        <v>0</v>
      </c>
      <c r="N89" s="9">
        <v>0</v>
      </c>
      <c r="O89" s="8">
        <v>4</v>
      </c>
      <c r="P89" s="5">
        <v>75</v>
      </c>
      <c r="Q89" s="5">
        <v>0</v>
      </c>
      <c r="R89" s="9">
        <v>0</v>
      </c>
      <c r="S89" s="8">
        <v>0</v>
      </c>
      <c r="T89" s="9">
        <v>0</v>
      </c>
    </row>
    <row r="90" spans="1:20" x14ac:dyDescent="0.2">
      <c r="A90" s="5" t="s">
        <v>46</v>
      </c>
      <c r="B90" s="5" t="s">
        <v>17</v>
      </c>
      <c r="C90" s="6" t="s">
        <v>406</v>
      </c>
      <c r="D90" s="7">
        <f t="shared" si="0"/>
        <v>11.459999999999999</v>
      </c>
      <c r="E90" s="8">
        <v>33</v>
      </c>
      <c r="F90" s="5">
        <v>18</v>
      </c>
      <c r="G90" s="5">
        <v>269</v>
      </c>
      <c r="H90" s="5">
        <v>1</v>
      </c>
      <c r="I90" s="5">
        <v>2</v>
      </c>
      <c r="J90" s="9">
        <v>0</v>
      </c>
      <c r="K90" s="8">
        <v>1</v>
      </c>
      <c r="L90" s="5">
        <v>7</v>
      </c>
      <c r="M90" s="5">
        <v>0</v>
      </c>
      <c r="N90" s="9">
        <v>0</v>
      </c>
      <c r="O90" s="8">
        <v>0</v>
      </c>
      <c r="P90" s="5">
        <v>0</v>
      </c>
      <c r="Q90" s="5">
        <v>0</v>
      </c>
      <c r="R90" s="9">
        <v>0</v>
      </c>
      <c r="S90" s="8">
        <v>0</v>
      </c>
      <c r="T90" s="9">
        <v>0</v>
      </c>
    </row>
    <row r="91" spans="1:20" x14ac:dyDescent="0.2">
      <c r="A91" s="5" t="s">
        <v>178</v>
      </c>
      <c r="B91" s="18" t="s">
        <v>162</v>
      </c>
      <c r="C91" s="8" t="s">
        <v>402</v>
      </c>
      <c r="D91" s="7">
        <f t="shared" si="0"/>
        <v>11.2</v>
      </c>
      <c r="E91" s="8">
        <v>0</v>
      </c>
      <c r="F91" s="5">
        <v>0</v>
      </c>
      <c r="G91" s="5">
        <v>0</v>
      </c>
      <c r="H91" s="5">
        <v>0</v>
      </c>
      <c r="I91" s="5">
        <v>0</v>
      </c>
      <c r="J91" s="9">
        <v>0</v>
      </c>
      <c r="K91" s="8">
        <v>0</v>
      </c>
      <c r="L91" s="5">
        <v>0</v>
      </c>
      <c r="M91" s="5">
        <v>0</v>
      </c>
      <c r="N91" s="9">
        <v>0</v>
      </c>
      <c r="O91" s="8">
        <v>6</v>
      </c>
      <c r="P91" s="5">
        <v>52</v>
      </c>
      <c r="Q91" s="5">
        <v>0</v>
      </c>
      <c r="R91" s="9">
        <v>0</v>
      </c>
      <c r="S91" s="8">
        <v>0</v>
      </c>
      <c r="T91" s="9">
        <v>0</v>
      </c>
    </row>
    <row r="92" spans="1:20" x14ac:dyDescent="0.2">
      <c r="A92" s="5" t="s">
        <v>109</v>
      </c>
      <c r="B92" s="5" t="s">
        <v>75</v>
      </c>
      <c r="C92" s="8" t="s">
        <v>403</v>
      </c>
      <c r="D92" s="7">
        <f t="shared" si="0"/>
        <v>11</v>
      </c>
      <c r="E92" s="8">
        <v>0</v>
      </c>
      <c r="F92" s="5">
        <v>0</v>
      </c>
      <c r="G92" s="5">
        <v>0</v>
      </c>
      <c r="H92" s="5">
        <v>0</v>
      </c>
      <c r="I92" s="5">
        <v>0</v>
      </c>
      <c r="J92" s="9">
        <v>0</v>
      </c>
      <c r="K92" s="8">
        <v>17</v>
      </c>
      <c r="L92" s="5">
        <v>62</v>
      </c>
      <c r="M92" s="5">
        <v>0</v>
      </c>
      <c r="N92" s="9">
        <v>0</v>
      </c>
      <c r="O92" s="8">
        <v>3</v>
      </c>
      <c r="P92" s="5">
        <v>18</v>
      </c>
      <c r="Q92" s="5">
        <v>0</v>
      </c>
      <c r="R92" s="9">
        <v>0</v>
      </c>
      <c r="S92" s="8">
        <v>0</v>
      </c>
      <c r="T92" s="9">
        <v>0</v>
      </c>
    </row>
    <row r="93" spans="1:20" x14ac:dyDescent="0.2">
      <c r="A93" s="5" t="s">
        <v>195</v>
      </c>
      <c r="B93" s="18" t="s">
        <v>162</v>
      </c>
      <c r="C93" s="6" t="s">
        <v>411</v>
      </c>
      <c r="D93" s="7">
        <f t="shared" si="0"/>
        <v>11</v>
      </c>
      <c r="E93" s="8">
        <v>0</v>
      </c>
      <c r="F93" s="5">
        <v>0</v>
      </c>
      <c r="G93" s="5">
        <v>0</v>
      </c>
      <c r="H93" s="5">
        <v>0</v>
      </c>
      <c r="I93" s="5">
        <v>0</v>
      </c>
      <c r="J93" s="9">
        <v>0</v>
      </c>
      <c r="K93" s="8">
        <v>0</v>
      </c>
      <c r="L93" s="5">
        <v>0</v>
      </c>
      <c r="M93" s="5">
        <v>0</v>
      </c>
      <c r="N93" s="9">
        <v>0</v>
      </c>
      <c r="O93" s="8">
        <v>6</v>
      </c>
      <c r="P93" s="5">
        <v>50</v>
      </c>
      <c r="Q93" s="5">
        <v>0</v>
      </c>
      <c r="R93" s="9">
        <v>0</v>
      </c>
      <c r="S93" s="8">
        <v>0</v>
      </c>
      <c r="T93" s="9">
        <v>0</v>
      </c>
    </row>
    <row r="94" spans="1:20" x14ac:dyDescent="0.2">
      <c r="A94" s="5" t="s">
        <v>193</v>
      </c>
      <c r="B94" s="18" t="s">
        <v>162</v>
      </c>
      <c r="C94" s="8" t="s">
        <v>407</v>
      </c>
      <c r="D94" s="7">
        <f t="shared" si="0"/>
        <v>10.9</v>
      </c>
      <c r="E94" s="8">
        <v>0</v>
      </c>
      <c r="F94" s="5">
        <v>0</v>
      </c>
      <c r="G94" s="5">
        <v>0</v>
      </c>
      <c r="H94" s="5">
        <v>0</v>
      </c>
      <c r="I94" s="5">
        <v>0</v>
      </c>
      <c r="J94" s="9">
        <v>0</v>
      </c>
      <c r="K94" s="8">
        <v>0</v>
      </c>
      <c r="L94" s="5">
        <v>0</v>
      </c>
      <c r="M94" s="5">
        <v>0</v>
      </c>
      <c r="N94" s="9">
        <v>0</v>
      </c>
      <c r="O94" s="8">
        <v>5</v>
      </c>
      <c r="P94" s="5">
        <v>59</v>
      </c>
      <c r="Q94" s="5">
        <v>0</v>
      </c>
      <c r="R94" s="9">
        <v>0</v>
      </c>
      <c r="S94" s="8">
        <v>0</v>
      </c>
      <c r="T94" s="9">
        <v>0</v>
      </c>
    </row>
    <row r="95" spans="1:20" x14ac:dyDescent="0.2">
      <c r="A95" s="5" t="s">
        <v>281</v>
      </c>
      <c r="B95" s="5" t="s">
        <v>69</v>
      </c>
      <c r="C95" s="8" t="s">
        <v>411</v>
      </c>
      <c r="D95" s="7">
        <f t="shared" si="0"/>
        <v>10.9</v>
      </c>
      <c r="E95" s="8">
        <v>0</v>
      </c>
      <c r="F95" s="5">
        <v>0</v>
      </c>
      <c r="G95" s="5">
        <v>0</v>
      </c>
      <c r="H95" s="5">
        <v>0</v>
      </c>
      <c r="I95" s="5">
        <v>0</v>
      </c>
      <c r="J95" s="9">
        <v>0</v>
      </c>
      <c r="K95" s="8">
        <v>0</v>
      </c>
      <c r="L95" s="5">
        <v>0</v>
      </c>
      <c r="M95" s="5">
        <v>0</v>
      </c>
      <c r="N95" s="9">
        <v>0</v>
      </c>
      <c r="O95" s="8">
        <v>6</v>
      </c>
      <c r="P95" s="5">
        <v>49</v>
      </c>
      <c r="Q95" s="5">
        <v>0</v>
      </c>
      <c r="R95" s="9">
        <v>0</v>
      </c>
      <c r="S95" s="8">
        <v>0</v>
      </c>
      <c r="T95" s="9">
        <v>0</v>
      </c>
    </row>
    <row r="96" spans="1:20" x14ac:dyDescent="0.2">
      <c r="A96" s="5" t="s">
        <v>142</v>
      </c>
      <c r="B96" s="5" t="s">
        <v>75</v>
      </c>
      <c r="C96" s="6" t="s">
        <v>409</v>
      </c>
      <c r="D96" s="7">
        <f t="shared" si="0"/>
        <v>10.799999999999999</v>
      </c>
      <c r="E96" s="8">
        <v>0</v>
      </c>
      <c r="F96" s="5">
        <v>0</v>
      </c>
      <c r="G96" s="5">
        <v>0</v>
      </c>
      <c r="H96" s="5">
        <v>0</v>
      </c>
      <c r="I96" s="5">
        <v>0</v>
      </c>
      <c r="J96" s="9">
        <v>0</v>
      </c>
      <c r="K96" s="8">
        <v>4</v>
      </c>
      <c r="L96" s="5">
        <v>17</v>
      </c>
      <c r="M96" s="5">
        <v>1</v>
      </c>
      <c r="N96" s="9">
        <v>0</v>
      </c>
      <c r="O96" s="8">
        <v>3</v>
      </c>
      <c r="P96" s="5">
        <v>1</v>
      </c>
      <c r="Q96" s="5">
        <v>0</v>
      </c>
      <c r="R96" s="9">
        <v>0</v>
      </c>
      <c r="S96" s="8">
        <v>0</v>
      </c>
      <c r="T96" s="9">
        <v>0</v>
      </c>
    </row>
    <row r="97" spans="1:20" x14ac:dyDescent="0.2">
      <c r="A97" s="5" t="s">
        <v>43</v>
      </c>
      <c r="B97" s="5" t="s">
        <v>17</v>
      </c>
      <c r="C97" s="6" t="s">
        <v>407</v>
      </c>
      <c r="D97" s="7">
        <f t="shared" si="0"/>
        <v>10.66</v>
      </c>
      <c r="E97" s="8">
        <v>22</v>
      </c>
      <c r="F97" s="5">
        <v>11</v>
      </c>
      <c r="G97" s="5">
        <v>99</v>
      </c>
      <c r="H97" s="5">
        <v>1</v>
      </c>
      <c r="I97" s="5">
        <v>1</v>
      </c>
      <c r="J97" s="9">
        <v>0</v>
      </c>
      <c r="K97" s="8">
        <v>11</v>
      </c>
      <c r="L97" s="5">
        <v>47</v>
      </c>
      <c r="M97" s="5">
        <v>0</v>
      </c>
      <c r="N97" s="9">
        <v>0</v>
      </c>
      <c r="O97" s="8">
        <v>0</v>
      </c>
      <c r="P97" s="5">
        <v>0</v>
      </c>
      <c r="Q97" s="5">
        <v>0</v>
      </c>
      <c r="R97" s="9">
        <v>0</v>
      </c>
      <c r="S97" s="8">
        <v>0</v>
      </c>
      <c r="T97" s="9">
        <v>0</v>
      </c>
    </row>
    <row r="98" spans="1:20" x14ac:dyDescent="0.2">
      <c r="A98" s="5" t="s">
        <v>254</v>
      </c>
      <c r="B98" s="18" t="s">
        <v>162</v>
      </c>
      <c r="C98" s="6" t="s">
        <v>401</v>
      </c>
      <c r="D98" s="7">
        <f t="shared" si="0"/>
        <v>10.600000000000001</v>
      </c>
      <c r="E98" s="8">
        <v>0</v>
      </c>
      <c r="F98" s="5">
        <v>0</v>
      </c>
      <c r="G98" s="5">
        <v>0</v>
      </c>
      <c r="H98" s="5">
        <v>0</v>
      </c>
      <c r="I98" s="5">
        <v>0</v>
      </c>
      <c r="J98" s="9">
        <v>0</v>
      </c>
      <c r="K98" s="8">
        <v>1</v>
      </c>
      <c r="L98" s="5">
        <v>3</v>
      </c>
      <c r="M98" s="5">
        <v>0</v>
      </c>
      <c r="N98" s="9">
        <v>0</v>
      </c>
      <c r="O98" s="8">
        <v>3</v>
      </c>
      <c r="P98" s="5">
        <v>73</v>
      </c>
      <c r="Q98" s="5">
        <v>0</v>
      </c>
      <c r="R98" s="9">
        <v>0</v>
      </c>
      <c r="S98" s="8">
        <v>0</v>
      </c>
      <c r="T98" s="9">
        <v>0</v>
      </c>
    </row>
    <row r="99" spans="1:20" x14ac:dyDescent="0.2">
      <c r="A99" s="5" t="s">
        <v>224</v>
      </c>
      <c r="B99" s="18" t="s">
        <v>162</v>
      </c>
      <c r="C99" s="8" t="s">
        <v>402</v>
      </c>
      <c r="D99" s="7">
        <f t="shared" si="0"/>
        <v>10.6</v>
      </c>
      <c r="E99" s="8">
        <v>0</v>
      </c>
      <c r="F99" s="5">
        <v>0</v>
      </c>
      <c r="G99" s="5">
        <v>0</v>
      </c>
      <c r="H99" s="5">
        <v>0</v>
      </c>
      <c r="I99" s="5">
        <v>0</v>
      </c>
      <c r="J99" s="9">
        <v>0</v>
      </c>
      <c r="K99" s="8">
        <v>0</v>
      </c>
      <c r="L99" s="5">
        <v>0</v>
      </c>
      <c r="M99" s="5">
        <v>0</v>
      </c>
      <c r="N99" s="9">
        <v>0</v>
      </c>
      <c r="O99" s="8">
        <v>1</v>
      </c>
      <c r="P99" s="5">
        <v>36</v>
      </c>
      <c r="Q99" s="5">
        <v>1</v>
      </c>
      <c r="R99" s="9">
        <v>0</v>
      </c>
      <c r="S99" s="8">
        <v>0</v>
      </c>
      <c r="T99" s="9">
        <v>0</v>
      </c>
    </row>
    <row r="100" spans="1:20" x14ac:dyDescent="0.2">
      <c r="A100" s="5" t="s">
        <v>250</v>
      </c>
      <c r="B100" s="18" t="s">
        <v>162</v>
      </c>
      <c r="C100" s="8" t="s">
        <v>416</v>
      </c>
      <c r="D100" s="7">
        <f t="shared" si="0"/>
        <v>10.6</v>
      </c>
      <c r="E100" s="8">
        <v>0</v>
      </c>
      <c r="F100" s="5">
        <v>0</v>
      </c>
      <c r="G100" s="5">
        <v>0</v>
      </c>
      <c r="H100" s="5">
        <v>0</v>
      </c>
      <c r="I100" s="5">
        <v>0</v>
      </c>
      <c r="J100" s="9">
        <v>0</v>
      </c>
      <c r="K100" s="8">
        <v>0</v>
      </c>
      <c r="L100" s="5">
        <v>0</v>
      </c>
      <c r="M100" s="5">
        <v>0</v>
      </c>
      <c r="N100" s="9">
        <v>0</v>
      </c>
      <c r="O100" s="8">
        <v>2</v>
      </c>
      <c r="P100" s="5">
        <v>86</v>
      </c>
      <c r="Q100" s="5">
        <v>0</v>
      </c>
      <c r="R100" s="9">
        <v>0</v>
      </c>
      <c r="S100" s="8">
        <v>0</v>
      </c>
      <c r="T100" s="9">
        <v>0</v>
      </c>
    </row>
    <row r="101" spans="1:20" x14ac:dyDescent="0.2">
      <c r="A101" s="5" t="s">
        <v>421</v>
      </c>
      <c r="B101" s="18" t="s">
        <v>162</v>
      </c>
      <c r="C101" s="8" t="s">
        <v>409</v>
      </c>
      <c r="D101" s="7">
        <f t="shared" si="0"/>
        <v>10.4</v>
      </c>
      <c r="E101" s="8">
        <v>0</v>
      </c>
      <c r="F101" s="5">
        <v>0</v>
      </c>
      <c r="G101" s="5">
        <v>0</v>
      </c>
      <c r="H101" s="5">
        <v>0</v>
      </c>
      <c r="I101" s="5">
        <v>0</v>
      </c>
      <c r="J101" s="9">
        <v>0</v>
      </c>
      <c r="K101" s="8">
        <v>0</v>
      </c>
      <c r="L101" s="5">
        <v>0</v>
      </c>
      <c r="M101" s="5">
        <v>0</v>
      </c>
      <c r="N101" s="9">
        <v>0</v>
      </c>
      <c r="O101" s="8">
        <v>2</v>
      </c>
      <c r="P101" s="5">
        <v>24</v>
      </c>
      <c r="Q101" s="5">
        <v>1</v>
      </c>
      <c r="R101" s="9">
        <v>0</v>
      </c>
      <c r="S101" s="8">
        <v>0</v>
      </c>
      <c r="T101" s="9">
        <v>0</v>
      </c>
    </row>
    <row r="102" spans="1:20" x14ac:dyDescent="0.2">
      <c r="A102" s="5" t="s">
        <v>230</v>
      </c>
      <c r="B102" s="18" t="s">
        <v>162</v>
      </c>
      <c r="C102" s="6" t="s">
        <v>415</v>
      </c>
      <c r="D102" s="7">
        <f t="shared" si="0"/>
        <v>10.3</v>
      </c>
      <c r="E102" s="8">
        <v>0</v>
      </c>
      <c r="F102" s="5">
        <v>0</v>
      </c>
      <c r="G102" s="5">
        <v>0</v>
      </c>
      <c r="H102" s="5">
        <v>0</v>
      </c>
      <c r="I102" s="5">
        <v>0</v>
      </c>
      <c r="J102" s="9">
        <v>0</v>
      </c>
      <c r="K102" s="8">
        <v>1</v>
      </c>
      <c r="L102" s="5">
        <v>-2</v>
      </c>
      <c r="M102" s="5">
        <v>0</v>
      </c>
      <c r="N102" s="9">
        <v>0</v>
      </c>
      <c r="O102" s="8">
        <v>1</v>
      </c>
      <c r="P102" s="5">
        <v>35</v>
      </c>
      <c r="Q102" s="5">
        <v>1</v>
      </c>
      <c r="R102" s="9">
        <v>0</v>
      </c>
      <c r="S102" s="8">
        <v>0</v>
      </c>
      <c r="T102" s="9">
        <v>0</v>
      </c>
    </row>
    <row r="103" spans="1:20" x14ac:dyDescent="0.2">
      <c r="A103" s="5" t="s">
        <v>192</v>
      </c>
      <c r="B103" s="18" t="s">
        <v>162</v>
      </c>
      <c r="C103" s="6" t="s">
        <v>416</v>
      </c>
      <c r="D103" s="7">
        <f t="shared" si="0"/>
        <v>10.200000000000001</v>
      </c>
      <c r="E103" s="8">
        <v>0</v>
      </c>
      <c r="F103" s="5">
        <v>0</v>
      </c>
      <c r="G103" s="5">
        <v>0</v>
      </c>
      <c r="H103" s="5">
        <v>0</v>
      </c>
      <c r="I103" s="5">
        <v>0</v>
      </c>
      <c r="J103" s="9">
        <v>0</v>
      </c>
      <c r="K103" s="8">
        <v>2</v>
      </c>
      <c r="L103" s="5">
        <v>9</v>
      </c>
      <c r="M103" s="5">
        <v>0</v>
      </c>
      <c r="N103" s="9">
        <v>0</v>
      </c>
      <c r="O103" s="8">
        <v>4</v>
      </c>
      <c r="P103" s="5">
        <v>53</v>
      </c>
      <c r="Q103" s="5">
        <v>0</v>
      </c>
      <c r="R103" s="9">
        <v>0</v>
      </c>
      <c r="S103" s="8">
        <v>0</v>
      </c>
      <c r="T103" s="9">
        <v>0</v>
      </c>
    </row>
    <row r="104" spans="1:20" x14ac:dyDescent="0.2">
      <c r="A104" s="5" t="s">
        <v>232</v>
      </c>
      <c r="B104" s="18" t="s">
        <v>162</v>
      </c>
      <c r="C104" s="8" t="s">
        <v>415</v>
      </c>
      <c r="D104" s="7">
        <f t="shared" si="0"/>
        <v>10.100000000000001</v>
      </c>
      <c r="E104" s="8">
        <v>0</v>
      </c>
      <c r="F104" s="5">
        <v>0</v>
      </c>
      <c r="G104" s="5">
        <v>0</v>
      </c>
      <c r="H104" s="5">
        <v>0</v>
      </c>
      <c r="I104" s="5">
        <v>0</v>
      </c>
      <c r="J104" s="9">
        <v>0</v>
      </c>
      <c r="K104" s="8">
        <v>0</v>
      </c>
      <c r="L104" s="5">
        <v>0</v>
      </c>
      <c r="M104" s="5">
        <v>0</v>
      </c>
      <c r="N104" s="9">
        <v>0</v>
      </c>
      <c r="O104" s="8">
        <v>6</v>
      </c>
      <c r="P104" s="5">
        <v>41</v>
      </c>
      <c r="Q104" s="5">
        <v>0</v>
      </c>
      <c r="R104" s="9">
        <v>0</v>
      </c>
      <c r="S104" s="8">
        <v>0</v>
      </c>
      <c r="T104" s="9">
        <v>0</v>
      </c>
    </row>
    <row r="105" spans="1:20" x14ac:dyDescent="0.2">
      <c r="A105" s="5" t="s">
        <v>37</v>
      </c>
      <c r="B105" s="5" t="s">
        <v>17</v>
      </c>
      <c r="C105" s="8" t="s">
        <v>414</v>
      </c>
      <c r="D105" s="7">
        <f t="shared" si="0"/>
        <v>10.039999999999999</v>
      </c>
      <c r="E105" s="8">
        <v>25</v>
      </c>
      <c r="F105" s="5">
        <v>15</v>
      </c>
      <c r="G105" s="5">
        <v>146</v>
      </c>
      <c r="H105" s="5">
        <v>1</v>
      </c>
      <c r="I105" s="5">
        <v>1</v>
      </c>
      <c r="J105" s="9">
        <v>1</v>
      </c>
      <c r="K105" s="8">
        <v>1</v>
      </c>
      <c r="L105" s="5">
        <v>2</v>
      </c>
      <c r="M105" s="5">
        <v>0</v>
      </c>
      <c r="N105" s="9">
        <v>0</v>
      </c>
      <c r="O105" s="8">
        <v>0</v>
      </c>
      <c r="P105" s="5">
        <v>0</v>
      </c>
      <c r="Q105" s="5">
        <v>0</v>
      </c>
      <c r="R105" s="9">
        <v>0</v>
      </c>
      <c r="S105" s="8">
        <v>0</v>
      </c>
      <c r="T105" s="9">
        <v>0</v>
      </c>
    </row>
    <row r="106" spans="1:20" x14ac:dyDescent="0.2">
      <c r="A106" s="5" t="s">
        <v>81</v>
      </c>
      <c r="B106" s="5" t="s">
        <v>75</v>
      </c>
      <c r="C106" s="6" t="s">
        <v>413</v>
      </c>
      <c r="D106" s="7">
        <f t="shared" si="0"/>
        <v>10</v>
      </c>
      <c r="E106" s="8">
        <v>0</v>
      </c>
      <c r="F106" s="5">
        <v>0</v>
      </c>
      <c r="G106" s="5">
        <v>0</v>
      </c>
      <c r="H106" s="5">
        <v>0</v>
      </c>
      <c r="I106" s="5">
        <v>0</v>
      </c>
      <c r="J106" s="9">
        <v>0</v>
      </c>
      <c r="K106" s="8">
        <v>10</v>
      </c>
      <c r="L106" s="5">
        <v>33</v>
      </c>
      <c r="M106" s="5">
        <v>0</v>
      </c>
      <c r="N106" s="9">
        <v>0</v>
      </c>
      <c r="O106" s="8">
        <v>4</v>
      </c>
      <c r="P106" s="5">
        <v>27</v>
      </c>
      <c r="Q106" s="5">
        <v>0</v>
      </c>
      <c r="R106" s="9">
        <v>0</v>
      </c>
      <c r="S106" s="8">
        <v>0</v>
      </c>
      <c r="T106" s="9">
        <v>0</v>
      </c>
    </row>
    <row r="107" spans="1:20" x14ac:dyDescent="0.2">
      <c r="A107" s="5" t="s">
        <v>184</v>
      </c>
      <c r="B107" s="18" t="s">
        <v>162</v>
      </c>
      <c r="C107" s="8" t="s">
        <v>418</v>
      </c>
      <c r="D107" s="7">
        <f t="shared" si="0"/>
        <v>9.8000000000000007</v>
      </c>
      <c r="E107" s="8">
        <v>0</v>
      </c>
      <c r="F107" s="5">
        <v>0</v>
      </c>
      <c r="G107" s="5">
        <v>0</v>
      </c>
      <c r="H107" s="5">
        <v>0</v>
      </c>
      <c r="I107" s="5">
        <v>0</v>
      </c>
      <c r="J107" s="9">
        <v>0</v>
      </c>
      <c r="K107" s="8">
        <v>0</v>
      </c>
      <c r="L107" s="5">
        <v>0</v>
      </c>
      <c r="M107" s="5">
        <v>0</v>
      </c>
      <c r="N107" s="9">
        <v>0</v>
      </c>
      <c r="O107" s="8">
        <v>5</v>
      </c>
      <c r="P107" s="5">
        <v>48</v>
      </c>
      <c r="Q107" s="5">
        <v>0</v>
      </c>
      <c r="R107" s="9">
        <v>0</v>
      </c>
      <c r="S107" s="8">
        <v>0</v>
      </c>
      <c r="T107" s="9">
        <v>0</v>
      </c>
    </row>
    <row r="108" spans="1:20" x14ac:dyDescent="0.2">
      <c r="A108" s="5" t="s">
        <v>304</v>
      </c>
      <c r="B108" s="5" t="s">
        <v>69</v>
      </c>
      <c r="C108" s="6" t="s">
        <v>416</v>
      </c>
      <c r="D108" s="7">
        <f t="shared" si="0"/>
        <v>9.8000000000000007</v>
      </c>
      <c r="E108" s="8">
        <v>0</v>
      </c>
      <c r="F108" s="5">
        <v>0</v>
      </c>
      <c r="G108" s="5">
        <v>0</v>
      </c>
      <c r="H108" s="5">
        <v>0</v>
      </c>
      <c r="I108" s="5">
        <v>0</v>
      </c>
      <c r="J108" s="9">
        <v>0</v>
      </c>
      <c r="K108" s="8">
        <v>0</v>
      </c>
      <c r="L108" s="5">
        <v>0</v>
      </c>
      <c r="M108" s="5">
        <v>0</v>
      </c>
      <c r="N108" s="9">
        <v>0</v>
      </c>
      <c r="O108" s="8">
        <v>5</v>
      </c>
      <c r="P108" s="5">
        <v>48</v>
      </c>
      <c r="Q108" s="5">
        <v>0</v>
      </c>
      <c r="R108" s="9">
        <v>0</v>
      </c>
      <c r="S108" s="8">
        <v>0</v>
      </c>
      <c r="T108" s="9">
        <v>0</v>
      </c>
    </row>
    <row r="109" spans="1:20" x14ac:dyDescent="0.2">
      <c r="A109" s="5" t="s">
        <v>110</v>
      </c>
      <c r="B109" s="5" t="s">
        <v>75</v>
      </c>
      <c r="C109" s="6" t="s">
        <v>418</v>
      </c>
      <c r="D109" s="7">
        <f t="shared" si="0"/>
        <v>9.6999999999999993</v>
      </c>
      <c r="E109" s="8">
        <v>0</v>
      </c>
      <c r="F109" s="5">
        <v>0</v>
      </c>
      <c r="G109" s="5">
        <v>0</v>
      </c>
      <c r="H109" s="5">
        <v>0</v>
      </c>
      <c r="I109" s="5">
        <v>0</v>
      </c>
      <c r="J109" s="9">
        <v>0</v>
      </c>
      <c r="K109" s="8">
        <v>16</v>
      </c>
      <c r="L109" s="5">
        <v>80</v>
      </c>
      <c r="M109" s="5">
        <v>0</v>
      </c>
      <c r="N109" s="9">
        <v>0</v>
      </c>
      <c r="O109" s="8">
        <v>1</v>
      </c>
      <c r="P109" s="5">
        <v>7</v>
      </c>
      <c r="Q109" s="5">
        <v>0</v>
      </c>
      <c r="R109" s="9">
        <v>0</v>
      </c>
      <c r="S109" s="8">
        <v>0</v>
      </c>
      <c r="T109" s="9">
        <v>0</v>
      </c>
    </row>
    <row r="110" spans="1:20" x14ac:dyDescent="0.2">
      <c r="A110" s="5" t="s">
        <v>243</v>
      </c>
      <c r="B110" s="18" t="s">
        <v>162</v>
      </c>
      <c r="C110" s="8" t="s">
        <v>413</v>
      </c>
      <c r="D110" s="7">
        <f t="shared" si="0"/>
        <v>9.5</v>
      </c>
      <c r="E110" s="8">
        <v>0</v>
      </c>
      <c r="F110" s="5">
        <v>0</v>
      </c>
      <c r="G110" s="5">
        <v>0</v>
      </c>
      <c r="H110" s="5">
        <v>0</v>
      </c>
      <c r="I110" s="5">
        <v>0</v>
      </c>
      <c r="J110" s="9">
        <v>0</v>
      </c>
      <c r="K110" s="8">
        <v>0</v>
      </c>
      <c r="L110" s="5">
        <v>0</v>
      </c>
      <c r="M110" s="5">
        <v>0</v>
      </c>
      <c r="N110" s="9">
        <v>0</v>
      </c>
      <c r="O110" s="8">
        <v>4</v>
      </c>
      <c r="P110" s="5">
        <v>55</v>
      </c>
      <c r="Q110" s="5">
        <v>0</v>
      </c>
      <c r="R110" s="9">
        <v>0</v>
      </c>
      <c r="S110" s="8">
        <v>0</v>
      </c>
      <c r="T110" s="9">
        <v>0</v>
      </c>
    </row>
    <row r="111" spans="1:20" x14ac:dyDescent="0.2">
      <c r="A111" s="5" t="s">
        <v>225</v>
      </c>
      <c r="B111" s="18" t="s">
        <v>162</v>
      </c>
      <c r="C111" s="8" t="s">
        <v>411</v>
      </c>
      <c r="D111" s="7">
        <f t="shared" si="0"/>
        <v>9.3000000000000007</v>
      </c>
      <c r="E111" s="8">
        <v>0</v>
      </c>
      <c r="F111" s="5">
        <v>0</v>
      </c>
      <c r="G111" s="5">
        <v>0</v>
      </c>
      <c r="H111" s="5">
        <v>0</v>
      </c>
      <c r="I111" s="5">
        <v>0</v>
      </c>
      <c r="J111" s="9">
        <v>0</v>
      </c>
      <c r="K111" s="8">
        <v>0</v>
      </c>
      <c r="L111" s="5">
        <v>0</v>
      </c>
      <c r="M111" s="5">
        <v>0</v>
      </c>
      <c r="N111" s="9">
        <v>0</v>
      </c>
      <c r="O111" s="8">
        <v>3</v>
      </c>
      <c r="P111" s="5">
        <v>63</v>
      </c>
      <c r="Q111" s="5">
        <v>0</v>
      </c>
      <c r="R111" s="9">
        <v>0</v>
      </c>
      <c r="S111" s="8">
        <v>0</v>
      </c>
      <c r="T111" s="9">
        <v>0</v>
      </c>
    </row>
    <row r="112" spans="1:20" x14ac:dyDescent="0.2">
      <c r="A112" s="5" t="s">
        <v>362</v>
      </c>
      <c r="B112" s="5" t="s">
        <v>69</v>
      </c>
      <c r="C112" s="6" t="s">
        <v>408</v>
      </c>
      <c r="D112" s="7">
        <f t="shared" si="0"/>
        <v>9.3000000000000007</v>
      </c>
      <c r="E112" s="8">
        <v>0</v>
      </c>
      <c r="F112" s="5">
        <v>0</v>
      </c>
      <c r="G112" s="5">
        <v>0</v>
      </c>
      <c r="H112" s="5">
        <v>0</v>
      </c>
      <c r="I112" s="5">
        <v>0</v>
      </c>
      <c r="J112" s="9">
        <v>0</v>
      </c>
      <c r="K112" s="8">
        <v>0</v>
      </c>
      <c r="L112" s="5">
        <v>0</v>
      </c>
      <c r="M112" s="5">
        <v>0</v>
      </c>
      <c r="N112" s="9">
        <v>0</v>
      </c>
      <c r="O112" s="8">
        <v>2</v>
      </c>
      <c r="P112" s="5">
        <v>13</v>
      </c>
      <c r="Q112" s="5">
        <v>1</v>
      </c>
      <c r="R112" s="9">
        <v>0</v>
      </c>
      <c r="S112" s="8">
        <v>0</v>
      </c>
      <c r="T112" s="9">
        <v>0</v>
      </c>
    </row>
    <row r="113" spans="1:20" x14ac:dyDescent="0.2">
      <c r="A113" s="5" t="s">
        <v>111</v>
      </c>
      <c r="B113" s="5" t="s">
        <v>75</v>
      </c>
      <c r="C113" s="8" t="s">
        <v>413</v>
      </c>
      <c r="D113" s="7">
        <f t="shared" si="0"/>
        <v>9.1999999999999993</v>
      </c>
      <c r="E113" s="8">
        <v>0</v>
      </c>
      <c r="F113" s="5">
        <v>0</v>
      </c>
      <c r="G113" s="5">
        <v>0</v>
      </c>
      <c r="H113" s="5">
        <v>0</v>
      </c>
      <c r="I113" s="5">
        <v>0</v>
      </c>
      <c r="J113" s="9">
        <v>0</v>
      </c>
      <c r="K113" s="8">
        <v>17</v>
      </c>
      <c r="L113" s="5">
        <v>80</v>
      </c>
      <c r="M113" s="5">
        <v>0</v>
      </c>
      <c r="N113" s="9">
        <v>0</v>
      </c>
      <c r="O113" s="8">
        <v>1</v>
      </c>
      <c r="P113" s="5">
        <v>2</v>
      </c>
      <c r="Q113" s="5">
        <v>0</v>
      </c>
      <c r="R113" s="9">
        <v>0</v>
      </c>
      <c r="S113" s="8">
        <v>0</v>
      </c>
      <c r="T113" s="9">
        <v>0</v>
      </c>
    </row>
    <row r="114" spans="1:20" x14ac:dyDescent="0.2">
      <c r="A114" s="5" t="s">
        <v>157</v>
      </c>
      <c r="B114" s="5" t="s">
        <v>75</v>
      </c>
      <c r="C114" s="6" t="s">
        <v>411</v>
      </c>
      <c r="D114" s="7">
        <f t="shared" si="0"/>
        <v>9.1999999999999993</v>
      </c>
      <c r="E114" s="8">
        <v>0</v>
      </c>
      <c r="F114" s="5">
        <v>0</v>
      </c>
      <c r="G114" s="5">
        <v>0</v>
      </c>
      <c r="H114" s="5">
        <v>0</v>
      </c>
      <c r="I114" s="5">
        <v>0</v>
      </c>
      <c r="J114" s="9">
        <v>0</v>
      </c>
      <c r="K114" s="8">
        <v>8</v>
      </c>
      <c r="L114" s="5">
        <v>31</v>
      </c>
      <c r="M114" s="5">
        <v>0</v>
      </c>
      <c r="N114" s="9">
        <v>0</v>
      </c>
      <c r="O114" s="8">
        <v>4</v>
      </c>
      <c r="P114" s="5">
        <v>21</v>
      </c>
      <c r="Q114" s="5">
        <v>0</v>
      </c>
      <c r="R114" s="9">
        <v>0</v>
      </c>
      <c r="S114" s="8">
        <v>0</v>
      </c>
      <c r="T114" s="9">
        <v>0</v>
      </c>
    </row>
    <row r="115" spans="1:20" x14ac:dyDescent="0.2">
      <c r="A115" s="5" t="s">
        <v>349</v>
      </c>
      <c r="B115" s="5" t="s">
        <v>69</v>
      </c>
      <c r="C115" s="6" t="s">
        <v>414</v>
      </c>
      <c r="D115" s="7">
        <f t="shared" si="0"/>
        <v>9.1000000000000014</v>
      </c>
      <c r="E115" s="8">
        <v>0</v>
      </c>
      <c r="F115" s="5">
        <v>0</v>
      </c>
      <c r="G115" s="5">
        <v>0</v>
      </c>
      <c r="H115" s="5">
        <v>0</v>
      </c>
      <c r="I115" s="5">
        <v>0</v>
      </c>
      <c r="J115" s="9">
        <v>0</v>
      </c>
      <c r="K115" s="8">
        <v>0</v>
      </c>
      <c r="L115" s="5">
        <v>0</v>
      </c>
      <c r="M115" s="5">
        <v>0</v>
      </c>
      <c r="N115" s="9">
        <v>0</v>
      </c>
      <c r="O115" s="8">
        <v>5</v>
      </c>
      <c r="P115" s="5">
        <v>41</v>
      </c>
      <c r="Q115" s="5">
        <v>0</v>
      </c>
      <c r="R115" s="9">
        <v>0</v>
      </c>
      <c r="S115" s="8">
        <v>0</v>
      </c>
      <c r="T115" s="9">
        <v>0</v>
      </c>
    </row>
    <row r="116" spans="1:20" x14ac:dyDescent="0.2">
      <c r="A116" s="5" t="s">
        <v>149</v>
      </c>
      <c r="B116" s="5" t="s">
        <v>75</v>
      </c>
      <c r="C116" s="6" t="s">
        <v>415</v>
      </c>
      <c r="D116" s="7">
        <f t="shared" si="0"/>
        <v>9.1</v>
      </c>
      <c r="E116" s="8">
        <v>0</v>
      </c>
      <c r="F116" s="5">
        <v>0</v>
      </c>
      <c r="G116" s="5">
        <v>0</v>
      </c>
      <c r="H116" s="5">
        <v>0</v>
      </c>
      <c r="I116" s="5">
        <v>0</v>
      </c>
      <c r="J116" s="9">
        <v>0</v>
      </c>
      <c r="K116" s="8">
        <v>5</v>
      </c>
      <c r="L116" s="5">
        <v>15</v>
      </c>
      <c r="M116" s="5">
        <v>1</v>
      </c>
      <c r="N116" s="9">
        <v>0</v>
      </c>
      <c r="O116" s="8">
        <v>1</v>
      </c>
      <c r="P116" s="5">
        <v>6</v>
      </c>
      <c r="Q116" s="5">
        <v>0</v>
      </c>
      <c r="R116" s="9">
        <v>0</v>
      </c>
      <c r="S116" s="8">
        <v>0</v>
      </c>
      <c r="T116" s="9">
        <v>0</v>
      </c>
    </row>
    <row r="117" spans="1:20" x14ac:dyDescent="0.2">
      <c r="A117" s="5" t="s">
        <v>297</v>
      </c>
      <c r="B117" s="5" t="s">
        <v>69</v>
      </c>
      <c r="C117" s="6" t="s">
        <v>402</v>
      </c>
      <c r="D117" s="7">
        <f t="shared" si="0"/>
        <v>9</v>
      </c>
      <c r="E117" s="8">
        <v>0</v>
      </c>
      <c r="F117" s="5">
        <v>0</v>
      </c>
      <c r="G117" s="5">
        <v>0</v>
      </c>
      <c r="H117" s="5">
        <v>0</v>
      </c>
      <c r="I117" s="5">
        <v>0</v>
      </c>
      <c r="J117" s="9">
        <v>0</v>
      </c>
      <c r="K117" s="8">
        <v>0</v>
      </c>
      <c r="L117" s="5">
        <v>0</v>
      </c>
      <c r="M117" s="5">
        <v>0</v>
      </c>
      <c r="N117" s="9">
        <v>0</v>
      </c>
      <c r="O117" s="8">
        <v>6</v>
      </c>
      <c r="P117" s="5">
        <v>30</v>
      </c>
      <c r="Q117" s="5">
        <v>0</v>
      </c>
      <c r="R117" s="9">
        <v>0</v>
      </c>
      <c r="S117" s="8">
        <v>0</v>
      </c>
      <c r="T117" s="9">
        <v>0</v>
      </c>
    </row>
    <row r="118" spans="1:20" x14ac:dyDescent="0.2">
      <c r="A118" s="5" t="s">
        <v>238</v>
      </c>
      <c r="B118" s="18" t="s">
        <v>162</v>
      </c>
      <c r="C118" s="8" t="s">
        <v>406</v>
      </c>
      <c r="D118" s="7">
        <f t="shared" si="0"/>
        <v>8.9</v>
      </c>
      <c r="E118" s="8">
        <v>0</v>
      </c>
      <c r="F118" s="5">
        <v>0</v>
      </c>
      <c r="G118" s="5">
        <v>0</v>
      </c>
      <c r="H118" s="5">
        <v>0</v>
      </c>
      <c r="I118" s="5">
        <v>0</v>
      </c>
      <c r="J118" s="9">
        <v>0</v>
      </c>
      <c r="K118" s="8">
        <v>0</v>
      </c>
      <c r="L118" s="5">
        <v>0</v>
      </c>
      <c r="M118" s="5">
        <v>0</v>
      </c>
      <c r="N118" s="9">
        <v>0</v>
      </c>
      <c r="O118" s="8">
        <v>5</v>
      </c>
      <c r="P118" s="5">
        <v>39</v>
      </c>
      <c r="Q118" s="5">
        <v>0</v>
      </c>
      <c r="R118" s="9">
        <v>0</v>
      </c>
      <c r="S118" s="8">
        <v>0</v>
      </c>
      <c r="T118" s="9">
        <v>0</v>
      </c>
    </row>
    <row r="119" spans="1:20" x14ac:dyDescent="0.2">
      <c r="A119" s="5" t="s">
        <v>293</v>
      </c>
      <c r="B119" s="5" t="s">
        <v>69</v>
      </c>
      <c r="C119" s="6" t="s">
        <v>413</v>
      </c>
      <c r="D119" s="7">
        <f t="shared" si="0"/>
        <v>8.6999999999999993</v>
      </c>
      <c r="E119" s="8">
        <v>0</v>
      </c>
      <c r="F119" s="5">
        <v>0</v>
      </c>
      <c r="G119" s="5">
        <v>0</v>
      </c>
      <c r="H119" s="5">
        <v>0</v>
      </c>
      <c r="I119" s="5">
        <v>0</v>
      </c>
      <c r="J119" s="9">
        <v>0</v>
      </c>
      <c r="K119" s="8">
        <v>1</v>
      </c>
      <c r="L119" s="5">
        <v>-4</v>
      </c>
      <c r="M119" s="5">
        <v>0</v>
      </c>
      <c r="N119" s="9">
        <v>0</v>
      </c>
      <c r="O119" s="8">
        <v>5</v>
      </c>
      <c r="P119" s="5">
        <v>41</v>
      </c>
      <c r="Q119" s="5">
        <v>0</v>
      </c>
      <c r="R119" s="9">
        <v>0</v>
      </c>
      <c r="S119" s="8">
        <v>0</v>
      </c>
      <c r="T119" s="9">
        <v>0</v>
      </c>
    </row>
    <row r="120" spans="1:20" x14ac:dyDescent="0.2">
      <c r="A120" s="5" t="s">
        <v>348</v>
      </c>
      <c r="B120" s="5" t="s">
        <v>69</v>
      </c>
      <c r="C120" s="6" t="s">
        <v>413</v>
      </c>
      <c r="D120" s="7">
        <f t="shared" si="0"/>
        <v>8.6999999999999993</v>
      </c>
      <c r="E120" s="8">
        <v>0</v>
      </c>
      <c r="F120" s="5">
        <v>0</v>
      </c>
      <c r="G120" s="5">
        <v>0</v>
      </c>
      <c r="H120" s="5">
        <v>0</v>
      </c>
      <c r="I120" s="5">
        <v>0</v>
      </c>
      <c r="J120" s="9">
        <v>0</v>
      </c>
      <c r="K120" s="8">
        <v>0</v>
      </c>
      <c r="L120" s="5">
        <v>0</v>
      </c>
      <c r="M120" s="5">
        <v>0</v>
      </c>
      <c r="N120" s="9">
        <v>0</v>
      </c>
      <c r="O120" s="8">
        <v>5</v>
      </c>
      <c r="P120" s="5">
        <v>37</v>
      </c>
      <c r="Q120" s="5">
        <v>0</v>
      </c>
      <c r="R120" s="9">
        <v>0</v>
      </c>
      <c r="S120" s="8">
        <v>0</v>
      </c>
      <c r="T120" s="9">
        <v>0</v>
      </c>
    </row>
    <row r="121" spans="1:20" x14ac:dyDescent="0.2">
      <c r="A121" s="5" t="s">
        <v>166</v>
      </c>
      <c r="B121" s="18" t="s">
        <v>162</v>
      </c>
      <c r="C121" s="6" t="s">
        <v>418</v>
      </c>
      <c r="D121" s="7">
        <f t="shared" si="0"/>
        <v>8.6000000000000014</v>
      </c>
      <c r="E121" s="8">
        <v>0</v>
      </c>
      <c r="F121" s="5">
        <v>0</v>
      </c>
      <c r="G121" s="5">
        <v>0</v>
      </c>
      <c r="H121" s="5">
        <v>0</v>
      </c>
      <c r="I121" s="5">
        <v>0</v>
      </c>
      <c r="J121" s="9">
        <v>0</v>
      </c>
      <c r="K121" s="8">
        <v>0</v>
      </c>
      <c r="L121" s="5">
        <v>0</v>
      </c>
      <c r="M121" s="5">
        <v>0</v>
      </c>
      <c r="N121" s="9">
        <v>0</v>
      </c>
      <c r="O121" s="8">
        <v>4</v>
      </c>
      <c r="P121" s="5">
        <v>46</v>
      </c>
      <c r="Q121" s="5">
        <v>0</v>
      </c>
      <c r="R121" s="9">
        <v>0</v>
      </c>
      <c r="S121" s="8">
        <v>0</v>
      </c>
      <c r="T121" s="9">
        <v>0</v>
      </c>
    </row>
    <row r="122" spans="1:20" x14ac:dyDescent="0.2">
      <c r="A122" s="5" t="s">
        <v>105</v>
      </c>
      <c r="B122" s="5" t="s">
        <v>75</v>
      </c>
      <c r="C122" s="6" t="s">
        <v>401</v>
      </c>
      <c r="D122" s="7">
        <f t="shared" si="0"/>
        <v>8.5</v>
      </c>
      <c r="E122" s="8">
        <v>0</v>
      </c>
      <c r="F122" s="5">
        <v>0</v>
      </c>
      <c r="G122" s="5">
        <v>0</v>
      </c>
      <c r="H122" s="5">
        <v>0</v>
      </c>
      <c r="I122" s="5">
        <v>0</v>
      </c>
      <c r="J122" s="9">
        <v>0</v>
      </c>
      <c r="K122" s="8">
        <v>11</v>
      </c>
      <c r="L122" s="5">
        <v>42</v>
      </c>
      <c r="M122" s="5">
        <v>0</v>
      </c>
      <c r="N122" s="9">
        <v>0</v>
      </c>
      <c r="O122" s="8">
        <v>2</v>
      </c>
      <c r="P122" s="5">
        <v>23</v>
      </c>
      <c r="Q122" s="5">
        <v>0</v>
      </c>
      <c r="R122" s="9">
        <v>0</v>
      </c>
      <c r="S122" s="8">
        <v>0</v>
      </c>
      <c r="T122" s="9">
        <v>0</v>
      </c>
    </row>
    <row r="123" spans="1:20" x14ac:dyDescent="0.2">
      <c r="A123" s="5" t="s">
        <v>83</v>
      </c>
      <c r="B123" s="5" t="s">
        <v>75</v>
      </c>
      <c r="C123" s="6" t="s">
        <v>406</v>
      </c>
      <c r="D123" s="7">
        <f t="shared" si="0"/>
        <v>8.5</v>
      </c>
      <c r="E123" s="8">
        <v>0</v>
      </c>
      <c r="F123" s="5">
        <v>0</v>
      </c>
      <c r="G123" s="5">
        <v>0</v>
      </c>
      <c r="H123" s="5">
        <v>0</v>
      </c>
      <c r="I123" s="5">
        <v>0</v>
      </c>
      <c r="J123" s="9">
        <v>0</v>
      </c>
      <c r="K123" s="8">
        <v>10</v>
      </c>
      <c r="L123" s="5">
        <v>38</v>
      </c>
      <c r="M123" s="5">
        <v>0</v>
      </c>
      <c r="N123" s="9">
        <v>0</v>
      </c>
      <c r="O123" s="8">
        <v>2</v>
      </c>
      <c r="P123" s="5">
        <v>27</v>
      </c>
      <c r="Q123" s="5">
        <v>0</v>
      </c>
      <c r="R123" s="9">
        <v>0</v>
      </c>
      <c r="S123" s="8">
        <v>0</v>
      </c>
      <c r="T123" s="9">
        <v>0</v>
      </c>
    </row>
    <row r="124" spans="1:20" x14ac:dyDescent="0.2">
      <c r="A124" s="5" t="s">
        <v>234</v>
      </c>
      <c r="B124" s="18" t="s">
        <v>162</v>
      </c>
      <c r="C124" s="6" t="s">
        <v>404</v>
      </c>
      <c r="D124" s="7">
        <f t="shared" si="0"/>
        <v>8.5</v>
      </c>
      <c r="E124" s="8">
        <v>0</v>
      </c>
      <c r="F124" s="5">
        <v>0</v>
      </c>
      <c r="G124" s="5">
        <v>0</v>
      </c>
      <c r="H124" s="5">
        <v>0</v>
      </c>
      <c r="I124" s="5">
        <v>0</v>
      </c>
      <c r="J124" s="9">
        <v>0</v>
      </c>
      <c r="K124" s="8">
        <v>0</v>
      </c>
      <c r="L124" s="5">
        <v>0</v>
      </c>
      <c r="M124" s="5">
        <v>0</v>
      </c>
      <c r="N124" s="9">
        <v>0</v>
      </c>
      <c r="O124" s="8">
        <v>5</v>
      </c>
      <c r="P124" s="5">
        <v>35</v>
      </c>
      <c r="Q124" s="5">
        <v>0</v>
      </c>
      <c r="R124" s="9">
        <v>0</v>
      </c>
      <c r="S124" s="8">
        <v>0</v>
      </c>
      <c r="T124" s="9">
        <v>0</v>
      </c>
    </row>
    <row r="125" spans="1:20" x14ac:dyDescent="0.2">
      <c r="A125" s="5" t="s">
        <v>344</v>
      </c>
      <c r="B125" s="18" t="s">
        <v>162</v>
      </c>
      <c r="C125" s="8" t="s">
        <v>411</v>
      </c>
      <c r="D125" s="7">
        <f t="shared" si="0"/>
        <v>8.5</v>
      </c>
      <c r="E125" s="8">
        <v>0</v>
      </c>
      <c r="F125" s="5">
        <v>0</v>
      </c>
      <c r="G125" s="5">
        <v>0</v>
      </c>
      <c r="H125" s="5">
        <v>0</v>
      </c>
      <c r="I125" s="5">
        <v>0</v>
      </c>
      <c r="J125" s="9">
        <v>0</v>
      </c>
      <c r="K125" s="8">
        <v>0</v>
      </c>
      <c r="L125" s="5">
        <v>0</v>
      </c>
      <c r="M125" s="5">
        <v>0</v>
      </c>
      <c r="N125" s="9">
        <v>0</v>
      </c>
      <c r="O125" s="8">
        <v>4</v>
      </c>
      <c r="P125" s="5">
        <v>45</v>
      </c>
      <c r="Q125" s="5">
        <v>0</v>
      </c>
      <c r="R125" s="9">
        <v>0</v>
      </c>
      <c r="S125" s="8">
        <v>0</v>
      </c>
      <c r="T125" s="9">
        <v>0</v>
      </c>
    </row>
    <row r="126" spans="1:20" x14ac:dyDescent="0.2">
      <c r="A126" s="5" t="s">
        <v>256</v>
      </c>
      <c r="B126" s="18" t="s">
        <v>162</v>
      </c>
      <c r="C126" s="6" t="s">
        <v>409</v>
      </c>
      <c r="D126" s="7">
        <f t="shared" si="0"/>
        <v>8.4</v>
      </c>
      <c r="E126" s="8">
        <v>0</v>
      </c>
      <c r="F126" s="5">
        <v>0</v>
      </c>
      <c r="G126" s="5">
        <v>0</v>
      </c>
      <c r="H126" s="5">
        <v>0</v>
      </c>
      <c r="I126" s="5">
        <v>0</v>
      </c>
      <c r="J126" s="9">
        <v>0</v>
      </c>
      <c r="K126" s="8">
        <v>0</v>
      </c>
      <c r="L126" s="5">
        <v>0</v>
      </c>
      <c r="M126" s="5">
        <v>0</v>
      </c>
      <c r="N126" s="9">
        <v>0</v>
      </c>
      <c r="O126" s="8">
        <v>6</v>
      </c>
      <c r="P126" s="5">
        <v>24</v>
      </c>
      <c r="Q126" s="5">
        <v>0</v>
      </c>
      <c r="R126" s="9">
        <v>0</v>
      </c>
      <c r="S126" s="8">
        <v>0</v>
      </c>
      <c r="T126" s="9">
        <v>0</v>
      </c>
    </row>
    <row r="127" spans="1:20" x14ac:dyDescent="0.2">
      <c r="A127" s="5" t="s">
        <v>241</v>
      </c>
      <c r="B127" s="18" t="s">
        <v>162</v>
      </c>
      <c r="C127" s="8" t="s">
        <v>404</v>
      </c>
      <c r="D127" s="7">
        <f t="shared" si="0"/>
        <v>8.4</v>
      </c>
      <c r="E127" s="8">
        <v>0</v>
      </c>
      <c r="F127" s="5">
        <v>0</v>
      </c>
      <c r="G127" s="5">
        <v>0</v>
      </c>
      <c r="H127" s="5">
        <v>0</v>
      </c>
      <c r="I127" s="5">
        <v>0</v>
      </c>
      <c r="J127" s="9">
        <v>0</v>
      </c>
      <c r="K127" s="8">
        <v>0</v>
      </c>
      <c r="L127" s="5">
        <v>0</v>
      </c>
      <c r="M127" s="5">
        <v>0</v>
      </c>
      <c r="N127" s="9">
        <v>0</v>
      </c>
      <c r="O127" s="8">
        <v>3</v>
      </c>
      <c r="P127" s="5">
        <v>34</v>
      </c>
      <c r="Q127" s="5">
        <v>0</v>
      </c>
      <c r="R127" s="9">
        <v>1</v>
      </c>
      <c r="S127" s="8">
        <v>0</v>
      </c>
      <c r="T127" s="9">
        <v>0</v>
      </c>
    </row>
    <row r="128" spans="1:20" x14ac:dyDescent="0.2">
      <c r="A128" s="5" t="s">
        <v>292</v>
      </c>
      <c r="B128" s="5" t="s">
        <v>69</v>
      </c>
      <c r="C128" s="8" t="s">
        <v>402</v>
      </c>
      <c r="D128" s="7">
        <f t="shared" si="0"/>
        <v>8.4</v>
      </c>
      <c r="E128" s="8">
        <v>0</v>
      </c>
      <c r="F128" s="5">
        <v>0</v>
      </c>
      <c r="G128" s="5">
        <v>0</v>
      </c>
      <c r="H128" s="5">
        <v>0</v>
      </c>
      <c r="I128" s="5">
        <v>0</v>
      </c>
      <c r="J128" s="9">
        <v>0</v>
      </c>
      <c r="K128" s="8">
        <v>0</v>
      </c>
      <c r="L128" s="5">
        <v>0</v>
      </c>
      <c r="M128" s="5">
        <v>0</v>
      </c>
      <c r="N128" s="9">
        <v>0</v>
      </c>
      <c r="O128" s="8">
        <v>2</v>
      </c>
      <c r="P128" s="5">
        <v>4</v>
      </c>
      <c r="Q128" s="5">
        <v>1</v>
      </c>
      <c r="R128" s="9">
        <v>0</v>
      </c>
      <c r="S128" s="8">
        <v>0</v>
      </c>
      <c r="T128" s="9">
        <v>0</v>
      </c>
    </row>
    <row r="129" spans="1:20" x14ac:dyDescent="0.2">
      <c r="A129" s="5" t="s">
        <v>113</v>
      </c>
      <c r="B129" s="5" t="s">
        <v>75</v>
      </c>
      <c r="C129" s="6" t="s">
        <v>403</v>
      </c>
      <c r="D129" s="7">
        <f t="shared" si="0"/>
        <v>8.2000000000000011</v>
      </c>
      <c r="E129" s="8">
        <v>0</v>
      </c>
      <c r="F129" s="5">
        <v>0</v>
      </c>
      <c r="G129" s="5">
        <v>0</v>
      </c>
      <c r="H129" s="5">
        <v>0</v>
      </c>
      <c r="I129" s="5">
        <v>0</v>
      </c>
      <c r="J129" s="9">
        <v>0</v>
      </c>
      <c r="K129" s="8">
        <v>8</v>
      </c>
      <c r="L129" s="5">
        <v>29</v>
      </c>
      <c r="M129" s="5">
        <v>0</v>
      </c>
      <c r="N129" s="9">
        <v>0</v>
      </c>
      <c r="O129" s="8">
        <v>3</v>
      </c>
      <c r="P129" s="5">
        <v>23</v>
      </c>
      <c r="Q129" s="5">
        <v>0</v>
      </c>
      <c r="R129" s="9">
        <v>0</v>
      </c>
      <c r="S129" s="8">
        <v>0</v>
      </c>
      <c r="T129" s="9">
        <v>0</v>
      </c>
    </row>
    <row r="130" spans="1:20" x14ac:dyDescent="0.2">
      <c r="A130" s="5" t="s">
        <v>198</v>
      </c>
      <c r="B130" s="18" t="s">
        <v>162</v>
      </c>
      <c r="C130" s="8" t="s">
        <v>414</v>
      </c>
      <c r="D130" s="7">
        <f t="shared" si="0"/>
        <v>8.1999999999999993</v>
      </c>
      <c r="E130" s="8">
        <v>0</v>
      </c>
      <c r="F130" s="5">
        <v>0</v>
      </c>
      <c r="G130" s="5">
        <v>0</v>
      </c>
      <c r="H130" s="5">
        <v>0</v>
      </c>
      <c r="I130" s="5">
        <v>0</v>
      </c>
      <c r="J130" s="9">
        <v>0</v>
      </c>
      <c r="K130" s="8">
        <v>0</v>
      </c>
      <c r="L130" s="5">
        <v>0</v>
      </c>
      <c r="M130" s="5">
        <v>0</v>
      </c>
      <c r="N130" s="9">
        <v>0</v>
      </c>
      <c r="O130" s="8">
        <v>3</v>
      </c>
      <c r="P130" s="5">
        <v>32</v>
      </c>
      <c r="Q130" s="5">
        <v>0</v>
      </c>
      <c r="R130" s="9">
        <v>1</v>
      </c>
      <c r="S130" s="8">
        <v>0</v>
      </c>
      <c r="T130" s="9">
        <v>0</v>
      </c>
    </row>
    <row r="131" spans="1:20" x14ac:dyDescent="0.2">
      <c r="A131" s="5" t="s">
        <v>270</v>
      </c>
      <c r="B131" s="18" t="s">
        <v>162</v>
      </c>
      <c r="C131" s="8" t="s">
        <v>407</v>
      </c>
      <c r="D131" s="7">
        <f t="shared" si="0"/>
        <v>8.1999999999999993</v>
      </c>
      <c r="E131" s="8">
        <v>0</v>
      </c>
      <c r="F131" s="5">
        <v>0</v>
      </c>
      <c r="G131" s="5">
        <v>0</v>
      </c>
      <c r="H131" s="5">
        <v>0</v>
      </c>
      <c r="I131" s="5">
        <v>0</v>
      </c>
      <c r="J131" s="9">
        <v>0</v>
      </c>
      <c r="K131" s="8">
        <v>0</v>
      </c>
      <c r="L131" s="5">
        <v>0</v>
      </c>
      <c r="M131" s="5">
        <v>0</v>
      </c>
      <c r="N131" s="9">
        <v>0</v>
      </c>
      <c r="O131" s="8">
        <v>4</v>
      </c>
      <c r="P131" s="5">
        <v>42</v>
      </c>
      <c r="Q131" s="5">
        <v>0</v>
      </c>
      <c r="R131" s="9">
        <v>0</v>
      </c>
      <c r="S131" s="8">
        <v>0</v>
      </c>
      <c r="T131" s="9">
        <v>0</v>
      </c>
    </row>
    <row r="132" spans="1:20" x14ac:dyDescent="0.2">
      <c r="A132" s="5" t="s">
        <v>62</v>
      </c>
      <c r="B132" s="5" t="s">
        <v>17</v>
      </c>
      <c r="C132" s="8" t="s">
        <v>406</v>
      </c>
      <c r="D132" s="7">
        <f t="shared" si="0"/>
        <v>8.16</v>
      </c>
      <c r="E132" s="8">
        <v>49</v>
      </c>
      <c r="F132" s="5">
        <v>26</v>
      </c>
      <c r="G132" s="5">
        <v>259</v>
      </c>
      <c r="H132" s="5">
        <v>0</v>
      </c>
      <c r="I132" s="5">
        <v>1</v>
      </c>
      <c r="J132" s="9">
        <v>0</v>
      </c>
      <c r="K132" s="8">
        <v>3</v>
      </c>
      <c r="L132" s="5">
        <v>-2</v>
      </c>
      <c r="M132" s="5">
        <v>0</v>
      </c>
      <c r="N132" s="9">
        <v>0</v>
      </c>
      <c r="O132" s="8">
        <v>0</v>
      </c>
      <c r="P132" s="5">
        <v>0</v>
      </c>
      <c r="Q132" s="5">
        <v>0</v>
      </c>
      <c r="R132" s="9">
        <v>0</v>
      </c>
      <c r="S132" s="8">
        <v>0</v>
      </c>
      <c r="T132" s="9">
        <v>0</v>
      </c>
    </row>
    <row r="133" spans="1:20" x14ac:dyDescent="0.2">
      <c r="A133" s="5" t="s">
        <v>41</v>
      </c>
      <c r="B133" s="5" t="s">
        <v>17</v>
      </c>
      <c r="C133" s="6" t="s">
        <v>411</v>
      </c>
      <c r="D133" s="7">
        <f t="shared" si="0"/>
        <v>8.120000000000001</v>
      </c>
      <c r="E133" s="8">
        <v>18</v>
      </c>
      <c r="F133" s="5">
        <v>13</v>
      </c>
      <c r="G133" s="5">
        <v>103</v>
      </c>
      <c r="H133" s="5">
        <v>1</v>
      </c>
      <c r="I133" s="5">
        <v>0</v>
      </c>
      <c r="J133" s="9">
        <v>0</v>
      </c>
      <c r="K133" s="8">
        <v>0</v>
      </c>
      <c r="L133" s="5">
        <v>0</v>
      </c>
      <c r="M133" s="5">
        <v>0</v>
      </c>
      <c r="N133" s="9">
        <v>0</v>
      </c>
      <c r="O133" s="8">
        <v>0</v>
      </c>
      <c r="P133" s="5">
        <v>0</v>
      </c>
      <c r="Q133" s="5">
        <v>0</v>
      </c>
      <c r="R133" s="9">
        <v>0</v>
      </c>
      <c r="S133" s="8">
        <v>0</v>
      </c>
      <c r="T133" s="9">
        <v>0</v>
      </c>
    </row>
    <row r="134" spans="1:20" x14ac:dyDescent="0.2">
      <c r="A134" s="5" t="s">
        <v>347</v>
      </c>
      <c r="B134" s="5" t="s">
        <v>69</v>
      </c>
      <c r="C134" s="8" t="s">
        <v>404</v>
      </c>
      <c r="D134" s="7">
        <f t="shared" si="0"/>
        <v>8.1000000000000014</v>
      </c>
      <c r="E134" s="8">
        <v>0</v>
      </c>
      <c r="F134" s="5">
        <v>0</v>
      </c>
      <c r="G134" s="5">
        <v>0</v>
      </c>
      <c r="H134" s="5">
        <v>0</v>
      </c>
      <c r="I134" s="5">
        <v>0</v>
      </c>
      <c r="J134" s="9">
        <v>0</v>
      </c>
      <c r="K134" s="8">
        <v>0</v>
      </c>
      <c r="L134" s="5">
        <v>0</v>
      </c>
      <c r="M134" s="5">
        <v>0</v>
      </c>
      <c r="N134" s="9">
        <v>0</v>
      </c>
      <c r="O134" s="8">
        <v>4</v>
      </c>
      <c r="P134" s="5">
        <v>41</v>
      </c>
      <c r="Q134" s="5">
        <v>0</v>
      </c>
      <c r="R134" s="9">
        <v>0</v>
      </c>
      <c r="S134" s="8">
        <v>0</v>
      </c>
      <c r="T134" s="9">
        <v>0</v>
      </c>
    </row>
    <row r="135" spans="1:20" x14ac:dyDescent="0.2">
      <c r="A135" s="5" t="s">
        <v>340</v>
      </c>
      <c r="B135" s="18" t="s">
        <v>162</v>
      </c>
      <c r="C135" s="8" t="s">
        <v>405</v>
      </c>
      <c r="D135" s="7">
        <f t="shared" si="0"/>
        <v>7.9</v>
      </c>
      <c r="E135" s="8">
        <v>0</v>
      </c>
      <c r="F135" s="5">
        <v>0</v>
      </c>
      <c r="G135" s="5">
        <v>0</v>
      </c>
      <c r="H135" s="5">
        <v>0</v>
      </c>
      <c r="I135" s="5">
        <v>0</v>
      </c>
      <c r="J135" s="9">
        <v>0</v>
      </c>
      <c r="K135" s="8">
        <v>0</v>
      </c>
      <c r="L135" s="5">
        <v>0</v>
      </c>
      <c r="M135" s="5">
        <v>0</v>
      </c>
      <c r="N135" s="9">
        <v>0</v>
      </c>
      <c r="O135" s="8">
        <v>4</v>
      </c>
      <c r="P135" s="5">
        <v>39</v>
      </c>
      <c r="Q135" s="5">
        <v>0</v>
      </c>
      <c r="R135" s="9">
        <v>0</v>
      </c>
      <c r="S135" s="8">
        <v>0</v>
      </c>
      <c r="T135" s="9">
        <v>0</v>
      </c>
    </row>
    <row r="136" spans="1:20" x14ac:dyDescent="0.2">
      <c r="A136" s="5" t="s">
        <v>255</v>
      </c>
      <c r="B136" s="18" t="s">
        <v>162</v>
      </c>
      <c r="C136" s="6" t="s">
        <v>410</v>
      </c>
      <c r="D136" s="7">
        <f t="shared" si="0"/>
        <v>7.9</v>
      </c>
      <c r="E136" s="8">
        <v>0</v>
      </c>
      <c r="F136" s="5">
        <v>0</v>
      </c>
      <c r="G136" s="5">
        <v>0</v>
      </c>
      <c r="H136" s="5">
        <v>0</v>
      </c>
      <c r="I136" s="5">
        <v>0</v>
      </c>
      <c r="J136" s="9">
        <v>0</v>
      </c>
      <c r="K136" s="8">
        <v>0</v>
      </c>
      <c r="L136" s="5">
        <v>0</v>
      </c>
      <c r="M136" s="5">
        <v>0</v>
      </c>
      <c r="N136" s="9">
        <v>0</v>
      </c>
      <c r="O136" s="8">
        <v>3</v>
      </c>
      <c r="P136" s="5">
        <v>49</v>
      </c>
      <c r="Q136" s="5">
        <v>0</v>
      </c>
      <c r="R136" s="9">
        <v>0</v>
      </c>
      <c r="S136" s="8">
        <v>0</v>
      </c>
      <c r="T136" s="9">
        <v>0</v>
      </c>
    </row>
    <row r="137" spans="1:20" x14ac:dyDescent="0.2">
      <c r="A137" s="5" t="s">
        <v>187</v>
      </c>
      <c r="B137" s="18" t="s">
        <v>162</v>
      </c>
      <c r="C137" s="6" t="s">
        <v>410</v>
      </c>
      <c r="D137" s="7">
        <f t="shared" si="0"/>
        <v>7.8000000000000007</v>
      </c>
      <c r="E137" s="8">
        <v>0</v>
      </c>
      <c r="F137" s="5">
        <v>0</v>
      </c>
      <c r="G137" s="5">
        <v>0</v>
      </c>
      <c r="H137" s="5">
        <v>0</v>
      </c>
      <c r="I137" s="5">
        <v>0</v>
      </c>
      <c r="J137" s="9">
        <v>0</v>
      </c>
      <c r="K137" s="8">
        <v>0</v>
      </c>
      <c r="L137" s="5">
        <v>0</v>
      </c>
      <c r="M137" s="5">
        <v>0</v>
      </c>
      <c r="N137" s="9">
        <v>0</v>
      </c>
      <c r="O137" s="8">
        <v>3</v>
      </c>
      <c r="P137" s="5">
        <v>48</v>
      </c>
      <c r="Q137" s="5">
        <v>0</v>
      </c>
      <c r="R137" s="9">
        <v>0</v>
      </c>
      <c r="S137" s="8">
        <v>0</v>
      </c>
      <c r="T137" s="9">
        <v>0</v>
      </c>
    </row>
    <row r="138" spans="1:20" x14ac:dyDescent="0.2">
      <c r="A138" s="5" t="s">
        <v>422</v>
      </c>
      <c r="B138" s="5" t="s">
        <v>69</v>
      </c>
      <c r="C138" s="6" t="s">
        <v>411</v>
      </c>
      <c r="D138" s="7">
        <f t="shared" si="0"/>
        <v>7.8</v>
      </c>
      <c r="E138" s="8">
        <v>0</v>
      </c>
      <c r="F138" s="5">
        <v>0</v>
      </c>
      <c r="G138" s="5">
        <v>0</v>
      </c>
      <c r="H138" s="5">
        <v>0</v>
      </c>
      <c r="I138" s="5">
        <v>0</v>
      </c>
      <c r="J138" s="9">
        <v>0</v>
      </c>
      <c r="K138" s="8">
        <v>0</v>
      </c>
      <c r="L138" s="5">
        <v>0</v>
      </c>
      <c r="M138" s="5">
        <v>0</v>
      </c>
      <c r="N138" s="9">
        <v>0</v>
      </c>
      <c r="O138" s="8">
        <v>1</v>
      </c>
      <c r="P138" s="5">
        <v>8</v>
      </c>
      <c r="Q138" s="5">
        <v>1</v>
      </c>
      <c r="R138" s="9">
        <v>0</v>
      </c>
      <c r="S138" s="8">
        <v>0</v>
      </c>
      <c r="T138" s="9">
        <v>0</v>
      </c>
    </row>
    <row r="139" spans="1:20" x14ac:dyDescent="0.2">
      <c r="A139" s="5" t="s">
        <v>423</v>
      </c>
      <c r="B139" s="5" t="s">
        <v>75</v>
      </c>
      <c r="C139" s="8" t="s">
        <v>405</v>
      </c>
      <c r="D139" s="7">
        <f t="shared" si="0"/>
        <v>7.5</v>
      </c>
      <c r="E139" s="8">
        <v>0</v>
      </c>
      <c r="F139" s="5">
        <v>0</v>
      </c>
      <c r="G139" s="5">
        <v>0</v>
      </c>
      <c r="H139" s="5">
        <v>0</v>
      </c>
      <c r="I139" s="5">
        <v>0</v>
      </c>
      <c r="J139" s="9">
        <v>0</v>
      </c>
      <c r="K139" s="8">
        <v>10</v>
      </c>
      <c r="L139" s="5">
        <v>32</v>
      </c>
      <c r="M139" s="5">
        <v>0</v>
      </c>
      <c r="N139" s="9">
        <v>0</v>
      </c>
      <c r="O139" s="8">
        <v>2</v>
      </c>
      <c r="P139" s="5">
        <v>23</v>
      </c>
      <c r="Q139" s="5">
        <v>0</v>
      </c>
      <c r="R139" s="9">
        <v>0</v>
      </c>
      <c r="S139" s="8">
        <v>0</v>
      </c>
      <c r="T139" s="9">
        <v>0</v>
      </c>
    </row>
    <row r="140" spans="1:20" x14ac:dyDescent="0.2">
      <c r="A140" s="5" t="s">
        <v>387</v>
      </c>
      <c r="B140" s="18" t="s">
        <v>162</v>
      </c>
      <c r="C140" s="8" t="s">
        <v>404</v>
      </c>
      <c r="D140" s="7">
        <f t="shared" si="0"/>
        <v>7.5</v>
      </c>
      <c r="E140" s="8">
        <v>0</v>
      </c>
      <c r="F140" s="5">
        <v>0</v>
      </c>
      <c r="G140" s="5">
        <v>0</v>
      </c>
      <c r="H140" s="5">
        <v>0</v>
      </c>
      <c r="I140" s="5">
        <v>0</v>
      </c>
      <c r="J140" s="9">
        <v>0</v>
      </c>
      <c r="K140" s="8">
        <v>0</v>
      </c>
      <c r="L140" s="5">
        <v>0</v>
      </c>
      <c r="M140" s="5">
        <v>0</v>
      </c>
      <c r="N140" s="9">
        <v>0</v>
      </c>
      <c r="O140" s="8">
        <v>1</v>
      </c>
      <c r="P140" s="5">
        <v>5</v>
      </c>
      <c r="Q140" s="5">
        <v>1</v>
      </c>
      <c r="R140" s="9">
        <v>0</v>
      </c>
      <c r="S140" s="8">
        <v>0</v>
      </c>
      <c r="T140" s="9">
        <v>0</v>
      </c>
    </row>
    <row r="141" spans="1:20" x14ac:dyDescent="0.2">
      <c r="A141" s="5" t="s">
        <v>341</v>
      </c>
      <c r="B141" s="5" t="s">
        <v>69</v>
      </c>
      <c r="C141" s="8" t="s">
        <v>405</v>
      </c>
      <c r="D141" s="7">
        <f t="shared" si="0"/>
        <v>7.5</v>
      </c>
      <c r="E141" s="8">
        <v>0</v>
      </c>
      <c r="F141" s="5">
        <v>0</v>
      </c>
      <c r="G141" s="5">
        <v>0</v>
      </c>
      <c r="H141" s="5">
        <v>0</v>
      </c>
      <c r="I141" s="5">
        <v>0</v>
      </c>
      <c r="J141" s="9">
        <v>0</v>
      </c>
      <c r="K141" s="8">
        <v>0</v>
      </c>
      <c r="L141" s="5">
        <v>0</v>
      </c>
      <c r="M141" s="5">
        <v>0</v>
      </c>
      <c r="N141" s="9">
        <v>0</v>
      </c>
      <c r="O141" s="8">
        <v>4</v>
      </c>
      <c r="P141" s="5">
        <v>35</v>
      </c>
      <c r="Q141" s="5">
        <v>0</v>
      </c>
      <c r="R141" s="9">
        <v>0</v>
      </c>
      <c r="S141" s="8">
        <v>0</v>
      </c>
      <c r="T141" s="9">
        <v>0</v>
      </c>
    </row>
    <row r="142" spans="1:20" x14ac:dyDescent="0.2">
      <c r="A142" s="5" t="s">
        <v>314</v>
      </c>
      <c r="B142" s="5" t="s">
        <v>69</v>
      </c>
      <c r="C142" s="8" t="s">
        <v>415</v>
      </c>
      <c r="D142" s="7">
        <f t="shared" si="0"/>
        <v>7.5</v>
      </c>
      <c r="E142" s="8">
        <v>0</v>
      </c>
      <c r="F142" s="5">
        <v>0</v>
      </c>
      <c r="G142" s="5">
        <v>0</v>
      </c>
      <c r="H142" s="5">
        <v>0</v>
      </c>
      <c r="I142" s="5">
        <v>0</v>
      </c>
      <c r="J142" s="9">
        <v>0</v>
      </c>
      <c r="K142" s="8">
        <v>0</v>
      </c>
      <c r="L142" s="5">
        <v>0</v>
      </c>
      <c r="M142" s="5">
        <v>0</v>
      </c>
      <c r="N142" s="9">
        <v>0</v>
      </c>
      <c r="O142" s="8">
        <v>4</v>
      </c>
      <c r="P142" s="5">
        <v>35</v>
      </c>
      <c r="Q142" s="5">
        <v>0</v>
      </c>
      <c r="R142" s="9">
        <v>0</v>
      </c>
      <c r="S142" s="8">
        <v>0</v>
      </c>
      <c r="T142" s="9">
        <v>0</v>
      </c>
    </row>
    <row r="143" spans="1:20" x14ac:dyDescent="0.2">
      <c r="A143" s="5" t="s">
        <v>148</v>
      </c>
      <c r="B143" s="5" t="s">
        <v>75</v>
      </c>
      <c r="C143" s="8" t="s">
        <v>409</v>
      </c>
      <c r="D143" s="7">
        <f t="shared" si="0"/>
        <v>7.4</v>
      </c>
      <c r="E143" s="8">
        <v>0</v>
      </c>
      <c r="F143" s="5">
        <v>0</v>
      </c>
      <c r="G143" s="5">
        <v>0</v>
      </c>
      <c r="H143" s="5">
        <v>0</v>
      </c>
      <c r="I143" s="5">
        <v>0</v>
      </c>
      <c r="J143" s="9">
        <v>0</v>
      </c>
      <c r="K143" s="8">
        <v>11</v>
      </c>
      <c r="L143" s="5">
        <v>42</v>
      </c>
      <c r="M143" s="5">
        <v>0</v>
      </c>
      <c r="N143" s="9">
        <v>0</v>
      </c>
      <c r="O143" s="8">
        <v>3</v>
      </c>
      <c r="P143" s="5">
        <v>2</v>
      </c>
      <c r="Q143" s="5">
        <v>0</v>
      </c>
      <c r="R143" s="9">
        <v>0</v>
      </c>
      <c r="S143" s="8">
        <v>0</v>
      </c>
      <c r="T143" s="9">
        <v>0</v>
      </c>
    </row>
    <row r="144" spans="1:20" x14ac:dyDescent="0.2">
      <c r="A144" s="5" t="s">
        <v>199</v>
      </c>
      <c r="B144" s="18" t="s">
        <v>162</v>
      </c>
      <c r="C144" s="8" t="s">
        <v>415</v>
      </c>
      <c r="D144" s="7">
        <f t="shared" si="0"/>
        <v>7.4</v>
      </c>
      <c r="E144" s="8">
        <v>0</v>
      </c>
      <c r="F144" s="5">
        <v>0</v>
      </c>
      <c r="G144" s="5">
        <v>0</v>
      </c>
      <c r="H144" s="5">
        <v>0</v>
      </c>
      <c r="I144" s="5">
        <v>0</v>
      </c>
      <c r="J144" s="9">
        <v>0</v>
      </c>
      <c r="K144" s="8">
        <v>0</v>
      </c>
      <c r="L144" s="5">
        <v>0</v>
      </c>
      <c r="M144" s="5">
        <v>0</v>
      </c>
      <c r="N144" s="9">
        <v>0</v>
      </c>
      <c r="O144" s="8">
        <v>2</v>
      </c>
      <c r="P144" s="5">
        <v>54</v>
      </c>
      <c r="Q144" s="5">
        <v>0</v>
      </c>
      <c r="R144" s="9">
        <v>0</v>
      </c>
      <c r="S144" s="8">
        <v>0</v>
      </c>
      <c r="T144" s="9">
        <v>0</v>
      </c>
    </row>
    <row r="145" spans="1:20" x14ac:dyDescent="0.2">
      <c r="A145" s="5" t="s">
        <v>265</v>
      </c>
      <c r="B145" s="18" t="s">
        <v>162</v>
      </c>
      <c r="C145" s="6" t="s">
        <v>405</v>
      </c>
      <c r="D145" s="7">
        <f t="shared" si="0"/>
        <v>7.3</v>
      </c>
      <c r="E145" s="8">
        <v>0</v>
      </c>
      <c r="F145" s="5">
        <v>0</v>
      </c>
      <c r="G145" s="5">
        <v>0</v>
      </c>
      <c r="H145" s="5">
        <v>0</v>
      </c>
      <c r="I145" s="5">
        <v>0</v>
      </c>
      <c r="J145" s="9">
        <v>0</v>
      </c>
      <c r="K145" s="8">
        <v>0</v>
      </c>
      <c r="L145" s="5">
        <v>0</v>
      </c>
      <c r="M145" s="5">
        <v>0</v>
      </c>
      <c r="N145" s="9">
        <v>0</v>
      </c>
      <c r="O145" s="8">
        <v>3</v>
      </c>
      <c r="P145" s="5">
        <v>43</v>
      </c>
      <c r="Q145" s="5">
        <v>0</v>
      </c>
      <c r="R145" s="9">
        <v>0</v>
      </c>
      <c r="S145" s="8">
        <v>0</v>
      </c>
      <c r="T145" s="9">
        <v>0</v>
      </c>
    </row>
    <row r="146" spans="1:20" x14ac:dyDescent="0.2">
      <c r="A146" s="5" t="s">
        <v>114</v>
      </c>
      <c r="B146" s="5" t="s">
        <v>75</v>
      </c>
      <c r="C146" s="8" t="s">
        <v>414</v>
      </c>
      <c r="D146" s="7">
        <f t="shared" si="0"/>
        <v>7.2000000000000011</v>
      </c>
      <c r="E146" s="8">
        <v>0</v>
      </c>
      <c r="F146" s="5">
        <v>0</v>
      </c>
      <c r="G146" s="5">
        <v>0</v>
      </c>
      <c r="H146" s="5">
        <v>0</v>
      </c>
      <c r="I146" s="5">
        <v>0</v>
      </c>
      <c r="J146" s="9">
        <v>0</v>
      </c>
      <c r="K146" s="8">
        <v>14</v>
      </c>
      <c r="L146" s="5">
        <v>38</v>
      </c>
      <c r="M146" s="5">
        <v>0</v>
      </c>
      <c r="N146" s="9">
        <v>0</v>
      </c>
      <c r="O146" s="8">
        <v>3</v>
      </c>
      <c r="P146" s="5">
        <v>24</v>
      </c>
      <c r="Q146" s="5">
        <v>0</v>
      </c>
      <c r="R146" s="9">
        <v>0</v>
      </c>
      <c r="S146" s="8">
        <v>1</v>
      </c>
      <c r="T146" s="9">
        <v>0</v>
      </c>
    </row>
    <row r="147" spans="1:20" x14ac:dyDescent="0.2">
      <c r="A147" s="5" t="s">
        <v>87</v>
      </c>
      <c r="B147" s="5" t="s">
        <v>75</v>
      </c>
      <c r="C147" s="6" t="s">
        <v>418</v>
      </c>
      <c r="D147" s="7">
        <f t="shared" si="0"/>
        <v>7.2</v>
      </c>
      <c r="E147" s="8">
        <v>0</v>
      </c>
      <c r="F147" s="5">
        <v>0</v>
      </c>
      <c r="G147" s="5">
        <v>0</v>
      </c>
      <c r="H147" s="5">
        <v>0</v>
      </c>
      <c r="I147" s="5">
        <v>0</v>
      </c>
      <c r="J147" s="9">
        <v>0</v>
      </c>
      <c r="K147" s="8">
        <v>19</v>
      </c>
      <c r="L147" s="5">
        <v>59</v>
      </c>
      <c r="M147" s="5">
        <v>0</v>
      </c>
      <c r="N147" s="9">
        <v>0</v>
      </c>
      <c r="O147" s="8">
        <v>1</v>
      </c>
      <c r="P147" s="5">
        <v>3</v>
      </c>
      <c r="Q147" s="5">
        <v>0</v>
      </c>
      <c r="R147" s="9">
        <v>0</v>
      </c>
      <c r="S147" s="8">
        <v>0</v>
      </c>
      <c r="T147" s="9">
        <v>0</v>
      </c>
    </row>
    <row r="148" spans="1:20" x14ac:dyDescent="0.2">
      <c r="A148" s="5" t="s">
        <v>227</v>
      </c>
      <c r="B148" s="18" t="s">
        <v>162</v>
      </c>
      <c r="C148" s="8" t="s">
        <v>407</v>
      </c>
      <c r="D148" s="7">
        <f t="shared" si="0"/>
        <v>7.1000000000000005</v>
      </c>
      <c r="E148" s="8">
        <v>0</v>
      </c>
      <c r="F148" s="5">
        <v>0</v>
      </c>
      <c r="G148" s="5">
        <v>0</v>
      </c>
      <c r="H148" s="5">
        <v>0</v>
      </c>
      <c r="I148" s="5">
        <v>0</v>
      </c>
      <c r="J148" s="9">
        <v>0</v>
      </c>
      <c r="K148" s="8">
        <v>0</v>
      </c>
      <c r="L148" s="5">
        <v>0</v>
      </c>
      <c r="M148" s="5">
        <v>0</v>
      </c>
      <c r="N148" s="9">
        <v>0</v>
      </c>
      <c r="O148" s="8">
        <v>2</v>
      </c>
      <c r="P148" s="5">
        <v>51</v>
      </c>
      <c r="Q148" s="5">
        <v>0</v>
      </c>
      <c r="R148" s="9">
        <v>0</v>
      </c>
      <c r="S148" s="8">
        <v>0</v>
      </c>
      <c r="T148" s="9">
        <v>0</v>
      </c>
    </row>
    <row r="149" spans="1:20" x14ac:dyDescent="0.2">
      <c r="A149" s="5" t="s">
        <v>112</v>
      </c>
      <c r="B149" s="5" t="s">
        <v>75</v>
      </c>
      <c r="C149" s="8" t="s">
        <v>408</v>
      </c>
      <c r="D149" s="7">
        <f t="shared" si="0"/>
        <v>7</v>
      </c>
      <c r="E149" s="8">
        <v>0</v>
      </c>
      <c r="F149" s="5">
        <v>0</v>
      </c>
      <c r="G149" s="5">
        <v>0</v>
      </c>
      <c r="H149" s="5">
        <v>0</v>
      </c>
      <c r="I149" s="5">
        <v>0</v>
      </c>
      <c r="J149" s="9">
        <v>0</v>
      </c>
      <c r="K149" s="8">
        <v>2</v>
      </c>
      <c r="L149" s="5">
        <v>10</v>
      </c>
      <c r="M149" s="5">
        <v>1</v>
      </c>
      <c r="N149" s="9">
        <v>0</v>
      </c>
      <c r="O149" s="8">
        <v>0</v>
      </c>
      <c r="P149" s="5">
        <v>0</v>
      </c>
      <c r="Q149" s="5">
        <v>0</v>
      </c>
      <c r="R149" s="9">
        <v>0</v>
      </c>
      <c r="S149" s="8">
        <v>0</v>
      </c>
      <c r="T149" s="9">
        <v>0</v>
      </c>
    </row>
    <row r="150" spans="1:20" x14ac:dyDescent="0.2">
      <c r="A150" s="5" t="s">
        <v>93</v>
      </c>
      <c r="B150" s="5" t="s">
        <v>75</v>
      </c>
      <c r="C150" s="8" t="s">
        <v>415</v>
      </c>
      <c r="D150" s="7">
        <f t="shared" si="0"/>
        <v>7</v>
      </c>
      <c r="E150" s="8">
        <v>0</v>
      </c>
      <c r="F150" s="5">
        <v>0</v>
      </c>
      <c r="G150" s="5">
        <v>0</v>
      </c>
      <c r="H150" s="5">
        <v>0</v>
      </c>
      <c r="I150" s="5">
        <v>0</v>
      </c>
      <c r="J150" s="9">
        <v>0</v>
      </c>
      <c r="K150" s="8">
        <v>10</v>
      </c>
      <c r="L150" s="5">
        <v>70</v>
      </c>
      <c r="M150" s="5">
        <v>0</v>
      </c>
      <c r="N150" s="9">
        <v>0</v>
      </c>
      <c r="O150" s="8">
        <v>0</v>
      </c>
      <c r="P150" s="5">
        <v>0</v>
      </c>
      <c r="Q150" s="5">
        <v>0</v>
      </c>
      <c r="R150" s="9">
        <v>0</v>
      </c>
      <c r="S150" s="8">
        <v>0</v>
      </c>
      <c r="T150" s="9">
        <v>0</v>
      </c>
    </row>
    <row r="151" spans="1:20" x14ac:dyDescent="0.2">
      <c r="A151" s="5" t="s">
        <v>168</v>
      </c>
      <c r="B151" s="18" t="s">
        <v>162</v>
      </c>
      <c r="C151" s="8" t="s">
        <v>408</v>
      </c>
      <c r="D151" s="7">
        <f t="shared" si="0"/>
        <v>7</v>
      </c>
      <c r="E151" s="8">
        <v>0</v>
      </c>
      <c r="F151" s="5">
        <v>0</v>
      </c>
      <c r="G151" s="5">
        <v>0</v>
      </c>
      <c r="H151" s="5">
        <v>0</v>
      </c>
      <c r="I151" s="5">
        <v>0</v>
      </c>
      <c r="J151" s="9">
        <v>0</v>
      </c>
      <c r="K151" s="8">
        <v>0</v>
      </c>
      <c r="L151" s="5">
        <v>0</v>
      </c>
      <c r="M151" s="5">
        <v>0</v>
      </c>
      <c r="N151" s="9">
        <v>0</v>
      </c>
      <c r="O151" s="8">
        <v>3</v>
      </c>
      <c r="P151" s="5">
        <v>40</v>
      </c>
      <c r="Q151" s="5">
        <v>0</v>
      </c>
      <c r="R151" s="9">
        <v>0</v>
      </c>
      <c r="S151" s="8">
        <v>0</v>
      </c>
      <c r="T151" s="9">
        <v>0</v>
      </c>
    </row>
    <row r="152" spans="1:20" x14ac:dyDescent="0.2">
      <c r="A152" s="5" t="s">
        <v>82</v>
      </c>
      <c r="B152" s="5" t="s">
        <v>75</v>
      </c>
      <c r="C152" s="6" t="s">
        <v>407</v>
      </c>
      <c r="D152" s="7">
        <f t="shared" si="0"/>
        <v>6.9</v>
      </c>
      <c r="E152" s="8">
        <v>0</v>
      </c>
      <c r="F152" s="5">
        <v>0</v>
      </c>
      <c r="G152" s="5">
        <v>0</v>
      </c>
      <c r="H152" s="5">
        <v>0</v>
      </c>
      <c r="I152" s="5">
        <v>0</v>
      </c>
      <c r="J152" s="9">
        <v>0</v>
      </c>
      <c r="K152" s="8">
        <v>8</v>
      </c>
      <c r="L152" s="5">
        <v>38</v>
      </c>
      <c r="M152" s="5">
        <v>0</v>
      </c>
      <c r="N152" s="9">
        <v>0</v>
      </c>
      <c r="O152" s="8">
        <v>2</v>
      </c>
      <c r="P152" s="5">
        <v>11</v>
      </c>
      <c r="Q152" s="5">
        <v>0</v>
      </c>
      <c r="R152" s="9">
        <v>0</v>
      </c>
      <c r="S152" s="8">
        <v>0</v>
      </c>
      <c r="T152" s="9">
        <v>0</v>
      </c>
    </row>
    <row r="153" spans="1:20" x14ac:dyDescent="0.2">
      <c r="A153" s="5" t="s">
        <v>268</v>
      </c>
      <c r="B153" s="18" t="s">
        <v>162</v>
      </c>
      <c r="C153" s="8" t="s">
        <v>408</v>
      </c>
      <c r="D153" s="7">
        <f t="shared" si="0"/>
        <v>6.9</v>
      </c>
      <c r="E153" s="8">
        <v>0</v>
      </c>
      <c r="F153" s="5">
        <v>0</v>
      </c>
      <c r="G153" s="5">
        <v>0</v>
      </c>
      <c r="H153" s="5">
        <v>0</v>
      </c>
      <c r="I153" s="5">
        <v>0</v>
      </c>
      <c r="J153" s="9">
        <v>0</v>
      </c>
      <c r="K153" s="8">
        <v>0</v>
      </c>
      <c r="L153" s="5">
        <v>0</v>
      </c>
      <c r="M153" s="5">
        <v>0</v>
      </c>
      <c r="N153" s="9">
        <v>0</v>
      </c>
      <c r="O153" s="8">
        <v>4</v>
      </c>
      <c r="P153" s="5">
        <v>49</v>
      </c>
      <c r="Q153" s="5">
        <v>0</v>
      </c>
      <c r="R153" s="9">
        <v>0</v>
      </c>
      <c r="S153" s="8">
        <v>1</v>
      </c>
      <c r="T153" s="9">
        <v>0</v>
      </c>
    </row>
    <row r="154" spans="1:20" x14ac:dyDescent="0.2">
      <c r="A154" s="5" t="s">
        <v>223</v>
      </c>
      <c r="B154" s="18" t="s">
        <v>162</v>
      </c>
      <c r="C154" s="8" t="s">
        <v>418</v>
      </c>
      <c r="D154" s="7">
        <f t="shared" si="0"/>
        <v>6.9</v>
      </c>
      <c r="E154" s="8">
        <v>0</v>
      </c>
      <c r="F154" s="5">
        <v>0</v>
      </c>
      <c r="G154" s="5">
        <v>0</v>
      </c>
      <c r="H154" s="5">
        <v>0</v>
      </c>
      <c r="I154" s="5">
        <v>0</v>
      </c>
      <c r="J154" s="9">
        <v>0</v>
      </c>
      <c r="K154" s="8">
        <v>0</v>
      </c>
      <c r="L154" s="5">
        <v>0</v>
      </c>
      <c r="M154" s="5">
        <v>0</v>
      </c>
      <c r="N154" s="9">
        <v>0</v>
      </c>
      <c r="O154" s="8">
        <v>3</v>
      </c>
      <c r="P154" s="5">
        <v>39</v>
      </c>
      <c r="Q154" s="5">
        <v>0</v>
      </c>
      <c r="R154" s="9">
        <v>0</v>
      </c>
      <c r="S154" s="8">
        <v>0</v>
      </c>
      <c r="T154" s="9">
        <v>0</v>
      </c>
    </row>
    <row r="155" spans="1:20" x14ac:dyDescent="0.2">
      <c r="A155" s="5" t="s">
        <v>177</v>
      </c>
      <c r="B155" s="18" t="s">
        <v>162</v>
      </c>
      <c r="C155" s="6" t="s">
        <v>414</v>
      </c>
      <c r="D155" s="7">
        <f t="shared" si="0"/>
        <v>6.8000000000000007</v>
      </c>
      <c r="E155" s="8">
        <v>0</v>
      </c>
      <c r="F155" s="5">
        <v>0</v>
      </c>
      <c r="G155" s="5">
        <v>0</v>
      </c>
      <c r="H155" s="5">
        <v>0</v>
      </c>
      <c r="I155" s="5">
        <v>0</v>
      </c>
      <c r="J155" s="9">
        <v>0</v>
      </c>
      <c r="K155" s="8">
        <v>0</v>
      </c>
      <c r="L155" s="5">
        <v>0</v>
      </c>
      <c r="M155" s="5">
        <v>0</v>
      </c>
      <c r="N155" s="9">
        <v>0</v>
      </c>
      <c r="O155" s="8">
        <v>4</v>
      </c>
      <c r="P155" s="5">
        <v>28</v>
      </c>
      <c r="Q155" s="5">
        <v>0</v>
      </c>
      <c r="R155" s="9">
        <v>0</v>
      </c>
      <c r="S155" s="8">
        <v>0</v>
      </c>
      <c r="T155" s="9">
        <v>0</v>
      </c>
    </row>
    <row r="156" spans="1:20" x14ac:dyDescent="0.2">
      <c r="A156" s="5" t="s">
        <v>318</v>
      </c>
      <c r="B156" s="5" t="s">
        <v>69</v>
      </c>
      <c r="C156" s="8" t="s">
        <v>404</v>
      </c>
      <c r="D156" s="7">
        <f t="shared" si="0"/>
        <v>6.8000000000000007</v>
      </c>
      <c r="E156" s="8">
        <v>0</v>
      </c>
      <c r="F156" s="5">
        <v>0</v>
      </c>
      <c r="G156" s="5">
        <v>0</v>
      </c>
      <c r="H156" s="5">
        <v>0</v>
      </c>
      <c r="I156" s="5">
        <v>0</v>
      </c>
      <c r="J156" s="9">
        <v>0</v>
      </c>
      <c r="K156" s="8">
        <v>0</v>
      </c>
      <c r="L156" s="5">
        <v>0</v>
      </c>
      <c r="M156" s="5">
        <v>0</v>
      </c>
      <c r="N156" s="9">
        <v>0</v>
      </c>
      <c r="O156" s="8">
        <v>3</v>
      </c>
      <c r="P156" s="5">
        <v>38</v>
      </c>
      <c r="Q156" s="5">
        <v>0</v>
      </c>
      <c r="R156" s="9">
        <v>0</v>
      </c>
      <c r="S156" s="8">
        <v>0</v>
      </c>
      <c r="T156" s="9">
        <v>0</v>
      </c>
    </row>
    <row r="157" spans="1:20" x14ac:dyDescent="0.2">
      <c r="A157" s="5" t="s">
        <v>424</v>
      </c>
      <c r="B157" s="5" t="s">
        <v>75</v>
      </c>
      <c r="C157" s="8" t="s">
        <v>401</v>
      </c>
      <c r="D157" s="7">
        <f t="shared" si="0"/>
        <v>6.6000000000000005</v>
      </c>
      <c r="E157" s="8">
        <v>0</v>
      </c>
      <c r="F157" s="5">
        <v>0</v>
      </c>
      <c r="G157" s="5">
        <v>0</v>
      </c>
      <c r="H157" s="5">
        <v>0</v>
      </c>
      <c r="I157" s="5">
        <v>0</v>
      </c>
      <c r="J157" s="9">
        <v>0</v>
      </c>
      <c r="K157" s="8">
        <v>9</v>
      </c>
      <c r="L157" s="5">
        <v>66</v>
      </c>
      <c r="M157" s="5">
        <v>0</v>
      </c>
      <c r="N157" s="9">
        <v>0</v>
      </c>
      <c r="O157" s="8">
        <v>0</v>
      </c>
      <c r="P157" s="5">
        <v>0</v>
      </c>
      <c r="Q157" s="5">
        <v>0</v>
      </c>
      <c r="R157" s="9">
        <v>0</v>
      </c>
      <c r="S157" s="8">
        <v>0</v>
      </c>
      <c r="T157" s="9">
        <v>0</v>
      </c>
    </row>
    <row r="158" spans="1:20" x14ac:dyDescent="0.2">
      <c r="A158" s="5" t="s">
        <v>425</v>
      </c>
      <c r="B158" s="5" t="s">
        <v>17</v>
      </c>
      <c r="C158" s="8" t="s">
        <v>401</v>
      </c>
      <c r="D158" s="7">
        <f t="shared" si="0"/>
        <v>6.58</v>
      </c>
      <c r="E158" s="8">
        <v>2</v>
      </c>
      <c r="F158" s="5">
        <v>2</v>
      </c>
      <c r="G158" s="5">
        <v>67</v>
      </c>
      <c r="H158" s="5">
        <v>1</v>
      </c>
      <c r="I158" s="5">
        <v>0</v>
      </c>
      <c r="J158" s="9">
        <v>0</v>
      </c>
      <c r="K158" s="8">
        <v>1</v>
      </c>
      <c r="L158" s="5">
        <v>-1</v>
      </c>
      <c r="M158" s="5">
        <v>0</v>
      </c>
      <c r="N158" s="9">
        <v>0</v>
      </c>
      <c r="O158" s="8">
        <v>0</v>
      </c>
      <c r="P158" s="5">
        <v>0</v>
      </c>
      <c r="Q158" s="5">
        <v>0</v>
      </c>
      <c r="R158" s="9">
        <v>0</v>
      </c>
      <c r="S158" s="8">
        <v>0</v>
      </c>
      <c r="T158" s="9">
        <v>0</v>
      </c>
    </row>
    <row r="159" spans="1:20" x14ac:dyDescent="0.2">
      <c r="A159" s="5" t="s">
        <v>151</v>
      </c>
      <c r="B159" s="5" t="s">
        <v>75</v>
      </c>
      <c r="C159" s="6" t="s">
        <v>408</v>
      </c>
      <c r="D159" s="7">
        <f t="shared" si="0"/>
        <v>6.5000000000000009</v>
      </c>
      <c r="E159" s="8">
        <v>0</v>
      </c>
      <c r="F159" s="5">
        <v>0</v>
      </c>
      <c r="G159" s="5">
        <v>0</v>
      </c>
      <c r="H159" s="5">
        <v>0</v>
      </c>
      <c r="I159" s="5">
        <v>0</v>
      </c>
      <c r="J159" s="9">
        <v>0</v>
      </c>
      <c r="K159" s="8">
        <v>9</v>
      </c>
      <c r="L159" s="5">
        <v>41</v>
      </c>
      <c r="M159" s="5">
        <v>0</v>
      </c>
      <c r="N159" s="9">
        <v>0</v>
      </c>
      <c r="O159" s="8">
        <v>2</v>
      </c>
      <c r="P159" s="5">
        <v>4</v>
      </c>
      <c r="Q159" s="5">
        <v>0</v>
      </c>
      <c r="R159" s="9">
        <v>0</v>
      </c>
      <c r="S159" s="8">
        <v>0</v>
      </c>
      <c r="T159" s="9">
        <v>0</v>
      </c>
    </row>
    <row r="160" spans="1:20" x14ac:dyDescent="0.2">
      <c r="A160" s="5" t="s">
        <v>117</v>
      </c>
      <c r="B160" s="5" t="s">
        <v>75</v>
      </c>
      <c r="C160" s="6" t="s">
        <v>403</v>
      </c>
      <c r="D160" s="7">
        <f t="shared" si="0"/>
        <v>6.5</v>
      </c>
      <c r="E160" s="8">
        <v>0</v>
      </c>
      <c r="F160" s="5">
        <v>0</v>
      </c>
      <c r="G160" s="5">
        <v>0</v>
      </c>
      <c r="H160" s="5">
        <v>0</v>
      </c>
      <c r="I160" s="5">
        <v>0</v>
      </c>
      <c r="J160" s="9">
        <v>0</v>
      </c>
      <c r="K160" s="8">
        <v>19</v>
      </c>
      <c r="L160" s="5">
        <v>65</v>
      </c>
      <c r="M160" s="5">
        <v>0</v>
      </c>
      <c r="N160" s="9">
        <v>0</v>
      </c>
      <c r="O160" s="8">
        <v>0</v>
      </c>
      <c r="P160" s="5">
        <v>0</v>
      </c>
      <c r="Q160" s="5">
        <v>0</v>
      </c>
      <c r="R160" s="9">
        <v>0</v>
      </c>
      <c r="S160" s="8">
        <v>0</v>
      </c>
      <c r="T160" s="9">
        <v>0</v>
      </c>
    </row>
    <row r="161" spans="1:20" x14ac:dyDescent="0.2">
      <c r="A161" s="5" t="s">
        <v>194</v>
      </c>
      <c r="B161" s="18" t="s">
        <v>162</v>
      </c>
      <c r="C161" s="6" t="s">
        <v>403</v>
      </c>
      <c r="D161" s="7">
        <f t="shared" si="0"/>
        <v>6.4</v>
      </c>
      <c r="E161" s="8">
        <v>0</v>
      </c>
      <c r="F161" s="5">
        <v>0</v>
      </c>
      <c r="G161" s="5">
        <v>0</v>
      </c>
      <c r="H161" s="5">
        <v>0</v>
      </c>
      <c r="I161" s="5">
        <v>0</v>
      </c>
      <c r="J161" s="9">
        <v>0</v>
      </c>
      <c r="K161" s="8">
        <v>0</v>
      </c>
      <c r="L161" s="5">
        <v>0</v>
      </c>
      <c r="M161" s="5">
        <v>0</v>
      </c>
      <c r="N161" s="9">
        <v>0</v>
      </c>
      <c r="O161" s="8">
        <v>4</v>
      </c>
      <c r="P161" s="5">
        <v>24</v>
      </c>
      <c r="Q161" s="5">
        <v>0</v>
      </c>
      <c r="R161" s="9">
        <v>0</v>
      </c>
      <c r="S161" s="8">
        <v>0</v>
      </c>
      <c r="T161" s="9">
        <v>0</v>
      </c>
    </row>
    <row r="162" spans="1:20" x14ac:dyDescent="0.2">
      <c r="A162" s="5" t="s">
        <v>197</v>
      </c>
      <c r="B162" s="18" t="s">
        <v>162</v>
      </c>
      <c r="C162" s="6" t="s">
        <v>408</v>
      </c>
      <c r="D162" s="7">
        <f t="shared" si="0"/>
        <v>6.4</v>
      </c>
      <c r="E162" s="8">
        <v>0</v>
      </c>
      <c r="F162" s="5">
        <v>0</v>
      </c>
      <c r="G162" s="5">
        <v>0</v>
      </c>
      <c r="H162" s="5">
        <v>0</v>
      </c>
      <c r="I162" s="5">
        <v>0</v>
      </c>
      <c r="J162" s="9">
        <v>0</v>
      </c>
      <c r="K162" s="8">
        <v>0</v>
      </c>
      <c r="L162" s="5">
        <v>0</v>
      </c>
      <c r="M162" s="5">
        <v>0</v>
      </c>
      <c r="N162" s="9">
        <v>0</v>
      </c>
      <c r="O162" s="8">
        <v>3</v>
      </c>
      <c r="P162" s="5">
        <v>34</v>
      </c>
      <c r="Q162" s="5">
        <v>0</v>
      </c>
      <c r="R162" s="9">
        <v>0</v>
      </c>
      <c r="S162" s="8">
        <v>0</v>
      </c>
      <c r="T162" s="9">
        <v>0</v>
      </c>
    </row>
    <row r="163" spans="1:20" x14ac:dyDescent="0.2">
      <c r="A163" s="5" t="s">
        <v>56</v>
      </c>
      <c r="B163" s="5" t="s">
        <v>17</v>
      </c>
      <c r="C163" s="8" t="s">
        <v>418</v>
      </c>
      <c r="D163" s="7">
        <f t="shared" si="0"/>
        <v>6.38</v>
      </c>
      <c r="E163" s="8">
        <v>36</v>
      </c>
      <c r="F163" s="5">
        <v>18</v>
      </c>
      <c r="G163" s="5">
        <v>157</v>
      </c>
      <c r="H163" s="5">
        <v>0</v>
      </c>
      <c r="I163" s="5">
        <v>0</v>
      </c>
      <c r="J163" s="9">
        <v>0</v>
      </c>
      <c r="K163" s="8">
        <v>1</v>
      </c>
      <c r="L163" s="5">
        <v>1</v>
      </c>
      <c r="M163" s="5">
        <v>0</v>
      </c>
      <c r="N163" s="9">
        <v>0</v>
      </c>
      <c r="O163" s="8">
        <v>0</v>
      </c>
      <c r="P163" s="5">
        <v>0</v>
      </c>
      <c r="Q163" s="5">
        <v>0</v>
      </c>
      <c r="R163" s="9">
        <v>0</v>
      </c>
      <c r="S163" s="8">
        <v>0</v>
      </c>
      <c r="T163" s="9">
        <v>0</v>
      </c>
    </row>
    <row r="164" spans="1:20" x14ac:dyDescent="0.2">
      <c r="A164" s="5" t="s">
        <v>51</v>
      </c>
      <c r="B164" s="5" t="s">
        <v>17</v>
      </c>
      <c r="C164" s="6" t="s">
        <v>413</v>
      </c>
      <c r="D164" s="7">
        <f t="shared" si="0"/>
        <v>6.3400000000000016</v>
      </c>
      <c r="E164" s="8">
        <v>38</v>
      </c>
      <c r="F164" s="5">
        <v>21</v>
      </c>
      <c r="G164" s="5">
        <v>201</v>
      </c>
      <c r="H164" s="5">
        <v>0</v>
      </c>
      <c r="I164" s="5">
        <v>0</v>
      </c>
      <c r="J164" s="9">
        <v>0</v>
      </c>
      <c r="K164" s="8">
        <v>2</v>
      </c>
      <c r="L164" s="5">
        <v>3</v>
      </c>
      <c r="M164" s="5">
        <v>0</v>
      </c>
      <c r="N164" s="9">
        <v>0</v>
      </c>
      <c r="O164" s="8">
        <v>0</v>
      </c>
      <c r="P164" s="5">
        <v>0</v>
      </c>
      <c r="Q164" s="5">
        <v>0</v>
      </c>
      <c r="R164" s="9">
        <v>0</v>
      </c>
      <c r="S164" s="8">
        <v>1</v>
      </c>
      <c r="T164" s="9">
        <v>0</v>
      </c>
    </row>
    <row r="165" spans="1:20" x14ac:dyDescent="0.2">
      <c r="A165" s="5" t="s">
        <v>236</v>
      </c>
      <c r="B165" s="18" t="s">
        <v>162</v>
      </c>
      <c r="C165" s="6" t="s">
        <v>409</v>
      </c>
      <c r="D165" s="7">
        <f t="shared" si="0"/>
        <v>6.2</v>
      </c>
      <c r="E165" s="8">
        <v>0</v>
      </c>
      <c r="F165" s="5">
        <v>0</v>
      </c>
      <c r="G165" s="5">
        <v>0</v>
      </c>
      <c r="H165" s="5">
        <v>0</v>
      </c>
      <c r="I165" s="5">
        <v>0</v>
      </c>
      <c r="J165" s="9">
        <v>0</v>
      </c>
      <c r="K165" s="8">
        <v>0</v>
      </c>
      <c r="L165" s="5">
        <v>0</v>
      </c>
      <c r="M165" s="5">
        <v>0</v>
      </c>
      <c r="N165" s="9">
        <v>0</v>
      </c>
      <c r="O165" s="8">
        <v>3</v>
      </c>
      <c r="P165" s="5">
        <v>32</v>
      </c>
      <c r="Q165" s="5">
        <v>0</v>
      </c>
      <c r="R165" s="9">
        <v>0</v>
      </c>
      <c r="S165" s="8">
        <v>0</v>
      </c>
      <c r="T165" s="9">
        <v>0</v>
      </c>
    </row>
    <row r="166" spans="1:20" x14ac:dyDescent="0.2">
      <c r="A166" s="5" t="s">
        <v>357</v>
      </c>
      <c r="B166" s="18" t="s">
        <v>162</v>
      </c>
      <c r="C166" s="6" t="s">
        <v>410</v>
      </c>
      <c r="D166" s="7">
        <f t="shared" si="0"/>
        <v>6.1000000000000005</v>
      </c>
      <c r="E166" s="8">
        <v>0</v>
      </c>
      <c r="F166" s="5">
        <v>0</v>
      </c>
      <c r="G166" s="5">
        <v>0</v>
      </c>
      <c r="H166" s="5">
        <v>0</v>
      </c>
      <c r="I166" s="5">
        <v>0</v>
      </c>
      <c r="J166" s="9">
        <v>0</v>
      </c>
      <c r="K166" s="8">
        <v>0</v>
      </c>
      <c r="L166" s="5">
        <v>0</v>
      </c>
      <c r="M166" s="5">
        <v>0</v>
      </c>
      <c r="N166" s="9">
        <v>0</v>
      </c>
      <c r="O166" s="8">
        <v>2</v>
      </c>
      <c r="P166" s="5">
        <v>41</v>
      </c>
      <c r="Q166" s="5">
        <v>0</v>
      </c>
      <c r="R166" s="9">
        <v>0</v>
      </c>
      <c r="S166" s="8">
        <v>0</v>
      </c>
      <c r="T166" s="9">
        <v>0</v>
      </c>
    </row>
    <row r="167" spans="1:20" x14ac:dyDescent="0.2">
      <c r="A167" s="5" t="s">
        <v>426</v>
      </c>
      <c r="B167" s="5" t="s">
        <v>75</v>
      </c>
      <c r="C167" s="8" t="s">
        <v>418</v>
      </c>
      <c r="D167" s="7">
        <f t="shared" si="0"/>
        <v>6.1</v>
      </c>
      <c r="E167" s="8">
        <v>0</v>
      </c>
      <c r="F167" s="5">
        <v>0</v>
      </c>
      <c r="G167" s="5">
        <v>0</v>
      </c>
      <c r="H167" s="5">
        <v>0</v>
      </c>
      <c r="I167" s="5">
        <v>0</v>
      </c>
      <c r="J167" s="9">
        <v>0</v>
      </c>
      <c r="K167" s="8">
        <v>1</v>
      </c>
      <c r="L167" s="5">
        <v>1</v>
      </c>
      <c r="M167" s="5">
        <v>1</v>
      </c>
      <c r="N167" s="9">
        <v>0</v>
      </c>
      <c r="O167" s="8">
        <v>0</v>
      </c>
      <c r="P167" s="5">
        <v>0</v>
      </c>
      <c r="Q167" s="5">
        <v>0</v>
      </c>
      <c r="R167" s="9">
        <v>0</v>
      </c>
      <c r="S167" s="8">
        <v>0</v>
      </c>
      <c r="T167" s="9">
        <v>0</v>
      </c>
    </row>
    <row r="168" spans="1:20" x14ac:dyDescent="0.2">
      <c r="A168" s="5" t="s">
        <v>427</v>
      </c>
      <c r="B168" s="18" t="s">
        <v>162</v>
      </c>
      <c r="C168" s="6" t="s">
        <v>409</v>
      </c>
      <c r="D168" s="7">
        <f t="shared" si="0"/>
        <v>6.1</v>
      </c>
      <c r="E168" s="8">
        <v>0</v>
      </c>
      <c r="F168" s="5">
        <v>0</v>
      </c>
      <c r="G168" s="5">
        <v>0</v>
      </c>
      <c r="H168" s="5">
        <v>0</v>
      </c>
      <c r="I168" s="5">
        <v>0</v>
      </c>
      <c r="J168" s="9">
        <v>0</v>
      </c>
      <c r="K168" s="8">
        <v>0</v>
      </c>
      <c r="L168" s="5">
        <v>0</v>
      </c>
      <c r="M168" s="5">
        <v>0</v>
      </c>
      <c r="N168" s="9">
        <v>0</v>
      </c>
      <c r="O168" s="8">
        <v>4</v>
      </c>
      <c r="P168" s="5">
        <v>21</v>
      </c>
      <c r="Q168" s="5">
        <v>0</v>
      </c>
      <c r="R168" s="9">
        <v>0</v>
      </c>
      <c r="S168" s="8">
        <v>0</v>
      </c>
      <c r="T168" s="9">
        <v>0</v>
      </c>
    </row>
    <row r="169" spans="1:20" x14ac:dyDescent="0.2">
      <c r="A169" s="5" t="s">
        <v>222</v>
      </c>
      <c r="B169" s="18" t="s">
        <v>162</v>
      </c>
      <c r="C169" s="6" t="s">
        <v>406</v>
      </c>
      <c r="D169" s="7">
        <f t="shared" si="0"/>
        <v>6</v>
      </c>
      <c r="E169" s="8">
        <v>0</v>
      </c>
      <c r="F169" s="5">
        <v>0</v>
      </c>
      <c r="G169" s="5">
        <v>0</v>
      </c>
      <c r="H169" s="5">
        <v>0</v>
      </c>
      <c r="I169" s="5">
        <v>0</v>
      </c>
      <c r="J169" s="9">
        <v>0</v>
      </c>
      <c r="K169" s="8">
        <v>1</v>
      </c>
      <c r="L169" s="5">
        <v>4</v>
      </c>
      <c r="M169" s="5">
        <v>0</v>
      </c>
      <c r="N169" s="9">
        <v>0</v>
      </c>
      <c r="O169" s="8">
        <v>1</v>
      </c>
      <c r="P169" s="5">
        <v>46</v>
      </c>
      <c r="Q169" s="5">
        <v>0</v>
      </c>
      <c r="R169" s="9">
        <v>0</v>
      </c>
      <c r="S169" s="8">
        <v>0</v>
      </c>
      <c r="T169" s="9">
        <v>0</v>
      </c>
    </row>
    <row r="170" spans="1:20" x14ac:dyDescent="0.2">
      <c r="A170" s="5" t="s">
        <v>300</v>
      </c>
      <c r="B170" s="5" t="s">
        <v>69</v>
      </c>
      <c r="C170" s="8" t="s">
        <v>410</v>
      </c>
      <c r="D170" s="7">
        <f t="shared" si="0"/>
        <v>6</v>
      </c>
      <c r="E170" s="8">
        <v>0</v>
      </c>
      <c r="F170" s="5">
        <v>0</v>
      </c>
      <c r="G170" s="5">
        <v>0</v>
      </c>
      <c r="H170" s="5">
        <v>0</v>
      </c>
      <c r="I170" s="5">
        <v>0</v>
      </c>
      <c r="J170" s="9">
        <v>0</v>
      </c>
      <c r="K170" s="8">
        <v>0</v>
      </c>
      <c r="L170" s="5">
        <v>0</v>
      </c>
      <c r="M170" s="5">
        <v>0</v>
      </c>
      <c r="N170" s="9">
        <v>0</v>
      </c>
      <c r="O170" s="8">
        <v>4</v>
      </c>
      <c r="P170" s="5">
        <v>20</v>
      </c>
      <c r="Q170" s="5">
        <v>0</v>
      </c>
      <c r="R170" s="9">
        <v>0</v>
      </c>
      <c r="S170" s="8">
        <v>0</v>
      </c>
      <c r="T170" s="9">
        <v>0</v>
      </c>
    </row>
    <row r="171" spans="1:20" x14ac:dyDescent="0.2">
      <c r="A171" s="5" t="s">
        <v>107</v>
      </c>
      <c r="B171" s="5" t="s">
        <v>75</v>
      </c>
      <c r="C171" s="8" t="s">
        <v>418</v>
      </c>
      <c r="D171" s="7">
        <f t="shared" si="0"/>
        <v>5.9</v>
      </c>
      <c r="E171" s="8">
        <v>0</v>
      </c>
      <c r="F171" s="5">
        <v>0</v>
      </c>
      <c r="G171" s="5">
        <v>0</v>
      </c>
      <c r="H171" s="5">
        <v>0</v>
      </c>
      <c r="I171" s="5">
        <v>0</v>
      </c>
      <c r="J171" s="9">
        <v>0</v>
      </c>
      <c r="K171" s="8">
        <v>8</v>
      </c>
      <c r="L171" s="5">
        <v>18</v>
      </c>
      <c r="M171" s="5">
        <v>0</v>
      </c>
      <c r="N171" s="9">
        <v>0</v>
      </c>
      <c r="O171" s="8">
        <v>3</v>
      </c>
      <c r="P171" s="5">
        <v>11</v>
      </c>
      <c r="Q171" s="5">
        <v>0</v>
      </c>
      <c r="R171" s="9">
        <v>0</v>
      </c>
      <c r="S171" s="8">
        <v>0</v>
      </c>
      <c r="T171" s="9">
        <v>0</v>
      </c>
    </row>
    <row r="172" spans="1:20" x14ac:dyDescent="0.2">
      <c r="A172" s="5" t="s">
        <v>140</v>
      </c>
      <c r="B172" s="5" t="s">
        <v>75</v>
      </c>
      <c r="C172" s="6" t="s">
        <v>411</v>
      </c>
      <c r="D172" s="7">
        <f t="shared" si="0"/>
        <v>5.9</v>
      </c>
      <c r="E172" s="8">
        <v>0</v>
      </c>
      <c r="F172" s="5">
        <v>0</v>
      </c>
      <c r="G172" s="5">
        <v>0</v>
      </c>
      <c r="H172" s="5">
        <v>0</v>
      </c>
      <c r="I172" s="5">
        <v>0</v>
      </c>
      <c r="J172" s="9">
        <v>0</v>
      </c>
      <c r="K172" s="8">
        <v>3</v>
      </c>
      <c r="L172" s="5">
        <v>6</v>
      </c>
      <c r="M172" s="5">
        <v>0</v>
      </c>
      <c r="N172" s="9">
        <v>0</v>
      </c>
      <c r="O172" s="8">
        <v>3</v>
      </c>
      <c r="P172" s="5">
        <v>23</v>
      </c>
      <c r="Q172" s="5">
        <v>0</v>
      </c>
      <c r="R172" s="9">
        <v>0</v>
      </c>
      <c r="S172" s="8">
        <v>0</v>
      </c>
      <c r="T172" s="9">
        <v>0</v>
      </c>
    </row>
    <row r="173" spans="1:20" x14ac:dyDescent="0.2">
      <c r="A173" s="5" t="s">
        <v>97</v>
      </c>
      <c r="B173" s="5" t="s">
        <v>75</v>
      </c>
      <c r="C173" s="6" t="s">
        <v>414</v>
      </c>
      <c r="D173" s="7">
        <f t="shared" si="0"/>
        <v>5.8</v>
      </c>
      <c r="E173" s="8">
        <v>0</v>
      </c>
      <c r="F173" s="5">
        <v>0</v>
      </c>
      <c r="G173" s="5">
        <v>0</v>
      </c>
      <c r="H173" s="5">
        <v>0</v>
      </c>
      <c r="I173" s="5">
        <v>0</v>
      </c>
      <c r="J173" s="9">
        <v>0</v>
      </c>
      <c r="K173" s="8">
        <v>14</v>
      </c>
      <c r="L173" s="5">
        <v>43</v>
      </c>
      <c r="M173" s="5">
        <v>0</v>
      </c>
      <c r="N173" s="9">
        <v>0</v>
      </c>
      <c r="O173" s="8">
        <v>1</v>
      </c>
      <c r="P173" s="5">
        <v>5</v>
      </c>
      <c r="Q173" s="5">
        <v>0</v>
      </c>
      <c r="R173" s="9">
        <v>0</v>
      </c>
      <c r="S173" s="8">
        <v>0</v>
      </c>
      <c r="T173" s="9">
        <v>0</v>
      </c>
    </row>
    <row r="174" spans="1:20" x14ac:dyDescent="0.2">
      <c r="A174" s="5" t="s">
        <v>131</v>
      </c>
      <c r="B174" s="5" t="s">
        <v>75</v>
      </c>
      <c r="C174" s="6" t="s">
        <v>409</v>
      </c>
      <c r="D174" s="7">
        <f t="shared" si="0"/>
        <v>5.6</v>
      </c>
      <c r="E174" s="8">
        <v>0</v>
      </c>
      <c r="F174" s="5">
        <v>0</v>
      </c>
      <c r="G174" s="5">
        <v>0</v>
      </c>
      <c r="H174" s="5">
        <v>0</v>
      </c>
      <c r="I174" s="5">
        <v>0</v>
      </c>
      <c r="J174" s="9">
        <v>0</v>
      </c>
      <c r="K174" s="8">
        <v>4</v>
      </c>
      <c r="L174" s="5">
        <v>5</v>
      </c>
      <c r="M174" s="5">
        <v>0</v>
      </c>
      <c r="N174" s="9">
        <v>0</v>
      </c>
      <c r="O174" s="8">
        <v>2</v>
      </c>
      <c r="P174" s="5">
        <v>31</v>
      </c>
      <c r="Q174" s="5">
        <v>0</v>
      </c>
      <c r="R174" s="9">
        <v>0</v>
      </c>
      <c r="S174" s="8">
        <v>0</v>
      </c>
      <c r="T174" s="9">
        <v>0</v>
      </c>
    </row>
    <row r="175" spans="1:20" x14ac:dyDescent="0.2">
      <c r="A175" s="5" t="s">
        <v>316</v>
      </c>
      <c r="B175" s="5" t="s">
        <v>69</v>
      </c>
      <c r="C175" s="8" t="s">
        <v>418</v>
      </c>
      <c r="D175" s="7">
        <f t="shared" si="0"/>
        <v>5.6</v>
      </c>
      <c r="E175" s="8">
        <v>0</v>
      </c>
      <c r="F175" s="5">
        <v>0</v>
      </c>
      <c r="G175" s="5">
        <v>0</v>
      </c>
      <c r="H175" s="5">
        <v>0</v>
      </c>
      <c r="I175" s="5">
        <v>0</v>
      </c>
      <c r="J175" s="9">
        <v>0</v>
      </c>
      <c r="K175" s="8">
        <v>0</v>
      </c>
      <c r="L175" s="5">
        <v>0</v>
      </c>
      <c r="M175" s="5">
        <v>0</v>
      </c>
      <c r="N175" s="9">
        <v>0</v>
      </c>
      <c r="O175" s="8">
        <v>3</v>
      </c>
      <c r="P175" s="5">
        <v>26</v>
      </c>
      <c r="Q175" s="5">
        <v>0</v>
      </c>
      <c r="R175" s="9">
        <v>0</v>
      </c>
      <c r="S175" s="8">
        <v>0</v>
      </c>
      <c r="T175" s="9">
        <v>0</v>
      </c>
    </row>
    <row r="176" spans="1:20" x14ac:dyDescent="0.2">
      <c r="A176" s="5" t="s">
        <v>144</v>
      </c>
      <c r="B176" s="5" t="s">
        <v>75</v>
      </c>
      <c r="C176" s="8" t="s">
        <v>404</v>
      </c>
      <c r="D176" s="7">
        <f t="shared" si="0"/>
        <v>5.5000000000000009</v>
      </c>
      <c r="E176" s="8">
        <v>0</v>
      </c>
      <c r="F176" s="5">
        <v>0</v>
      </c>
      <c r="G176" s="5">
        <v>0</v>
      </c>
      <c r="H176" s="5">
        <v>0</v>
      </c>
      <c r="I176" s="5">
        <v>0</v>
      </c>
      <c r="J176" s="9">
        <v>0</v>
      </c>
      <c r="K176" s="8">
        <v>9</v>
      </c>
      <c r="L176" s="5">
        <v>46</v>
      </c>
      <c r="M176" s="5">
        <v>0</v>
      </c>
      <c r="N176" s="9">
        <v>0</v>
      </c>
      <c r="O176" s="8">
        <v>1</v>
      </c>
      <c r="P176" s="5">
        <v>-1</v>
      </c>
      <c r="Q176" s="5">
        <v>0</v>
      </c>
      <c r="R176" s="9">
        <v>0</v>
      </c>
      <c r="S176" s="8">
        <v>0</v>
      </c>
      <c r="T176" s="9">
        <v>0</v>
      </c>
    </row>
    <row r="177" spans="1:20" x14ac:dyDescent="0.2">
      <c r="A177" s="5" t="s">
        <v>428</v>
      </c>
      <c r="B177" s="5" t="s">
        <v>75</v>
      </c>
      <c r="C177" s="8" t="s">
        <v>410</v>
      </c>
      <c r="D177" s="7">
        <f t="shared" si="0"/>
        <v>5.5</v>
      </c>
      <c r="E177" s="8">
        <v>0</v>
      </c>
      <c r="F177" s="5">
        <v>0</v>
      </c>
      <c r="G177" s="5">
        <v>0</v>
      </c>
      <c r="H177" s="5">
        <v>0</v>
      </c>
      <c r="I177" s="5">
        <v>0</v>
      </c>
      <c r="J177" s="9">
        <v>0</v>
      </c>
      <c r="K177" s="8">
        <v>5</v>
      </c>
      <c r="L177" s="5">
        <v>13</v>
      </c>
      <c r="M177" s="5">
        <v>0</v>
      </c>
      <c r="N177" s="9">
        <v>0</v>
      </c>
      <c r="O177" s="8">
        <v>2</v>
      </c>
      <c r="P177" s="5">
        <v>22</v>
      </c>
      <c r="Q177" s="5">
        <v>0</v>
      </c>
      <c r="R177" s="9">
        <v>0</v>
      </c>
      <c r="S177" s="8">
        <v>0</v>
      </c>
      <c r="T177" s="9">
        <v>0</v>
      </c>
    </row>
    <row r="178" spans="1:20" x14ac:dyDescent="0.2">
      <c r="A178" s="5" t="s">
        <v>183</v>
      </c>
      <c r="B178" s="18" t="s">
        <v>162</v>
      </c>
      <c r="C178" s="6" t="s">
        <v>408</v>
      </c>
      <c r="D178" s="7">
        <f t="shared" si="0"/>
        <v>5.4</v>
      </c>
      <c r="E178" s="8">
        <v>0</v>
      </c>
      <c r="F178" s="5">
        <v>0</v>
      </c>
      <c r="G178" s="5">
        <v>0</v>
      </c>
      <c r="H178" s="5">
        <v>0</v>
      </c>
      <c r="I178" s="5">
        <v>0</v>
      </c>
      <c r="J178" s="9">
        <v>0</v>
      </c>
      <c r="K178" s="8">
        <v>0</v>
      </c>
      <c r="L178" s="5">
        <v>0</v>
      </c>
      <c r="M178" s="5">
        <v>0</v>
      </c>
      <c r="N178" s="9">
        <v>0</v>
      </c>
      <c r="O178" s="8">
        <v>2</v>
      </c>
      <c r="P178" s="5">
        <v>34</v>
      </c>
      <c r="Q178" s="5">
        <v>0</v>
      </c>
      <c r="R178" s="9">
        <v>0</v>
      </c>
      <c r="S178" s="8">
        <v>0</v>
      </c>
      <c r="T178" s="9">
        <v>0</v>
      </c>
    </row>
    <row r="179" spans="1:20" x14ac:dyDescent="0.2">
      <c r="A179" s="5" t="s">
        <v>212</v>
      </c>
      <c r="B179" s="18" t="s">
        <v>162</v>
      </c>
      <c r="C179" s="8" t="s">
        <v>401</v>
      </c>
      <c r="D179" s="7">
        <f t="shared" si="0"/>
        <v>5.3000000000000007</v>
      </c>
      <c r="E179" s="8">
        <v>0</v>
      </c>
      <c r="F179" s="5">
        <v>0</v>
      </c>
      <c r="G179" s="5">
        <v>0</v>
      </c>
      <c r="H179" s="5">
        <v>0</v>
      </c>
      <c r="I179" s="5">
        <v>0</v>
      </c>
      <c r="J179" s="9">
        <v>0</v>
      </c>
      <c r="K179" s="8">
        <v>0</v>
      </c>
      <c r="L179" s="5">
        <v>0</v>
      </c>
      <c r="M179" s="5">
        <v>0</v>
      </c>
      <c r="N179" s="9">
        <v>0</v>
      </c>
      <c r="O179" s="8">
        <v>2</v>
      </c>
      <c r="P179" s="5">
        <v>33</v>
      </c>
      <c r="Q179" s="5">
        <v>0</v>
      </c>
      <c r="R179" s="9">
        <v>0</v>
      </c>
      <c r="S179" s="8">
        <v>0</v>
      </c>
      <c r="T179" s="9">
        <v>0</v>
      </c>
    </row>
    <row r="180" spans="1:20" x14ac:dyDescent="0.2">
      <c r="A180" s="5" t="s">
        <v>116</v>
      </c>
      <c r="B180" s="5" t="s">
        <v>75</v>
      </c>
      <c r="C180" s="8" t="s">
        <v>405</v>
      </c>
      <c r="D180" s="7">
        <f t="shared" si="0"/>
        <v>5.1000000000000005</v>
      </c>
      <c r="E180" s="8">
        <v>0</v>
      </c>
      <c r="F180" s="5">
        <v>0</v>
      </c>
      <c r="G180" s="5">
        <v>0</v>
      </c>
      <c r="H180" s="5">
        <v>0</v>
      </c>
      <c r="I180" s="5">
        <v>0</v>
      </c>
      <c r="J180" s="9">
        <v>0</v>
      </c>
      <c r="K180" s="8">
        <v>11</v>
      </c>
      <c r="L180" s="5">
        <v>51</v>
      </c>
      <c r="M180" s="5">
        <v>0</v>
      </c>
      <c r="N180" s="9">
        <v>0</v>
      </c>
      <c r="O180" s="8">
        <v>0</v>
      </c>
      <c r="P180" s="5">
        <v>0</v>
      </c>
      <c r="Q180" s="5">
        <v>0</v>
      </c>
      <c r="R180" s="9">
        <v>0</v>
      </c>
      <c r="S180" s="8">
        <v>0</v>
      </c>
      <c r="T180" s="9">
        <v>0</v>
      </c>
    </row>
    <row r="181" spans="1:20" x14ac:dyDescent="0.2">
      <c r="A181" s="5" t="s">
        <v>353</v>
      </c>
      <c r="B181" s="18" t="s">
        <v>162</v>
      </c>
      <c r="C181" s="8" t="s">
        <v>409</v>
      </c>
      <c r="D181" s="7">
        <f t="shared" si="0"/>
        <v>5.0999999999999996</v>
      </c>
      <c r="E181" s="8">
        <v>0</v>
      </c>
      <c r="F181" s="5">
        <v>0</v>
      </c>
      <c r="G181" s="5">
        <v>0</v>
      </c>
      <c r="H181" s="5">
        <v>0</v>
      </c>
      <c r="I181" s="5">
        <v>0</v>
      </c>
      <c r="J181" s="9">
        <v>0</v>
      </c>
      <c r="K181" s="8">
        <v>0</v>
      </c>
      <c r="L181" s="5">
        <v>0</v>
      </c>
      <c r="M181" s="5">
        <v>0</v>
      </c>
      <c r="N181" s="9">
        <v>0</v>
      </c>
      <c r="O181" s="8">
        <v>2</v>
      </c>
      <c r="P181" s="5">
        <v>31</v>
      </c>
      <c r="Q181" s="5">
        <v>0</v>
      </c>
      <c r="R181" s="9">
        <v>0</v>
      </c>
      <c r="S181" s="8">
        <v>0</v>
      </c>
      <c r="T181" s="9">
        <v>0</v>
      </c>
    </row>
    <row r="182" spans="1:20" x14ac:dyDescent="0.2">
      <c r="A182" s="5" t="s">
        <v>339</v>
      </c>
      <c r="B182" s="18" t="s">
        <v>162</v>
      </c>
      <c r="C182" s="6" t="s">
        <v>413</v>
      </c>
      <c r="D182" s="7">
        <f t="shared" si="0"/>
        <v>5.0999999999999996</v>
      </c>
      <c r="E182" s="8">
        <v>0</v>
      </c>
      <c r="F182" s="5">
        <v>0</v>
      </c>
      <c r="G182" s="5">
        <v>0</v>
      </c>
      <c r="H182" s="5">
        <v>0</v>
      </c>
      <c r="I182" s="5">
        <v>0</v>
      </c>
      <c r="J182" s="9">
        <v>0</v>
      </c>
      <c r="K182" s="8">
        <v>0</v>
      </c>
      <c r="L182" s="5">
        <v>0</v>
      </c>
      <c r="M182" s="5">
        <v>0</v>
      </c>
      <c r="N182" s="9">
        <v>0</v>
      </c>
      <c r="O182" s="8">
        <v>2</v>
      </c>
      <c r="P182" s="5">
        <v>31</v>
      </c>
      <c r="Q182" s="5">
        <v>0</v>
      </c>
      <c r="R182" s="9">
        <v>0</v>
      </c>
      <c r="S182" s="8">
        <v>0</v>
      </c>
      <c r="T182" s="9">
        <v>0</v>
      </c>
    </row>
    <row r="183" spans="1:20" x14ac:dyDescent="0.2">
      <c r="A183" s="5" t="s">
        <v>242</v>
      </c>
      <c r="B183" s="18" t="s">
        <v>162</v>
      </c>
      <c r="C183" s="6" t="s">
        <v>404</v>
      </c>
      <c r="D183" s="7">
        <f t="shared" si="0"/>
        <v>5.0999999999999996</v>
      </c>
      <c r="E183" s="8">
        <v>0</v>
      </c>
      <c r="F183" s="5">
        <v>0</v>
      </c>
      <c r="G183" s="5">
        <v>0</v>
      </c>
      <c r="H183" s="5">
        <v>0</v>
      </c>
      <c r="I183" s="5">
        <v>0</v>
      </c>
      <c r="J183" s="9">
        <v>0</v>
      </c>
      <c r="K183" s="8">
        <v>0</v>
      </c>
      <c r="L183" s="5">
        <v>0</v>
      </c>
      <c r="M183" s="5">
        <v>0</v>
      </c>
      <c r="N183" s="9">
        <v>0</v>
      </c>
      <c r="O183" s="8">
        <v>3</v>
      </c>
      <c r="P183" s="5">
        <v>21</v>
      </c>
      <c r="Q183" s="5">
        <v>0</v>
      </c>
      <c r="R183" s="9">
        <v>0</v>
      </c>
      <c r="S183" s="8">
        <v>0</v>
      </c>
      <c r="T183" s="9">
        <v>0</v>
      </c>
    </row>
    <row r="184" spans="1:20" x14ac:dyDescent="0.2">
      <c r="A184" s="5" t="s">
        <v>429</v>
      </c>
      <c r="B184" s="5" t="s">
        <v>69</v>
      </c>
      <c r="C184" s="8" t="s">
        <v>406</v>
      </c>
      <c r="D184" s="7">
        <f t="shared" si="0"/>
        <v>5</v>
      </c>
      <c r="E184" s="8">
        <v>0</v>
      </c>
      <c r="F184" s="5">
        <v>0</v>
      </c>
      <c r="G184" s="5">
        <v>0</v>
      </c>
      <c r="H184" s="5">
        <v>0</v>
      </c>
      <c r="I184" s="5">
        <v>0</v>
      </c>
      <c r="J184" s="9">
        <v>0</v>
      </c>
      <c r="K184" s="8">
        <v>0</v>
      </c>
      <c r="L184" s="5">
        <v>0</v>
      </c>
      <c r="M184" s="5">
        <v>0</v>
      </c>
      <c r="N184" s="9">
        <v>0</v>
      </c>
      <c r="O184" s="8">
        <v>2</v>
      </c>
      <c r="P184" s="5">
        <v>30</v>
      </c>
      <c r="Q184" s="5">
        <v>0</v>
      </c>
      <c r="R184" s="9">
        <v>0</v>
      </c>
      <c r="S184" s="8">
        <v>0</v>
      </c>
      <c r="T184" s="9">
        <v>0</v>
      </c>
    </row>
    <row r="185" spans="1:20" x14ac:dyDescent="0.2">
      <c r="A185" s="5" t="s">
        <v>294</v>
      </c>
      <c r="B185" s="5" t="s">
        <v>69</v>
      </c>
      <c r="C185" s="6" t="s">
        <v>409</v>
      </c>
      <c r="D185" s="7">
        <f t="shared" si="0"/>
        <v>5</v>
      </c>
      <c r="E185" s="8">
        <v>0</v>
      </c>
      <c r="F185" s="5">
        <v>0</v>
      </c>
      <c r="G185" s="5">
        <v>0</v>
      </c>
      <c r="H185" s="5">
        <v>0</v>
      </c>
      <c r="I185" s="5">
        <v>0</v>
      </c>
      <c r="J185" s="9">
        <v>0</v>
      </c>
      <c r="K185" s="8">
        <v>0</v>
      </c>
      <c r="L185" s="5">
        <v>0</v>
      </c>
      <c r="M185" s="5">
        <v>0</v>
      </c>
      <c r="N185" s="9">
        <v>0</v>
      </c>
      <c r="O185" s="8">
        <v>3</v>
      </c>
      <c r="P185" s="5">
        <v>20</v>
      </c>
      <c r="Q185" s="5">
        <v>0</v>
      </c>
      <c r="R185" s="9">
        <v>0</v>
      </c>
      <c r="S185" s="8">
        <v>0</v>
      </c>
      <c r="T185" s="9">
        <v>0</v>
      </c>
    </row>
    <row r="186" spans="1:20" x14ac:dyDescent="0.2">
      <c r="A186" s="5" t="s">
        <v>78</v>
      </c>
      <c r="B186" s="5" t="s">
        <v>75</v>
      </c>
      <c r="C186" s="6" t="s">
        <v>413</v>
      </c>
      <c r="D186" s="7">
        <f t="shared" si="0"/>
        <v>4.9000000000000004</v>
      </c>
      <c r="E186" s="8">
        <v>0</v>
      </c>
      <c r="F186" s="5">
        <v>0</v>
      </c>
      <c r="G186" s="5">
        <v>0</v>
      </c>
      <c r="H186" s="5">
        <v>0</v>
      </c>
      <c r="I186" s="5">
        <v>0</v>
      </c>
      <c r="J186" s="9">
        <v>0</v>
      </c>
      <c r="K186" s="8">
        <v>7</v>
      </c>
      <c r="L186" s="5">
        <v>12</v>
      </c>
      <c r="M186" s="5">
        <v>0</v>
      </c>
      <c r="N186" s="9">
        <v>0</v>
      </c>
      <c r="O186" s="8">
        <v>2</v>
      </c>
      <c r="P186" s="5">
        <v>17</v>
      </c>
      <c r="Q186" s="5">
        <v>0</v>
      </c>
      <c r="R186" s="9">
        <v>0</v>
      </c>
      <c r="S186" s="8">
        <v>0</v>
      </c>
      <c r="T186" s="9">
        <v>0</v>
      </c>
    </row>
    <row r="187" spans="1:20" x14ac:dyDescent="0.2">
      <c r="A187" s="5" t="s">
        <v>129</v>
      </c>
      <c r="B187" s="5" t="s">
        <v>75</v>
      </c>
      <c r="C187" s="6" t="s">
        <v>410</v>
      </c>
      <c r="D187" s="7">
        <f t="shared" si="0"/>
        <v>4.8999999999999995</v>
      </c>
      <c r="E187" s="8">
        <v>0</v>
      </c>
      <c r="F187" s="5">
        <v>0</v>
      </c>
      <c r="G187" s="5">
        <v>0</v>
      </c>
      <c r="H187" s="5">
        <v>0</v>
      </c>
      <c r="I187" s="5">
        <v>0</v>
      </c>
      <c r="J187" s="9">
        <v>0</v>
      </c>
      <c r="K187" s="8">
        <v>4</v>
      </c>
      <c r="L187" s="5">
        <v>6</v>
      </c>
      <c r="M187" s="5">
        <v>0</v>
      </c>
      <c r="N187" s="9">
        <v>0</v>
      </c>
      <c r="O187" s="8">
        <v>4</v>
      </c>
      <c r="P187" s="5">
        <v>3</v>
      </c>
      <c r="Q187" s="5">
        <v>0</v>
      </c>
      <c r="R187" s="9">
        <v>0</v>
      </c>
      <c r="S187" s="8">
        <v>0</v>
      </c>
      <c r="T187" s="9">
        <v>0</v>
      </c>
    </row>
    <row r="188" spans="1:20" x14ac:dyDescent="0.2">
      <c r="A188" s="5" t="s">
        <v>226</v>
      </c>
      <c r="B188" s="18" t="s">
        <v>162</v>
      </c>
      <c r="C188" s="8" t="s">
        <v>407</v>
      </c>
      <c r="D188" s="7">
        <f t="shared" si="0"/>
        <v>4.7</v>
      </c>
      <c r="E188" s="8">
        <v>0</v>
      </c>
      <c r="F188" s="5">
        <v>0</v>
      </c>
      <c r="G188" s="5">
        <v>0</v>
      </c>
      <c r="H188" s="5">
        <v>0</v>
      </c>
      <c r="I188" s="5">
        <v>0</v>
      </c>
      <c r="J188" s="9">
        <v>0</v>
      </c>
      <c r="K188" s="8">
        <v>0</v>
      </c>
      <c r="L188" s="5">
        <v>0</v>
      </c>
      <c r="M188" s="5">
        <v>0</v>
      </c>
      <c r="N188" s="9">
        <v>0</v>
      </c>
      <c r="O188" s="8">
        <v>1</v>
      </c>
      <c r="P188" s="5">
        <v>37</v>
      </c>
      <c r="Q188" s="5">
        <v>0</v>
      </c>
      <c r="R188" s="9">
        <v>0</v>
      </c>
      <c r="S188" s="8">
        <v>0</v>
      </c>
      <c r="T188" s="9">
        <v>0</v>
      </c>
    </row>
    <row r="189" spans="1:20" x14ac:dyDescent="0.2">
      <c r="A189" s="5" t="s">
        <v>430</v>
      </c>
      <c r="B189" s="5" t="s">
        <v>75</v>
      </c>
      <c r="C189" s="6" t="s">
        <v>411</v>
      </c>
      <c r="D189" s="7">
        <f t="shared" si="0"/>
        <v>4.4000000000000004</v>
      </c>
      <c r="E189" s="8">
        <v>0</v>
      </c>
      <c r="F189" s="5">
        <v>0</v>
      </c>
      <c r="G189" s="5">
        <v>0</v>
      </c>
      <c r="H189" s="5">
        <v>0</v>
      </c>
      <c r="I189" s="5">
        <v>0</v>
      </c>
      <c r="J189" s="9">
        <v>0</v>
      </c>
      <c r="K189" s="8">
        <v>9</v>
      </c>
      <c r="L189" s="5">
        <v>34</v>
      </c>
      <c r="M189" s="5">
        <v>0</v>
      </c>
      <c r="N189" s="9">
        <v>0</v>
      </c>
      <c r="O189" s="8">
        <v>1</v>
      </c>
      <c r="P189" s="5">
        <v>0</v>
      </c>
      <c r="Q189" s="5">
        <v>0</v>
      </c>
      <c r="R189" s="9">
        <v>0</v>
      </c>
      <c r="S189" s="8">
        <v>0</v>
      </c>
      <c r="T189" s="9">
        <v>0</v>
      </c>
    </row>
    <row r="190" spans="1:20" x14ac:dyDescent="0.2">
      <c r="A190" s="5" t="s">
        <v>98</v>
      </c>
      <c r="B190" s="5" t="s">
        <v>75</v>
      </c>
      <c r="C190" s="6" t="s">
        <v>401</v>
      </c>
      <c r="D190" s="7">
        <f t="shared" si="0"/>
        <v>4.4000000000000004</v>
      </c>
      <c r="E190" s="8">
        <v>0</v>
      </c>
      <c r="F190" s="5">
        <v>0</v>
      </c>
      <c r="G190" s="5">
        <v>0</v>
      </c>
      <c r="H190" s="5">
        <v>0</v>
      </c>
      <c r="I190" s="5">
        <v>0</v>
      </c>
      <c r="J190" s="9">
        <v>0</v>
      </c>
      <c r="K190" s="8">
        <v>3</v>
      </c>
      <c r="L190" s="5">
        <v>9</v>
      </c>
      <c r="M190" s="5">
        <v>0</v>
      </c>
      <c r="N190" s="9">
        <v>0</v>
      </c>
      <c r="O190" s="8">
        <v>2</v>
      </c>
      <c r="P190" s="5">
        <v>15</v>
      </c>
      <c r="Q190" s="5">
        <v>0</v>
      </c>
      <c r="R190" s="9">
        <v>0</v>
      </c>
      <c r="S190" s="8">
        <v>0</v>
      </c>
      <c r="T190" s="9">
        <v>0</v>
      </c>
    </row>
    <row r="191" spans="1:20" x14ac:dyDescent="0.2">
      <c r="A191" s="5" t="s">
        <v>277</v>
      </c>
      <c r="B191" s="5" t="s">
        <v>69</v>
      </c>
      <c r="C191" s="6" t="s">
        <v>407</v>
      </c>
      <c r="D191" s="7">
        <f t="shared" si="0"/>
        <v>4.2</v>
      </c>
      <c r="E191" s="8">
        <v>0</v>
      </c>
      <c r="F191" s="5">
        <v>0</v>
      </c>
      <c r="G191" s="5">
        <v>0</v>
      </c>
      <c r="H191" s="5">
        <v>0</v>
      </c>
      <c r="I191" s="5">
        <v>0</v>
      </c>
      <c r="J191" s="9">
        <v>0</v>
      </c>
      <c r="K191" s="8">
        <v>0</v>
      </c>
      <c r="L191" s="5">
        <v>0</v>
      </c>
      <c r="M191" s="5">
        <v>0</v>
      </c>
      <c r="N191" s="9">
        <v>0</v>
      </c>
      <c r="O191" s="8">
        <v>2</v>
      </c>
      <c r="P191" s="5">
        <v>22</v>
      </c>
      <c r="Q191" s="5">
        <v>0</v>
      </c>
      <c r="R191" s="9">
        <v>0</v>
      </c>
      <c r="S191" s="8">
        <v>0</v>
      </c>
      <c r="T191" s="9">
        <v>0</v>
      </c>
    </row>
    <row r="192" spans="1:20" x14ac:dyDescent="0.2">
      <c r="A192" s="5" t="s">
        <v>64</v>
      </c>
      <c r="B192" s="5" t="s">
        <v>17</v>
      </c>
      <c r="C192" s="6" t="s">
        <v>410</v>
      </c>
      <c r="D192" s="7">
        <f t="shared" si="0"/>
        <v>4.16</v>
      </c>
      <c r="E192" s="8">
        <v>25</v>
      </c>
      <c r="F192" s="5">
        <v>13</v>
      </c>
      <c r="G192" s="5">
        <v>104</v>
      </c>
      <c r="H192" s="5">
        <v>0</v>
      </c>
      <c r="I192" s="5">
        <v>0</v>
      </c>
      <c r="J192" s="9">
        <v>0</v>
      </c>
      <c r="K192" s="8">
        <v>0</v>
      </c>
      <c r="L192" s="5">
        <v>0</v>
      </c>
      <c r="M192" s="5">
        <v>0</v>
      </c>
      <c r="N192" s="9">
        <v>0</v>
      </c>
      <c r="O192" s="8">
        <v>0</v>
      </c>
      <c r="P192" s="5">
        <v>0</v>
      </c>
      <c r="Q192" s="5">
        <v>0</v>
      </c>
      <c r="R192" s="9">
        <v>0</v>
      </c>
      <c r="S192" s="8">
        <v>0</v>
      </c>
      <c r="T192" s="9">
        <v>0</v>
      </c>
    </row>
    <row r="193" spans="1:20" x14ac:dyDescent="0.2">
      <c r="A193" s="5" t="s">
        <v>132</v>
      </c>
      <c r="B193" s="5" t="s">
        <v>75</v>
      </c>
      <c r="C193" s="8" t="s">
        <v>402</v>
      </c>
      <c r="D193" s="7">
        <f t="shared" si="0"/>
        <v>4.1000000000000005</v>
      </c>
      <c r="E193" s="8">
        <v>0</v>
      </c>
      <c r="F193" s="5">
        <v>0</v>
      </c>
      <c r="G193" s="5">
        <v>0</v>
      </c>
      <c r="H193" s="5">
        <v>0</v>
      </c>
      <c r="I193" s="5">
        <v>0</v>
      </c>
      <c r="J193" s="9">
        <v>0</v>
      </c>
      <c r="K193" s="8">
        <v>3</v>
      </c>
      <c r="L193" s="5">
        <v>27</v>
      </c>
      <c r="M193" s="5">
        <v>0</v>
      </c>
      <c r="N193" s="9">
        <v>0</v>
      </c>
      <c r="O193" s="8">
        <v>1</v>
      </c>
      <c r="P193" s="5">
        <v>4</v>
      </c>
      <c r="Q193" s="5">
        <v>0</v>
      </c>
      <c r="R193" s="9">
        <v>0</v>
      </c>
      <c r="S193" s="8">
        <v>0</v>
      </c>
      <c r="T193" s="9">
        <v>0</v>
      </c>
    </row>
    <row r="194" spans="1:20" x14ac:dyDescent="0.2">
      <c r="A194" s="5" t="s">
        <v>203</v>
      </c>
      <c r="B194" s="18" t="s">
        <v>162</v>
      </c>
      <c r="C194" s="8" t="s">
        <v>415</v>
      </c>
      <c r="D194" s="7">
        <f t="shared" si="0"/>
        <v>4.0999999999999996</v>
      </c>
      <c r="E194" s="8">
        <v>0</v>
      </c>
      <c r="F194" s="5">
        <v>0</v>
      </c>
      <c r="G194" s="5">
        <v>0</v>
      </c>
      <c r="H194" s="5">
        <v>0</v>
      </c>
      <c r="I194" s="5">
        <v>0</v>
      </c>
      <c r="J194" s="9">
        <v>0</v>
      </c>
      <c r="K194" s="8">
        <v>0</v>
      </c>
      <c r="L194" s="5">
        <v>0</v>
      </c>
      <c r="M194" s="5">
        <v>0</v>
      </c>
      <c r="N194" s="9">
        <v>0</v>
      </c>
      <c r="O194" s="8">
        <v>2</v>
      </c>
      <c r="P194" s="5">
        <v>21</v>
      </c>
      <c r="Q194" s="5">
        <v>0</v>
      </c>
      <c r="R194" s="9">
        <v>0</v>
      </c>
      <c r="S194" s="8">
        <v>0</v>
      </c>
      <c r="T194" s="9">
        <v>0</v>
      </c>
    </row>
    <row r="195" spans="1:20" x14ac:dyDescent="0.2">
      <c r="A195" s="5" t="s">
        <v>326</v>
      </c>
      <c r="B195" s="18" t="s">
        <v>162</v>
      </c>
      <c r="C195" s="8" t="s">
        <v>406</v>
      </c>
      <c r="D195" s="7">
        <f t="shared" si="0"/>
        <v>4.0999999999999996</v>
      </c>
      <c r="E195" s="8">
        <v>0</v>
      </c>
      <c r="F195" s="5">
        <v>0</v>
      </c>
      <c r="G195" s="5">
        <v>0</v>
      </c>
      <c r="H195" s="5">
        <v>0</v>
      </c>
      <c r="I195" s="5">
        <v>0</v>
      </c>
      <c r="J195" s="9">
        <v>0</v>
      </c>
      <c r="K195" s="8">
        <v>0</v>
      </c>
      <c r="L195" s="5">
        <v>0</v>
      </c>
      <c r="M195" s="5">
        <v>0</v>
      </c>
      <c r="N195" s="9">
        <v>0</v>
      </c>
      <c r="O195" s="8">
        <v>2</v>
      </c>
      <c r="P195" s="5">
        <v>21</v>
      </c>
      <c r="Q195" s="5">
        <v>0</v>
      </c>
      <c r="R195" s="9">
        <v>0</v>
      </c>
      <c r="S195" s="8">
        <v>0</v>
      </c>
      <c r="T195" s="9">
        <v>0</v>
      </c>
    </row>
    <row r="196" spans="1:20" x14ac:dyDescent="0.2">
      <c r="A196" s="5" t="s">
        <v>431</v>
      </c>
      <c r="B196" s="5" t="s">
        <v>17</v>
      </c>
      <c r="C196" s="6" t="s">
        <v>411</v>
      </c>
      <c r="D196" s="7">
        <f t="shared" si="0"/>
        <v>4.04</v>
      </c>
      <c r="E196" s="8">
        <v>16</v>
      </c>
      <c r="F196" s="5">
        <v>10</v>
      </c>
      <c r="G196" s="5">
        <v>101</v>
      </c>
      <c r="H196" s="5">
        <v>0</v>
      </c>
      <c r="I196" s="5">
        <v>0</v>
      </c>
      <c r="J196" s="9">
        <v>0</v>
      </c>
      <c r="K196" s="8">
        <v>0</v>
      </c>
      <c r="L196" s="5">
        <v>0</v>
      </c>
      <c r="M196" s="5">
        <v>0</v>
      </c>
      <c r="N196" s="9">
        <v>0</v>
      </c>
      <c r="O196" s="8">
        <v>0</v>
      </c>
      <c r="P196" s="5">
        <v>0</v>
      </c>
      <c r="Q196" s="5">
        <v>0</v>
      </c>
      <c r="R196" s="9">
        <v>0</v>
      </c>
      <c r="S196" s="8">
        <v>0</v>
      </c>
      <c r="T196" s="9">
        <v>0</v>
      </c>
    </row>
    <row r="197" spans="1:20" x14ac:dyDescent="0.2">
      <c r="A197" s="5" t="s">
        <v>61</v>
      </c>
      <c r="B197" s="5" t="s">
        <v>17</v>
      </c>
      <c r="C197" s="6" t="s">
        <v>409</v>
      </c>
      <c r="D197" s="7">
        <f t="shared" si="0"/>
        <v>3.9800000000000004</v>
      </c>
      <c r="E197" s="8">
        <v>32</v>
      </c>
      <c r="F197" s="5">
        <v>22</v>
      </c>
      <c r="G197" s="5">
        <v>137</v>
      </c>
      <c r="H197" s="5">
        <v>0</v>
      </c>
      <c r="I197" s="5">
        <v>1</v>
      </c>
      <c r="J197" s="9">
        <v>0</v>
      </c>
      <c r="K197" s="8">
        <v>2</v>
      </c>
      <c r="L197" s="5">
        <v>5</v>
      </c>
      <c r="M197" s="5">
        <v>0</v>
      </c>
      <c r="N197" s="9">
        <v>0</v>
      </c>
      <c r="O197" s="8">
        <v>0</v>
      </c>
      <c r="P197" s="5">
        <v>0</v>
      </c>
      <c r="Q197" s="5">
        <v>0</v>
      </c>
      <c r="R197" s="9">
        <v>0</v>
      </c>
      <c r="S197" s="8">
        <v>0</v>
      </c>
      <c r="T197" s="9">
        <v>0</v>
      </c>
    </row>
    <row r="198" spans="1:20" x14ac:dyDescent="0.2">
      <c r="A198" s="5" t="s">
        <v>345</v>
      </c>
      <c r="B198" s="18" t="s">
        <v>162</v>
      </c>
      <c r="C198" s="6" t="s">
        <v>418</v>
      </c>
      <c r="D198" s="7">
        <f t="shared" si="0"/>
        <v>3.9000000000000004</v>
      </c>
      <c r="E198" s="8">
        <v>0</v>
      </c>
      <c r="F198" s="5">
        <v>0</v>
      </c>
      <c r="G198" s="5">
        <v>0</v>
      </c>
      <c r="H198" s="5">
        <v>0</v>
      </c>
      <c r="I198" s="5">
        <v>0</v>
      </c>
      <c r="J198" s="9">
        <v>0</v>
      </c>
      <c r="K198" s="8">
        <v>0</v>
      </c>
      <c r="L198" s="5">
        <v>0</v>
      </c>
      <c r="M198" s="5">
        <v>0</v>
      </c>
      <c r="N198" s="9">
        <v>0</v>
      </c>
      <c r="O198" s="8">
        <v>2</v>
      </c>
      <c r="P198" s="5">
        <v>19</v>
      </c>
      <c r="Q198" s="5">
        <v>0</v>
      </c>
      <c r="R198" s="9">
        <v>0</v>
      </c>
      <c r="S198" s="8">
        <v>0</v>
      </c>
      <c r="T198" s="9">
        <v>0</v>
      </c>
    </row>
    <row r="199" spans="1:20" x14ac:dyDescent="0.2">
      <c r="A199" s="5" t="s">
        <v>432</v>
      </c>
      <c r="B199" s="18" t="s">
        <v>162</v>
      </c>
      <c r="C199" s="6" t="s">
        <v>415</v>
      </c>
      <c r="D199" s="7">
        <f t="shared" si="0"/>
        <v>3.8</v>
      </c>
      <c r="E199" s="8">
        <v>0</v>
      </c>
      <c r="F199" s="5">
        <v>0</v>
      </c>
      <c r="G199" s="5">
        <v>0</v>
      </c>
      <c r="H199" s="5">
        <v>0</v>
      </c>
      <c r="I199" s="5">
        <v>0</v>
      </c>
      <c r="J199" s="9">
        <v>0</v>
      </c>
      <c r="K199" s="8">
        <v>0</v>
      </c>
      <c r="L199" s="5">
        <v>0</v>
      </c>
      <c r="M199" s="5">
        <v>0</v>
      </c>
      <c r="N199" s="9">
        <v>0</v>
      </c>
      <c r="O199" s="8">
        <v>2</v>
      </c>
      <c r="P199" s="5">
        <v>18</v>
      </c>
      <c r="Q199" s="5">
        <v>0</v>
      </c>
      <c r="R199" s="9">
        <v>0</v>
      </c>
      <c r="S199" s="8">
        <v>0</v>
      </c>
      <c r="T199" s="9">
        <v>0</v>
      </c>
    </row>
    <row r="200" spans="1:20" x14ac:dyDescent="0.2">
      <c r="A200" s="5" t="s">
        <v>233</v>
      </c>
      <c r="B200" s="18" t="s">
        <v>162</v>
      </c>
      <c r="C200" s="6" t="s">
        <v>416</v>
      </c>
      <c r="D200" s="7">
        <f t="shared" si="0"/>
        <v>3.7</v>
      </c>
      <c r="E200" s="8">
        <v>0</v>
      </c>
      <c r="F200" s="5">
        <v>0</v>
      </c>
      <c r="G200" s="5">
        <v>0</v>
      </c>
      <c r="H200" s="5">
        <v>0</v>
      </c>
      <c r="I200" s="5">
        <v>0</v>
      </c>
      <c r="J200" s="9">
        <v>0</v>
      </c>
      <c r="K200" s="8">
        <v>0</v>
      </c>
      <c r="L200" s="5">
        <v>0</v>
      </c>
      <c r="M200" s="5">
        <v>0</v>
      </c>
      <c r="N200" s="9">
        <v>0</v>
      </c>
      <c r="O200" s="8">
        <v>2</v>
      </c>
      <c r="P200" s="5">
        <v>17</v>
      </c>
      <c r="Q200" s="5">
        <v>0</v>
      </c>
      <c r="R200" s="9">
        <v>0</v>
      </c>
      <c r="S200" s="8">
        <v>0</v>
      </c>
      <c r="T200" s="9">
        <v>0</v>
      </c>
    </row>
    <row r="201" spans="1:20" x14ac:dyDescent="0.2">
      <c r="A201" s="5" t="s">
        <v>367</v>
      </c>
      <c r="B201" s="18" t="s">
        <v>162</v>
      </c>
      <c r="C201" s="8" t="s">
        <v>403</v>
      </c>
      <c r="D201" s="7">
        <f t="shared" si="0"/>
        <v>3.7</v>
      </c>
      <c r="E201" s="8">
        <v>0</v>
      </c>
      <c r="F201" s="5">
        <v>0</v>
      </c>
      <c r="G201" s="5">
        <v>0</v>
      </c>
      <c r="H201" s="5">
        <v>0</v>
      </c>
      <c r="I201" s="5">
        <v>0</v>
      </c>
      <c r="J201" s="9">
        <v>0</v>
      </c>
      <c r="K201" s="8">
        <v>0</v>
      </c>
      <c r="L201" s="5">
        <v>0</v>
      </c>
      <c r="M201" s="5">
        <v>0</v>
      </c>
      <c r="N201" s="9">
        <v>0</v>
      </c>
      <c r="O201" s="8">
        <v>2</v>
      </c>
      <c r="P201" s="5">
        <v>17</v>
      </c>
      <c r="Q201" s="5">
        <v>0</v>
      </c>
      <c r="R201" s="9">
        <v>0</v>
      </c>
      <c r="S201" s="8">
        <v>0</v>
      </c>
      <c r="T201" s="9">
        <v>0</v>
      </c>
    </row>
    <row r="202" spans="1:20" x14ac:dyDescent="0.2">
      <c r="A202" s="5" t="s">
        <v>271</v>
      </c>
      <c r="B202" s="5" t="s">
        <v>69</v>
      </c>
      <c r="C202" s="6" t="s">
        <v>418</v>
      </c>
      <c r="D202" s="7">
        <f t="shared" si="0"/>
        <v>3.7</v>
      </c>
      <c r="E202" s="8">
        <v>0</v>
      </c>
      <c r="F202" s="5">
        <v>0</v>
      </c>
      <c r="G202" s="5">
        <v>0</v>
      </c>
      <c r="H202" s="5">
        <v>0</v>
      </c>
      <c r="I202" s="5">
        <v>0</v>
      </c>
      <c r="J202" s="9">
        <v>0</v>
      </c>
      <c r="K202" s="8">
        <v>0</v>
      </c>
      <c r="L202" s="5">
        <v>0</v>
      </c>
      <c r="M202" s="5">
        <v>0</v>
      </c>
      <c r="N202" s="9">
        <v>0</v>
      </c>
      <c r="O202" s="8">
        <v>2</v>
      </c>
      <c r="P202" s="5">
        <v>17</v>
      </c>
      <c r="Q202" s="5">
        <v>0</v>
      </c>
      <c r="R202" s="9">
        <v>0</v>
      </c>
      <c r="S202" s="8">
        <v>0</v>
      </c>
      <c r="T202" s="9">
        <v>0</v>
      </c>
    </row>
    <row r="203" spans="1:20" x14ac:dyDescent="0.2">
      <c r="A203" s="5" t="s">
        <v>352</v>
      </c>
      <c r="B203" s="5" t="s">
        <v>69</v>
      </c>
      <c r="C203" s="6" t="s">
        <v>410</v>
      </c>
      <c r="D203" s="7">
        <f t="shared" si="0"/>
        <v>3.7</v>
      </c>
      <c r="E203" s="8">
        <v>0</v>
      </c>
      <c r="F203" s="5">
        <v>0</v>
      </c>
      <c r="G203" s="5">
        <v>0</v>
      </c>
      <c r="H203" s="5">
        <v>0</v>
      </c>
      <c r="I203" s="5">
        <v>0</v>
      </c>
      <c r="J203" s="9">
        <v>0</v>
      </c>
      <c r="K203" s="8">
        <v>0</v>
      </c>
      <c r="L203" s="5">
        <v>0</v>
      </c>
      <c r="M203" s="5">
        <v>0</v>
      </c>
      <c r="N203" s="9">
        <v>0</v>
      </c>
      <c r="O203" s="8">
        <v>3</v>
      </c>
      <c r="P203" s="5">
        <v>7</v>
      </c>
      <c r="Q203" s="5">
        <v>0</v>
      </c>
      <c r="R203" s="9">
        <v>0</v>
      </c>
      <c r="S203" s="8">
        <v>0</v>
      </c>
      <c r="T203" s="9">
        <v>0</v>
      </c>
    </row>
    <row r="204" spans="1:20" x14ac:dyDescent="0.2">
      <c r="A204" s="5" t="s">
        <v>85</v>
      </c>
      <c r="B204" s="5" t="s">
        <v>75</v>
      </c>
      <c r="C204" s="8" t="s">
        <v>418</v>
      </c>
      <c r="D204" s="7">
        <f t="shared" si="0"/>
        <v>3.6999999999999997</v>
      </c>
      <c r="E204" s="8">
        <v>0</v>
      </c>
      <c r="F204" s="5">
        <v>0</v>
      </c>
      <c r="G204" s="5">
        <v>0</v>
      </c>
      <c r="H204" s="5">
        <v>0</v>
      </c>
      <c r="I204" s="5">
        <v>0</v>
      </c>
      <c r="J204" s="9">
        <v>0</v>
      </c>
      <c r="K204" s="8">
        <v>12</v>
      </c>
      <c r="L204" s="5">
        <v>18</v>
      </c>
      <c r="M204" s="5">
        <v>0</v>
      </c>
      <c r="N204" s="9">
        <v>0</v>
      </c>
      <c r="O204" s="8">
        <v>1</v>
      </c>
      <c r="P204" s="5">
        <v>9</v>
      </c>
      <c r="Q204" s="5">
        <v>0</v>
      </c>
      <c r="R204" s="9">
        <v>0</v>
      </c>
      <c r="S204" s="8">
        <v>0</v>
      </c>
      <c r="T204" s="9">
        <v>0</v>
      </c>
    </row>
    <row r="205" spans="1:20" x14ac:dyDescent="0.2">
      <c r="A205" s="5" t="s">
        <v>380</v>
      </c>
      <c r="B205" s="5" t="s">
        <v>75</v>
      </c>
      <c r="C205" s="8" t="s">
        <v>403</v>
      </c>
      <c r="D205" s="7">
        <f t="shared" si="0"/>
        <v>3.6</v>
      </c>
      <c r="E205" s="8">
        <v>0</v>
      </c>
      <c r="F205" s="5">
        <v>0</v>
      </c>
      <c r="G205" s="5">
        <v>0</v>
      </c>
      <c r="H205" s="5">
        <v>0</v>
      </c>
      <c r="I205" s="5">
        <v>0</v>
      </c>
      <c r="J205" s="9">
        <v>0</v>
      </c>
      <c r="K205" s="8">
        <v>0</v>
      </c>
      <c r="L205" s="5">
        <v>0</v>
      </c>
      <c r="M205" s="5">
        <v>0</v>
      </c>
      <c r="N205" s="9">
        <v>0</v>
      </c>
      <c r="O205" s="8">
        <v>2</v>
      </c>
      <c r="P205" s="5">
        <v>16</v>
      </c>
      <c r="Q205" s="5">
        <v>0</v>
      </c>
      <c r="R205" s="9">
        <v>0</v>
      </c>
      <c r="S205" s="8">
        <v>0</v>
      </c>
      <c r="T205" s="9">
        <v>0</v>
      </c>
    </row>
    <row r="206" spans="1:20" x14ac:dyDescent="0.2">
      <c r="A206" s="5" t="s">
        <v>99</v>
      </c>
      <c r="B206" s="5" t="s">
        <v>75</v>
      </c>
      <c r="C206" s="6" t="s">
        <v>407</v>
      </c>
      <c r="D206" s="7">
        <f t="shared" si="0"/>
        <v>3.5</v>
      </c>
      <c r="E206" s="8">
        <v>0</v>
      </c>
      <c r="F206" s="5">
        <v>0</v>
      </c>
      <c r="G206" s="5">
        <v>0</v>
      </c>
      <c r="H206" s="5">
        <v>0</v>
      </c>
      <c r="I206" s="5">
        <v>0</v>
      </c>
      <c r="J206" s="9">
        <v>0</v>
      </c>
      <c r="K206" s="8">
        <v>7</v>
      </c>
      <c r="L206" s="5">
        <v>31</v>
      </c>
      <c r="M206" s="5">
        <v>0</v>
      </c>
      <c r="N206" s="9">
        <v>0</v>
      </c>
      <c r="O206" s="8">
        <v>2</v>
      </c>
      <c r="P206" s="5">
        <v>4</v>
      </c>
      <c r="Q206" s="5">
        <v>0</v>
      </c>
      <c r="R206" s="9">
        <v>0</v>
      </c>
      <c r="S206" s="8">
        <v>1</v>
      </c>
      <c r="T206" s="9">
        <v>0</v>
      </c>
    </row>
    <row r="207" spans="1:20" x14ac:dyDescent="0.2">
      <c r="A207" s="5" t="s">
        <v>145</v>
      </c>
      <c r="B207" s="5" t="s">
        <v>75</v>
      </c>
      <c r="C207" s="8" t="s">
        <v>415</v>
      </c>
      <c r="D207" s="7">
        <f t="shared" si="0"/>
        <v>3.4000000000000004</v>
      </c>
      <c r="E207" s="8">
        <v>0</v>
      </c>
      <c r="F207" s="5">
        <v>0</v>
      </c>
      <c r="G207" s="5">
        <v>0</v>
      </c>
      <c r="H207" s="5">
        <v>0</v>
      </c>
      <c r="I207" s="5">
        <v>0</v>
      </c>
      <c r="J207" s="9">
        <v>0</v>
      </c>
      <c r="K207" s="8">
        <v>2</v>
      </c>
      <c r="L207" s="5">
        <v>17</v>
      </c>
      <c r="M207" s="5">
        <v>0</v>
      </c>
      <c r="N207" s="9">
        <v>0</v>
      </c>
      <c r="O207" s="8">
        <v>3</v>
      </c>
      <c r="P207" s="5">
        <v>7</v>
      </c>
      <c r="Q207" s="5">
        <v>0</v>
      </c>
      <c r="R207" s="9">
        <v>0</v>
      </c>
      <c r="S207" s="8">
        <v>1</v>
      </c>
      <c r="T207" s="9">
        <v>0</v>
      </c>
    </row>
    <row r="208" spans="1:20" x14ac:dyDescent="0.2">
      <c r="A208" s="5" t="s">
        <v>122</v>
      </c>
      <c r="B208" s="5" t="s">
        <v>75</v>
      </c>
      <c r="C208" s="8" t="s">
        <v>411</v>
      </c>
      <c r="D208" s="7">
        <f t="shared" si="0"/>
        <v>3.3000000000000003</v>
      </c>
      <c r="E208" s="8">
        <v>0</v>
      </c>
      <c r="F208" s="5">
        <v>0</v>
      </c>
      <c r="G208" s="5">
        <v>0</v>
      </c>
      <c r="H208" s="5">
        <v>0</v>
      </c>
      <c r="I208" s="5">
        <v>0</v>
      </c>
      <c r="J208" s="9">
        <v>0</v>
      </c>
      <c r="K208" s="8">
        <v>11</v>
      </c>
      <c r="L208" s="5">
        <v>33</v>
      </c>
      <c r="M208" s="5">
        <v>0</v>
      </c>
      <c r="N208" s="9">
        <v>0</v>
      </c>
      <c r="O208" s="8">
        <v>0</v>
      </c>
      <c r="P208" s="5">
        <v>0</v>
      </c>
      <c r="Q208" s="5">
        <v>0</v>
      </c>
      <c r="R208" s="9">
        <v>0</v>
      </c>
      <c r="S208" s="8">
        <v>0</v>
      </c>
      <c r="T208" s="9">
        <v>0</v>
      </c>
    </row>
    <row r="209" spans="1:20" x14ac:dyDescent="0.2">
      <c r="A209" s="5" t="s">
        <v>221</v>
      </c>
      <c r="B209" s="18" t="s">
        <v>162</v>
      </c>
      <c r="C209" s="6" t="s">
        <v>413</v>
      </c>
      <c r="D209" s="7">
        <f t="shared" si="0"/>
        <v>3.3000000000000003</v>
      </c>
      <c r="E209" s="8">
        <v>0</v>
      </c>
      <c r="F209" s="5">
        <v>0</v>
      </c>
      <c r="G209" s="5">
        <v>0</v>
      </c>
      <c r="H209" s="5">
        <v>0</v>
      </c>
      <c r="I209" s="5">
        <v>0</v>
      </c>
      <c r="J209" s="9">
        <v>0</v>
      </c>
      <c r="K209" s="8">
        <v>0</v>
      </c>
      <c r="L209" s="5">
        <v>0</v>
      </c>
      <c r="M209" s="5">
        <v>0</v>
      </c>
      <c r="N209" s="9">
        <v>0</v>
      </c>
      <c r="O209" s="8">
        <v>1</v>
      </c>
      <c r="P209" s="5">
        <v>23</v>
      </c>
      <c r="Q209" s="5">
        <v>0</v>
      </c>
      <c r="R209" s="9">
        <v>0</v>
      </c>
      <c r="S209" s="8">
        <v>0</v>
      </c>
      <c r="T209" s="9">
        <v>0</v>
      </c>
    </row>
    <row r="210" spans="1:20" x14ac:dyDescent="0.2">
      <c r="A210" s="5" t="s">
        <v>240</v>
      </c>
      <c r="B210" s="18" t="s">
        <v>162</v>
      </c>
      <c r="C210" s="6" t="s">
        <v>415</v>
      </c>
      <c r="D210" s="7">
        <f t="shared" si="0"/>
        <v>3.3</v>
      </c>
      <c r="E210" s="8">
        <v>0</v>
      </c>
      <c r="F210" s="5">
        <v>0</v>
      </c>
      <c r="G210" s="5">
        <v>0</v>
      </c>
      <c r="H210" s="5">
        <v>0</v>
      </c>
      <c r="I210" s="5">
        <v>0</v>
      </c>
      <c r="J210" s="9">
        <v>0</v>
      </c>
      <c r="K210" s="8">
        <v>2</v>
      </c>
      <c r="L210" s="5">
        <v>-2</v>
      </c>
      <c r="M210" s="5">
        <v>0</v>
      </c>
      <c r="N210" s="9">
        <v>0</v>
      </c>
      <c r="O210" s="8">
        <v>2</v>
      </c>
      <c r="P210" s="5">
        <v>15</v>
      </c>
      <c r="Q210" s="5">
        <v>0</v>
      </c>
      <c r="R210" s="9">
        <v>0</v>
      </c>
      <c r="S210" s="8">
        <v>0</v>
      </c>
      <c r="T210" s="9">
        <v>0</v>
      </c>
    </row>
    <row r="211" spans="1:20" x14ac:dyDescent="0.2">
      <c r="A211" s="5" t="s">
        <v>369</v>
      </c>
      <c r="B211" s="18" t="s">
        <v>162</v>
      </c>
      <c r="C211" s="6" t="s">
        <v>408</v>
      </c>
      <c r="D211" s="7">
        <f t="shared" si="0"/>
        <v>3.3</v>
      </c>
      <c r="E211" s="8">
        <v>0</v>
      </c>
      <c r="F211" s="5">
        <v>0</v>
      </c>
      <c r="G211" s="5">
        <v>0</v>
      </c>
      <c r="H211" s="5">
        <v>0</v>
      </c>
      <c r="I211" s="5">
        <v>0</v>
      </c>
      <c r="J211" s="9">
        <v>0</v>
      </c>
      <c r="K211" s="8">
        <v>0</v>
      </c>
      <c r="L211" s="5">
        <v>0</v>
      </c>
      <c r="M211" s="5">
        <v>0</v>
      </c>
      <c r="N211" s="9">
        <v>0</v>
      </c>
      <c r="O211" s="8">
        <v>2</v>
      </c>
      <c r="P211" s="5">
        <v>13</v>
      </c>
      <c r="Q211" s="5">
        <v>0</v>
      </c>
      <c r="R211" s="9">
        <v>0</v>
      </c>
      <c r="S211" s="8">
        <v>0</v>
      </c>
      <c r="T211" s="9">
        <v>0</v>
      </c>
    </row>
    <row r="212" spans="1:20" x14ac:dyDescent="0.2">
      <c r="A212" s="5" t="s">
        <v>156</v>
      </c>
      <c r="B212" s="5" t="s">
        <v>75</v>
      </c>
      <c r="C212" s="8" t="s">
        <v>408</v>
      </c>
      <c r="D212" s="7">
        <f t="shared" si="0"/>
        <v>3.2</v>
      </c>
      <c r="E212" s="8">
        <v>0</v>
      </c>
      <c r="F212" s="5">
        <v>0</v>
      </c>
      <c r="G212" s="5">
        <v>0</v>
      </c>
      <c r="H212" s="5">
        <v>0</v>
      </c>
      <c r="I212" s="5">
        <v>0</v>
      </c>
      <c r="J212" s="9">
        <v>0</v>
      </c>
      <c r="K212" s="8">
        <v>3</v>
      </c>
      <c r="L212" s="5">
        <v>6</v>
      </c>
      <c r="M212" s="5">
        <v>0</v>
      </c>
      <c r="N212" s="9">
        <v>0</v>
      </c>
      <c r="O212" s="8">
        <v>2</v>
      </c>
      <c r="P212" s="5">
        <v>6</v>
      </c>
      <c r="Q212" s="5">
        <v>0</v>
      </c>
      <c r="R212" s="9">
        <v>0</v>
      </c>
      <c r="S212" s="8">
        <v>0</v>
      </c>
      <c r="T212" s="9">
        <v>0</v>
      </c>
    </row>
    <row r="213" spans="1:20" x14ac:dyDescent="0.2">
      <c r="A213" s="5" t="s">
        <v>231</v>
      </c>
      <c r="B213" s="18" t="s">
        <v>162</v>
      </c>
      <c r="C213" s="6" t="s">
        <v>401</v>
      </c>
      <c r="D213" s="7">
        <f t="shared" si="0"/>
        <v>3.2</v>
      </c>
      <c r="E213" s="8">
        <v>0</v>
      </c>
      <c r="F213" s="5">
        <v>0</v>
      </c>
      <c r="G213" s="5">
        <v>0</v>
      </c>
      <c r="H213" s="5">
        <v>0</v>
      </c>
      <c r="I213" s="5">
        <v>0</v>
      </c>
      <c r="J213" s="9">
        <v>0</v>
      </c>
      <c r="K213" s="8">
        <v>0</v>
      </c>
      <c r="L213" s="5">
        <v>0</v>
      </c>
      <c r="M213" s="5">
        <v>0</v>
      </c>
      <c r="N213" s="9">
        <v>0</v>
      </c>
      <c r="O213" s="8">
        <v>2</v>
      </c>
      <c r="P213" s="5">
        <v>12</v>
      </c>
      <c r="Q213" s="5">
        <v>0</v>
      </c>
      <c r="R213" s="9">
        <v>0</v>
      </c>
      <c r="S213" s="8">
        <v>0</v>
      </c>
      <c r="T213" s="9">
        <v>0</v>
      </c>
    </row>
    <row r="214" spans="1:20" x14ac:dyDescent="0.2">
      <c r="A214" s="5" t="s">
        <v>351</v>
      </c>
      <c r="B214" s="5" t="s">
        <v>69</v>
      </c>
      <c r="C214" s="8" t="s">
        <v>415</v>
      </c>
      <c r="D214" s="7">
        <f t="shared" si="0"/>
        <v>3.2</v>
      </c>
      <c r="E214" s="8">
        <v>0</v>
      </c>
      <c r="F214" s="5">
        <v>0</v>
      </c>
      <c r="G214" s="5">
        <v>0</v>
      </c>
      <c r="H214" s="5">
        <v>0</v>
      </c>
      <c r="I214" s="5">
        <v>0</v>
      </c>
      <c r="J214" s="9">
        <v>0</v>
      </c>
      <c r="K214" s="8">
        <v>0</v>
      </c>
      <c r="L214" s="5">
        <v>0</v>
      </c>
      <c r="M214" s="5">
        <v>0</v>
      </c>
      <c r="N214" s="9">
        <v>0</v>
      </c>
      <c r="O214" s="8">
        <v>2</v>
      </c>
      <c r="P214" s="5">
        <v>12</v>
      </c>
      <c r="Q214" s="5">
        <v>0</v>
      </c>
      <c r="R214" s="9">
        <v>0</v>
      </c>
      <c r="S214" s="8">
        <v>0</v>
      </c>
      <c r="T214" s="9">
        <v>0</v>
      </c>
    </row>
    <row r="215" spans="1:20" x14ac:dyDescent="0.2">
      <c r="A215" s="5" t="s">
        <v>290</v>
      </c>
      <c r="B215" s="5" t="s">
        <v>69</v>
      </c>
      <c r="C215" s="6" t="s">
        <v>411</v>
      </c>
      <c r="D215" s="7">
        <f t="shared" si="0"/>
        <v>3.2</v>
      </c>
      <c r="E215" s="8">
        <v>0</v>
      </c>
      <c r="F215" s="5">
        <v>0</v>
      </c>
      <c r="G215" s="5">
        <v>0</v>
      </c>
      <c r="H215" s="5">
        <v>0</v>
      </c>
      <c r="I215" s="5">
        <v>0</v>
      </c>
      <c r="J215" s="9">
        <v>0</v>
      </c>
      <c r="K215" s="8">
        <v>0</v>
      </c>
      <c r="L215" s="5">
        <v>0</v>
      </c>
      <c r="M215" s="5">
        <v>0</v>
      </c>
      <c r="N215" s="9">
        <v>0</v>
      </c>
      <c r="O215" s="8">
        <v>2</v>
      </c>
      <c r="P215" s="5">
        <v>12</v>
      </c>
      <c r="Q215" s="5">
        <v>0</v>
      </c>
      <c r="R215" s="9">
        <v>0</v>
      </c>
      <c r="S215" s="8">
        <v>0</v>
      </c>
      <c r="T215" s="9">
        <v>0</v>
      </c>
    </row>
    <row r="216" spans="1:20" x14ac:dyDescent="0.2">
      <c r="A216" s="5" t="s">
        <v>68</v>
      </c>
      <c r="B216" s="5" t="s">
        <v>69</v>
      </c>
      <c r="C216" s="6" t="s">
        <v>411</v>
      </c>
      <c r="D216" s="7">
        <f t="shared" si="0"/>
        <v>3.1</v>
      </c>
      <c r="E216" s="8">
        <v>0</v>
      </c>
      <c r="F216" s="5">
        <v>0</v>
      </c>
      <c r="G216" s="5">
        <v>0</v>
      </c>
      <c r="H216" s="5">
        <v>0</v>
      </c>
      <c r="I216" s="5">
        <v>0</v>
      </c>
      <c r="J216" s="9">
        <v>0</v>
      </c>
      <c r="K216" s="8">
        <v>4</v>
      </c>
      <c r="L216" s="5">
        <v>12</v>
      </c>
      <c r="M216" s="5">
        <v>0</v>
      </c>
      <c r="N216" s="9">
        <v>0</v>
      </c>
      <c r="O216" s="8">
        <v>1</v>
      </c>
      <c r="P216" s="5">
        <v>9</v>
      </c>
      <c r="Q216" s="5">
        <v>0</v>
      </c>
      <c r="R216" s="9">
        <v>0</v>
      </c>
      <c r="S216" s="8">
        <v>0</v>
      </c>
      <c r="T216" s="9">
        <v>0</v>
      </c>
    </row>
    <row r="217" spans="1:20" x14ac:dyDescent="0.2">
      <c r="A217" s="5" t="s">
        <v>433</v>
      </c>
      <c r="B217" s="5" t="s">
        <v>75</v>
      </c>
      <c r="C217" s="6" t="s">
        <v>416</v>
      </c>
      <c r="D217" s="7">
        <f t="shared" si="0"/>
        <v>3.1</v>
      </c>
      <c r="E217" s="8">
        <v>0</v>
      </c>
      <c r="F217" s="5">
        <v>0</v>
      </c>
      <c r="G217" s="5">
        <v>0</v>
      </c>
      <c r="H217" s="5">
        <v>0</v>
      </c>
      <c r="I217" s="5">
        <v>0</v>
      </c>
      <c r="J217" s="9">
        <v>0</v>
      </c>
      <c r="K217" s="8">
        <v>1</v>
      </c>
      <c r="L217" s="5">
        <v>9</v>
      </c>
      <c r="M217" s="5">
        <v>0</v>
      </c>
      <c r="N217" s="9">
        <v>0</v>
      </c>
      <c r="O217" s="8">
        <v>1</v>
      </c>
      <c r="P217" s="5">
        <v>12</v>
      </c>
      <c r="Q217" s="5">
        <v>0</v>
      </c>
      <c r="R217" s="9">
        <v>0</v>
      </c>
      <c r="S217" s="8">
        <v>0</v>
      </c>
      <c r="T217" s="9">
        <v>0</v>
      </c>
    </row>
    <row r="218" spans="1:20" x14ac:dyDescent="0.2">
      <c r="A218" s="5" t="s">
        <v>434</v>
      </c>
      <c r="B218" s="5" t="s">
        <v>75</v>
      </c>
      <c r="C218" s="6" t="s">
        <v>405</v>
      </c>
      <c r="D218" s="7">
        <f t="shared" si="0"/>
        <v>3.1</v>
      </c>
      <c r="E218" s="8">
        <v>0</v>
      </c>
      <c r="F218" s="5">
        <v>0</v>
      </c>
      <c r="G218" s="5">
        <v>0</v>
      </c>
      <c r="H218" s="5">
        <v>0</v>
      </c>
      <c r="I218" s="5">
        <v>0</v>
      </c>
      <c r="J218" s="9">
        <v>0</v>
      </c>
      <c r="K218" s="8">
        <v>5</v>
      </c>
      <c r="L218" s="5">
        <v>17</v>
      </c>
      <c r="M218" s="5">
        <v>0</v>
      </c>
      <c r="N218" s="9">
        <v>0</v>
      </c>
      <c r="O218" s="8">
        <v>1</v>
      </c>
      <c r="P218" s="5">
        <v>4</v>
      </c>
      <c r="Q218" s="5">
        <v>0</v>
      </c>
      <c r="R218" s="9">
        <v>0</v>
      </c>
      <c r="S218" s="8">
        <v>0</v>
      </c>
      <c r="T218" s="9">
        <v>0</v>
      </c>
    </row>
    <row r="219" spans="1:20" x14ac:dyDescent="0.2">
      <c r="A219" s="5" t="s">
        <v>435</v>
      </c>
      <c r="B219" s="18" t="s">
        <v>162</v>
      </c>
      <c r="C219" s="8" t="s">
        <v>408</v>
      </c>
      <c r="D219" s="7">
        <f t="shared" si="0"/>
        <v>3.1</v>
      </c>
      <c r="E219" s="8">
        <v>0</v>
      </c>
      <c r="F219" s="5">
        <v>0</v>
      </c>
      <c r="G219" s="5">
        <v>0</v>
      </c>
      <c r="H219" s="5">
        <v>0</v>
      </c>
      <c r="I219" s="5">
        <v>0</v>
      </c>
      <c r="J219" s="9">
        <v>0</v>
      </c>
      <c r="K219" s="8">
        <v>0</v>
      </c>
      <c r="L219" s="5">
        <v>0</v>
      </c>
      <c r="M219" s="5">
        <v>0</v>
      </c>
      <c r="N219" s="9">
        <v>0</v>
      </c>
      <c r="O219" s="8">
        <v>2</v>
      </c>
      <c r="P219" s="5">
        <v>11</v>
      </c>
      <c r="Q219" s="5">
        <v>0</v>
      </c>
      <c r="R219" s="9">
        <v>0</v>
      </c>
      <c r="S219" s="8">
        <v>0</v>
      </c>
      <c r="T219" s="9">
        <v>0</v>
      </c>
    </row>
    <row r="220" spans="1:20" x14ac:dyDescent="0.2">
      <c r="A220" s="5" t="s">
        <v>436</v>
      </c>
      <c r="B220" s="5" t="s">
        <v>75</v>
      </c>
      <c r="C220" s="6" t="s">
        <v>405</v>
      </c>
      <c r="D220" s="7">
        <f t="shared" si="0"/>
        <v>3.0999999999999996</v>
      </c>
      <c r="E220" s="8">
        <v>0</v>
      </c>
      <c r="F220" s="5">
        <v>0</v>
      </c>
      <c r="G220" s="5">
        <v>0</v>
      </c>
      <c r="H220" s="5">
        <v>0</v>
      </c>
      <c r="I220" s="5">
        <v>0</v>
      </c>
      <c r="J220" s="9">
        <v>0</v>
      </c>
      <c r="K220" s="8">
        <v>1</v>
      </c>
      <c r="L220" s="5">
        <v>0</v>
      </c>
      <c r="M220" s="5">
        <v>0</v>
      </c>
      <c r="N220" s="9">
        <v>0</v>
      </c>
      <c r="O220" s="8">
        <v>2</v>
      </c>
      <c r="P220" s="5">
        <v>31</v>
      </c>
      <c r="Q220" s="5">
        <v>0</v>
      </c>
      <c r="R220" s="9">
        <v>0</v>
      </c>
      <c r="S220" s="8">
        <v>1</v>
      </c>
      <c r="T220" s="9">
        <v>0</v>
      </c>
    </row>
    <row r="221" spans="1:20" x14ac:dyDescent="0.2">
      <c r="A221" s="5" t="s">
        <v>155</v>
      </c>
      <c r="B221" s="5" t="s">
        <v>75</v>
      </c>
      <c r="C221" s="8" t="s">
        <v>416</v>
      </c>
      <c r="D221" s="7">
        <f t="shared" si="0"/>
        <v>3.0999999999999996</v>
      </c>
      <c r="E221" s="8">
        <v>0</v>
      </c>
      <c r="F221" s="5">
        <v>0</v>
      </c>
      <c r="G221" s="5">
        <v>0</v>
      </c>
      <c r="H221" s="5">
        <v>0</v>
      </c>
      <c r="I221" s="5">
        <v>0</v>
      </c>
      <c r="J221" s="9">
        <v>0</v>
      </c>
      <c r="K221" s="8">
        <v>5</v>
      </c>
      <c r="L221" s="5">
        <v>13</v>
      </c>
      <c r="M221" s="5">
        <v>0</v>
      </c>
      <c r="N221" s="9">
        <v>0</v>
      </c>
      <c r="O221" s="8">
        <v>1</v>
      </c>
      <c r="P221" s="5">
        <v>8</v>
      </c>
      <c r="Q221" s="5">
        <v>0</v>
      </c>
      <c r="R221" s="9">
        <v>0</v>
      </c>
      <c r="S221" s="8">
        <v>0</v>
      </c>
      <c r="T221" s="9">
        <v>0</v>
      </c>
    </row>
    <row r="222" spans="1:20" x14ac:dyDescent="0.2">
      <c r="A222" s="5" t="s">
        <v>253</v>
      </c>
      <c r="B222" s="18" t="s">
        <v>162</v>
      </c>
      <c r="C222" s="6" t="s">
        <v>402</v>
      </c>
      <c r="D222" s="7">
        <f t="shared" si="0"/>
        <v>3</v>
      </c>
      <c r="E222" s="8">
        <v>0</v>
      </c>
      <c r="F222" s="5">
        <v>0</v>
      </c>
      <c r="G222" s="5">
        <v>0</v>
      </c>
      <c r="H222" s="5">
        <v>0</v>
      </c>
      <c r="I222" s="5">
        <v>0</v>
      </c>
      <c r="J222" s="9">
        <v>0</v>
      </c>
      <c r="K222" s="8">
        <v>0</v>
      </c>
      <c r="L222" s="5">
        <v>0</v>
      </c>
      <c r="M222" s="5">
        <v>0</v>
      </c>
      <c r="N222" s="9">
        <v>0</v>
      </c>
      <c r="O222" s="8">
        <v>2</v>
      </c>
      <c r="P222" s="5">
        <v>10</v>
      </c>
      <c r="Q222" s="5">
        <v>0</v>
      </c>
      <c r="R222" s="9">
        <v>0</v>
      </c>
      <c r="S222" s="8">
        <v>0</v>
      </c>
      <c r="T222" s="9">
        <v>0</v>
      </c>
    </row>
    <row r="223" spans="1:20" x14ac:dyDescent="0.2">
      <c r="A223" s="5" t="s">
        <v>207</v>
      </c>
      <c r="B223" s="18" t="s">
        <v>162</v>
      </c>
      <c r="C223" s="6" t="s">
        <v>418</v>
      </c>
      <c r="D223" s="7">
        <f t="shared" si="0"/>
        <v>3</v>
      </c>
      <c r="E223" s="8">
        <v>0</v>
      </c>
      <c r="F223" s="5">
        <v>0</v>
      </c>
      <c r="G223" s="5">
        <v>0</v>
      </c>
      <c r="H223" s="5">
        <v>0</v>
      </c>
      <c r="I223" s="5">
        <v>0</v>
      </c>
      <c r="J223" s="9">
        <v>0</v>
      </c>
      <c r="K223" s="8">
        <v>1</v>
      </c>
      <c r="L223" s="5">
        <v>5</v>
      </c>
      <c r="M223" s="5">
        <v>0</v>
      </c>
      <c r="N223" s="9">
        <v>0</v>
      </c>
      <c r="O223" s="8">
        <v>1</v>
      </c>
      <c r="P223" s="5">
        <v>15</v>
      </c>
      <c r="Q223" s="5">
        <v>0</v>
      </c>
      <c r="R223" s="9">
        <v>0</v>
      </c>
      <c r="S223" s="8">
        <v>0</v>
      </c>
      <c r="T223" s="9">
        <v>0</v>
      </c>
    </row>
    <row r="224" spans="1:20" x14ac:dyDescent="0.2">
      <c r="A224" s="5" t="s">
        <v>317</v>
      </c>
      <c r="B224" s="5" t="s">
        <v>69</v>
      </c>
      <c r="C224" s="8" t="s">
        <v>405</v>
      </c>
      <c r="D224" s="7">
        <f t="shared" si="0"/>
        <v>3</v>
      </c>
      <c r="E224" s="8">
        <v>0</v>
      </c>
      <c r="F224" s="5">
        <v>0</v>
      </c>
      <c r="G224" s="5">
        <v>0</v>
      </c>
      <c r="H224" s="5">
        <v>0</v>
      </c>
      <c r="I224" s="5">
        <v>0</v>
      </c>
      <c r="J224" s="9">
        <v>0</v>
      </c>
      <c r="K224" s="8">
        <v>0</v>
      </c>
      <c r="L224" s="5">
        <v>0</v>
      </c>
      <c r="M224" s="5">
        <v>0</v>
      </c>
      <c r="N224" s="9">
        <v>0</v>
      </c>
      <c r="O224" s="8">
        <v>1</v>
      </c>
      <c r="P224" s="5">
        <v>20</v>
      </c>
      <c r="Q224" s="5">
        <v>0</v>
      </c>
      <c r="R224" s="9">
        <v>0</v>
      </c>
      <c r="S224" s="8">
        <v>0</v>
      </c>
      <c r="T224" s="9">
        <v>0</v>
      </c>
    </row>
    <row r="225" spans="1:20" x14ac:dyDescent="0.2">
      <c r="A225" s="5" t="s">
        <v>437</v>
      </c>
      <c r="B225" s="5" t="s">
        <v>69</v>
      </c>
      <c r="C225" s="8" t="s">
        <v>406</v>
      </c>
      <c r="D225" s="7">
        <f t="shared" si="0"/>
        <v>3</v>
      </c>
      <c r="E225" s="8">
        <v>0</v>
      </c>
      <c r="F225" s="5">
        <v>0</v>
      </c>
      <c r="G225" s="5">
        <v>0</v>
      </c>
      <c r="H225" s="5">
        <v>0</v>
      </c>
      <c r="I225" s="5">
        <v>0</v>
      </c>
      <c r="J225" s="9">
        <v>0</v>
      </c>
      <c r="K225" s="8">
        <v>0</v>
      </c>
      <c r="L225" s="5">
        <v>0</v>
      </c>
      <c r="M225" s="5">
        <v>0</v>
      </c>
      <c r="N225" s="9">
        <v>0</v>
      </c>
      <c r="O225" s="8">
        <v>2</v>
      </c>
      <c r="P225" s="5">
        <v>10</v>
      </c>
      <c r="Q225" s="5">
        <v>0</v>
      </c>
      <c r="R225" s="9">
        <v>0</v>
      </c>
      <c r="S225" s="8">
        <v>0</v>
      </c>
      <c r="T225" s="9">
        <v>0</v>
      </c>
    </row>
    <row r="226" spans="1:20" x14ac:dyDescent="0.2">
      <c r="A226" s="5" t="s">
        <v>285</v>
      </c>
      <c r="B226" s="5" t="s">
        <v>69</v>
      </c>
      <c r="C226" s="6" t="s">
        <v>405</v>
      </c>
      <c r="D226" s="7">
        <f t="shared" si="0"/>
        <v>2.9</v>
      </c>
      <c r="E226" s="8">
        <v>0</v>
      </c>
      <c r="F226" s="5">
        <v>0</v>
      </c>
      <c r="G226" s="5">
        <v>0</v>
      </c>
      <c r="H226" s="5">
        <v>0</v>
      </c>
      <c r="I226" s="5">
        <v>0</v>
      </c>
      <c r="J226" s="9">
        <v>0</v>
      </c>
      <c r="K226" s="8">
        <v>0</v>
      </c>
      <c r="L226" s="5">
        <v>0</v>
      </c>
      <c r="M226" s="5">
        <v>0</v>
      </c>
      <c r="N226" s="9">
        <v>0</v>
      </c>
      <c r="O226" s="8">
        <v>2</v>
      </c>
      <c r="P226" s="5">
        <v>9</v>
      </c>
      <c r="Q226" s="5">
        <v>0</v>
      </c>
      <c r="R226" s="9">
        <v>0</v>
      </c>
      <c r="S226" s="8">
        <v>0</v>
      </c>
      <c r="T226" s="9">
        <v>0</v>
      </c>
    </row>
    <row r="227" spans="1:20" x14ac:dyDescent="0.2">
      <c r="A227" s="5" t="s">
        <v>288</v>
      </c>
      <c r="B227" s="5" t="s">
        <v>69</v>
      </c>
      <c r="C227" s="6" t="s">
        <v>418</v>
      </c>
      <c r="D227" s="7">
        <f t="shared" si="0"/>
        <v>2.8</v>
      </c>
      <c r="E227" s="8">
        <v>0</v>
      </c>
      <c r="F227" s="5">
        <v>0</v>
      </c>
      <c r="G227" s="5">
        <v>0</v>
      </c>
      <c r="H227" s="5">
        <v>0</v>
      </c>
      <c r="I227" s="5">
        <v>0</v>
      </c>
      <c r="J227" s="9">
        <v>0</v>
      </c>
      <c r="K227" s="8">
        <v>0</v>
      </c>
      <c r="L227" s="5">
        <v>0</v>
      </c>
      <c r="M227" s="5">
        <v>0</v>
      </c>
      <c r="N227" s="9">
        <v>0</v>
      </c>
      <c r="O227" s="8">
        <v>1</v>
      </c>
      <c r="P227" s="5">
        <v>18</v>
      </c>
      <c r="Q227" s="5">
        <v>0</v>
      </c>
      <c r="R227" s="9">
        <v>0</v>
      </c>
      <c r="S227" s="8">
        <v>0</v>
      </c>
      <c r="T227" s="9">
        <v>0</v>
      </c>
    </row>
    <row r="228" spans="1:20" x14ac:dyDescent="0.2">
      <c r="A228" s="5" t="s">
        <v>86</v>
      </c>
      <c r="B228" s="5" t="s">
        <v>75</v>
      </c>
      <c r="C228" s="6" t="s">
        <v>402</v>
      </c>
      <c r="D228" s="7">
        <f t="shared" si="0"/>
        <v>2.7</v>
      </c>
      <c r="E228" s="8">
        <v>0</v>
      </c>
      <c r="F228" s="5">
        <v>0</v>
      </c>
      <c r="G228" s="5">
        <v>0</v>
      </c>
      <c r="H228" s="5">
        <v>0</v>
      </c>
      <c r="I228" s="5">
        <v>0</v>
      </c>
      <c r="J228" s="9">
        <v>0</v>
      </c>
      <c r="K228" s="8">
        <v>11</v>
      </c>
      <c r="L228" s="5">
        <v>12</v>
      </c>
      <c r="M228" s="5">
        <v>0</v>
      </c>
      <c r="N228" s="9">
        <v>0</v>
      </c>
      <c r="O228" s="8">
        <v>1</v>
      </c>
      <c r="P228" s="5">
        <v>5</v>
      </c>
      <c r="Q228" s="5">
        <v>0</v>
      </c>
      <c r="R228" s="9">
        <v>0</v>
      </c>
      <c r="S228" s="8">
        <v>0</v>
      </c>
      <c r="T228" s="9">
        <v>0</v>
      </c>
    </row>
    <row r="229" spans="1:20" x14ac:dyDescent="0.2">
      <c r="A229" s="5" t="s">
        <v>356</v>
      </c>
      <c r="B229" s="5" t="s">
        <v>75</v>
      </c>
      <c r="C229" s="8" t="s">
        <v>410</v>
      </c>
      <c r="D229" s="7">
        <f t="shared" si="0"/>
        <v>2.7</v>
      </c>
      <c r="E229" s="8">
        <v>0</v>
      </c>
      <c r="F229" s="5">
        <v>0</v>
      </c>
      <c r="G229" s="5">
        <v>0</v>
      </c>
      <c r="H229" s="5">
        <v>0</v>
      </c>
      <c r="I229" s="5">
        <v>0</v>
      </c>
      <c r="J229" s="9">
        <v>0</v>
      </c>
      <c r="K229" s="8">
        <v>6</v>
      </c>
      <c r="L229" s="5">
        <v>27</v>
      </c>
      <c r="M229" s="5">
        <v>0</v>
      </c>
      <c r="N229" s="9">
        <v>0</v>
      </c>
      <c r="O229" s="8">
        <v>0</v>
      </c>
      <c r="P229" s="5">
        <v>0</v>
      </c>
      <c r="Q229" s="5">
        <v>0</v>
      </c>
      <c r="R229" s="9">
        <v>0</v>
      </c>
      <c r="S229" s="8">
        <v>0</v>
      </c>
      <c r="T229" s="9">
        <v>0</v>
      </c>
    </row>
    <row r="230" spans="1:20" x14ac:dyDescent="0.2">
      <c r="A230" s="5" t="s">
        <v>438</v>
      </c>
      <c r="B230" s="5" t="s">
        <v>69</v>
      </c>
      <c r="C230" s="8" t="s">
        <v>408</v>
      </c>
      <c r="D230" s="7">
        <f t="shared" si="0"/>
        <v>2.7</v>
      </c>
      <c r="E230" s="8">
        <v>0</v>
      </c>
      <c r="F230" s="5">
        <v>0</v>
      </c>
      <c r="G230" s="5">
        <v>0</v>
      </c>
      <c r="H230" s="5">
        <v>0</v>
      </c>
      <c r="I230" s="5">
        <v>0</v>
      </c>
      <c r="J230" s="9">
        <v>0</v>
      </c>
      <c r="K230" s="8">
        <v>0</v>
      </c>
      <c r="L230" s="5">
        <v>0</v>
      </c>
      <c r="M230" s="5">
        <v>0</v>
      </c>
      <c r="N230" s="9">
        <v>0</v>
      </c>
      <c r="O230" s="8">
        <v>2</v>
      </c>
      <c r="P230" s="5">
        <v>7</v>
      </c>
      <c r="Q230" s="5">
        <v>0</v>
      </c>
      <c r="R230" s="9">
        <v>0</v>
      </c>
      <c r="S230" s="8">
        <v>0</v>
      </c>
      <c r="T230" s="9">
        <v>0</v>
      </c>
    </row>
    <row r="231" spans="1:20" x14ac:dyDescent="0.2">
      <c r="A231" s="5" t="s">
        <v>257</v>
      </c>
      <c r="B231" s="18" t="s">
        <v>162</v>
      </c>
      <c r="C231" s="8" t="s">
        <v>403</v>
      </c>
      <c r="D231" s="7">
        <f t="shared" si="0"/>
        <v>2.6</v>
      </c>
      <c r="E231" s="8">
        <v>0</v>
      </c>
      <c r="F231" s="5">
        <v>0</v>
      </c>
      <c r="G231" s="5">
        <v>0</v>
      </c>
      <c r="H231" s="5">
        <v>0</v>
      </c>
      <c r="I231" s="5">
        <v>0</v>
      </c>
      <c r="J231" s="9">
        <v>0</v>
      </c>
      <c r="K231" s="8">
        <v>0</v>
      </c>
      <c r="L231" s="5">
        <v>0</v>
      </c>
      <c r="M231" s="5">
        <v>0</v>
      </c>
      <c r="N231" s="9">
        <v>0</v>
      </c>
      <c r="O231" s="8">
        <v>1</v>
      </c>
      <c r="P231" s="5">
        <v>16</v>
      </c>
      <c r="Q231" s="5">
        <v>0</v>
      </c>
      <c r="R231" s="9">
        <v>0</v>
      </c>
      <c r="S231" s="8">
        <v>0</v>
      </c>
      <c r="T231" s="9">
        <v>0</v>
      </c>
    </row>
    <row r="232" spans="1:20" x14ac:dyDescent="0.2">
      <c r="A232" s="5" t="s">
        <v>247</v>
      </c>
      <c r="B232" s="18" t="s">
        <v>162</v>
      </c>
      <c r="C232" s="8" t="s">
        <v>414</v>
      </c>
      <c r="D232" s="7">
        <f t="shared" si="0"/>
        <v>2.6</v>
      </c>
      <c r="E232" s="8">
        <v>0</v>
      </c>
      <c r="F232" s="5">
        <v>0</v>
      </c>
      <c r="G232" s="5">
        <v>0</v>
      </c>
      <c r="H232" s="5">
        <v>0</v>
      </c>
      <c r="I232" s="5">
        <v>0</v>
      </c>
      <c r="J232" s="9">
        <v>0</v>
      </c>
      <c r="K232" s="8">
        <v>0</v>
      </c>
      <c r="L232" s="5">
        <v>0</v>
      </c>
      <c r="M232" s="5">
        <v>0</v>
      </c>
      <c r="N232" s="9">
        <v>0</v>
      </c>
      <c r="O232" s="8">
        <v>2</v>
      </c>
      <c r="P232" s="5">
        <v>6</v>
      </c>
      <c r="Q232" s="5">
        <v>0</v>
      </c>
      <c r="R232" s="9">
        <v>0</v>
      </c>
      <c r="S232" s="8">
        <v>0</v>
      </c>
      <c r="T232" s="9">
        <v>0</v>
      </c>
    </row>
    <row r="233" spans="1:20" x14ac:dyDescent="0.2">
      <c r="A233" s="5" t="s">
        <v>279</v>
      </c>
      <c r="B233" s="5" t="s">
        <v>69</v>
      </c>
      <c r="C233" s="8" t="s">
        <v>416</v>
      </c>
      <c r="D233" s="7">
        <f t="shared" si="0"/>
        <v>2.6</v>
      </c>
      <c r="E233" s="8">
        <v>0</v>
      </c>
      <c r="F233" s="5">
        <v>0</v>
      </c>
      <c r="G233" s="5">
        <v>0</v>
      </c>
      <c r="H233" s="5">
        <v>0</v>
      </c>
      <c r="I233" s="5">
        <v>0</v>
      </c>
      <c r="J233" s="9">
        <v>0</v>
      </c>
      <c r="K233" s="8">
        <v>0</v>
      </c>
      <c r="L233" s="5">
        <v>0</v>
      </c>
      <c r="M233" s="5">
        <v>0</v>
      </c>
      <c r="N233" s="9">
        <v>0</v>
      </c>
      <c r="O233" s="8">
        <v>2</v>
      </c>
      <c r="P233" s="5">
        <v>6</v>
      </c>
      <c r="Q233" s="5">
        <v>0</v>
      </c>
      <c r="R233" s="9">
        <v>0</v>
      </c>
      <c r="S233" s="8">
        <v>0</v>
      </c>
      <c r="T233" s="9">
        <v>0</v>
      </c>
    </row>
    <row r="234" spans="1:20" x14ac:dyDescent="0.2">
      <c r="A234" s="5" t="s">
        <v>309</v>
      </c>
      <c r="B234" s="5" t="s">
        <v>69</v>
      </c>
      <c r="C234" s="8" t="s">
        <v>414</v>
      </c>
      <c r="D234" s="7">
        <f t="shared" si="0"/>
        <v>2.6</v>
      </c>
      <c r="E234" s="8">
        <v>0</v>
      </c>
      <c r="F234" s="5">
        <v>0</v>
      </c>
      <c r="G234" s="5">
        <v>0</v>
      </c>
      <c r="H234" s="5">
        <v>0</v>
      </c>
      <c r="I234" s="5">
        <v>0</v>
      </c>
      <c r="J234" s="9">
        <v>0</v>
      </c>
      <c r="K234" s="8">
        <v>0</v>
      </c>
      <c r="L234" s="5">
        <v>0</v>
      </c>
      <c r="M234" s="5">
        <v>0</v>
      </c>
      <c r="N234" s="9">
        <v>0</v>
      </c>
      <c r="O234" s="8">
        <v>1</v>
      </c>
      <c r="P234" s="5">
        <v>16</v>
      </c>
      <c r="Q234" s="5">
        <v>0</v>
      </c>
      <c r="R234" s="9">
        <v>0</v>
      </c>
      <c r="S234" s="8">
        <v>0</v>
      </c>
      <c r="T234" s="9">
        <v>0</v>
      </c>
    </row>
    <row r="235" spans="1:20" x14ac:dyDescent="0.2">
      <c r="A235" s="5" t="s">
        <v>342</v>
      </c>
      <c r="B235" s="18" t="s">
        <v>162</v>
      </c>
      <c r="C235" s="6" t="s">
        <v>407</v>
      </c>
      <c r="D235" s="7">
        <f t="shared" si="0"/>
        <v>2.5</v>
      </c>
      <c r="E235" s="8">
        <v>0</v>
      </c>
      <c r="F235" s="5">
        <v>0</v>
      </c>
      <c r="G235" s="5">
        <v>0</v>
      </c>
      <c r="H235" s="5">
        <v>0</v>
      </c>
      <c r="I235" s="5">
        <v>0</v>
      </c>
      <c r="J235" s="9">
        <v>0</v>
      </c>
      <c r="K235" s="8">
        <v>0</v>
      </c>
      <c r="L235" s="5">
        <v>0</v>
      </c>
      <c r="M235" s="5">
        <v>0</v>
      </c>
      <c r="N235" s="9">
        <v>0</v>
      </c>
      <c r="O235" s="8">
        <v>1</v>
      </c>
      <c r="P235" s="5">
        <v>15</v>
      </c>
      <c r="Q235" s="5">
        <v>0</v>
      </c>
      <c r="R235" s="9">
        <v>0</v>
      </c>
      <c r="S235" s="8">
        <v>0</v>
      </c>
      <c r="T235" s="9">
        <v>0</v>
      </c>
    </row>
    <row r="236" spans="1:20" x14ac:dyDescent="0.2">
      <c r="A236" s="5" t="s">
        <v>439</v>
      </c>
      <c r="B236" s="18" t="s">
        <v>162</v>
      </c>
      <c r="C236" s="6" t="s">
        <v>413</v>
      </c>
      <c r="D236" s="7">
        <f t="shared" si="0"/>
        <v>2.5</v>
      </c>
      <c r="E236" s="8">
        <v>0</v>
      </c>
      <c r="F236" s="5">
        <v>0</v>
      </c>
      <c r="G236" s="5">
        <v>0</v>
      </c>
      <c r="H236" s="5">
        <v>0</v>
      </c>
      <c r="I236" s="5">
        <v>0</v>
      </c>
      <c r="J236" s="9">
        <v>0</v>
      </c>
      <c r="K236" s="8">
        <v>0</v>
      </c>
      <c r="L236" s="5">
        <v>0</v>
      </c>
      <c r="M236" s="5">
        <v>0</v>
      </c>
      <c r="N236" s="9">
        <v>0</v>
      </c>
      <c r="O236" s="8">
        <v>1</v>
      </c>
      <c r="P236" s="5">
        <v>15</v>
      </c>
      <c r="Q236" s="5">
        <v>0</v>
      </c>
      <c r="R236" s="9">
        <v>0</v>
      </c>
      <c r="S236" s="8">
        <v>0</v>
      </c>
      <c r="T236" s="9">
        <v>0</v>
      </c>
    </row>
    <row r="237" spans="1:20" x14ac:dyDescent="0.2">
      <c r="A237" s="5" t="s">
        <v>287</v>
      </c>
      <c r="B237" s="5" t="s">
        <v>69</v>
      </c>
      <c r="C237" s="8" t="s">
        <v>401</v>
      </c>
      <c r="D237" s="7">
        <f t="shared" si="0"/>
        <v>2.5</v>
      </c>
      <c r="E237" s="8">
        <v>0</v>
      </c>
      <c r="F237" s="5">
        <v>0</v>
      </c>
      <c r="G237" s="5">
        <v>0</v>
      </c>
      <c r="H237" s="5">
        <v>0</v>
      </c>
      <c r="I237" s="5">
        <v>0</v>
      </c>
      <c r="J237" s="9">
        <v>0</v>
      </c>
      <c r="K237" s="8">
        <v>0</v>
      </c>
      <c r="L237" s="5">
        <v>0</v>
      </c>
      <c r="M237" s="5">
        <v>0</v>
      </c>
      <c r="N237" s="9">
        <v>0</v>
      </c>
      <c r="O237" s="8">
        <v>1</v>
      </c>
      <c r="P237" s="5">
        <v>15</v>
      </c>
      <c r="Q237" s="5">
        <v>0</v>
      </c>
      <c r="R237" s="9">
        <v>0</v>
      </c>
      <c r="S237" s="8">
        <v>0</v>
      </c>
      <c r="T237" s="9">
        <v>0</v>
      </c>
    </row>
    <row r="238" spans="1:20" x14ac:dyDescent="0.2">
      <c r="A238" s="5" t="s">
        <v>440</v>
      </c>
      <c r="B238" s="5" t="s">
        <v>69</v>
      </c>
      <c r="C238" s="6" t="s">
        <v>404</v>
      </c>
      <c r="D238" s="7">
        <f t="shared" si="0"/>
        <v>2.5</v>
      </c>
      <c r="E238" s="8">
        <v>0</v>
      </c>
      <c r="F238" s="5">
        <v>0</v>
      </c>
      <c r="G238" s="5">
        <v>0</v>
      </c>
      <c r="H238" s="5">
        <v>0</v>
      </c>
      <c r="I238" s="5">
        <v>0</v>
      </c>
      <c r="J238" s="9">
        <v>0</v>
      </c>
      <c r="K238" s="8">
        <v>0</v>
      </c>
      <c r="L238" s="5">
        <v>0</v>
      </c>
      <c r="M238" s="5">
        <v>0</v>
      </c>
      <c r="N238" s="9">
        <v>0</v>
      </c>
      <c r="O238" s="8">
        <v>1</v>
      </c>
      <c r="P238" s="5">
        <v>15</v>
      </c>
      <c r="Q238" s="5">
        <v>0</v>
      </c>
      <c r="R238" s="9">
        <v>0</v>
      </c>
      <c r="S238" s="8">
        <v>0</v>
      </c>
      <c r="T238" s="9">
        <v>0</v>
      </c>
    </row>
    <row r="239" spans="1:20" x14ac:dyDescent="0.2">
      <c r="A239" s="5" t="s">
        <v>108</v>
      </c>
      <c r="B239" s="5" t="s">
        <v>75</v>
      </c>
      <c r="C239" s="6" t="s">
        <v>404</v>
      </c>
      <c r="D239" s="7">
        <f t="shared" si="0"/>
        <v>2.4000000000000004</v>
      </c>
      <c r="E239" s="8">
        <v>0</v>
      </c>
      <c r="F239" s="5">
        <v>0</v>
      </c>
      <c r="G239" s="5">
        <v>0</v>
      </c>
      <c r="H239" s="5">
        <v>0</v>
      </c>
      <c r="I239" s="5">
        <v>0</v>
      </c>
      <c r="J239" s="9">
        <v>0</v>
      </c>
      <c r="K239" s="8">
        <v>1</v>
      </c>
      <c r="L239" s="5">
        <v>2</v>
      </c>
      <c r="M239" s="5">
        <v>0</v>
      </c>
      <c r="N239" s="9">
        <v>0</v>
      </c>
      <c r="O239" s="8">
        <v>2</v>
      </c>
      <c r="P239" s="5">
        <v>2</v>
      </c>
      <c r="Q239" s="5">
        <v>0</v>
      </c>
      <c r="R239" s="9">
        <v>0</v>
      </c>
      <c r="S239" s="8">
        <v>0</v>
      </c>
      <c r="T239" s="9">
        <v>0</v>
      </c>
    </row>
    <row r="240" spans="1:20" x14ac:dyDescent="0.2">
      <c r="A240" s="5" t="s">
        <v>186</v>
      </c>
      <c r="B240" s="18" t="s">
        <v>162</v>
      </c>
      <c r="C240" s="8" t="s">
        <v>401</v>
      </c>
      <c r="D240" s="7">
        <f t="shared" si="0"/>
        <v>2.2999999999999998</v>
      </c>
      <c r="E240" s="8">
        <v>0</v>
      </c>
      <c r="F240" s="5">
        <v>0</v>
      </c>
      <c r="G240" s="5">
        <v>0</v>
      </c>
      <c r="H240" s="5">
        <v>0</v>
      </c>
      <c r="I240" s="5">
        <v>0</v>
      </c>
      <c r="J240" s="9">
        <v>0</v>
      </c>
      <c r="K240" s="8">
        <v>0</v>
      </c>
      <c r="L240" s="5">
        <v>0</v>
      </c>
      <c r="M240" s="5">
        <v>0</v>
      </c>
      <c r="N240" s="9">
        <v>0</v>
      </c>
      <c r="O240" s="8">
        <v>1</v>
      </c>
      <c r="P240" s="5">
        <v>13</v>
      </c>
      <c r="Q240" s="5">
        <v>0</v>
      </c>
      <c r="R240" s="9">
        <v>0</v>
      </c>
      <c r="S240" s="8">
        <v>0</v>
      </c>
      <c r="T240" s="9">
        <v>0</v>
      </c>
    </row>
    <row r="241" spans="1:20" x14ac:dyDescent="0.2">
      <c r="A241" s="5" t="s">
        <v>291</v>
      </c>
      <c r="B241" s="5" t="s">
        <v>69</v>
      </c>
      <c r="C241" s="6" t="s">
        <v>415</v>
      </c>
      <c r="D241" s="7">
        <f t="shared" si="0"/>
        <v>2.2999999999999998</v>
      </c>
      <c r="E241" s="8">
        <v>0</v>
      </c>
      <c r="F241" s="5">
        <v>0</v>
      </c>
      <c r="G241" s="5">
        <v>0</v>
      </c>
      <c r="H241" s="5">
        <v>0</v>
      </c>
      <c r="I241" s="5">
        <v>0</v>
      </c>
      <c r="J241" s="9">
        <v>0</v>
      </c>
      <c r="K241" s="8">
        <v>0</v>
      </c>
      <c r="L241" s="5">
        <v>0</v>
      </c>
      <c r="M241" s="5">
        <v>0</v>
      </c>
      <c r="N241" s="9">
        <v>0</v>
      </c>
      <c r="O241" s="8">
        <v>2</v>
      </c>
      <c r="P241" s="5">
        <v>3</v>
      </c>
      <c r="Q241" s="5">
        <v>0</v>
      </c>
      <c r="R241" s="9">
        <v>0</v>
      </c>
      <c r="S241" s="8">
        <v>0</v>
      </c>
      <c r="T241" s="9">
        <v>0</v>
      </c>
    </row>
    <row r="242" spans="1:20" x14ac:dyDescent="0.2">
      <c r="A242" s="5" t="s">
        <v>391</v>
      </c>
      <c r="B242" s="5" t="s">
        <v>75</v>
      </c>
      <c r="C242" s="8" t="s">
        <v>411</v>
      </c>
      <c r="D242" s="7">
        <f t="shared" si="0"/>
        <v>2.2000000000000002</v>
      </c>
      <c r="E242" s="8">
        <v>0</v>
      </c>
      <c r="F242" s="5">
        <v>0</v>
      </c>
      <c r="G242" s="5">
        <v>0</v>
      </c>
      <c r="H242" s="5">
        <v>0</v>
      </c>
      <c r="I242" s="5">
        <v>0</v>
      </c>
      <c r="J242" s="9">
        <v>0</v>
      </c>
      <c r="K242" s="8">
        <v>2</v>
      </c>
      <c r="L242" s="5">
        <v>6</v>
      </c>
      <c r="M242" s="5">
        <v>0</v>
      </c>
      <c r="N242" s="9">
        <v>0</v>
      </c>
      <c r="O242" s="8">
        <v>1</v>
      </c>
      <c r="P242" s="5">
        <v>6</v>
      </c>
      <c r="Q242" s="5">
        <v>0</v>
      </c>
      <c r="R242" s="9">
        <v>0</v>
      </c>
      <c r="S242" s="8">
        <v>0</v>
      </c>
      <c r="T242" s="9">
        <v>0</v>
      </c>
    </row>
    <row r="243" spans="1:20" x14ac:dyDescent="0.2">
      <c r="A243" s="5" t="s">
        <v>441</v>
      </c>
      <c r="B243" s="18" t="s">
        <v>162</v>
      </c>
      <c r="C243" s="8" t="s">
        <v>418</v>
      </c>
      <c r="D243" s="7">
        <f t="shared" si="0"/>
        <v>2.2000000000000002</v>
      </c>
      <c r="E243" s="8">
        <v>0</v>
      </c>
      <c r="F243" s="5">
        <v>0</v>
      </c>
      <c r="G243" s="5">
        <v>0</v>
      </c>
      <c r="H243" s="5">
        <v>0</v>
      </c>
      <c r="I243" s="5">
        <v>0</v>
      </c>
      <c r="J243" s="9">
        <v>0</v>
      </c>
      <c r="K243" s="8">
        <v>0</v>
      </c>
      <c r="L243" s="5">
        <v>0</v>
      </c>
      <c r="M243" s="5">
        <v>0</v>
      </c>
      <c r="N243" s="9">
        <v>0</v>
      </c>
      <c r="O243" s="8">
        <v>1</v>
      </c>
      <c r="P243" s="5">
        <v>12</v>
      </c>
      <c r="Q243" s="5">
        <v>0</v>
      </c>
      <c r="R243" s="9">
        <v>0</v>
      </c>
      <c r="S243" s="8">
        <v>0</v>
      </c>
      <c r="T243" s="9">
        <v>0</v>
      </c>
    </row>
    <row r="244" spans="1:20" x14ac:dyDescent="0.2">
      <c r="A244" s="5" t="s">
        <v>442</v>
      </c>
      <c r="B244" s="5" t="s">
        <v>69</v>
      </c>
      <c r="C244" s="6" t="s">
        <v>401</v>
      </c>
      <c r="D244" s="7">
        <f t="shared" si="0"/>
        <v>2.1</v>
      </c>
      <c r="E244" s="8">
        <v>0</v>
      </c>
      <c r="F244" s="5">
        <v>0</v>
      </c>
      <c r="G244" s="5">
        <v>0</v>
      </c>
      <c r="H244" s="5">
        <v>0</v>
      </c>
      <c r="I244" s="5">
        <v>0</v>
      </c>
      <c r="J244" s="9">
        <v>0</v>
      </c>
      <c r="K244" s="8">
        <v>0</v>
      </c>
      <c r="L244" s="5">
        <v>0</v>
      </c>
      <c r="M244" s="5">
        <v>0</v>
      </c>
      <c r="N244" s="9">
        <v>0</v>
      </c>
      <c r="O244" s="8">
        <v>1</v>
      </c>
      <c r="P244" s="5">
        <v>11</v>
      </c>
      <c r="Q244" s="5">
        <v>0</v>
      </c>
      <c r="R244" s="9">
        <v>0</v>
      </c>
      <c r="S244" s="8">
        <v>0</v>
      </c>
      <c r="T244" s="9">
        <v>0</v>
      </c>
    </row>
    <row r="245" spans="1:20" x14ac:dyDescent="0.2">
      <c r="A245" s="5" t="s">
        <v>272</v>
      </c>
      <c r="B245" s="5" t="s">
        <v>69</v>
      </c>
      <c r="C245" s="6" t="s">
        <v>404</v>
      </c>
      <c r="D245" s="7">
        <f t="shared" si="0"/>
        <v>2.1</v>
      </c>
      <c r="E245" s="8">
        <v>0</v>
      </c>
      <c r="F245" s="5">
        <v>0</v>
      </c>
      <c r="G245" s="5">
        <v>0</v>
      </c>
      <c r="H245" s="5">
        <v>0</v>
      </c>
      <c r="I245" s="5">
        <v>0</v>
      </c>
      <c r="J245" s="9">
        <v>0</v>
      </c>
      <c r="K245" s="8">
        <v>0</v>
      </c>
      <c r="L245" s="5">
        <v>0</v>
      </c>
      <c r="M245" s="5">
        <v>0</v>
      </c>
      <c r="N245" s="9">
        <v>0</v>
      </c>
      <c r="O245" s="8">
        <v>1</v>
      </c>
      <c r="P245" s="5">
        <v>11</v>
      </c>
      <c r="Q245" s="5">
        <v>0</v>
      </c>
      <c r="R245" s="9">
        <v>0</v>
      </c>
      <c r="S245" s="8">
        <v>0</v>
      </c>
      <c r="T245" s="9">
        <v>0</v>
      </c>
    </row>
    <row r="246" spans="1:20" x14ac:dyDescent="0.2">
      <c r="A246" s="5" t="s">
        <v>295</v>
      </c>
      <c r="B246" s="5" t="s">
        <v>69</v>
      </c>
      <c r="C246" s="6" t="s">
        <v>415</v>
      </c>
      <c r="D246" s="7">
        <f t="shared" si="0"/>
        <v>2.1</v>
      </c>
      <c r="E246" s="8">
        <v>0</v>
      </c>
      <c r="F246" s="5">
        <v>0</v>
      </c>
      <c r="G246" s="5">
        <v>0</v>
      </c>
      <c r="H246" s="5">
        <v>0</v>
      </c>
      <c r="I246" s="5">
        <v>0</v>
      </c>
      <c r="J246" s="9">
        <v>0</v>
      </c>
      <c r="K246" s="8">
        <v>0</v>
      </c>
      <c r="L246" s="5">
        <v>0</v>
      </c>
      <c r="M246" s="5">
        <v>0</v>
      </c>
      <c r="N246" s="9">
        <v>0</v>
      </c>
      <c r="O246" s="8">
        <v>1</v>
      </c>
      <c r="P246" s="5">
        <v>11</v>
      </c>
      <c r="Q246" s="5">
        <v>0</v>
      </c>
      <c r="R246" s="9">
        <v>0</v>
      </c>
      <c r="S246" s="8">
        <v>0</v>
      </c>
      <c r="T246" s="9">
        <v>0</v>
      </c>
    </row>
    <row r="247" spans="1:20" x14ac:dyDescent="0.2">
      <c r="A247" s="5" t="s">
        <v>308</v>
      </c>
      <c r="B247" s="5" t="s">
        <v>69</v>
      </c>
      <c r="C247" s="6" t="s">
        <v>405</v>
      </c>
      <c r="D247" s="7">
        <f t="shared" si="0"/>
        <v>2.1</v>
      </c>
      <c r="E247" s="8">
        <v>0</v>
      </c>
      <c r="F247" s="5">
        <v>0</v>
      </c>
      <c r="G247" s="5">
        <v>0</v>
      </c>
      <c r="H247" s="5">
        <v>0</v>
      </c>
      <c r="I247" s="5">
        <v>0</v>
      </c>
      <c r="J247" s="9">
        <v>0</v>
      </c>
      <c r="K247" s="8">
        <v>0</v>
      </c>
      <c r="L247" s="5">
        <v>0</v>
      </c>
      <c r="M247" s="5">
        <v>0</v>
      </c>
      <c r="N247" s="9">
        <v>0</v>
      </c>
      <c r="O247" s="8">
        <v>1</v>
      </c>
      <c r="P247" s="5">
        <v>11</v>
      </c>
      <c r="Q247" s="5">
        <v>0</v>
      </c>
      <c r="R247" s="9">
        <v>0</v>
      </c>
      <c r="S247" s="8">
        <v>0</v>
      </c>
      <c r="T247" s="9">
        <v>0</v>
      </c>
    </row>
    <row r="248" spans="1:20" x14ac:dyDescent="0.2">
      <c r="A248" s="5" t="s">
        <v>88</v>
      </c>
      <c r="B248" s="5" t="s">
        <v>75</v>
      </c>
      <c r="C248" s="6" t="s">
        <v>410</v>
      </c>
      <c r="D248" s="7">
        <f t="shared" si="0"/>
        <v>2</v>
      </c>
      <c r="E248" s="8">
        <v>0</v>
      </c>
      <c r="F248" s="5">
        <v>0</v>
      </c>
      <c r="G248" s="5">
        <v>0</v>
      </c>
      <c r="H248" s="5">
        <v>0</v>
      </c>
      <c r="I248" s="5">
        <v>0</v>
      </c>
      <c r="J248" s="9">
        <v>0</v>
      </c>
      <c r="K248" s="8">
        <v>11</v>
      </c>
      <c r="L248" s="5">
        <v>20</v>
      </c>
      <c r="M248" s="5">
        <v>0</v>
      </c>
      <c r="N248" s="9">
        <v>0</v>
      </c>
      <c r="O248" s="8">
        <v>0</v>
      </c>
      <c r="P248" s="5">
        <v>0</v>
      </c>
      <c r="Q248" s="5">
        <v>0</v>
      </c>
      <c r="R248" s="9">
        <v>0</v>
      </c>
      <c r="S248" s="8">
        <v>0</v>
      </c>
      <c r="T248" s="9">
        <v>0</v>
      </c>
    </row>
    <row r="249" spans="1:20" x14ac:dyDescent="0.2">
      <c r="A249" s="5" t="s">
        <v>237</v>
      </c>
      <c r="B249" s="18" t="s">
        <v>162</v>
      </c>
      <c r="C249" s="8" t="s">
        <v>404</v>
      </c>
      <c r="D249" s="7">
        <f t="shared" si="0"/>
        <v>2</v>
      </c>
      <c r="E249" s="8">
        <v>0</v>
      </c>
      <c r="F249" s="5">
        <v>0</v>
      </c>
      <c r="G249" s="5">
        <v>0</v>
      </c>
      <c r="H249" s="5">
        <v>0</v>
      </c>
      <c r="I249" s="5">
        <v>0</v>
      </c>
      <c r="J249" s="9">
        <v>0</v>
      </c>
      <c r="K249" s="8">
        <v>0</v>
      </c>
      <c r="L249" s="5">
        <v>0</v>
      </c>
      <c r="M249" s="5">
        <v>0</v>
      </c>
      <c r="N249" s="9">
        <v>0</v>
      </c>
      <c r="O249" s="8">
        <v>1</v>
      </c>
      <c r="P249" s="5">
        <v>10</v>
      </c>
      <c r="Q249" s="5">
        <v>0</v>
      </c>
      <c r="R249" s="9">
        <v>0</v>
      </c>
      <c r="S249" s="8">
        <v>0</v>
      </c>
      <c r="T249" s="9">
        <v>0</v>
      </c>
    </row>
    <row r="250" spans="1:20" x14ac:dyDescent="0.2">
      <c r="A250" s="5" t="s">
        <v>248</v>
      </c>
      <c r="B250" s="18" t="s">
        <v>162</v>
      </c>
      <c r="C250" s="8" t="s">
        <v>411</v>
      </c>
      <c r="D250" s="7">
        <f t="shared" si="0"/>
        <v>2</v>
      </c>
      <c r="E250" s="8">
        <v>0</v>
      </c>
      <c r="F250" s="5">
        <v>0</v>
      </c>
      <c r="G250" s="5">
        <v>0</v>
      </c>
      <c r="H250" s="5">
        <v>0</v>
      </c>
      <c r="I250" s="5">
        <v>0</v>
      </c>
      <c r="J250" s="9">
        <v>0</v>
      </c>
      <c r="K250" s="8">
        <v>0</v>
      </c>
      <c r="L250" s="5">
        <v>0</v>
      </c>
      <c r="M250" s="5">
        <v>0</v>
      </c>
      <c r="N250" s="9">
        <v>0</v>
      </c>
      <c r="O250" s="8">
        <v>0</v>
      </c>
      <c r="P250" s="5">
        <v>0</v>
      </c>
      <c r="Q250" s="5">
        <v>0</v>
      </c>
      <c r="R250" s="9">
        <v>1</v>
      </c>
      <c r="S250" s="8">
        <v>0</v>
      </c>
      <c r="T250" s="9">
        <v>0</v>
      </c>
    </row>
    <row r="251" spans="1:20" x14ac:dyDescent="0.2">
      <c r="A251" s="5" t="s">
        <v>389</v>
      </c>
      <c r="B251" s="5" t="s">
        <v>69</v>
      </c>
      <c r="C251" s="8" t="s">
        <v>403</v>
      </c>
      <c r="D251" s="7">
        <f t="shared" si="0"/>
        <v>2</v>
      </c>
      <c r="E251" s="8">
        <v>0</v>
      </c>
      <c r="F251" s="5">
        <v>0</v>
      </c>
      <c r="G251" s="5">
        <v>0</v>
      </c>
      <c r="H251" s="5">
        <v>0</v>
      </c>
      <c r="I251" s="5">
        <v>0</v>
      </c>
      <c r="J251" s="9">
        <v>0</v>
      </c>
      <c r="K251" s="8">
        <v>0</v>
      </c>
      <c r="L251" s="5">
        <v>0</v>
      </c>
      <c r="M251" s="5">
        <v>0</v>
      </c>
      <c r="N251" s="9">
        <v>0</v>
      </c>
      <c r="O251" s="8">
        <v>0</v>
      </c>
      <c r="P251" s="5">
        <v>0</v>
      </c>
      <c r="Q251" s="5">
        <v>0</v>
      </c>
      <c r="R251" s="9">
        <v>1</v>
      </c>
      <c r="S251" s="8">
        <v>0</v>
      </c>
      <c r="T251" s="9">
        <v>0</v>
      </c>
    </row>
    <row r="252" spans="1:20" x14ac:dyDescent="0.2">
      <c r="A252" s="5" t="s">
        <v>443</v>
      </c>
      <c r="B252" s="5" t="s">
        <v>69</v>
      </c>
      <c r="C252" s="6" t="s">
        <v>413</v>
      </c>
      <c r="D252" s="7">
        <f t="shared" si="0"/>
        <v>2</v>
      </c>
      <c r="E252" s="8">
        <v>0</v>
      </c>
      <c r="F252" s="5">
        <v>0</v>
      </c>
      <c r="G252" s="5">
        <v>0</v>
      </c>
      <c r="H252" s="5">
        <v>0</v>
      </c>
      <c r="I252" s="5">
        <v>0</v>
      </c>
      <c r="J252" s="9">
        <v>0</v>
      </c>
      <c r="K252" s="8">
        <v>0</v>
      </c>
      <c r="L252" s="5">
        <v>0</v>
      </c>
      <c r="M252" s="5">
        <v>0</v>
      </c>
      <c r="N252" s="9">
        <v>0</v>
      </c>
      <c r="O252" s="8">
        <v>1</v>
      </c>
      <c r="P252" s="5">
        <v>10</v>
      </c>
      <c r="Q252" s="5">
        <v>0</v>
      </c>
      <c r="R252" s="9">
        <v>0</v>
      </c>
      <c r="S252" s="8">
        <v>0</v>
      </c>
      <c r="T252" s="9">
        <v>0</v>
      </c>
    </row>
    <row r="253" spans="1:20" x14ac:dyDescent="0.2">
      <c r="A253" s="5" t="s">
        <v>289</v>
      </c>
      <c r="B253" s="5" t="s">
        <v>69</v>
      </c>
      <c r="C253" s="8" t="s">
        <v>407</v>
      </c>
      <c r="D253" s="7">
        <f t="shared" si="0"/>
        <v>1.9</v>
      </c>
      <c r="E253" s="8">
        <v>0</v>
      </c>
      <c r="F253" s="5">
        <v>0</v>
      </c>
      <c r="G253" s="5">
        <v>0</v>
      </c>
      <c r="H253" s="5">
        <v>0</v>
      </c>
      <c r="I253" s="5">
        <v>0</v>
      </c>
      <c r="J253" s="9">
        <v>0</v>
      </c>
      <c r="K253" s="8">
        <v>0</v>
      </c>
      <c r="L253" s="5">
        <v>0</v>
      </c>
      <c r="M253" s="5">
        <v>0</v>
      </c>
      <c r="N253" s="9">
        <v>0</v>
      </c>
      <c r="O253" s="8">
        <v>1</v>
      </c>
      <c r="P253" s="5">
        <v>9</v>
      </c>
      <c r="Q253" s="5">
        <v>0</v>
      </c>
      <c r="R253" s="9">
        <v>0</v>
      </c>
      <c r="S253" s="8">
        <v>0</v>
      </c>
      <c r="T253" s="9">
        <v>0</v>
      </c>
    </row>
    <row r="254" spans="1:20" x14ac:dyDescent="0.2">
      <c r="A254" s="5" t="s">
        <v>313</v>
      </c>
      <c r="B254" s="5" t="s">
        <v>69</v>
      </c>
      <c r="C254" s="6" t="s">
        <v>408</v>
      </c>
      <c r="D254" s="7">
        <f t="shared" si="0"/>
        <v>1.9</v>
      </c>
      <c r="E254" s="8">
        <v>0</v>
      </c>
      <c r="F254" s="5">
        <v>0</v>
      </c>
      <c r="G254" s="5">
        <v>0</v>
      </c>
      <c r="H254" s="5">
        <v>0</v>
      </c>
      <c r="I254" s="5">
        <v>0</v>
      </c>
      <c r="J254" s="9">
        <v>0</v>
      </c>
      <c r="K254" s="8">
        <v>0</v>
      </c>
      <c r="L254" s="5">
        <v>0</v>
      </c>
      <c r="M254" s="5">
        <v>0</v>
      </c>
      <c r="N254" s="9">
        <v>0</v>
      </c>
      <c r="O254" s="8">
        <v>1</v>
      </c>
      <c r="P254" s="5">
        <v>9</v>
      </c>
      <c r="Q254" s="5">
        <v>0</v>
      </c>
      <c r="R254" s="9">
        <v>0</v>
      </c>
      <c r="S254" s="8">
        <v>0</v>
      </c>
      <c r="T254" s="9">
        <v>0</v>
      </c>
    </row>
    <row r="255" spans="1:20" x14ac:dyDescent="0.2">
      <c r="A255" s="5" t="s">
        <v>444</v>
      </c>
      <c r="B255" s="5" t="s">
        <v>69</v>
      </c>
      <c r="C255" s="8" t="s">
        <v>418</v>
      </c>
      <c r="D255" s="7">
        <f t="shared" si="0"/>
        <v>1.9</v>
      </c>
      <c r="E255" s="8">
        <v>0</v>
      </c>
      <c r="F255" s="5">
        <v>0</v>
      </c>
      <c r="G255" s="5">
        <v>0</v>
      </c>
      <c r="H255" s="5">
        <v>0</v>
      </c>
      <c r="I255" s="5">
        <v>0</v>
      </c>
      <c r="J255" s="9">
        <v>0</v>
      </c>
      <c r="K255" s="8">
        <v>0</v>
      </c>
      <c r="L255" s="5">
        <v>0</v>
      </c>
      <c r="M255" s="5">
        <v>0</v>
      </c>
      <c r="N255" s="9">
        <v>0</v>
      </c>
      <c r="O255" s="8">
        <v>1</v>
      </c>
      <c r="P255" s="5">
        <v>9</v>
      </c>
      <c r="Q255" s="5">
        <v>0</v>
      </c>
      <c r="R255" s="9">
        <v>0</v>
      </c>
      <c r="S255" s="8">
        <v>0</v>
      </c>
      <c r="T255" s="9">
        <v>0</v>
      </c>
    </row>
    <row r="256" spans="1:20" x14ac:dyDescent="0.2">
      <c r="A256" s="5" t="s">
        <v>209</v>
      </c>
      <c r="B256" s="18" t="s">
        <v>162</v>
      </c>
      <c r="C256" s="8" t="s">
        <v>414</v>
      </c>
      <c r="D256" s="7">
        <f t="shared" si="0"/>
        <v>1.8</v>
      </c>
      <c r="E256" s="8">
        <v>0</v>
      </c>
      <c r="F256" s="5">
        <v>0</v>
      </c>
      <c r="G256" s="5">
        <v>0</v>
      </c>
      <c r="H256" s="5">
        <v>0</v>
      </c>
      <c r="I256" s="5">
        <v>0</v>
      </c>
      <c r="J256" s="9">
        <v>0</v>
      </c>
      <c r="K256" s="8">
        <v>0</v>
      </c>
      <c r="L256" s="5">
        <v>0</v>
      </c>
      <c r="M256" s="5">
        <v>0</v>
      </c>
      <c r="N256" s="9">
        <v>0</v>
      </c>
      <c r="O256" s="8">
        <v>1</v>
      </c>
      <c r="P256" s="5">
        <v>8</v>
      </c>
      <c r="Q256" s="5">
        <v>0</v>
      </c>
      <c r="R256" s="9">
        <v>0</v>
      </c>
      <c r="S256" s="8">
        <v>0</v>
      </c>
      <c r="T256" s="9">
        <v>0</v>
      </c>
    </row>
    <row r="257" spans="1:20" x14ac:dyDescent="0.2">
      <c r="A257" s="5" t="s">
        <v>315</v>
      </c>
      <c r="B257" s="5" t="s">
        <v>69</v>
      </c>
      <c r="C257" s="6" t="s">
        <v>409</v>
      </c>
      <c r="D257" s="7">
        <f t="shared" si="0"/>
        <v>1.8</v>
      </c>
      <c r="E257" s="8">
        <v>0</v>
      </c>
      <c r="F257" s="5">
        <v>0</v>
      </c>
      <c r="G257" s="5">
        <v>0</v>
      </c>
      <c r="H257" s="5">
        <v>0</v>
      </c>
      <c r="I257" s="5">
        <v>0</v>
      </c>
      <c r="J257" s="9">
        <v>0</v>
      </c>
      <c r="K257" s="8">
        <v>0</v>
      </c>
      <c r="L257" s="5">
        <v>0</v>
      </c>
      <c r="M257" s="5">
        <v>0</v>
      </c>
      <c r="N257" s="9">
        <v>0</v>
      </c>
      <c r="O257" s="8">
        <v>1</v>
      </c>
      <c r="P257" s="5">
        <v>8</v>
      </c>
      <c r="Q257" s="5">
        <v>0</v>
      </c>
      <c r="R257" s="9">
        <v>0</v>
      </c>
      <c r="S257" s="8">
        <v>0</v>
      </c>
      <c r="T257" s="9">
        <v>0</v>
      </c>
    </row>
    <row r="258" spans="1:20" x14ac:dyDescent="0.2">
      <c r="A258" s="5" t="s">
        <v>445</v>
      </c>
      <c r="B258" s="5" t="s">
        <v>69</v>
      </c>
      <c r="C258" s="6" t="s">
        <v>404</v>
      </c>
      <c r="D258" s="7">
        <f t="shared" ref="D258:D297" si="1">0.04*G258+4*H258-2*I258+2*J258+0.1*L258+6*M258+2*N258+1*O258+0.1*P258+6*Q258+2*R258-2*S258</f>
        <v>1.8</v>
      </c>
      <c r="E258" s="8">
        <v>0</v>
      </c>
      <c r="F258" s="5">
        <v>0</v>
      </c>
      <c r="G258" s="5">
        <v>0</v>
      </c>
      <c r="H258" s="5">
        <v>0</v>
      </c>
      <c r="I258" s="5">
        <v>0</v>
      </c>
      <c r="J258" s="9">
        <v>0</v>
      </c>
      <c r="K258" s="8">
        <v>0</v>
      </c>
      <c r="L258" s="5">
        <v>0</v>
      </c>
      <c r="M258" s="5">
        <v>0</v>
      </c>
      <c r="N258" s="9">
        <v>0</v>
      </c>
      <c r="O258" s="8">
        <v>1</v>
      </c>
      <c r="P258" s="5">
        <v>8</v>
      </c>
      <c r="Q258" s="5">
        <v>0</v>
      </c>
      <c r="R258" s="9">
        <v>0</v>
      </c>
      <c r="S258" s="8">
        <v>0</v>
      </c>
      <c r="T258" s="9">
        <v>0</v>
      </c>
    </row>
    <row r="259" spans="1:20" x14ac:dyDescent="0.2">
      <c r="A259" s="5" t="s">
        <v>137</v>
      </c>
      <c r="B259" s="5" t="s">
        <v>75</v>
      </c>
      <c r="C259" s="8" t="s">
        <v>402</v>
      </c>
      <c r="D259" s="7">
        <f t="shared" si="1"/>
        <v>1.7000000000000002</v>
      </c>
      <c r="E259" s="8">
        <v>0</v>
      </c>
      <c r="F259" s="5">
        <v>0</v>
      </c>
      <c r="G259" s="5">
        <v>0</v>
      </c>
      <c r="H259" s="5">
        <v>0</v>
      </c>
      <c r="I259" s="5">
        <v>0</v>
      </c>
      <c r="J259" s="9">
        <v>0</v>
      </c>
      <c r="K259" s="8">
        <v>0</v>
      </c>
      <c r="L259" s="5">
        <v>0</v>
      </c>
      <c r="M259" s="5">
        <v>0</v>
      </c>
      <c r="N259" s="9">
        <v>0</v>
      </c>
      <c r="O259" s="8">
        <v>1</v>
      </c>
      <c r="P259" s="5">
        <v>7</v>
      </c>
      <c r="Q259" s="5">
        <v>0</v>
      </c>
      <c r="R259" s="9">
        <v>0</v>
      </c>
      <c r="S259" s="8">
        <v>0</v>
      </c>
      <c r="T259" s="9">
        <v>0</v>
      </c>
    </row>
    <row r="260" spans="1:20" x14ac:dyDescent="0.2">
      <c r="A260" s="5" t="s">
        <v>245</v>
      </c>
      <c r="B260" s="18" t="s">
        <v>162</v>
      </c>
      <c r="C260" s="6" t="s">
        <v>404</v>
      </c>
      <c r="D260" s="7">
        <f t="shared" si="1"/>
        <v>1.7000000000000002</v>
      </c>
      <c r="E260" s="8">
        <v>0</v>
      </c>
      <c r="F260" s="5">
        <v>0</v>
      </c>
      <c r="G260" s="5">
        <v>0</v>
      </c>
      <c r="H260" s="5">
        <v>0</v>
      </c>
      <c r="I260" s="5">
        <v>0</v>
      </c>
      <c r="J260" s="9">
        <v>0</v>
      </c>
      <c r="K260" s="8">
        <v>2</v>
      </c>
      <c r="L260" s="5">
        <v>7</v>
      </c>
      <c r="M260" s="5">
        <v>0</v>
      </c>
      <c r="N260" s="9">
        <v>0</v>
      </c>
      <c r="O260" s="8">
        <v>1</v>
      </c>
      <c r="P260" s="5">
        <v>0</v>
      </c>
      <c r="Q260" s="5">
        <v>0</v>
      </c>
      <c r="R260" s="9">
        <v>0</v>
      </c>
      <c r="S260" s="8">
        <v>0</v>
      </c>
      <c r="T260" s="9">
        <v>0</v>
      </c>
    </row>
    <row r="261" spans="1:20" x14ac:dyDescent="0.2">
      <c r="A261" s="5" t="s">
        <v>446</v>
      </c>
      <c r="B261" s="5" t="s">
        <v>69</v>
      </c>
      <c r="C261" s="8" t="s">
        <v>406</v>
      </c>
      <c r="D261" s="7">
        <f t="shared" si="1"/>
        <v>1.7000000000000002</v>
      </c>
      <c r="E261" s="8">
        <v>0</v>
      </c>
      <c r="F261" s="5">
        <v>0</v>
      </c>
      <c r="G261" s="5">
        <v>0</v>
      </c>
      <c r="H261" s="5">
        <v>0</v>
      </c>
      <c r="I261" s="5">
        <v>0</v>
      </c>
      <c r="J261" s="9">
        <v>0</v>
      </c>
      <c r="K261" s="8">
        <v>0</v>
      </c>
      <c r="L261" s="5">
        <v>0</v>
      </c>
      <c r="M261" s="5">
        <v>0</v>
      </c>
      <c r="N261" s="9">
        <v>0</v>
      </c>
      <c r="O261" s="8">
        <v>1</v>
      </c>
      <c r="P261" s="5">
        <v>7</v>
      </c>
      <c r="Q261" s="5">
        <v>0</v>
      </c>
      <c r="R261" s="9">
        <v>0</v>
      </c>
      <c r="S261" s="8">
        <v>0</v>
      </c>
      <c r="T261" s="9">
        <v>0</v>
      </c>
    </row>
    <row r="262" spans="1:20" x14ac:dyDescent="0.2">
      <c r="A262" s="5" t="s">
        <v>217</v>
      </c>
      <c r="B262" s="18" t="s">
        <v>162</v>
      </c>
      <c r="C262" s="8" t="s">
        <v>405</v>
      </c>
      <c r="D262" s="7">
        <f t="shared" si="1"/>
        <v>1.6</v>
      </c>
      <c r="E262" s="8">
        <v>0</v>
      </c>
      <c r="F262" s="5">
        <v>0</v>
      </c>
      <c r="G262" s="5">
        <v>0</v>
      </c>
      <c r="H262" s="5">
        <v>0</v>
      </c>
      <c r="I262" s="5">
        <v>0</v>
      </c>
      <c r="J262" s="9">
        <v>0</v>
      </c>
      <c r="K262" s="8">
        <v>0</v>
      </c>
      <c r="L262" s="5">
        <v>0</v>
      </c>
      <c r="M262" s="5">
        <v>0</v>
      </c>
      <c r="N262" s="9">
        <v>0</v>
      </c>
      <c r="O262" s="8">
        <v>1</v>
      </c>
      <c r="P262" s="5">
        <v>6</v>
      </c>
      <c r="Q262" s="5">
        <v>0</v>
      </c>
      <c r="R262" s="9">
        <v>0</v>
      </c>
      <c r="S262" s="8">
        <v>0</v>
      </c>
      <c r="T262" s="9">
        <v>0</v>
      </c>
    </row>
    <row r="263" spans="1:20" x14ac:dyDescent="0.2">
      <c r="A263" s="5" t="s">
        <v>447</v>
      </c>
      <c r="B263" s="18" t="s">
        <v>162</v>
      </c>
      <c r="C263" s="8" t="s">
        <v>406</v>
      </c>
      <c r="D263" s="7">
        <f t="shared" si="1"/>
        <v>1.6</v>
      </c>
      <c r="E263" s="8">
        <v>0</v>
      </c>
      <c r="F263" s="5">
        <v>0</v>
      </c>
      <c r="G263" s="5">
        <v>0</v>
      </c>
      <c r="H263" s="5">
        <v>0</v>
      </c>
      <c r="I263" s="5">
        <v>0</v>
      </c>
      <c r="J263" s="9">
        <v>0</v>
      </c>
      <c r="K263" s="8">
        <v>0</v>
      </c>
      <c r="L263" s="5">
        <v>0</v>
      </c>
      <c r="M263" s="5">
        <v>0</v>
      </c>
      <c r="N263" s="9">
        <v>0</v>
      </c>
      <c r="O263" s="8">
        <v>1</v>
      </c>
      <c r="P263" s="5">
        <v>6</v>
      </c>
      <c r="Q263" s="5">
        <v>0</v>
      </c>
      <c r="R263" s="9">
        <v>0</v>
      </c>
      <c r="S263" s="8">
        <v>0</v>
      </c>
      <c r="T263" s="9">
        <v>0</v>
      </c>
    </row>
    <row r="264" spans="1:20" x14ac:dyDescent="0.2">
      <c r="A264" s="5" t="s">
        <v>244</v>
      </c>
      <c r="B264" s="18" t="s">
        <v>162</v>
      </c>
      <c r="C264" s="6" t="s">
        <v>407</v>
      </c>
      <c r="D264" s="7">
        <f t="shared" si="1"/>
        <v>1.6</v>
      </c>
      <c r="E264" s="8">
        <v>0</v>
      </c>
      <c r="F264" s="5">
        <v>0</v>
      </c>
      <c r="G264" s="5">
        <v>0</v>
      </c>
      <c r="H264" s="5">
        <v>0</v>
      </c>
      <c r="I264" s="5">
        <v>0</v>
      </c>
      <c r="J264" s="9">
        <v>0</v>
      </c>
      <c r="K264" s="8">
        <v>0</v>
      </c>
      <c r="L264" s="5">
        <v>0</v>
      </c>
      <c r="M264" s="5">
        <v>0</v>
      </c>
      <c r="N264" s="9">
        <v>0</v>
      </c>
      <c r="O264" s="8">
        <v>1</v>
      </c>
      <c r="P264" s="5">
        <v>6</v>
      </c>
      <c r="Q264" s="5">
        <v>0</v>
      </c>
      <c r="R264" s="9">
        <v>0</v>
      </c>
      <c r="S264" s="8">
        <v>0</v>
      </c>
      <c r="T264" s="9">
        <v>0</v>
      </c>
    </row>
    <row r="265" spans="1:20" x14ac:dyDescent="0.2">
      <c r="A265" s="5" t="s">
        <v>448</v>
      </c>
      <c r="B265" s="5" t="s">
        <v>69</v>
      </c>
      <c r="C265" s="6" t="s">
        <v>414</v>
      </c>
      <c r="D265" s="7">
        <f t="shared" si="1"/>
        <v>1.6</v>
      </c>
      <c r="E265" s="8">
        <v>0</v>
      </c>
      <c r="F265" s="5">
        <v>0</v>
      </c>
      <c r="G265" s="5">
        <v>0</v>
      </c>
      <c r="H265" s="5">
        <v>0</v>
      </c>
      <c r="I265" s="5">
        <v>0</v>
      </c>
      <c r="J265" s="9">
        <v>0</v>
      </c>
      <c r="K265" s="8">
        <v>0</v>
      </c>
      <c r="L265" s="5">
        <v>0</v>
      </c>
      <c r="M265" s="5">
        <v>0</v>
      </c>
      <c r="N265" s="9">
        <v>0</v>
      </c>
      <c r="O265" s="8">
        <v>1</v>
      </c>
      <c r="P265" s="5">
        <v>6</v>
      </c>
      <c r="Q265" s="5">
        <v>0</v>
      </c>
      <c r="R265" s="9">
        <v>0</v>
      </c>
      <c r="S265" s="8">
        <v>0</v>
      </c>
      <c r="T265" s="9">
        <v>0</v>
      </c>
    </row>
    <row r="266" spans="1:20" x14ac:dyDescent="0.2">
      <c r="A266" s="5" t="s">
        <v>133</v>
      </c>
      <c r="B266" s="5" t="s">
        <v>75</v>
      </c>
      <c r="C266" s="8" t="s">
        <v>404</v>
      </c>
      <c r="D266" s="7">
        <f t="shared" si="1"/>
        <v>1.5000000000000002</v>
      </c>
      <c r="E266" s="8">
        <v>0</v>
      </c>
      <c r="F266" s="5">
        <v>0</v>
      </c>
      <c r="G266" s="5">
        <v>0</v>
      </c>
      <c r="H266" s="5">
        <v>0</v>
      </c>
      <c r="I266" s="5">
        <v>0</v>
      </c>
      <c r="J266" s="9">
        <v>0</v>
      </c>
      <c r="K266" s="8">
        <v>2</v>
      </c>
      <c r="L266" s="5">
        <v>7</v>
      </c>
      <c r="M266" s="5">
        <v>0</v>
      </c>
      <c r="N266" s="9">
        <v>0</v>
      </c>
      <c r="O266" s="8">
        <v>1</v>
      </c>
      <c r="P266" s="5">
        <v>-2</v>
      </c>
      <c r="Q266" s="5">
        <v>0</v>
      </c>
      <c r="R266" s="9">
        <v>0</v>
      </c>
      <c r="S266" s="8">
        <v>0</v>
      </c>
      <c r="T266" s="9">
        <v>0</v>
      </c>
    </row>
    <row r="267" spans="1:20" x14ac:dyDescent="0.2">
      <c r="A267" s="5" t="s">
        <v>127</v>
      </c>
      <c r="B267" s="5" t="s">
        <v>75</v>
      </c>
      <c r="C267" s="6" t="s">
        <v>415</v>
      </c>
      <c r="D267" s="7">
        <f t="shared" si="1"/>
        <v>1.5</v>
      </c>
      <c r="E267" s="8">
        <v>0</v>
      </c>
      <c r="F267" s="5">
        <v>0</v>
      </c>
      <c r="G267" s="5">
        <v>0</v>
      </c>
      <c r="H267" s="5">
        <v>0</v>
      </c>
      <c r="I267" s="5">
        <v>0</v>
      </c>
      <c r="J267" s="9">
        <v>0</v>
      </c>
      <c r="K267" s="8">
        <v>5</v>
      </c>
      <c r="L267" s="5">
        <v>15</v>
      </c>
      <c r="M267" s="5">
        <v>0</v>
      </c>
      <c r="N267" s="9">
        <v>0</v>
      </c>
      <c r="O267" s="8">
        <v>0</v>
      </c>
      <c r="P267" s="5">
        <v>0</v>
      </c>
      <c r="Q267" s="5">
        <v>0</v>
      </c>
      <c r="R267" s="9">
        <v>0</v>
      </c>
      <c r="S267" s="8">
        <v>0</v>
      </c>
      <c r="T267" s="9">
        <v>0</v>
      </c>
    </row>
    <row r="268" spans="1:20" x14ac:dyDescent="0.2">
      <c r="A268" s="5" t="s">
        <v>147</v>
      </c>
      <c r="B268" s="5" t="s">
        <v>75</v>
      </c>
      <c r="C268" s="6" t="s">
        <v>401</v>
      </c>
      <c r="D268" s="7">
        <f t="shared" si="1"/>
        <v>1.5</v>
      </c>
      <c r="E268" s="8">
        <v>0</v>
      </c>
      <c r="F268" s="5">
        <v>0</v>
      </c>
      <c r="G268" s="5">
        <v>0</v>
      </c>
      <c r="H268" s="5">
        <v>0</v>
      </c>
      <c r="I268" s="5">
        <v>0</v>
      </c>
      <c r="J268" s="9">
        <v>0</v>
      </c>
      <c r="K268" s="8">
        <v>5</v>
      </c>
      <c r="L268" s="5">
        <v>15</v>
      </c>
      <c r="M268" s="5">
        <v>0</v>
      </c>
      <c r="N268" s="9">
        <v>0</v>
      </c>
      <c r="O268" s="8">
        <v>0</v>
      </c>
      <c r="P268" s="5">
        <v>0</v>
      </c>
      <c r="Q268" s="5">
        <v>0</v>
      </c>
      <c r="R268" s="9">
        <v>0</v>
      </c>
      <c r="S268" s="8">
        <v>0</v>
      </c>
      <c r="T268" s="9">
        <v>0</v>
      </c>
    </row>
    <row r="269" spans="1:20" x14ac:dyDescent="0.2">
      <c r="A269" s="5" t="s">
        <v>379</v>
      </c>
      <c r="B269" s="5" t="s">
        <v>75</v>
      </c>
      <c r="C269" s="8" t="s">
        <v>413</v>
      </c>
      <c r="D269" s="7">
        <f t="shared" si="1"/>
        <v>1.5</v>
      </c>
      <c r="E269" s="8">
        <v>0</v>
      </c>
      <c r="F269" s="5">
        <v>0</v>
      </c>
      <c r="G269" s="5">
        <v>0</v>
      </c>
      <c r="H269" s="5">
        <v>0</v>
      </c>
      <c r="I269" s="5">
        <v>0</v>
      </c>
      <c r="J269" s="9">
        <v>0</v>
      </c>
      <c r="K269" s="8">
        <v>4</v>
      </c>
      <c r="L269" s="5">
        <v>15</v>
      </c>
      <c r="M269" s="5">
        <v>0</v>
      </c>
      <c r="N269" s="9">
        <v>0</v>
      </c>
      <c r="O269" s="8">
        <v>0</v>
      </c>
      <c r="P269" s="5">
        <v>0</v>
      </c>
      <c r="Q269" s="5">
        <v>0</v>
      </c>
      <c r="R269" s="9">
        <v>0</v>
      </c>
      <c r="S269" s="8">
        <v>0</v>
      </c>
      <c r="T269" s="9">
        <v>0</v>
      </c>
    </row>
    <row r="270" spans="1:20" x14ac:dyDescent="0.2">
      <c r="A270" s="5" t="s">
        <v>239</v>
      </c>
      <c r="B270" s="18" t="s">
        <v>162</v>
      </c>
      <c r="C270" s="6" t="s">
        <v>410</v>
      </c>
      <c r="D270" s="7">
        <f t="shared" si="1"/>
        <v>1.5</v>
      </c>
      <c r="E270" s="8">
        <v>0</v>
      </c>
      <c r="F270" s="5">
        <v>0</v>
      </c>
      <c r="G270" s="5">
        <v>0</v>
      </c>
      <c r="H270" s="5">
        <v>0</v>
      </c>
      <c r="I270" s="5">
        <v>0</v>
      </c>
      <c r="J270" s="9">
        <v>0</v>
      </c>
      <c r="K270" s="8">
        <v>0</v>
      </c>
      <c r="L270" s="5">
        <v>0</v>
      </c>
      <c r="M270" s="5">
        <v>0</v>
      </c>
      <c r="N270" s="9">
        <v>0</v>
      </c>
      <c r="O270" s="8">
        <v>1</v>
      </c>
      <c r="P270" s="5">
        <v>5</v>
      </c>
      <c r="Q270" s="5">
        <v>0</v>
      </c>
      <c r="R270" s="9">
        <v>0</v>
      </c>
      <c r="S270" s="8">
        <v>0</v>
      </c>
      <c r="T270" s="9">
        <v>0</v>
      </c>
    </row>
    <row r="271" spans="1:20" x14ac:dyDescent="0.2">
      <c r="A271" s="5" t="s">
        <v>400</v>
      </c>
      <c r="B271" s="18" t="s">
        <v>162</v>
      </c>
      <c r="C271" s="8" t="s">
        <v>402</v>
      </c>
      <c r="D271" s="7">
        <f t="shared" si="1"/>
        <v>1.5</v>
      </c>
      <c r="E271" s="8">
        <v>0</v>
      </c>
      <c r="F271" s="5">
        <v>0</v>
      </c>
      <c r="G271" s="5">
        <v>0</v>
      </c>
      <c r="H271" s="5">
        <v>0</v>
      </c>
      <c r="I271" s="5">
        <v>0</v>
      </c>
      <c r="J271" s="9">
        <v>0</v>
      </c>
      <c r="K271" s="8">
        <v>0</v>
      </c>
      <c r="L271" s="5">
        <v>0</v>
      </c>
      <c r="M271" s="5">
        <v>0</v>
      </c>
      <c r="N271" s="9">
        <v>0</v>
      </c>
      <c r="O271" s="8">
        <v>1</v>
      </c>
      <c r="P271" s="5">
        <v>5</v>
      </c>
      <c r="Q271" s="5">
        <v>0</v>
      </c>
      <c r="R271" s="9">
        <v>0</v>
      </c>
      <c r="S271" s="8">
        <v>0</v>
      </c>
      <c r="T271" s="9">
        <v>0</v>
      </c>
    </row>
    <row r="272" spans="1:20" x14ac:dyDescent="0.2">
      <c r="A272" s="5" t="s">
        <v>350</v>
      </c>
      <c r="B272" s="18" t="s">
        <v>162</v>
      </c>
      <c r="C272" s="6" t="s">
        <v>415</v>
      </c>
      <c r="D272" s="7">
        <f t="shared" si="1"/>
        <v>1.5</v>
      </c>
      <c r="E272" s="8">
        <v>0</v>
      </c>
      <c r="F272" s="5">
        <v>0</v>
      </c>
      <c r="G272" s="5">
        <v>0</v>
      </c>
      <c r="H272" s="5">
        <v>0</v>
      </c>
      <c r="I272" s="5">
        <v>0</v>
      </c>
      <c r="J272" s="9">
        <v>0</v>
      </c>
      <c r="K272" s="8">
        <v>0</v>
      </c>
      <c r="L272" s="5">
        <v>0</v>
      </c>
      <c r="M272" s="5">
        <v>0</v>
      </c>
      <c r="N272" s="9">
        <v>0</v>
      </c>
      <c r="O272" s="8">
        <v>1</v>
      </c>
      <c r="P272" s="5">
        <v>5</v>
      </c>
      <c r="Q272" s="5">
        <v>0</v>
      </c>
      <c r="R272" s="9">
        <v>0</v>
      </c>
      <c r="S272" s="8">
        <v>0</v>
      </c>
      <c r="T272" s="9">
        <v>0</v>
      </c>
    </row>
    <row r="273" spans="1:20" x14ac:dyDescent="0.2">
      <c r="A273" s="5" t="s">
        <v>216</v>
      </c>
      <c r="B273" s="18" t="s">
        <v>162</v>
      </c>
      <c r="C273" s="6" t="s">
        <v>418</v>
      </c>
      <c r="D273" s="7">
        <f t="shared" si="1"/>
        <v>1.5</v>
      </c>
      <c r="E273" s="8">
        <v>0</v>
      </c>
      <c r="F273" s="5">
        <v>0</v>
      </c>
      <c r="G273" s="5">
        <v>0</v>
      </c>
      <c r="H273" s="5">
        <v>0</v>
      </c>
      <c r="I273" s="5">
        <v>0</v>
      </c>
      <c r="J273" s="9">
        <v>0</v>
      </c>
      <c r="K273" s="8">
        <v>0</v>
      </c>
      <c r="L273" s="5">
        <v>0</v>
      </c>
      <c r="M273" s="5">
        <v>0</v>
      </c>
      <c r="N273" s="9">
        <v>0</v>
      </c>
      <c r="O273" s="8">
        <v>1</v>
      </c>
      <c r="P273" s="5">
        <v>5</v>
      </c>
      <c r="Q273" s="5">
        <v>0</v>
      </c>
      <c r="R273" s="9">
        <v>0</v>
      </c>
      <c r="S273" s="8">
        <v>0</v>
      </c>
      <c r="T273" s="9">
        <v>0</v>
      </c>
    </row>
    <row r="274" spans="1:20" x14ac:dyDescent="0.2">
      <c r="A274" s="5" t="s">
        <v>449</v>
      </c>
      <c r="B274" s="5" t="s">
        <v>69</v>
      </c>
      <c r="C274" s="8" t="s">
        <v>408</v>
      </c>
      <c r="D274" s="7">
        <f t="shared" si="1"/>
        <v>1.4</v>
      </c>
      <c r="E274" s="8">
        <v>0</v>
      </c>
      <c r="F274" s="5">
        <v>0</v>
      </c>
      <c r="G274" s="5">
        <v>0</v>
      </c>
      <c r="H274" s="5">
        <v>0</v>
      </c>
      <c r="I274" s="5">
        <v>0</v>
      </c>
      <c r="J274" s="9">
        <v>0</v>
      </c>
      <c r="K274" s="8">
        <v>0</v>
      </c>
      <c r="L274" s="5">
        <v>0</v>
      </c>
      <c r="M274" s="5">
        <v>0</v>
      </c>
      <c r="N274" s="9">
        <v>0</v>
      </c>
      <c r="O274" s="8">
        <v>1</v>
      </c>
      <c r="P274" s="5">
        <v>4</v>
      </c>
      <c r="Q274" s="5">
        <v>0</v>
      </c>
      <c r="R274" s="9">
        <v>0</v>
      </c>
      <c r="S274" s="8">
        <v>0</v>
      </c>
      <c r="T274" s="9">
        <v>0</v>
      </c>
    </row>
    <row r="275" spans="1:20" x14ac:dyDescent="0.2">
      <c r="A275" s="5" t="s">
        <v>123</v>
      </c>
      <c r="B275" s="5" t="s">
        <v>75</v>
      </c>
      <c r="C275" s="6" t="s">
        <v>418</v>
      </c>
      <c r="D275" s="7">
        <f t="shared" si="1"/>
        <v>1.3</v>
      </c>
      <c r="E275" s="8">
        <v>0</v>
      </c>
      <c r="F275" s="5">
        <v>0</v>
      </c>
      <c r="G275" s="5">
        <v>0</v>
      </c>
      <c r="H275" s="5">
        <v>0</v>
      </c>
      <c r="I275" s="5">
        <v>0</v>
      </c>
      <c r="J275" s="9">
        <v>0</v>
      </c>
      <c r="K275" s="8">
        <v>0</v>
      </c>
      <c r="L275" s="5">
        <v>0</v>
      </c>
      <c r="M275" s="5">
        <v>0</v>
      </c>
      <c r="N275" s="9">
        <v>0</v>
      </c>
      <c r="O275" s="8">
        <v>1</v>
      </c>
      <c r="P275" s="5">
        <v>3</v>
      </c>
      <c r="Q275" s="5">
        <v>0</v>
      </c>
      <c r="R275" s="9">
        <v>0</v>
      </c>
      <c r="S275" s="8">
        <v>0</v>
      </c>
      <c r="T275" s="9">
        <v>0</v>
      </c>
    </row>
    <row r="276" spans="1:20" x14ac:dyDescent="0.2">
      <c r="A276" s="5" t="s">
        <v>450</v>
      </c>
      <c r="B276" s="5" t="s">
        <v>75</v>
      </c>
      <c r="C276" s="8" t="s">
        <v>413</v>
      </c>
      <c r="D276" s="7">
        <f t="shared" si="1"/>
        <v>1.3</v>
      </c>
      <c r="E276" s="8">
        <v>0</v>
      </c>
      <c r="F276" s="5">
        <v>0</v>
      </c>
      <c r="G276" s="5">
        <v>0</v>
      </c>
      <c r="H276" s="5">
        <v>0</v>
      </c>
      <c r="I276" s="5">
        <v>0</v>
      </c>
      <c r="J276" s="9">
        <v>0</v>
      </c>
      <c r="K276" s="8">
        <v>3</v>
      </c>
      <c r="L276" s="5">
        <v>13</v>
      </c>
      <c r="M276" s="5">
        <v>0</v>
      </c>
      <c r="N276" s="9">
        <v>0</v>
      </c>
      <c r="O276" s="8">
        <v>0</v>
      </c>
      <c r="P276" s="5">
        <v>0</v>
      </c>
      <c r="Q276" s="5">
        <v>0</v>
      </c>
      <c r="R276" s="9">
        <v>0</v>
      </c>
      <c r="S276" s="8">
        <v>0</v>
      </c>
      <c r="T276" s="9">
        <v>0</v>
      </c>
    </row>
    <row r="277" spans="1:20" x14ac:dyDescent="0.2">
      <c r="A277" s="5" t="s">
        <v>258</v>
      </c>
      <c r="B277" s="18" t="s">
        <v>162</v>
      </c>
      <c r="C277" s="6" t="s">
        <v>402</v>
      </c>
      <c r="D277" s="7">
        <f t="shared" si="1"/>
        <v>1.3</v>
      </c>
      <c r="E277" s="8">
        <v>0</v>
      </c>
      <c r="F277" s="5">
        <v>0</v>
      </c>
      <c r="G277" s="5">
        <v>0</v>
      </c>
      <c r="H277" s="5">
        <v>0</v>
      </c>
      <c r="I277" s="5">
        <v>0</v>
      </c>
      <c r="J277" s="9">
        <v>0</v>
      </c>
      <c r="K277" s="8">
        <v>0</v>
      </c>
      <c r="L277" s="5">
        <v>0</v>
      </c>
      <c r="M277" s="5">
        <v>0</v>
      </c>
      <c r="N277" s="9">
        <v>0</v>
      </c>
      <c r="O277" s="8">
        <v>1</v>
      </c>
      <c r="P277" s="5">
        <v>3</v>
      </c>
      <c r="Q277" s="5">
        <v>0</v>
      </c>
      <c r="R277" s="9">
        <v>0</v>
      </c>
      <c r="S277" s="8">
        <v>0</v>
      </c>
      <c r="T277" s="9">
        <v>0</v>
      </c>
    </row>
    <row r="278" spans="1:20" x14ac:dyDescent="0.2">
      <c r="A278" s="5" t="s">
        <v>377</v>
      </c>
      <c r="B278" s="18" t="s">
        <v>162</v>
      </c>
      <c r="C278" s="6" t="s">
        <v>405</v>
      </c>
      <c r="D278" s="7">
        <f t="shared" si="1"/>
        <v>1.3</v>
      </c>
      <c r="E278" s="8">
        <v>0</v>
      </c>
      <c r="F278" s="5">
        <v>0</v>
      </c>
      <c r="G278" s="5">
        <v>0</v>
      </c>
      <c r="H278" s="5">
        <v>0</v>
      </c>
      <c r="I278" s="5">
        <v>0</v>
      </c>
      <c r="J278" s="9">
        <v>0</v>
      </c>
      <c r="K278" s="8">
        <v>0</v>
      </c>
      <c r="L278" s="5">
        <v>0</v>
      </c>
      <c r="M278" s="5">
        <v>0</v>
      </c>
      <c r="N278" s="9">
        <v>0</v>
      </c>
      <c r="O278" s="8">
        <v>1</v>
      </c>
      <c r="P278" s="5">
        <v>3</v>
      </c>
      <c r="Q278" s="5">
        <v>0</v>
      </c>
      <c r="R278" s="9">
        <v>0</v>
      </c>
      <c r="S278" s="8">
        <v>0</v>
      </c>
      <c r="T278" s="9">
        <v>0</v>
      </c>
    </row>
    <row r="279" spans="1:20" x14ac:dyDescent="0.2">
      <c r="A279" s="5" t="s">
        <v>368</v>
      </c>
      <c r="B279" s="18" t="s">
        <v>162</v>
      </c>
      <c r="C279" s="6" t="s">
        <v>406</v>
      </c>
      <c r="D279" s="7">
        <f t="shared" si="1"/>
        <v>1.3</v>
      </c>
      <c r="E279" s="8">
        <v>0</v>
      </c>
      <c r="F279" s="5">
        <v>0</v>
      </c>
      <c r="G279" s="5">
        <v>0</v>
      </c>
      <c r="H279" s="5">
        <v>0</v>
      </c>
      <c r="I279" s="5">
        <v>0</v>
      </c>
      <c r="J279" s="9">
        <v>0</v>
      </c>
      <c r="K279" s="8">
        <v>0</v>
      </c>
      <c r="L279" s="5">
        <v>0</v>
      </c>
      <c r="M279" s="5">
        <v>0</v>
      </c>
      <c r="N279" s="9">
        <v>0</v>
      </c>
      <c r="O279" s="8">
        <v>1</v>
      </c>
      <c r="P279" s="5">
        <v>3</v>
      </c>
      <c r="Q279" s="5">
        <v>0</v>
      </c>
      <c r="R279" s="9">
        <v>0</v>
      </c>
      <c r="S279" s="8">
        <v>0</v>
      </c>
      <c r="T279" s="9">
        <v>0</v>
      </c>
    </row>
    <row r="280" spans="1:20" x14ac:dyDescent="0.2">
      <c r="A280" s="5" t="s">
        <v>396</v>
      </c>
      <c r="B280" s="5" t="s">
        <v>69</v>
      </c>
      <c r="C280" s="6" t="s">
        <v>416</v>
      </c>
      <c r="D280" s="7">
        <f t="shared" si="1"/>
        <v>1.3</v>
      </c>
      <c r="E280" s="8">
        <v>0</v>
      </c>
      <c r="F280" s="5">
        <v>0</v>
      </c>
      <c r="G280" s="5">
        <v>0</v>
      </c>
      <c r="H280" s="5">
        <v>0</v>
      </c>
      <c r="I280" s="5">
        <v>0</v>
      </c>
      <c r="J280" s="9">
        <v>0</v>
      </c>
      <c r="K280" s="8">
        <v>0</v>
      </c>
      <c r="L280" s="5">
        <v>0</v>
      </c>
      <c r="M280" s="5">
        <v>0</v>
      </c>
      <c r="N280" s="9">
        <v>0</v>
      </c>
      <c r="O280" s="8">
        <v>1</v>
      </c>
      <c r="P280" s="5">
        <v>3</v>
      </c>
      <c r="Q280" s="5">
        <v>0</v>
      </c>
      <c r="R280" s="9">
        <v>0</v>
      </c>
      <c r="S280" s="8">
        <v>0</v>
      </c>
      <c r="T280" s="9">
        <v>0</v>
      </c>
    </row>
    <row r="281" spans="1:20" x14ac:dyDescent="0.2">
      <c r="A281" s="5" t="s">
        <v>299</v>
      </c>
      <c r="B281" s="5" t="s">
        <v>69</v>
      </c>
      <c r="C281" s="8" t="s">
        <v>416</v>
      </c>
      <c r="D281" s="7">
        <f t="shared" si="1"/>
        <v>1.2</v>
      </c>
      <c r="E281" s="8">
        <v>0</v>
      </c>
      <c r="F281" s="5">
        <v>0</v>
      </c>
      <c r="G281" s="5">
        <v>0</v>
      </c>
      <c r="H281" s="5">
        <v>0</v>
      </c>
      <c r="I281" s="5">
        <v>0</v>
      </c>
      <c r="J281" s="9">
        <v>0</v>
      </c>
      <c r="K281" s="8">
        <v>0</v>
      </c>
      <c r="L281" s="5">
        <v>0</v>
      </c>
      <c r="M281" s="5">
        <v>0</v>
      </c>
      <c r="N281" s="9">
        <v>0</v>
      </c>
      <c r="O281" s="8">
        <v>1</v>
      </c>
      <c r="P281" s="5">
        <v>2</v>
      </c>
      <c r="Q281" s="5">
        <v>0</v>
      </c>
      <c r="R281" s="9">
        <v>0</v>
      </c>
      <c r="S281" s="8">
        <v>0</v>
      </c>
      <c r="T281" s="9">
        <v>0</v>
      </c>
    </row>
    <row r="282" spans="1:20" x14ac:dyDescent="0.2">
      <c r="A282" s="5" t="s">
        <v>451</v>
      </c>
      <c r="B282" s="5" t="s">
        <v>75</v>
      </c>
      <c r="C282" s="8" t="s">
        <v>409</v>
      </c>
      <c r="D282" s="7">
        <f t="shared" si="1"/>
        <v>1.1000000000000001</v>
      </c>
      <c r="E282" s="8">
        <v>0</v>
      </c>
      <c r="F282" s="5">
        <v>0</v>
      </c>
      <c r="G282" s="5">
        <v>0</v>
      </c>
      <c r="H282" s="5">
        <v>0</v>
      </c>
      <c r="I282" s="5">
        <v>0</v>
      </c>
      <c r="J282" s="9">
        <v>0</v>
      </c>
      <c r="K282" s="8">
        <v>3</v>
      </c>
      <c r="L282" s="5">
        <v>11</v>
      </c>
      <c r="M282" s="5">
        <v>0</v>
      </c>
      <c r="N282" s="9">
        <v>0</v>
      </c>
      <c r="O282" s="8">
        <v>0</v>
      </c>
      <c r="P282" s="5">
        <v>0</v>
      </c>
      <c r="Q282" s="5">
        <v>0</v>
      </c>
      <c r="R282" s="9">
        <v>0</v>
      </c>
      <c r="S282" s="8">
        <v>0</v>
      </c>
      <c r="T282" s="9">
        <v>0</v>
      </c>
    </row>
    <row r="283" spans="1:20" x14ac:dyDescent="0.2">
      <c r="A283" s="5" t="s">
        <v>267</v>
      </c>
      <c r="B283" s="18" t="s">
        <v>162</v>
      </c>
      <c r="C283" s="8" t="s">
        <v>407</v>
      </c>
      <c r="D283" s="7">
        <f t="shared" si="1"/>
        <v>0.9</v>
      </c>
      <c r="E283" s="8">
        <v>0</v>
      </c>
      <c r="F283" s="5">
        <v>0</v>
      </c>
      <c r="G283" s="5">
        <v>0</v>
      </c>
      <c r="H283" s="5">
        <v>0</v>
      </c>
      <c r="I283" s="5">
        <v>0</v>
      </c>
      <c r="J283" s="9">
        <v>0</v>
      </c>
      <c r="K283" s="8">
        <v>0</v>
      </c>
      <c r="L283" s="5">
        <v>0</v>
      </c>
      <c r="M283" s="5">
        <v>0</v>
      </c>
      <c r="N283" s="9">
        <v>0</v>
      </c>
      <c r="O283" s="8">
        <v>1</v>
      </c>
      <c r="P283" s="5">
        <v>-1</v>
      </c>
      <c r="Q283" s="5">
        <v>0</v>
      </c>
      <c r="R283" s="9">
        <v>0</v>
      </c>
      <c r="S283" s="8">
        <v>0</v>
      </c>
      <c r="T283" s="9">
        <v>0</v>
      </c>
    </row>
    <row r="284" spans="1:20" x14ac:dyDescent="0.2">
      <c r="A284" s="5" t="s">
        <v>393</v>
      </c>
      <c r="B284" s="5" t="s">
        <v>75</v>
      </c>
      <c r="C284" s="6" t="s">
        <v>402</v>
      </c>
      <c r="D284" s="7">
        <f t="shared" si="1"/>
        <v>0.70000000000000007</v>
      </c>
      <c r="E284" s="8">
        <v>0</v>
      </c>
      <c r="F284" s="5">
        <v>0</v>
      </c>
      <c r="G284" s="5">
        <v>0</v>
      </c>
      <c r="H284" s="5">
        <v>0</v>
      </c>
      <c r="I284" s="5">
        <v>0</v>
      </c>
      <c r="J284" s="9">
        <v>0</v>
      </c>
      <c r="K284" s="8">
        <v>2</v>
      </c>
      <c r="L284" s="5">
        <v>7</v>
      </c>
      <c r="M284" s="5">
        <v>0</v>
      </c>
      <c r="N284" s="9">
        <v>0</v>
      </c>
      <c r="O284" s="8">
        <v>0</v>
      </c>
      <c r="P284" s="5">
        <v>0</v>
      </c>
      <c r="Q284" s="5">
        <v>0</v>
      </c>
      <c r="R284" s="9">
        <v>0</v>
      </c>
      <c r="S284" s="8">
        <v>0</v>
      </c>
      <c r="T284" s="9">
        <v>0</v>
      </c>
    </row>
    <row r="285" spans="1:20" x14ac:dyDescent="0.2">
      <c r="A285" s="5" t="s">
        <v>39</v>
      </c>
      <c r="B285" s="5" t="s">
        <v>17</v>
      </c>
      <c r="C285" s="8" t="s">
        <v>415</v>
      </c>
      <c r="D285" s="7">
        <f t="shared" si="1"/>
        <v>0.59999999999999987</v>
      </c>
      <c r="E285" s="8">
        <v>29</v>
      </c>
      <c r="F285" s="5">
        <v>19</v>
      </c>
      <c r="G285" s="5">
        <v>170</v>
      </c>
      <c r="H285" s="5">
        <v>0</v>
      </c>
      <c r="I285" s="5">
        <v>4</v>
      </c>
      <c r="J285" s="9">
        <v>0</v>
      </c>
      <c r="K285" s="8">
        <v>1</v>
      </c>
      <c r="L285" s="5">
        <v>18</v>
      </c>
      <c r="M285" s="5">
        <v>0</v>
      </c>
      <c r="N285" s="9">
        <v>0</v>
      </c>
      <c r="O285" s="8">
        <v>0</v>
      </c>
      <c r="P285" s="5">
        <v>0</v>
      </c>
      <c r="Q285" s="5">
        <v>0</v>
      </c>
      <c r="R285" s="9">
        <v>0</v>
      </c>
      <c r="S285" s="8">
        <v>0</v>
      </c>
      <c r="T285" s="9">
        <v>0</v>
      </c>
    </row>
    <row r="286" spans="1:20" x14ac:dyDescent="0.2">
      <c r="A286" s="5" t="s">
        <v>160</v>
      </c>
      <c r="B286" s="5" t="s">
        <v>75</v>
      </c>
      <c r="C286" s="8" t="s">
        <v>406</v>
      </c>
      <c r="D286" s="7">
        <f t="shared" si="1"/>
        <v>0.4</v>
      </c>
      <c r="E286" s="8">
        <v>0</v>
      </c>
      <c r="F286" s="5">
        <v>0</v>
      </c>
      <c r="G286" s="5">
        <v>0</v>
      </c>
      <c r="H286" s="5">
        <v>0</v>
      </c>
      <c r="I286" s="5">
        <v>0</v>
      </c>
      <c r="J286" s="9">
        <v>0</v>
      </c>
      <c r="K286" s="8">
        <v>1</v>
      </c>
      <c r="L286" s="5">
        <v>4</v>
      </c>
      <c r="M286" s="5">
        <v>0</v>
      </c>
      <c r="N286" s="9">
        <v>0</v>
      </c>
      <c r="O286" s="8">
        <v>0</v>
      </c>
      <c r="P286" s="5">
        <v>0</v>
      </c>
      <c r="Q286" s="5">
        <v>0</v>
      </c>
      <c r="R286" s="9">
        <v>0</v>
      </c>
      <c r="S286" s="8">
        <v>0</v>
      </c>
      <c r="T286" s="9">
        <v>0</v>
      </c>
    </row>
    <row r="287" spans="1:20" x14ac:dyDescent="0.2">
      <c r="A287" s="5" t="s">
        <v>278</v>
      </c>
      <c r="B287" s="5" t="s">
        <v>69</v>
      </c>
      <c r="C287" s="8" t="s">
        <v>410</v>
      </c>
      <c r="D287" s="7">
        <f t="shared" si="1"/>
        <v>0.4</v>
      </c>
      <c r="E287" s="8">
        <v>0</v>
      </c>
      <c r="F287" s="5">
        <v>0</v>
      </c>
      <c r="G287" s="5">
        <v>0</v>
      </c>
      <c r="H287" s="5">
        <v>0</v>
      </c>
      <c r="I287" s="5">
        <v>0</v>
      </c>
      <c r="J287" s="9">
        <v>0</v>
      </c>
      <c r="K287" s="8">
        <v>2</v>
      </c>
      <c r="L287" s="5">
        <v>4</v>
      </c>
      <c r="M287" s="5">
        <v>0</v>
      </c>
      <c r="N287" s="9">
        <v>0</v>
      </c>
      <c r="O287" s="8">
        <v>0</v>
      </c>
      <c r="P287" s="5">
        <v>0</v>
      </c>
      <c r="Q287" s="5">
        <v>0</v>
      </c>
      <c r="R287" s="9">
        <v>0</v>
      </c>
      <c r="S287" s="8">
        <v>0</v>
      </c>
      <c r="T287" s="9">
        <v>0</v>
      </c>
    </row>
    <row r="288" spans="1:20" x14ac:dyDescent="0.2">
      <c r="A288" s="5" t="s">
        <v>452</v>
      </c>
      <c r="B288" s="5" t="s">
        <v>17</v>
      </c>
      <c r="C288" s="8" t="s">
        <v>408</v>
      </c>
      <c r="D288" s="7">
        <f t="shared" si="1"/>
        <v>0.36</v>
      </c>
      <c r="E288" s="8">
        <v>2</v>
      </c>
      <c r="F288" s="5">
        <v>2</v>
      </c>
      <c r="G288" s="5">
        <v>9</v>
      </c>
      <c r="H288" s="5">
        <v>0</v>
      </c>
      <c r="I288" s="5">
        <v>0</v>
      </c>
      <c r="J288" s="9">
        <v>0</v>
      </c>
      <c r="K288" s="8">
        <v>0</v>
      </c>
      <c r="L288" s="5">
        <v>0</v>
      </c>
      <c r="M288" s="5">
        <v>0</v>
      </c>
      <c r="N288" s="9">
        <v>0</v>
      </c>
      <c r="O288" s="8">
        <v>0</v>
      </c>
      <c r="P288" s="5">
        <v>0</v>
      </c>
      <c r="Q288" s="5">
        <v>0</v>
      </c>
      <c r="R288" s="9">
        <v>0</v>
      </c>
      <c r="S288" s="8">
        <v>0</v>
      </c>
      <c r="T288" s="9">
        <v>0</v>
      </c>
    </row>
    <row r="289" spans="1:20" x14ac:dyDescent="0.2">
      <c r="A289" s="5" t="s">
        <v>453</v>
      </c>
      <c r="B289" s="5" t="s">
        <v>75</v>
      </c>
      <c r="C289" s="8" t="s">
        <v>409</v>
      </c>
      <c r="D289" s="7">
        <f t="shared" si="1"/>
        <v>0.30000000000000004</v>
      </c>
      <c r="E289" s="8">
        <v>0</v>
      </c>
      <c r="F289" s="5">
        <v>0</v>
      </c>
      <c r="G289" s="5">
        <v>0</v>
      </c>
      <c r="H289" s="5">
        <v>0</v>
      </c>
      <c r="I289" s="5">
        <v>0</v>
      </c>
      <c r="J289" s="9">
        <v>0</v>
      </c>
      <c r="K289" s="8">
        <v>1</v>
      </c>
      <c r="L289" s="5">
        <v>3</v>
      </c>
      <c r="M289" s="5">
        <v>0</v>
      </c>
      <c r="N289" s="9">
        <v>0</v>
      </c>
      <c r="O289" s="8">
        <v>0</v>
      </c>
      <c r="P289" s="5">
        <v>0</v>
      </c>
      <c r="Q289" s="5">
        <v>0</v>
      </c>
      <c r="R289" s="9">
        <v>0</v>
      </c>
      <c r="S289" s="8">
        <v>0</v>
      </c>
      <c r="T289" s="9">
        <v>0</v>
      </c>
    </row>
    <row r="290" spans="1:20" x14ac:dyDescent="0.2">
      <c r="A290" s="5" t="s">
        <v>73</v>
      </c>
      <c r="B290" s="5" t="s">
        <v>17</v>
      </c>
      <c r="C290" s="6" t="s">
        <v>409</v>
      </c>
      <c r="D290" s="7">
        <f t="shared" si="1"/>
        <v>0.2</v>
      </c>
      <c r="E290" s="8">
        <v>1</v>
      </c>
      <c r="F290" s="5">
        <v>0</v>
      </c>
      <c r="G290" s="5">
        <v>0</v>
      </c>
      <c r="H290" s="5">
        <v>0</v>
      </c>
      <c r="I290" s="5">
        <v>0</v>
      </c>
      <c r="J290" s="9">
        <v>0</v>
      </c>
      <c r="K290" s="8">
        <v>1</v>
      </c>
      <c r="L290" s="5">
        <v>2</v>
      </c>
      <c r="M290" s="5">
        <v>0</v>
      </c>
      <c r="N290" s="9">
        <v>0</v>
      </c>
      <c r="O290" s="8">
        <v>0</v>
      </c>
      <c r="P290" s="5">
        <v>0</v>
      </c>
      <c r="Q290" s="5">
        <v>0</v>
      </c>
      <c r="R290" s="9">
        <v>0</v>
      </c>
      <c r="S290" s="8">
        <v>0</v>
      </c>
      <c r="T290" s="9">
        <v>0</v>
      </c>
    </row>
    <row r="291" spans="1:20" x14ac:dyDescent="0.2">
      <c r="A291" s="5" t="s">
        <v>370</v>
      </c>
      <c r="B291" s="5" t="s">
        <v>75</v>
      </c>
      <c r="C291" s="8" t="s">
        <v>416</v>
      </c>
      <c r="D291" s="7">
        <f t="shared" si="1"/>
        <v>0.2</v>
      </c>
      <c r="E291" s="8">
        <v>0</v>
      </c>
      <c r="F291" s="5">
        <v>0</v>
      </c>
      <c r="G291" s="5">
        <v>0</v>
      </c>
      <c r="H291" s="5">
        <v>0</v>
      </c>
      <c r="I291" s="5">
        <v>0</v>
      </c>
      <c r="J291" s="9">
        <v>0</v>
      </c>
      <c r="K291" s="8">
        <v>2</v>
      </c>
      <c r="L291" s="5">
        <v>2</v>
      </c>
      <c r="M291" s="5">
        <v>0</v>
      </c>
      <c r="N291" s="9">
        <v>0</v>
      </c>
      <c r="O291" s="8">
        <v>0</v>
      </c>
      <c r="P291" s="5">
        <v>0</v>
      </c>
      <c r="Q291" s="5">
        <v>0</v>
      </c>
      <c r="R291" s="9">
        <v>0</v>
      </c>
      <c r="S291" s="8">
        <v>0</v>
      </c>
      <c r="T291" s="9">
        <v>0</v>
      </c>
    </row>
    <row r="292" spans="1:20" x14ac:dyDescent="0.2">
      <c r="A292" s="5" t="s">
        <v>130</v>
      </c>
      <c r="B292" s="5" t="s">
        <v>75</v>
      </c>
      <c r="C292" s="8" t="s">
        <v>414</v>
      </c>
      <c r="D292" s="7">
        <f t="shared" si="1"/>
        <v>0.1</v>
      </c>
      <c r="E292" s="8">
        <v>0</v>
      </c>
      <c r="F292" s="5">
        <v>0</v>
      </c>
      <c r="G292" s="5">
        <v>0</v>
      </c>
      <c r="H292" s="5">
        <v>0</v>
      </c>
      <c r="I292" s="5">
        <v>0</v>
      </c>
      <c r="J292" s="9">
        <v>0</v>
      </c>
      <c r="K292" s="8">
        <v>2</v>
      </c>
      <c r="L292" s="5">
        <v>1</v>
      </c>
      <c r="M292" s="5">
        <v>0</v>
      </c>
      <c r="N292" s="9">
        <v>0</v>
      </c>
      <c r="O292" s="8">
        <v>0</v>
      </c>
      <c r="P292" s="5">
        <v>0</v>
      </c>
      <c r="Q292" s="5">
        <v>0</v>
      </c>
      <c r="R292" s="9">
        <v>0</v>
      </c>
      <c r="S292" s="8">
        <v>0</v>
      </c>
      <c r="T292" s="9">
        <v>0</v>
      </c>
    </row>
    <row r="293" spans="1:20" x14ac:dyDescent="0.2">
      <c r="A293" s="5" t="s">
        <v>454</v>
      </c>
      <c r="B293" s="18" t="s">
        <v>162</v>
      </c>
      <c r="C293" s="8" t="s">
        <v>410</v>
      </c>
      <c r="D293" s="7">
        <f t="shared" si="1"/>
        <v>0.1</v>
      </c>
      <c r="E293" s="8">
        <v>0</v>
      </c>
      <c r="F293" s="5">
        <v>0</v>
      </c>
      <c r="G293" s="5">
        <v>0</v>
      </c>
      <c r="H293" s="5">
        <v>0</v>
      </c>
      <c r="I293" s="5">
        <v>0</v>
      </c>
      <c r="J293" s="9">
        <v>0</v>
      </c>
      <c r="K293" s="8">
        <v>1</v>
      </c>
      <c r="L293" s="5">
        <v>1</v>
      </c>
      <c r="M293" s="5">
        <v>0</v>
      </c>
      <c r="N293" s="9">
        <v>0</v>
      </c>
      <c r="O293" s="8">
        <v>0</v>
      </c>
      <c r="P293" s="5">
        <v>0</v>
      </c>
      <c r="Q293" s="5">
        <v>0</v>
      </c>
      <c r="R293" s="9">
        <v>0</v>
      </c>
      <c r="S293" s="8">
        <v>0</v>
      </c>
      <c r="T293" s="9">
        <v>0</v>
      </c>
    </row>
    <row r="294" spans="1:20" x14ac:dyDescent="0.2">
      <c r="A294" s="5" t="s">
        <v>455</v>
      </c>
      <c r="B294" s="5" t="s">
        <v>75</v>
      </c>
      <c r="C294" s="8" t="s">
        <v>413</v>
      </c>
      <c r="D294" s="7">
        <f t="shared" si="1"/>
        <v>0</v>
      </c>
      <c r="E294" s="8">
        <v>0</v>
      </c>
      <c r="F294" s="5">
        <v>0</v>
      </c>
      <c r="G294" s="5">
        <v>0</v>
      </c>
      <c r="H294" s="5">
        <v>0</v>
      </c>
      <c r="I294" s="5">
        <v>0</v>
      </c>
      <c r="J294" s="9">
        <v>0</v>
      </c>
      <c r="K294" s="8">
        <v>1</v>
      </c>
      <c r="L294" s="5">
        <v>0</v>
      </c>
      <c r="M294" s="5">
        <v>0</v>
      </c>
      <c r="N294" s="9">
        <v>0</v>
      </c>
      <c r="O294" s="8">
        <v>0</v>
      </c>
      <c r="P294" s="5">
        <v>0</v>
      </c>
      <c r="Q294" s="5">
        <v>0</v>
      </c>
      <c r="R294" s="9">
        <v>0</v>
      </c>
      <c r="S294" s="8">
        <v>0</v>
      </c>
      <c r="T294" s="9">
        <v>0</v>
      </c>
    </row>
    <row r="295" spans="1:20" x14ac:dyDescent="0.2">
      <c r="A295" s="5" t="s">
        <v>118</v>
      </c>
      <c r="B295" s="5" t="s">
        <v>75</v>
      </c>
      <c r="C295" s="8" t="s">
        <v>401</v>
      </c>
      <c r="D295" s="7">
        <f t="shared" si="1"/>
        <v>0</v>
      </c>
      <c r="E295" s="8">
        <v>0</v>
      </c>
      <c r="F295" s="5">
        <v>0</v>
      </c>
      <c r="G295" s="5">
        <v>0</v>
      </c>
      <c r="H295" s="5">
        <v>0</v>
      </c>
      <c r="I295" s="5">
        <v>0</v>
      </c>
      <c r="J295" s="9">
        <v>0</v>
      </c>
      <c r="K295" s="8">
        <v>2</v>
      </c>
      <c r="L295" s="5">
        <v>0</v>
      </c>
      <c r="M295" s="5">
        <v>0</v>
      </c>
      <c r="N295" s="9">
        <v>0</v>
      </c>
      <c r="O295" s="8">
        <v>0</v>
      </c>
      <c r="P295" s="5">
        <v>0</v>
      </c>
      <c r="Q295" s="5">
        <v>0</v>
      </c>
      <c r="R295" s="9">
        <v>0</v>
      </c>
      <c r="S295" s="8">
        <v>0</v>
      </c>
      <c r="T295" s="9">
        <v>0</v>
      </c>
    </row>
    <row r="296" spans="1:20" x14ac:dyDescent="0.2">
      <c r="A296" s="5" t="s">
        <v>172</v>
      </c>
      <c r="B296" s="18" t="s">
        <v>162</v>
      </c>
      <c r="C296" s="6" t="s">
        <v>411</v>
      </c>
      <c r="D296" s="7">
        <f t="shared" si="1"/>
        <v>0</v>
      </c>
      <c r="E296" s="8">
        <v>0</v>
      </c>
      <c r="F296" s="5">
        <v>0</v>
      </c>
      <c r="G296" s="5">
        <v>0</v>
      </c>
      <c r="H296" s="5">
        <v>0</v>
      </c>
      <c r="I296" s="5">
        <v>0</v>
      </c>
      <c r="J296" s="9">
        <v>0</v>
      </c>
      <c r="K296" s="8">
        <v>1</v>
      </c>
      <c r="L296" s="5">
        <v>0</v>
      </c>
      <c r="M296" s="5">
        <v>0</v>
      </c>
      <c r="N296" s="9">
        <v>0</v>
      </c>
      <c r="O296" s="8">
        <v>0</v>
      </c>
      <c r="P296" s="5">
        <v>0</v>
      </c>
      <c r="Q296" s="5">
        <v>0</v>
      </c>
      <c r="R296" s="9">
        <v>0</v>
      </c>
      <c r="S296" s="8">
        <v>0</v>
      </c>
      <c r="T296" s="9">
        <v>0</v>
      </c>
    </row>
    <row r="297" spans="1:20" x14ac:dyDescent="0.2">
      <c r="A297" s="5" t="s">
        <v>305</v>
      </c>
      <c r="B297" s="5" t="s">
        <v>69</v>
      </c>
      <c r="C297" s="6" t="s">
        <v>403</v>
      </c>
      <c r="D297" s="7">
        <f t="shared" si="1"/>
        <v>0</v>
      </c>
      <c r="E297" s="8">
        <v>0</v>
      </c>
      <c r="F297" s="5">
        <v>0</v>
      </c>
      <c r="G297" s="5">
        <v>0</v>
      </c>
      <c r="H297" s="5">
        <v>0</v>
      </c>
      <c r="I297" s="5">
        <v>0</v>
      </c>
      <c r="J297" s="9">
        <v>0</v>
      </c>
      <c r="K297" s="8">
        <v>1</v>
      </c>
      <c r="L297" s="5">
        <v>0</v>
      </c>
      <c r="M297" s="5">
        <v>0</v>
      </c>
      <c r="N297" s="9">
        <v>0</v>
      </c>
      <c r="O297" s="8">
        <v>0</v>
      </c>
      <c r="P297" s="5">
        <v>0</v>
      </c>
      <c r="Q297" s="5">
        <v>0</v>
      </c>
      <c r="R297" s="9">
        <v>0</v>
      </c>
      <c r="S297" s="8">
        <v>0</v>
      </c>
      <c r="T297" s="9">
        <v>0</v>
      </c>
    </row>
    <row r="298" spans="1:20" x14ac:dyDescent="0.2">
      <c r="A298" s="5" t="s">
        <v>320</v>
      </c>
      <c r="B298" s="5"/>
      <c r="C298" s="8"/>
      <c r="D298" s="10">
        <v>0</v>
      </c>
      <c r="E298" s="8"/>
      <c r="F298" s="5"/>
      <c r="G298" s="5"/>
      <c r="H298" s="5"/>
      <c r="I298" s="5"/>
      <c r="J298" s="9"/>
      <c r="K298" s="8"/>
      <c r="L298" s="5"/>
      <c r="M298" s="5"/>
      <c r="N298" s="9"/>
      <c r="O298" s="8"/>
      <c r="P298" s="5"/>
      <c r="Q298" s="5"/>
      <c r="R298" s="9"/>
      <c r="S298" s="8"/>
      <c r="T298" s="9"/>
    </row>
    <row r="299" spans="1:20" x14ac:dyDescent="0.2">
      <c r="A299" s="5" t="s">
        <v>67</v>
      </c>
      <c r="B299" s="5" t="s">
        <v>17</v>
      </c>
      <c r="C299" s="8" t="s">
        <v>409</v>
      </c>
      <c r="D299" s="7">
        <f t="shared" ref="D299:D301" si="2">0.04*G299+4*H299-2*I299+2*J299+0.1*L299+6*M299+2*N299+1*O299+0.1*P299+6*Q299+2*R299-2*S299</f>
        <v>-0.1</v>
      </c>
      <c r="E299" s="8">
        <v>0</v>
      </c>
      <c r="F299" s="5">
        <v>0</v>
      </c>
      <c r="G299" s="5">
        <v>0</v>
      </c>
      <c r="H299" s="5">
        <v>0</v>
      </c>
      <c r="I299" s="5">
        <v>0</v>
      </c>
      <c r="J299" s="9">
        <v>0</v>
      </c>
      <c r="K299" s="8">
        <v>1</v>
      </c>
      <c r="L299" s="5">
        <v>-1</v>
      </c>
      <c r="M299" s="5">
        <v>0</v>
      </c>
      <c r="N299" s="9">
        <v>0</v>
      </c>
      <c r="O299" s="8">
        <v>0</v>
      </c>
      <c r="P299" s="5">
        <v>0</v>
      </c>
      <c r="Q299" s="5">
        <v>0</v>
      </c>
      <c r="R299" s="9">
        <v>0</v>
      </c>
      <c r="S299" s="8">
        <v>0</v>
      </c>
      <c r="T299" s="9">
        <v>0</v>
      </c>
    </row>
    <row r="300" spans="1:20" x14ac:dyDescent="0.2">
      <c r="A300" s="5" t="s">
        <v>397</v>
      </c>
      <c r="B300" s="5" t="s">
        <v>17</v>
      </c>
      <c r="C300" s="6" t="s">
        <v>415</v>
      </c>
      <c r="D300" s="7">
        <f t="shared" si="2"/>
        <v>-0.2</v>
      </c>
      <c r="E300" s="8">
        <v>0</v>
      </c>
      <c r="F300" s="5">
        <v>0</v>
      </c>
      <c r="G300" s="5">
        <v>0</v>
      </c>
      <c r="H300" s="5">
        <v>0</v>
      </c>
      <c r="I300" s="5">
        <v>0</v>
      </c>
      <c r="J300" s="9">
        <v>0</v>
      </c>
      <c r="K300" s="8">
        <v>2</v>
      </c>
      <c r="L300" s="5">
        <v>-2</v>
      </c>
      <c r="M300" s="5">
        <v>0</v>
      </c>
      <c r="N300" s="9">
        <v>0</v>
      </c>
      <c r="O300" s="8">
        <v>0</v>
      </c>
      <c r="P300" s="5">
        <v>0</v>
      </c>
      <c r="Q300" s="5">
        <v>0</v>
      </c>
      <c r="R300" s="9">
        <v>0</v>
      </c>
      <c r="S300" s="8">
        <v>0</v>
      </c>
      <c r="T300" s="9">
        <v>0</v>
      </c>
    </row>
    <row r="301" spans="1:20" x14ac:dyDescent="0.2">
      <c r="A301" s="5" t="s">
        <v>456</v>
      </c>
      <c r="B301" s="5" t="s">
        <v>17</v>
      </c>
      <c r="C301" s="10" t="s">
        <v>407</v>
      </c>
      <c r="D301" s="7">
        <f t="shared" si="2"/>
        <v>-2.86</v>
      </c>
      <c r="E301" s="8">
        <v>5</v>
      </c>
      <c r="F301" s="5">
        <v>3</v>
      </c>
      <c r="G301" s="5">
        <v>31</v>
      </c>
      <c r="H301" s="5">
        <v>0</v>
      </c>
      <c r="I301" s="5">
        <v>2</v>
      </c>
      <c r="J301" s="9">
        <v>0</v>
      </c>
      <c r="K301" s="8">
        <v>2</v>
      </c>
      <c r="L301" s="5">
        <v>-1</v>
      </c>
      <c r="M301" s="5">
        <v>0</v>
      </c>
      <c r="N301" s="9">
        <v>0</v>
      </c>
      <c r="O301" s="8">
        <v>0</v>
      </c>
      <c r="P301" s="5">
        <v>0</v>
      </c>
      <c r="Q301" s="5">
        <v>0</v>
      </c>
      <c r="R301" s="9">
        <v>0</v>
      </c>
      <c r="S301" s="8">
        <v>0</v>
      </c>
      <c r="T301" s="9">
        <v>0</v>
      </c>
    </row>
    <row r="302" spans="1:20" x14ac:dyDescent="0.2">
      <c r="C302" s="8"/>
      <c r="D302" s="8"/>
      <c r="E302" s="8"/>
      <c r="J302" s="9"/>
      <c r="K302" s="8"/>
      <c r="N302" s="9"/>
      <c r="O302" s="8"/>
      <c r="R302" s="9"/>
      <c r="S302" s="8"/>
      <c r="T302" s="9"/>
    </row>
    <row r="303" spans="1:20" x14ac:dyDescent="0.2">
      <c r="C303" s="8"/>
      <c r="D303" s="8"/>
      <c r="E303" s="8"/>
      <c r="J303" s="9"/>
      <c r="K303" s="8"/>
      <c r="N303" s="9"/>
      <c r="O303" s="8"/>
      <c r="R303" s="9"/>
      <c r="S303" s="8"/>
      <c r="T303" s="9"/>
    </row>
    <row r="304" spans="1:20" x14ac:dyDescent="0.2">
      <c r="C304" s="8"/>
      <c r="D304" s="8"/>
      <c r="E304" s="8"/>
      <c r="J304" s="9"/>
      <c r="K304" s="8"/>
      <c r="N304" s="9"/>
      <c r="O304" s="8"/>
      <c r="R304" s="9"/>
      <c r="S304" s="8"/>
      <c r="T304" s="9"/>
    </row>
    <row r="305" spans="3:20" x14ac:dyDescent="0.2">
      <c r="C305" s="8"/>
      <c r="D305" s="8"/>
      <c r="E305" s="8"/>
      <c r="J305" s="9"/>
      <c r="K305" s="8"/>
      <c r="N305" s="9"/>
      <c r="O305" s="8"/>
      <c r="R305" s="9"/>
      <c r="S305" s="8"/>
      <c r="T305" s="9"/>
    </row>
    <row r="306" spans="3:20" x14ac:dyDescent="0.2">
      <c r="C306" s="8"/>
      <c r="D306" s="8"/>
      <c r="E306" s="8"/>
      <c r="J306" s="9"/>
      <c r="K306" s="8"/>
      <c r="N306" s="9"/>
      <c r="O306" s="8"/>
      <c r="R306" s="9"/>
      <c r="S306" s="8"/>
      <c r="T306" s="9"/>
    </row>
    <row r="307" spans="3:20" x14ac:dyDescent="0.2">
      <c r="C307" s="8"/>
      <c r="D307" s="8"/>
      <c r="E307" s="8"/>
      <c r="J307" s="9"/>
      <c r="K307" s="8"/>
      <c r="N307" s="9"/>
      <c r="O307" s="8"/>
      <c r="R307" s="9"/>
      <c r="S307" s="8"/>
      <c r="T307" s="9"/>
    </row>
    <row r="308" spans="3:20" x14ac:dyDescent="0.2">
      <c r="C308" s="8"/>
      <c r="D308" s="8"/>
      <c r="E308" s="8"/>
      <c r="J308" s="9"/>
      <c r="K308" s="8"/>
      <c r="N308" s="9"/>
      <c r="O308" s="8"/>
      <c r="R308" s="9"/>
      <c r="S308" s="8"/>
      <c r="T308" s="9"/>
    </row>
    <row r="309" spans="3:20" x14ac:dyDescent="0.2">
      <c r="C309" s="8"/>
      <c r="D309" s="8"/>
      <c r="E309" s="8"/>
      <c r="J309" s="9"/>
      <c r="K309" s="8"/>
      <c r="N309" s="9"/>
      <c r="O309" s="8"/>
      <c r="R309" s="9"/>
      <c r="S309" s="8"/>
      <c r="T309" s="9"/>
    </row>
    <row r="310" spans="3:20" x14ac:dyDescent="0.2">
      <c r="C310" s="8"/>
      <c r="D310" s="8"/>
      <c r="E310" s="8"/>
      <c r="J310" s="9"/>
      <c r="K310" s="8"/>
      <c r="N310" s="9"/>
      <c r="O310" s="8"/>
      <c r="R310" s="9"/>
      <c r="S310" s="8"/>
      <c r="T310" s="9"/>
    </row>
  </sheetData>
  <autoFilter ref="A2:T301" xr:uid="{00000000-0009-0000-0000-000002000000}">
    <sortState xmlns:xlrd2="http://schemas.microsoft.com/office/spreadsheetml/2017/richdata2" ref="A2:T301">
      <sortCondition descending="1" ref="D2:D301"/>
    </sortState>
  </autoFilter>
  <mergeCells count="4">
    <mergeCell ref="E1:J1"/>
    <mergeCell ref="K1:N1"/>
    <mergeCell ref="O1:R1"/>
    <mergeCell ref="S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77</v>
      </c>
      <c r="B3" s="5" t="s">
        <v>75</v>
      </c>
      <c r="C3" s="10" t="s">
        <v>457</v>
      </c>
      <c r="D3" s="7">
        <f t="shared" ref="D3:D257" si="0">0.04*G3+4*H3-2*I3+2*J3+0.1*L3+6*M3+2*N3+1*O3+0.1*P3+6*Q3+2*R3-2*S3</f>
        <v>48.7</v>
      </c>
      <c r="E3" s="8">
        <v>0</v>
      </c>
      <c r="F3" s="5">
        <v>0</v>
      </c>
      <c r="G3" s="5">
        <v>0</v>
      </c>
      <c r="H3" s="5">
        <v>0</v>
      </c>
      <c r="I3" s="5">
        <v>0</v>
      </c>
      <c r="J3" s="9">
        <v>0</v>
      </c>
      <c r="K3" s="8">
        <v>20</v>
      </c>
      <c r="L3" s="5">
        <v>106</v>
      </c>
      <c r="M3" s="5">
        <v>3</v>
      </c>
      <c r="N3" s="9">
        <v>0</v>
      </c>
      <c r="O3" s="8">
        <v>7</v>
      </c>
      <c r="P3" s="5">
        <v>71</v>
      </c>
      <c r="Q3" s="5">
        <v>1</v>
      </c>
      <c r="R3" s="9">
        <v>0</v>
      </c>
      <c r="S3" s="8">
        <v>0</v>
      </c>
      <c r="T3" s="5">
        <v>0</v>
      </c>
    </row>
    <row r="4" spans="1:20" x14ac:dyDescent="0.2">
      <c r="A4" s="5" t="s">
        <v>182</v>
      </c>
      <c r="B4" s="5" t="s">
        <v>162</v>
      </c>
      <c r="C4" s="10" t="s">
        <v>458</v>
      </c>
      <c r="D4" s="7">
        <f t="shared" si="0"/>
        <v>38.5</v>
      </c>
      <c r="E4" s="8">
        <v>0</v>
      </c>
      <c r="F4" s="5">
        <v>0</v>
      </c>
      <c r="G4" s="5">
        <v>0</v>
      </c>
      <c r="H4" s="5">
        <v>0</v>
      </c>
      <c r="I4" s="5">
        <v>0</v>
      </c>
      <c r="J4" s="9">
        <v>0</v>
      </c>
      <c r="K4" s="8">
        <v>0</v>
      </c>
      <c r="L4" s="5">
        <v>0</v>
      </c>
      <c r="M4" s="5">
        <v>0</v>
      </c>
      <c r="N4" s="9">
        <v>0</v>
      </c>
      <c r="O4" s="8">
        <v>9</v>
      </c>
      <c r="P4" s="5">
        <v>175</v>
      </c>
      <c r="Q4" s="5">
        <v>2</v>
      </c>
      <c r="R4" s="9">
        <v>0</v>
      </c>
      <c r="S4" s="8">
        <v>0</v>
      </c>
      <c r="T4" s="5">
        <v>0</v>
      </c>
    </row>
    <row r="5" spans="1:20" x14ac:dyDescent="0.2">
      <c r="A5" s="5" t="s">
        <v>48</v>
      </c>
      <c r="B5" s="5" t="s">
        <v>17</v>
      </c>
      <c r="C5" s="10" t="s">
        <v>459</v>
      </c>
      <c r="D5" s="7">
        <f t="shared" si="0"/>
        <v>36.5</v>
      </c>
      <c r="E5" s="8">
        <v>25</v>
      </c>
      <c r="F5" s="5">
        <v>21</v>
      </c>
      <c r="G5" s="5">
        <v>320</v>
      </c>
      <c r="H5" s="5">
        <v>4</v>
      </c>
      <c r="I5" s="5">
        <v>0</v>
      </c>
      <c r="J5" s="9">
        <v>0</v>
      </c>
      <c r="K5" s="8">
        <v>4</v>
      </c>
      <c r="L5" s="5">
        <v>17</v>
      </c>
      <c r="M5" s="5">
        <v>1</v>
      </c>
      <c r="N5" s="9">
        <v>0</v>
      </c>
      <c r="O5" s="8">
        <v>0</v>
      </c>
      <c r="P5" s="5">
        <v>0</v>
      </c>
      <c r="Q5" s="5">
        <v>0</v>
      </c>
      <c r="R5" s="9">
        <v>0</v>
      </c>
      <c r="S5" s="8">
        <v>0</v>
      </c>
      <c r="T5" s="5">
        <v>0</v>
      </c>
    </row>
    <row r="6" spans="1:20" x14ac:dyDescent="0.2">
      <c r="A6" s="5" t="s">
        <v>165</v>
      </c>
      <c r="B6" s="5" t="s">
        <v>162</v>
      </c>
      <c r="C6" s="10" t="s">
        <v>459</v>
      </c>
      <c r="D6" s="7">
        <f t="shared" si="0"/>
        <v>36</v>
      </c>
      <c r="E6" s="8">
        <v>0</v>
      </c>
      <c r="F6" s="5">
        <v>0</v>
      </c>
      <c r="G6" s="5">
        <v>0</v>
      </c>
      <c r="H6" s="5">
        <v>0</v>
      </c>
      <c r="I6" s="5">
        <v>0</v>
      </c>
      <c r="J6" s="9">
        <v>0</v>
      </c>
      <c r="K6" s="8">
        <v>0</v>
      </c>
      <c r="L6" s="5">
        <v>0</v>
      </c>
      <c r="M6" s="5">
        <v>0</v>
      </c>
      <c r="N6" s="9">
        <v>0</v>
      </c>
      <c r="O6" s="8">
        <v>6</v>
      </c>
      <c r="P6" s="5">
        <v>120</v>
      </c>
      <c r="Q6" s="5">
        <v>3</v>
      </c>
      <c r="R6" s="9">
        <v>0</v>
      </c>
      <c r="S6" s="8">
        <v>0</v>
      </c>
      <c r="T6" s="5">
        <v>0</v>
      </c>
    </row>
    <row r="7" spans="1:20" x14ac:dyDescent="0.2">
      <c r="A7" s="5" t="s">
        <v>183</v>
      </c>
      <c r="B7" s="5" t="s">
        <v>162</v>
      </c>
      <c r="C7" s="10" t="s">
        <v>460</v>
      </c>
      <c r="D7" s="7">
        <f t="shared" si="0"/>
        <v>35.799999999999997</v>
      </c>
      <c r="E7" s="8">
        <v>0</v>
      </c>
      <c r="F7" s="5">
        <v>0</v>
      </c>
      <c r="G7" s="5">
        <v>0</v>
      </c>
      <c r="H7" s="5">
        <v>0</v>
      </c>
      <c r="I7" s="5">
        <v>0</v>
      </c>
      <c r="J7" s="9">
        <v>0</v>
      </c>
      <c r="K7" s="8">
        <v>0</v>
      </c>
      <c r="L7" s="5">
        <v>0</v>
      </c>
      <c r="M7" s="5">
        <v>0</v>
      </c>
      <c r="N7" s="9">
        <v>0</v>
      </c>
      <c r="O7" s="8">
        <v>7</v>
      </c>
      <c r="P7" s="5">
        <v>168</v>
      </c>
      <c r="Q7" s="5">
        <v>2</v>
      </c>
      <c r="R7" s="9">
        <v>0</v>
      </c>
      <c r="S7" s="8">
        <v>0</v>
      </c>
      <c r="T7" s="5">
        <v>0</v>
      </c>
    </row>
    <row r="8" spans="1:20" x14ac:dyDescent="0.2">
      <c r="A8" s="5" t="s">
        <v>90</v>
      </c>
      <c r="B8" s="5" t="s">
        <v>75</v>
      </c>
      <c r="C8" s="17" t="s">
        <v>461</v>
      </c>
      <c r="D8" s="7">
        <f t="shared" si="0"/>
        <v>34.1</v>
      </c>
      <c r="E8" s="8">
        <v>0</v>
      </c>
      <c r="F8" s="5">
        <v>0</v>
      </c>
      <c r="G8" s="5">
        <v>0</v>
      </c>
      <c r="H8" s="5">
        <v>0</v>
      </c>
      <c r="I8" s="5">
        <v>0</v>
      </c>
      <c r="J8" s="9">
        <v>0</v>
      </c>
      <c r="K8" s="8">
        <v>32</v>
      </c>
      <c r="L8" s="5">
        <v>121</v>
      </c>
      <c r="M8" s="5">
        <v>3</v>
      </c>
      <c r="N8" s="9">
        <v>0</v>
      </c>
      <c r="O8" s="8">
        <v>2</v>
      </c>
      <c r="P8" s="5">
        <v>20</v>
      </c>
      <c r="Q8" s="5">
        <v>0</v>
      </c>
      <c r="R8" s="9">
        <v>0</v>
      </c>
      <c r="S8" s="8">
        <v>0</v>
      </c>
      <c r="T8" s="5">
        <v>0</v>
      </c>
    </row>
    <row r="9" spans="1:20" x14ac:dyDescent="0.2">
      <c r="A9" s="5" t="s">
        <v>170</v>
      </c>
      <c r="B9" s="5" t="s">
        <v>162</v>
      </c>
      <c r="C9" s="17" t="s">
        <v>462</v>
      </c>
      <c r="D9" s="7">
        <f t="shared" si="0"/>
        <v>31.3</v>
      </c>
      <c r="E9" s="8">
        <v>0</v>
      </c>
      <c r="F9" s="5">
        <v>0</v>
      </c>
      <c r="G9" s="5">
        <v>0</v>
      </c>
      <c r="H9" s="5">
        <v>0</v>
      </c>
      <c r="I9" s="5">
        <v>0</v>
      </c>
      <c r="J9" s="9">
        <v>0</v>
      </c>
      <c r="K9" s="8">
        <v>0</v>
      </c>
      <c r="L9" s="5">
        <v>0</v>
      </c>
      <c r="M9" s="5">
        <v>0</v>
      </c>
      <c r="N9" s="9">
        <v>0</v>
      </c>
      <c r="O9" s="8">
        <v>9</v>
      </c>
      <c r="P9" s="5">
        <v>163</v>
      </c>
      <c r="Q9" s="5">
        <v>1</v>
      </c>
      <c r="R9" s="9">
        <v>0</v>
      </c>
      <c r="S9" s="8">
        <v>0</v>
      </c>
      <c r="T9" s="5">
        <v>0</v>
      </c>
    </row>
    <row r="10" spans="1:20" x14ac:dyDescent="0.2">
      <c r="A10" s="5" t="s">
        <v>26</v>
      </c>
      <c r="B10" s="5" t="s">
        <v>17</v>
      </c>
      <c r="C10" s="10" t="s">
        <v>462</v>
      </c>
      <c r="D10" s="7">
        <f t="shared" si="0"/>
        <v>29.6</v>
      </c>
      <c r="E10" s="8">
        <v>25</v>
      </c>
      <c r="F10" s="5">
        <v>11</v>
      </c>
      <c r="G10" s="5">
        <v>200</v>
      </c>
      <c r="H10" s="5">
        <v>2</v>
      </c>
      <c r="I10" s="5">
        <v>0</v>
      </c>
      <c r="J10" s="9">
        <v>2</v>
      </c>
      <c r="K10" s="8">
        <v>10</v>
      </c>
      <c r="L10" s="5">
        <v>56</v>
      </c>
      <c r="M10" s="5">
        <v>1</v>
      </c>
      <c r="N10" s="9">
        <v>0</v>
      </c>
      <c r="O10" s="8">
        <v>0</v>
      </c>
      <c r="P10" s="5">
        <v>0</v>
      </c>
      <c r="Q10" s="5">
        <v>0</v>
      </c>
      <c r="R10" s="9">
        <v>0</v>
      </c>
      <c r="S10" s="8">
        <v>1</v>
      </c>
      <c r="T10" s="5">
        <v>0</v>
      </c>
    </row>
    <row r="11" spans="1:20" x14ac:dyDescent="0.2">
      <c r="A11" s="5" t="s">
        <v>58</v>
      </c>
      <c r="B11" s="5" t="s">
        <v>17</v>
      </c>
      <c r="C11" s="17" t="s">
        <v>463</v>
      </c>
      <c r="D11" s="7">
        <f t="shared" si="0"/>
        <v>28.14</v>
      </c>
      <c r="E11" s="8">
        <v>19</v>
      </c>
      <c r="F11" s="5">
        <v>15</v>
      </c>
      <c r="G11" s="5">
        <v>186</v>
      </c>
      <c r="H11" s="5">
        <v>2</v>
      </c>
      <c r="I11" s="5">
        <v>0</v>
      </c>
      <c r="J11" s="9">
        <v>0</v>
      </c>
      <c r="K11" s="8">
        <v>9</v>
      </c>
      <c r="L11" s="5">
        <v>27</v>
      </c>
      <c r="M11" s="5">
        <v>2</v>
      </c>
      <c r="N11" s="9">
        <v>0</v>
      </c>
      <c r="O11" s="8">
        <v>0</v>
      </c>
      <c r="P11" s="5">
        <v>0</v>
      </c>
      <c r="Q11" s="5">
        <v>0</v>
      </c>
      <c r="R11" s="9">
        <v>0</v>
      </c>
      <c r="S11" s="8">
        <v>1</v>
      </c>
      <c r="T11" s="5">
        <v>0</v>
      </c>
    </row>
    <row r="12" spans="1:20" x14ac:dyDescent="0.2">
      <c r="A12" s="5" t="s">
        <v>43</v>
      </c>
      <c r="B12" s="5" t="s">
        <v>17</v>
      </c>
      <c r="C12" s="10" t="s">
        <v>464</v>
      </c>
      <c r="D12" s="7">
        <f t="shared" si="0"/>
        <v>27.9</v>
      </c>
      <c r="E12" s="8">
        <v>35</v>
      </c>
      <c r="F12" s="5">
        <v>28</v>
      </c>
      <c r="G12" s="5">
        <v>335</v>
      </c>
      <c r="H12" s="5">
        <v>4</v>
      </c>
      <c r="I12" s="5">
        <v>1</v>
      </c>
      <c r="J12" s="9">
        <v>0</v>
      </c>
      <c r="K12" s="8">
        <v>4</v>
      </c>
      <c r="L12" s="5">
        <v>25</v>
      </c>
      <c r="M12" s="5">
        <v>0</v>
      </c>
      <c r="N12" s="9">
        <v>0</v>
      </c>
      <c r="O12" s="8">
        <v>0</v>
      </c>
      <c r="P12" s="5">
        <v>0</v>
      </c>
      <c r="Q12" s="5">
        <v>0</v>
      </c>
      <c r="R12" s="9">
        <v>0</v>
      </c>
      <c r="S12" s="8">
        <v>1</v>
      </c>
      <c r="T12" s="5">
        <v>0</v>
      </c>
    </row>
    <row r="13" spans="1:20" x14ac:dyDescent="0.2">
      <c r="A13" s="5" t="s">
        <v>109</v>
      </c>
      <c r="B13" s="5" t="s">
        <v>75</v>
      </c>
      <c r="C13" s="17" t="s">
        <v>465</v>
      </c>
      <c r="D13" s="7">
        <f t="shared" si="0"/>
        <v>27.9</v>
      </c>
      <c r="E13" s="8">
        <v>0</v>
      </c>
      <c r="F13" s="5">
        <v>0</v>
      </c>
      <c r="G13" s="5">
        <v>0</v>
      </c>
      <c r="H13" s="5">
        <v>0</v>
      </c>
      <c r="I13" s="5">
        <v>0</v>
      </c>
      <c r="J13" s="9">
        <v>0</v>
      </c>
      <c r="K13" s="8">
        <v>17</v>
      </c>
      <c r="L13" s="5">
        <v>58</v>
      </c>
      <c r="M13" s="5">
        <v>1</v>
      </c>
      <c r="N13" s="9">
        <v>0</v>
      </c>
      <c r="O13" s="8">
        <v>8</v>
      </c>
      <c r="P13" s="5">
        <v>81</v>
      </c>
      <c r="Q13" s="5">
        <v>0</v>
      </c>
      <c r="R13" s="9">
        <v>0</v>
      </c>
      <c r="S13" s="8">
        <v>0</v>
      </c>
      <c r="T13" s="5">
        <v>0</v>
      </c>
    </row>
    <row r="14" spans="1:20" x14ac:dyDescent="0.2">
      <c r="A14" s="5" t="s">
        <v>83</v>
      </c>
      <c r="B14" s="5" t="s">
        <v>75</v>
      </c>
      <c r="C14" s="17" t="s">
        <v>462</v>
      </c>
      <c r="D14" s="7">
        <f t="shared" si="0"/>
        <v>27.700000000000003</v>
      </c>
      <c r="E14" s="8">
        <v>0</v>
      </c>
      <c r="F14" s="5">
        <v>0</v>
      </c>
      <c r="G14" s="5">
        <v>0</v>
      </c>
      <c r="H14" s="5">
        <v>0</v>
      </c>
      <c r="I14" s="5">
        <v>0</v>
      </c>
      <c r="J14" s="9">
        <v>0</v>
      </c>
      <c r="K14" s="8">
        <v>25</v>
      </c>
      <c r="L14" s="5">
        <v>103</v>
      </c>
      <c r="M14" s="5">
        <v>2</v>
      </c>
      <c r="N14" s="9">
        <v>0</v>
      </c>
      <c r="O14" s="8">
        <v>3</v>
      </c>
      <c r="P14" s="5">
        <v>24</v>
      </c>
      <c r="Q14" s="5">
        <v>0</v>
      </c>
      <c r="R14" s="9">
        <v>0</v>
      </c>
      <c r="S14" s="8">
        <v>0</v>
      </c>
      <c r="T14" s="5">
        <v>0</v>
      </c>
    </row>
    <row r="15" spans="1:20" x14ac:dyDescent="0.2">
      <c r="A15" s="5" t="s">
        <v>277</v>
      </c>
      <c r="B15" s="5" t="s">
        <v>69</v>
      </c>
      <c r="C15" s="10" t="s">
        <v>464</v>
      </c>
      <c r="D15" s="7">
        <f t="shared" si="0"/>
        <v>27.6</v>
      </c>
      <c r="E15" s="8">
        <v>0</v>
      </c>
      <c r="F15" s="5">
        <v>0</v>
      </c>
      <c r="G15" s="5">
        <v>0</v>
      </c>
      <c r="H15" s="5">
        <v>0</v>
      </c>
      <c r="I15" s="5">
        <v>0</v>
      </c>
      <c r="J15" s="9">
        <v>0</v>
      </c>
      <c r="K15" s="8">
        <v>1</v>
      </c>
      <c r="L15" s="5">
        <v>1</v>
      </c>
      <c r="M15" s="5">
        <v>0</v>
      </c>
      <c r="N15" s="9">
        <v>0</v>
      </c>
      <c r="O15" s="8">
        <v>7</v>
      </c>
      <c r="P15" s="5">
        <v>85</v>
      </c>
      <c r="Q15" s="5">
        <v>2</v>
      </c>
      <c r="R15" s="9">
        <v>0</v>
      </c>
      <c r="S15" s="8">
        <v>0</v>
      </c>
      <c r="T15" s="5">
        <v>0</v>
      </c>
    </row>
    <row r="16" spans="1:20" x14ac:dyDescent="0.2">
      <c r="A16" s="5" t="s">
        <v>235</v>
      </c>
      <c r="B16" s="5" t="s">
        <v>162</v>
      </c>
      <c r="C16" s="10" t="s">
        <v>464</v>
      </c>
      <c r="D16" s="7">
        <f t="shared" si="0"/>
        <v>27.1</v>
      </c>
      <c r="E16" s="8">
        <v>0</v>
      </c>
      <c r="F16" s="5">
        <v>0</v>
      </c>
      <c r="G16" s="5">
        <v>0</v>
      </c>
      <c r="H16" s="5">
        <v>0</v>
      </c>
      <c r="I16" s="5">
        <v>0</v>
      </c>
      <c r="J16" s="9">
        <v>0</v>
      </c>
      <c r="K16" s="8">
        <v>0</v>
      </c>
      <c r="L16" s="5">
        <v>0</v>
      </c>
      <c r="M16" s="5">
        <v>0</v>
      </c>
      <c r="N16" s="9">
        <v>0</v>
      </c>
      <c r="O16" s="8">
        <v>8</v>
      </c>
      <c r="P16" s="5">
        <v>131</v>
      </c>
      <c r="Q16" s="5">
        <v>1</v>
      </c>
      <c r="R16" s="9">
        <v>0</v>
      </c>
      <c r="S16" s="8">
        <v>0</v>
      </c>
      <c r="T16" s="5">
        <v>0</v>
      </c>
    </row>
    <row r="17" spans="1:20" x14ac:dyDescent="0.2">
      <c r="A17" s="5" t="s">
        <v>375</v>
      </c>
      <c r="B17" s="5" t="s">
        <v>75</v>
      </c>
      <c r="C17" s="17" t="s">
        <v>459</v>
      </c>
      <c r="D17" s="7">
        <f t="shared" si="0"/>
        <v>27</v>
      </c>
      <c r="E17" s="8">
        <v>0</v>
      </c>
      <c r="F17" s="5">
        <v>0</v>
      </c>
      <c r="G17" s="5">
        <v>0</v>
      </c>
      <c r="H17" s="5">
        <v>0</v>
      </c>
      <c r="I17" s="5">
        <v>0</v>
      </c>
      <c r="J17" s="9">
        <v>0</v>
      </c>
      <c r="K17" s="8">
        <v>8</v>
      </c>
      <c r="L17" s="5">
        <v>101</v>
      </c>
      <c r="M17" s="5">
        <v>2</v>
      </c>
      <c r="N17" s="9">
        <v>0</v>
      </c>
      <c r="O17" s="8">
        <v>3</v>
      </c>
      <c r="P17" s="5">
        <v>19</v>
      </c>
      <c r="Q17" s="5">
        <v>0</v>
      </c>
      <c r="R17" s="9">
        <v>0</v>
      </c>
      <c r="S17" s="8">
        <v>0</v>
      </c>
      <c r="T17" s="5">
        <v>0</v>
      </c>
    </row>
    <row r="18" spans="1:20" x14ac:dyDescent="0.2">
      <c r="A18" s="5" t="s">
        <v>250</v>
      </c>
      <c r="B18" s="5" t="s">
        <v>162</v>
      </c>
      <c r="C18" s="17" t="s">
        <v>457</v>
      </c>
      <c r="D18" s="7">
        <f t="shared" si="0"/>
        <v>26.6</v>
      </c>
      <c r="E18" s="8">
        <v>0</v>
      </c>
      <c r="F18" s="5">
        <v>0</v>
      </c>
      <c r="G18" s="5">
        <v>0</v>
      </c>
      <c r="H18" s="5">
        <v>0</v>
      </c>
      <c r="I18" s="5">
        <v>0</v>
      </c>
      <c r="J18" s="9">
        <v>0</v>
      </c>
      <c r="K18" s="8">
        <v>0</v>
      </c>
      <c r="L18" s="5">
        <v>0</v>
      </c>
      <c r="M18" s="5">
        <v>0</v>
      </c>
      <c r="N18" s="9">
        <v>0</v>
      </c>
      <c r="O18" s="8">
        <v>7</v>
      </c>
      <c r="P18" s="5">
        <v>76</v>
      </c>
      <c r="Q18" s="5">
        <v>2</v>
      </c>
      <c r="R18" s="9">
        <v>0</v>
      </c>
      <c r="S18" s="8">
        <v>0</v>
      </c>
      <c r="T18" s="5">
        <v>0</v>
      </c>
    </row>
    <row r="19" spans="1:20" x14ac:dyDescent="0.2">
      <c r="A19" s="5" t="s">
        <v>167</v>
      </c>
      <c r="B19" s="5" t="s">
        <v>162</v>
      </c>
      <c r="C19" s="17" t="s">
        <v>466</v>
      </c>
      <c r="D19" s="7">
        <f t="shared" si="0"/>
        <v>26.5</v>
      </c>
      <c r="E19" s="8">
        <v>0</v>
      </c>
      <c r="F19" s="5">
        <v>0</v>
      </c>
      <c r="G19" s="5">
        <v>0</v>
      </c>
      <c r="H19" s="5">
        <v>0</v>
      </c>
      <c r="I19" s="5">
        <v>0</v>
      </c>
      <c r="J19" s="9">
        <v>0</v>
      </c>
      <c r="K19" s="8">
        <v>0</v>
      </c>
      <c r="L19" s="5">
        <v>0</v>
      </c>
      <c r="M19" s="5">
        <v>0</v>
      </c>
      <c r="N19" s="9">
        <v>0</v>
      </c>
      <c r="O19" s="8">
        <v>6</v>
      </c>
      <c r="P19" s="5">
        <v>85</v>
      </c>
      <c r="Q19" s="5">
        <v>2</v>
      </c>
      <c r="R19" s="9">
        <v>0</v>
      </c>
      <c r="S19" s="8">
        <v>0</v>
      </c>
      <c r="T19" s="5">
        <v>0</v>
      </c>
    </row>
    <row r="20" spans="1:20" x14ac:dyDescent="0.2">
      <c r="A20" s="5" t="s">
        <v>341</v>
      </c>
      <c r="B20" s="5" t="s">
        <v>69</v>
      </c>
      <c r="C20" s="17" t="s">
        <v>463</v>
      </c>
      <c r="D20" s="7">
        <f t="shared" si="0"/>
        <v>25</v>
      </c>
      <c r="E20" s="8">
        <v>0</v>
      </c>
      <c r="F20" s="5">
        <v>0</v>
      </c>
      <c r="G20" s="5">
        <v>0</v>
      </c>
      <c r="H20" s="5">
        <v>0</v>
      </c>
      <c r="I20" s="5">
        <v>0</v>
      </c>
      <c r="J20" s="9">
        <v>0</v>
      </c>
      <c r="K20" s="8">
        <v>0</v>
      </c>
      <c r="L20" s="5">
        <v>0</v>
      </c>
      <c r="M20" s="5">
        <v>0</v>
      </c>
      <c r="N20" s="9">
        <v>0</v>
      </c>
      <c r="O20" s="8">
        <v>5</v>
      </c>
      <c r="P20" s="5">
        <v>80</v>
      </c>
      <c r="Q20" s="5">
        <v>2</v>
      </c>
      <c r="R20" s="9">
        <v>0</v>
      </c>
      <c r="S20" s="8">
        <v>0</v>
      </c>
      <c r="T20" s="5">
        <v>0</v>
      </c>
    </row>
    <row r="21" spans="1:20" x14ac:dyDescent="0.2">
      <c r="A21" s="5" t="s">
        <v>104</v>
      </c>
      <c r="B21" s="5" t="s">
        <v>75</v>
      </c>
      <c r="C21" s="17" t="s">
        <v>467</v>
      </c>
      <c r="D21" s="7">
        <f t="shared" si="0"/>
        <v>24.8</v>
      </c>
      <c r="E21" s="8">
        <v>0</v>
      </c>
      <c r="F21" s="5">
        <v>0</v>
      </c>
      <c r="G21" s="5">
        <v>0</v>
      </c>
      <c r="H21" s="5">
        <v>0</v>
      </c>
      <c r="I21" s="5">
        <v>0</v>
      </c>
      <c r="J21" s="9">
        <v>0</v>
      </c>
      <c r="K21" s="8">
        <v>20</v>
      </c>
      <c r="L21" s="5">
        <v>115</v>
      </c>
      <c r="M21" s="5">
        <v>1</v>
      </c>
      <c r="N21" s="9">
        <v>0</v>
      </c>
      <c r="O21" s="8">
        <v>3</v>
      </c>
      <c r="P21" s="5">
        <v>43</v>
      </c>
      <c r="Q21" s="5">
        <v>0</v>
      </c>
      <c r="R21" s="9">
        <v>0</v>
      </c>
      <c r="S21" s="8">
        <v>0</v>
      </c>
      <c r="T21" s="5">
        <v>0</v>
      </c>
    </row>
    <row r="22" spans="1:20" x14ac:dyDescent="0.2">
      <c r="A22" s="5" t="s">
        <v>88</v>
      </c>
      <c r="B22" s="5" t="s">
        <v>75</v>
      </c>
      <c r="C22" s="10" t="s">
        <v>468</v>
      </c>
      <c r="D22" s="7">
        <f t="shared" si="0"/>
        <v>24.380000000000003</v>
      </c>
      <c r="E22" s="8">
        <v>1</v>
      </c>
      <c r="F22" s="5">
        <v>1</v>
      </c>
      <c r="G22" s="5">
        <v>2</v>
      </c>
      <c r="H22" s="5">
        <v>1</v>
      </c>
      <c r="I22" s="5">
        <v>0</v>
      </c>
      <c r="J22" s="9">
        <v>0</v>
      </c>
      <c r="K22" s="8">
        <v>22</v>
      </c>
      <c r="L22" s="5">
        <v>122</v>
      </c>
      <c r="M22" s="5">
        <v>1</v>
      </c>
      <c r="N22" s="9">
        <v>0</v>
      </c>
      <c r="O22" s="8">
        <v>1</v>
      </c>
      <c r="P22" s="5">
        <v>11</v>
      </c>
      <c r="Q22" s="5">
        <v>0</v>
      </c>
      <c r="R22" s="9">
        <v>0</v>
      </c>
      <c r="S22" s="8">
        <v>0</v>
      </c>
      <c r="T22" s="5">
        <v>0</v>
      </c>
    </row>
    <row r="23" spans="1:20" x14ac:dyDescent="0.2">
      <c r="A23" s="5" t="s">
        <v>45</v>
      </c>
      <c r="B23" s="5" t="s">
        <v>17</v>
      </c>
      <c r="C23" s="10" t="s">
        <v>458</v>
      </c>
      <c r="D23" s="7">
        <f t="shared" si="0"/>
        <v>24.159999999999997</v>
      </c>
      <c r="E23" s="8">
        <v>37</v>
      </c>
      <c r="F23" s="5">
        <v>25</v>
      </c>
      <c r="G23" s="5">
        <v>319</v>
      </c>
      <c r="H23" s="5">
        <v>2</v>
      </c>
      <c r="I23" s="5">
        <v>0</v>
      </c>
      <c r="J23" s="9">
        <v>0</v>
      </c>
      <c r="K23" s="8">
        <v>9</v>
      </c>
      <c r="L23" s="5">
        <v>34</v>
      </c>
      <c r="M23" s="5">
        <v>0</v>
      </c>
      <c r="N23" s="9">
        <v>0</v>
      </c>
      <c r="O23" s="8">
        <v>0</v>
      </c>
      <c r="P23" s="5">
        <v>0</v>
      </c>
      <c r="Q23" s="5">
        <v>0</v>
      </c>
      <c r="R23" s="9">
        <v>0</v>
      </c>
      <c r="S23" s="8">
        <v>0</v>
      </c>
      <c r="T23" s="5">
        <v>0</v>
      </c>
    </row>
    <row r="24" spans="1:20" x14ac:dyDescent="0.2">
      <c r="A24" s="5" t="s">
        <v>63</v>
      </c>
      <c r="B24" s="5" t="s">
        <v>17</v>
      </c>
      <c r="C24" s="17" t="s">
        <v>457</v>
      </c>
      <c r="D24" s="7">
        <f t="shared" si="0"/>
        <v>23.400000000000002</v>
      </c>
      <c r="E24" s="8">
        <v>41</v>
      </c>
      <c r="F24" s="5">
        <v>28</v>
      </c>
      <c r="G24" s="5">
        <v>265</v>
      </c>
      <c r="H24" s="5">
        <v>2</v>
      </c>
      <c r="I24" s="5">
        <v>0</v>
      </c>
      <c r="J24" s="9">
        <v>0</v>
      </c>
      <c r="K24" s="8">
        <v>12</v>
      </c>
      <c r="L24" s="5">
        <v>48</v>
      </c>
      <c r="M24" s="5">
        <v>0</v>
      </c>
      <c r="N24" s="9">
        <v>0</v>
      </c>
      <c r="O24" s="8">
        <v>0</v>
      </c>
      <c r="P24" s="5">
        <v>0</v>
      </c>
      <c r="Q24" s="5">
        <v>0</v>
      </c>
      <c r="R24" s="9">
        <v>0</v>
      </c>
      <c r="S24" s="8">
        <v>0</v>
      </c>
      <c r="T24" s="5">
        <v>0</v>
      </c>
    </row>
    <row r="25" spans="1:20" x14ac:dyDescent="0.2">
      <c r="A25" s="5" t="s">
        <v>25</v>
      </c>
      <c r="B25" s="5" t="s">
        <v>17</v>
      </c>
      <c r="C25" s="10" t="s">
        <v>465</v>
      </c>
      <c r="D25" s="7">
        <f t="shared" si="0"/>
        <v>23.38</v>
      </c>
      <c r="E25" s="8">
        <v>24</v>
      </c>
      <c r="F25" s="5">
        <v>13</v>
      </c>
      <c r="G25" s="5">
        <v>167</v>
      </c>
      <c r="H25" s="5">
        <v>1</v>
      </c>
      <c r="I25" s="5">
        <v>1</v>
      </c>
      <c r="J25" s="9">
        <v>0</v>
      </c>
      <c r="K25" s="8">
        <v>12</v>
      </c>
      <c r="L25" s="5">
        <v>27</v>
      </c>
      <c r="M25" s="5">
        <v>2</v>
      </c>
      <c r="N25" s="9">
        <v>0</v>
      </c>
      <c r="O25" s="8">
        <v>0</v>
      </c>
      <c r="P25" s="5">
        <v>0</v>
      </c>
      <c r="Q25" s="5">
        <v>0</v>
      </c>
      <c r="R25" s="9">
        <v>0</v>
      </c>
      <c r="S25" s="8">
        <v>0</v>
      </c>
      <c r="T25" s="5">
        <v>0</v>
      </c>
    </row>
    <row r="26" spans="1:20" x14ac:dyDescent="0.2">
      <c r="A26" s="5" t="s">
        <v>37</v>
      </c>
      <c r="B26" s="5" t="s">
        <v>17</v>
      </c>
      <c r="C26" s="17" t="s">
        <v>469</v>
      </c>
      <c r="D26" s="7">
        <f t="shared" si="0"/>
        <v>22.94</v>
      </c>
      <c r="E26" s="8">
        <v>32</v>
      </c>
      <c r="F26" s="5">
        <v>25</v>
      </c>
      <c r="G26" s="5">
        <v>246</v>
      </c>
      <c r="H26" s="5">
        <v>3</v>
      </c>
      <c r="I26" s="5">
        <v>1</v>
      </c>
      <c r="J26" s="9">
        <v>0</v>
      </c>
      <c r="K26" s="8">
        <v>8</v>
      </c>
      <c r="L26" s="5">
        <v>31</v>
      </c>
      <c r="M26" s="5">
        <v>0</v>
      </c>
      <c r="N26" s="9">
        <v>0</v>
      </c>
      <c r="O26" s="8">
        <v>0</v>
      </c>
      <c r="P26" s="5">
        <v>0</v>
      </c>
      <c r="Q26" s="5">
        <v>0</v>
      </c>
      <c r="R26" s="9">
        <v>0</v>
      </c>
      <c r="S26" s="8">
        <v>0</v>
      </c>
      <c r="T26" s="5">
        <v>0</v>
      </c>
    </row>
    <row r="27" spans="1:20" x14ac:dyDescent="0.2">
      <c r="A27" s="5" t="s">
        <v>38</v>
      </c>
      <c r="B27" s="5" t="s">
        <v>17</v>
      </c>
      <c r="C27" s="17" t="s">
        <v>464</v>
      </c>
      <c r="D27" s="7">
        <f t="shared" si="0"/>
        <v>22.220000000000002</v>
      </c>
      <c r="E27" s="8">
        <v>28</v>
      </c>
      <c r="F27" s="5">
        <v>21</v>
      </c>
      <c r="G27" s="5">
        <v>223</v>
      </c>
      <c r="H27" s="5">
        <v>3</v>
      </c>
      <c r="I27" s="5">
        <v>0</v>
      </c>
      <c r="J27" s="9">
        <v>0</v>
      </c>
      <c r="K27" s="8">
        <v>4</v>
      </c>
      <c r="L27" s="5">
        <v>13</v>
      </c>
      <c r="M27" s="5">
        <v>0</v>
      </c>
      <c r="N27" s="9">
        <v>0</v>
      </c>
      <c r="O27" s="8">
        <v>0</v>
      </c>
      <c r="P27" s="5">
        <v>0</v>
      </c>
      <c r="Q27" s="5">
        <v>0</v>
      </c>
      <c r="R27" s="9">
        <v>0</v>
      </c>
      <c r="S27" s="8">
        <v>0</v>
      </c>
      <c r="T27" s="5">
        <v>0</v>
      </c>
    </row>
    <row r="28" spans="1:20" x14ac:dyDescent="0.2">
      <c r="A28" s="5" t="s">
        <v>99</v>
      </c>
      <c r="B28" s="5" t="s">
        <v>75</v>
      </c>
      <c r="C28" s="10" t="s">
        <v>464</v>
      </c>
      <c r="D28" s="7">
        <f t="shared" si="0"/>
        <v>22.2</v>
      </c>
      <c r="E28" s="8">
        <v>0</v>
      </c>
      <c r="F28" s="5">
        <v>0</v>
      </c>
      <c r="G28" s="5">
        <v>0</v>
      </c>
      <c r="H28" s="5">
        <v>0</v>
      </c>
      <c r="I28" s="5">
        <v>0</v>
      </c>
      <c r="J28" s="9">
        <v>0</v>
      </c>
      <c r="K28" s="8">
        <v>18</v>
      </c>
      <c r="L28" s="5">
        <v>103</v>
      </c>
      <c r="M28" s="5">
        <v>0</v>
      </c>
      <c r="N28" s="9">
        <v>0</v>
      </c>
      <c r="O28" s="8">
        <v>4</v>
      </c>
      <c r="P28" s="5">
        <v>19</v>
      </c>
      <c r="Q28" s="5">
        <v>1</v>
      </c>
      <c r="R28" s="9">
        <v>0</v>
      </c>
      <c r="S28" s="8">
        <v>0</v>
      </c>
      <c r="T28" s="5">
        <v>0</v>
      </c>
    </row>
    <row r="29" spans="1:20" x14ac:dyDescent="0.2">
      <c r="A29" s="5" t="s">
        <v>53</v>
      </c>
      <c r="B29" s="5" t="s">
        <v>17</v>
      </c>
      <c r="C29" s="10" t="s">
        <v>460</v>
      </c>
      <c r="D29" s="7">
        <f t="shared" si="0"/>
        <v>21.840000000000003</v>
      </c>
      <c r="E29" s="8">
        <v>30</v>
      </c>
      <c r="F29" s="5">
        <v>16</v>
      </c>
      <c r="G29" s="5">
        <v>306</v>
      </c>
      <c r="H29" s="5">
        <v>2</v>
      </c>
      <c r="I29" s="5">
        <v>0</v>
      </c>
      <c r="J29" s="9">
        <v>0</v>
      </c>
      <c r="K29" s="8">
        <v>4</v>
      </c>
      <c r="L29" s="5">
        <v>16</v>
      </c>
      <c r="M29" s="5">
        <v>0</v>
      </c>
      <c r="N29" s="9">
        <v>0</v>
      </c>
      <c r="O29" s="8">
        <v>0</v>
      </c>
      <c r="P29" s="5">
        <v>0</v>
      </c>
      <c r="Q29" s="5">
        <v>0</v>
      </c>
      <c r="R29" s="9">
        <v>0</v>
      </c>
      <c r="S29" s="8">
        <v>0</v>
      </c>
      <c r="T29" s="5">
        <v>0</v>
      </c>
    </row>
    <row r="30" spans="1:20" x14ac:dyDescent="0.2">
      <c r="A30" s="5" t="s">
        <v>470</v>
      </c>
      <c r="B30" s="5" t="s">
        <v>75</v>
      </c>
      <c r="C30" s="10" t="s">
        <v>469</v>
      </c>
      <c r="D30" s="7">
        <f t="shared" si="0"/>
        <v>21.400000000000002</v>
      </c>
      <c r="E30" s="8">
        <v>0</v>
      </c>
      <c r="F30" s="5">
        <v>0</v>
      </c>
      <c r="G30" s="5">
        <v>0</v>
      </c>
      <c r="H30" s="5">
        <v>0</v>
      </c>
      <c r="I30" s="5">
        <v>0</v>
      </c>
      <c r="J30" s="9">
        <v>0</v>
      </c>
      <c r="K30" s="8">
        <v>11</v>
      </c>
      <c r="L30" s="5">
        <v>51</v>
      </c>
      <c r="M30" s="5">
        <v>0</v>
      </c>
      <c r="N30" s="9">
        <v>0</v>
      </c>
      <c r="O30" s="8">
        <v>13</v>
      </c>
      <c r="P30" s="5">
        <v>33</v>
      </c>
      <c r="Q30" s="5">
        <v>0</v>
      </c>
      <c r="R30" s="9">
        <v>0</v>
      </c>
      <c r="S30" s="8">
        <v>0</v>
      </c>
      <c r="T30" s="5">
        <v>0</v>
      </c>
    </row>
    <row r="31" spans="1:20" x14ac:dyDescent="0.2">
      <c r="A31" s="5" t="s">
        <v>33</v>
      </c>
      <c r="B31" s="5" t="s">
        <v>17</v>
      </c>
      <c r="C31" s="10" t="s">
        <v>457</v>
      </c>
      <c r="D31" s="7">
        <f t="shared" si="0"/>
        <v>21.32</v>
      </c>
      <c r="E31" s="8">
        <v>21</v>
      </c>
      <c r="F31" s="5">
        <v>20</v>
      </c>
      <c r="G31" s="5">
        <v>283</v>
      </c>
      <c r="H31" s="5">
        <v>1</v>
      </c>
      <c r="I31" s="5">
        <v>0</v>
      </c>
      <c r="J31" s="9">
        <v>0</v>
      </c>
      <c r="K31" s="8">
        <v>2</v>
      </c>
      <c r="L31" s="5">
        <v>0</v>
      </c>
      <c r="M31" s="5">
        <v>1</v>
      </c>
      <c r="N31" s="9">
        <v>0</v>
      </c>
      <c r="O31" s="8">
        <v>0</v>
      </c>
      <c r="P31" s="5">
        <v>0</v>
      </c>
      <c r="Q31" s="5">
        <v>0</v>
      </c>
      <c r="R31" s="9">
        <v>0</v>
      </c>
      <c r="S31" s="8">
        <v>0</v>
      </c>
      <c r="T31" s="5">
        <v>0</v>
      </c>
    </row>
    <row r="32" spans="1:20" x14ac:dyDescent="0.2">
      <c r="A32" s="5" t="s">
        <v>163</v>
      </c>
      <c r="B32" s="5" t="s">
        <v>162</v>
      </c>
      <c r="C32" s="10" t="s">
        <v>457</v>
      </c>
      <c r="D32" s="7">
        <f t="shared" si="0"/>
        <v>20.8</v>
      </c>
      <c r="E32" s="8">
        <v>0</v>
      </c>
      <c r="F32" s="5">
        <v>0</v>
      </c>
      <c r="G32" s="5">
        <v>0</v>
      </c>
      <c r="H32" s="5">
        <v>0</v>
      </c>
      <c r="I32" s="5">
        <v>0</v>
      </c>
      <c r="J32" s="9">
        <v>0</v>
      </c>
      <c r="K32" s="8">
        <v>0</v>
      </c>
      <c r="L32" s="5">
        <v>0</v>
      </c>
      <c r="M32" s="5">
        <v>0</v>
      </c>
      <c r="N32" s="9">
        <v>0</v>
      </c>
      <c r="O32" s="8">
        <v>6</v>
      </c>
      <c r="P32" s="5">
        <v>148</v>
      </c>
      <c r="Q32" s="5">
        <v>0</v>
      </c>
      <c r="R32" s="9">
        <v>0</v>
      </c>
      <c r="S32" s="8">
        <v>0</v>
      </c>
      <c r="T32" s="5">
        <v>0</v>
      </c>
    </row>
    <row r="33" spans="1:20" x14ac:dyDescent="0.2">
      <c r="A33" s="5" t="s">
        <v>39</v>
      </c>
      <c r="B33" s="5" t="s">
        <v>17</v>
      </c>
      <c r="C33" s="17" t="s">
        <v>458</v>
      </c>
      <c r="D33" s="7">
        <f t="shared" si="0"/>
        <v>19.600000000000001</v>
      </c>
      <c r="E33" s="8">
        <v>41</v>
      </c>
      <c r="F33" s="5">
        <v>29</v>
      </c>
      <c r="G33" s="5">
        <v>290</v>
      </c>
      <c r="H33" s="5">
        <v>1</v>
      </c>
      <c r="I33" s="5">
        <v>0</v>
      </c>
      <c r="J33" s="9">
        <v>0</v>
      </c>
      <c r="K33" s="8">
        <v>6</v>
      </c>
      <c r="L33" s="5">
        <v>40</v>
      </c>
      <c r="M33" s="5">
        <v>0</v>
      </c>
      <c r="N33" s="9">
        <v>0</v>
      </c>
      <c r="O33" s="8">
        <v>0</v>
      </c>
      <c r="P33" s="5">
        <v>0</v>
      </c>
      <c r="Q33" s="5">
        <v>0</v>
      </c>
      <c r="R33" s="9">
        <v>0</v>
      </c>
      <c r="S33" s="8">
        <v>0</v>
      </c>
      <c r="T33" s="5">
        <v>0</v>
      </c>
    </row>
    <row r="34" spans="1:20" x14ac:dyDescent="0.2">
      <c r="A34" s="5" t="s">
        <v>147</v>
      </c>
      <c r="B34" s="5" t="s">
        <v>75</v>
      </c>
      <c r="C34" s="17" t="s">
        <v>464</v>
      </c>
      <c r="D34" s="7">
        <f t="shared" si="0"/>
        <v>19.399999999999999</v>
      </c>
      <c r="E34" s="8">
        <v>0</v>
      </c>
      <c r="F34" s="5">
        <v>0</v>
      </c>
      <c r="G34" s="5">
        <v>0</v>
      </c>
      <c r="H34" s="5">
        <v>0</v>
      </c>
      <c r="I34" s="5">
        <v>0</v>
      </c>
      <c r="J34" s="9">
        <v>0</v>
      </c>
      <c r="K34" s="8">
        <v>7</v>
      </c>
      <c r="L34" s="5">
        <v>72</v>
      </c>
      <c r="M34" s="5">
        <v>0</v>
      </c>
      <c r="N34" s="9">
        <v>0</v>
      </c>
      <c r="O34" s="8">
        <v>3</v>
      </c>
      <c r="P34" s="5">
        <v>32</v>
      </c>
      <c r="Q34" s="5">
        <v>1</v>
      </c>
      <c r="R34" s="9">
        <v>0</v>
      </c>
      <c r="S34" s="8">
        <v>0</v>
      </c>
      <c r="T34" s="5">
        <v>0</v>
      </c>
    </row>
    <row r="35" spans="1:20" x14ac:dyDescent="0.2">
      <c r="A35" s="5" t="s">
        <v>198</v>
      </c>
      <c r="B35" s="5" t="s">
        <v>162</v>
      </c>
      <c r="C35" s="17" t="s">
        <v>469</v>
      </c>
      <c r="D35" s="7">
        <f t="shared" si="0"/>
        <v>19.399999999999999</v>
      </c>
      <c r="E35" s="8">
        <v>1</v>
      </c>
      <c r="F35" s="5">
        <v>0</v>
      </c>
      <c r="G35" s="5">
        <v>0</v>
      </c>
      <c r="H35" s="5">
        <v>0</v>
      </c>
      <c r="I35" s="5">
        <v>0</v>
      </c>
      <c r="J35" s="9">
        <v>0</v>
      </c>
      <c r="K35" s="8">
        <v>0</v>
      </c>
      <c r="L35" s="5">
        <v>0</v>
      </c>
      <c r="M35" s="5">
        <v>0</v>
      </c>
      <c r="N35" s="9">
        <v>0</v>
      </c>
      <c r="O35" s="8">
        <v>8</v>
      </c>
      <c r="P35" s="5">
        <v>114</v>
      </c>
      <c r="Q35" s="5">
        <v>0</v>
      </c>
      <c r="R35" s="9">
        <v>0</v>
      </c>
      <c r="S35" s="8">
        <v>0</v>
      </c>
      <c r="T35" s="5">
        <v>0</v>
      </c>
    </row>
    <row r="36" spans="1:20" x14ac:dyDescent="0.2">
      <c r="A36" s="5" t="s">
        <v>56</v>
      </c>
      <c r="B36" s="5" t="s">
        <v>17</v>
      </c>
      <c r="C36" s="10" t="s">
        <v>467</v>
      </c>
      <c r="D36" s="7">
        <f t="shared" si="0"/>
        <v>19.2</v>
      </c>
      <c r="E36" s="8">
        <v>39</v>
      </c>
      <c r="F36" s="5">
        <v>28</v>
      </c>
      <c r="G36" s="5">
        <v>245</v>
      </c>
      <c r="H36" s="5">
        <v>2</v>
      </c>
      <c r="I36" s="5">
        <v>0</v>
      </c>
      <c r="J36" s="9">
        <v>0</v>
      </c>
      <c r="K36" s="8">
        <v>2</v>
      </c>
      <c r="L36" s="5">
        <v>14</v>
      </c>
      <c r="M36" s="5">
        <v>0</v>
      </c>
      <c r="N36" s="9">
        <v>1</v>
      </c>
      <c r="O36" s="8">
        <v>0</v>
      </c>
      <c r="P36" s="5">
        <v>0</v>
      </c>
      <c r="Q36" s="5">
        <v>0</v>
      </c>
      <c r="R36" s="9">
        <v>0</v>
      </c>
      <c r="S36" s="8">
        <v>1</v>
      </c>
      <c r="T36" s="5">
        <v>0</v>
      </c>
    </row>
    <row r="37" spans="1:20" x14ac:dyDescent="0.2">
      <c r="A37" s="5" t="s">
        <v>81</v>
      </c>
      <c r="B37" s="5" t="s">
        <v>75</v>
      </c>
      <c r="C37" s="17" t="s">
        <v>471</v>
      </c>
      <c r="D37" s="7">
        <f t="shared" si="0"/>
        <v>18.7</v>
      </c>
      <c r="E37" s="8">
        <v>0</v>
      </c>
      <c r="F37" s="5">
        <v>0</v>
      </c>
      <c r="G37" s="5">
        <v>0</v>
      </c>
      <c r="H37" s="5">
        <v>0</v>
      </c>
      <c r="I37" s="5">
        <v>0</v>
      </c>
      <c r="J37" s="9">
        <v>0</v>
      </c>
      <c r="K37" s="8">
        <v>14</v>
      </c>
      <c r="L37" s="5">
        <v>105</v>
      </c>
      <c r="M37" s="5">
        <v>0</v>
      </c>
      <c r="N37" s="9">
        <v>0</v>
      </c>
      <c r="O37" s="8">
        <v>5</v>
      </c>
      <c r="P37" s="5">
        <v>32</v>
      </c>
      <c r="Q37" s="5">
        <v>0</v>
      </c>
      <c r="R37" s="9">
        <v>0</v>
      </c>
      <c r="S37" s="8">
        <v>0</v>
      </c>
      <c r="T37" s="5">
        <v>0</v>
      </c>
    </row>
    <row r="38" spans="1:20" x14ac:dyDescent="0.2">
      <c r="A38" s="5" t="s">
        <v>174</v>
      </c>
      <c r="B38" s="5" t="s">
        <v>162</v>
      </c>
      <c r="C38" s="10" t="s">
        <v>461</v>
      </c>
      <c r="D38" s="7">
        <f t="shared" si="0"/>
        <v>18.5</v>
      </c>
      <c r="E38" s="8">
        <v>0</v>
      </c>
      <c r="F38" s="5">
        <v>0</v>
      </c>
      <c r="G38" s="5">
        <v>0</v>
      </c>
      <c r="H38" s="5">
        <v>0</v>
      </c>
      <c r="I38" s="5">
        <v>0</v>
      </c>
      <c r="J38" s="9">
        <v>0</v>
      </c>
      <c r="K38" s="8">
        <v>0</v>
      </c>
      <c r="L38" s="5">
        <v>0</v>
      </c>
      <c r="M38" s="5">
        <v>0</v>
      </c>
      <c r="N38" s="9">
        <v>0</v>
      </c>
      <c r="O38" s="8">
        <v>9</v>
      </c>
      <c r="P38" s="5">
        <v>95</v>
      </c>
      <c r="Q38" s="5">
        <v>0</v>
      </c>
      <c r="R38" s="9">
        <v>0</v>
      </c>
      <c r="S38" s="8">
        <v>0</v>
      </c>
      <c r="T38" s="5">
        <v>0</v>
      </c>
    </row>
    <row r="39" spans="1:20" x14ac:dyDescent="0.2">
      <c r="A39" s="5" t="s">
        <v>199</v>
      </c>
      <c r="B39" s="5" t="s">
        <v>162</v>
      </c>
      <c r="C39" s="17" t="s">
        <v>458</v>
      </c>
      <c r="D39" s="7">
        <f t="shared" si="0"/>
        <v>18.2</v>
      </c>
      <c r="E39" s="8">
        <v>0</v>
      </c>
      <c r="F39" s="5">
        <v>0</v>
      </c>
      <c r="G39" s="5">
        <v>0</v>
      </c>
      <c r="H39" s="5">
        <v>0</v>
      </c>
      <c r="I39" s="5">
        <v>0</v>
      </c>
      <c r="J39" s="9">
        <v>0</v>
      </c>
      <c r="K39" s="8">
        <v>1</v>
      </c>
      <c r="L39" s="5">
        <v>1</v>
      </c>
      <c r="M39" s="5">
        <v>1</v>
      </c>
      <c r="N39" s="9">
        <v>0</v>
      </c>
      <c r="O39" s="8">
        <v>7</v>
      </c>
      <c r="P39" s="5">
        <v>51</v>
      </c>
      <c r="Q39" s="5">
        <v>0</v>
      </c>
      <c r="R39" s="9">
        <v>0</v>
      </c>
      <c r="S39" s="8">
        <v>0</v>
      </c>
      <c r="T39" s="5">
        <v>0</v>
      </c>
    </row>
    <row r="40" spans="1:20" x14ac:dyDescent="0.2">
      <c r="A40" s="5" t="s">
        <v>152</v>
      </c>
      <c r="B40" s="5" t="s">
        <v>75</v>
      </c>
      <c r="C40" s="10" t="s">
        <v>458</v>
      </c>
      <c r="D40" s="7">
        <f t="shared" si="0"/>
        <v>17.900000000000002</v>
      </c>
      <c r="E40" s="8">
        <v>0</v>
      </c>
      <c r="F40" s="5">
        <v>0</v>
      </c>
      <c r="G40" s="5">
        <v>0</v>
      </c>
      <c r="H40" s="5">
        <v>0</v>
      </c>
      <c r="I40" s="5">
        <v>0</v>
      </c>
      <c r="J40" s="9">
        <v>0</v>
      </c>
      <c r="K40" s="8">
        <v>14</v>
      </c>
      <c r="L40" s="5">
        <v>56</v>
      </c>
      <c r="M40" s="5">
        <v>1</v>
      </c>
      <c r="N40" s="9">
        <v>0</v>
      </c>
      <c r="O40" s="8">
        <v>4</v>
      </c>
      <c r="P40" s="5">
        <v>23</v>
      </c>
      <c r="Q40" s="5">
        <v>0</v>
      </c>
      <c r="R40" s="9">
        <v>0</v>
      </c>
      <c r="S40" s="8">
        <v>0</v>
      </c>
      <c r="T40" s="5">
        <v>0</v>
      </c>
    </row>
    <row r="41" spans="1:20" x14ac:dyDescent="0.2">
      <c r="A41" s="5" t="s">
        <v>21</v>
      </c>
      <c r="B41" s="5" t="s">
        <v>17</v>
      </c>
      <c r="C41" s="10" t="s">
        <v>461</v>
      </c>
      <c r="D41" s="7">
        <f t="shared" si="0"/>
        <v>17.64</v>
      </c>
      <c r="E41" s="8">
        <v>36</v>
      </c>
      <c r="F41" s="5">
        <v>23</v>
      </c>
      <c r="G41" s="5">
        <v>246</v>
      </c>
      <c r="H41" s="5">
        <v>1</v>
      </c>
      <c r="I41" s="5">
        <v>2</v>
      </c>
      <c r="J41" s="9">
        <v>1</v>
      </c>
      <c r="K41" s="8">
        <v>2</v>
      </c>
      <c r="L41" s="5">
        <v>-2</v>
      </c>
      <c r="M41" s="5">
        <v>1</v>
      </c>
      <c r="N41" s="9">
        <v>0</v>
      </c>
      <c r="O41" s="8">
        <v>0</v>
      </c>
      <c r="P41" s="5">
        <v>0</v>
      </c>
      <c r="Q41" s="5">
        <v>0</v>
      </c>
      <c r="R41" s="9">
        <v>0</v>
      </c>
      <c r="S41" s="8">
        <v>0</v>
      </c>
      <c r="T41" s="5">
        <v>0</v>
      </c>
    </row>
    <row r="42" spans="1:20" x14ac:dyDescent="0.2">
      <c r="A42" s="5" t="s">
        <v>212</v>
      </c>
      <c r="B42" s="5" t="s">
        <v>162</v>
      </c>
      <c r="C42" s="17" t="s">
        <v>459</v>
      </c>
      <c r="D42" s="7">
        <f t="shared" si="0"/>
        <v>17.399999999999999</v>
      </c>
      <c r="E42" s="8">
        <v>0</v>
      </c>
      <c r="F42" s="5">
        <v>0</v>
      </c>
      <c r="G42" s="5">
        <v>0</v>
      </c>
      <c r="H42" s="5">
        <v>0</v>
      </c>
      <c r="I42" s="5">
        <v>0</v>
      </c>
      <c r="J42" s="9">
        <v>0</v>
      </c>
      <c r="K42" s="8">
        <v>1</v>
      </c>
      <c r="L42" s="5">
        <v>11</v>
      </c>
      <c r="M42" s="5">
        <v>0</v>
      </c>
      <c r="N42" s="9">
        <v>0</v>
      </c>
      <c r="O42" s="8">
        <v>6</v>
      </c>
      <c r="P42" s="5">
        <v>43</v>
      </c>
      <c r="Q42" s="5">
        <v>1</v>
      </c>
      <c r="R42" s="9">
        <v>0</v>
      </c>
      <c r="S42" s="8">
        <v>0</v>
      </c>
      <c r="T42" s="5">
        <v>0</v>
      </c>
    </row>
    <row r="43" spans="1:20" x14ac:dyDescent="0.2">
      <c r="A43" s="5" t="s">
        <v>232</v>
      </c>
      <c r="B43" s="5" t="s">
        <v>162</v>
      </c>
      <c r="C43" s="17" t="s">
        <v>458</v>
      </c>
      <c r="D43" s="7">
        <f t="shared" si="0"/>
        <v>16.600000000000001</v>
      </c>
      <c r="E43" s="8">
        <v>0</v>
      </c>
      <c r="F43" s="5">
        <v>0</v>
      </c>
      <c r="G43" s="5">
        <v>0</v>
      </c>
      <c r="H43" s="5">
        <v>0</v>
      </c>
      <c r="I43" s="5">
        <v>0</v>
      </c>
      <c r="J43" s="9">
        <v>0</v>
      </c>
      <c r="K43" s="8">
        <v>0</v>
      </c>
      <c r="L43" s="5">
        <v>0</v>
      </c>
      <c r="M43" s="5">
        <v>0</v>
      </c>
      <c r="N43" s="9">
        <v>0</v>
      </c>
      <c r="O43" s="8">
        <v>8</v>
      </c>
      <c r="P43" s="5">
        <v>86</v>
      </c>
      <c r="Q43" s="5">
        <v>0</v>
      </c>
      <c r="R43" s="9">
        <v>0</v>
      </c>
      <c r="S43" s="8">
        <v>0</v>
      </c>
      <c r="T43" s="5">
        <v>1</v>
      </c>
    </row>
    <row r="44" spans="1:20" x14ac:dyDescent="0.2">
      <c r="A44" s="5" t="s">
        <v>213</v>
      </c>
      <c r="B44" s="5" t="s">
        <v>162</v>
      </c>
      <c r="C44" s="17" t="s">
        <v>457</v>
      </c>
      <c r="D44" s="7">
        <f t="shared" si="0"/>
        <v>16.600000000000001</v>
      </c>
      <c r="E44" s="8">
        <v>0</v>
      </c>
      <c r="F44" s="5">
        <v>0</v>
      </c>
      <c r="G44" s="5">
        <v>0</v>
      </c>
      <c r="H44" s="5">
        <v>0</v>
      </c>
      <c r="I44" s="5">
        <v>0</v>
      </c>
      <c r="J44" s="9">
        <v>0</v>
      </c>
      <c r="K44" s="8">
        <v>0</v>
      </c>
      <c r="L44" s="5">
        <v>0</v>
      </c>
      <c r="M44" s="5">
        <v>0</v>
      </c>
      <c r="N44" s="9">
        <v>0</v>
      </c>
      <c r="O44" s="8">
        <v>7</v>
      </c>
      <c r="P44" s="5">
        <v>96</v>
      </c>
      <c r="Q44" s="5">
        <v>0</v>
      </c>
      <c r="R44" s="9">
        <v>0</v>
      </c>
      <c r="S44" s="8">
        <v>0</v>
      </c>
      <c r="T44" s="5">
        <v>0</v>
      </c>
    </row>
    <row r="45" spans="1:20" x14ac:dyDescent="0.2">
      <c r="A45" s="5" t="s">
        <v>173</v>
      </c>
      <c r="B45" s="5" t="s">
        <v>162</v>
      </c>
      <c r="C45" s="17" t="s">
        <v>461</v>
      </c>
      <c r="D45" s="7">
        <f t="shared" si="0"/>
        <v>16.600000000000001</v>
      </c>
      <c r="E45" s="8">
        <v>0</v>
      </c>
      <c r="F45" s="5">
        <v>0</v>
      </c>
      <c r="G45" s="5">
        <v>0</v>
      </c>
      <c r="H45" s="5">
        <v>0</v>
      </c>
      <c r="I45" s="5">
        <v>0</v>
      </c>
      <c r="J45" s="9">
        <v>0</v>
      </c>
      <c r="K45" s="8">
        <v>0</v>
      </c>
      <c r="L45" s="5">
        <v>0</v>
      </c>
      <c r="M45" s="5">
        <v>0</v>
      </c>
      <c r="N45" s="9">
        <v>0</v>
      </c>
      <c r="O45" s="8">
        <v>5</v>
      </c>
      <c r="P45" s="5">
        <v>56</v>
      </c>
      <c r="Q45" s="5">
        <v>1</v>
      </c>
      <c r="R45" s="9">
        <v>0</v>
      </c>
      <c r="S45" s="8">
        <v>0</v>
      </c>
      <c r="T45" s="5">
        <v>0</v>
      </c>
    </row>
    <row r="46" spans="1:20" x14ac:dyDescent="0.2">
      <c r="A46" s="5" t="s">
        <v>32</v>
      </c>
      <c r="B46" s="5" t="s">
        <v>17</v>
      </c>
      <c r="C46" s="10" t="s">
        <v>471</v>
      </c>
      <c r="D46" s="7">
        <f t="shared" si="0"/>
        <v>16.48</v>
      </c>
      <c r="E46" s="8">
        <v>30</v>
      </c>
      <c r="F46" s="5">
        <v>23</v>
      </c>
      <c r="G46" s="5">
        <v>207</v>
      </c>
      <c r="H46" s="5">
        <v>1</v>
      </c>
      <c r="I46" s="5">
        <v>0</v>
      </c>
      <c r="J46" s="9">
        <v>0</v>
      </c>
      <c r="K46" s="8">
        <v>8</v>
      </c>
      <c r="L46" s="5">
        <v>42</v>
      </c>
      <c r="M46" s="5">
        <v>0</v>
      </c>
      <c r="N46" s="9">
        <v>0</v>
      </c>
      <c r="O46" s="8">
        <v>0</v>
      </c>
      <c r="P46" s="5">
        <v>0</v>
      </c>
      <c r="Q46" s="5">
        <v>0</v>
      </c>
      <c r="R46" s="9">
        <v>0</v>
      </c>
      <c r="S46" s="8">
        <v>0</v>
      </c>
      <c r="T46" s="5">
        <v>0</v>
      </c>
    </row>
    <row r="47" spans="1:20" x14ac:dyDescent="0.2">
      <c r="A47" s="5" t="s">
        <v>263</v>
      </c>
      <c r="B47" s="5" t="s">
        <v>162</v>
      </c>
      <c r="C47" s="10" t="s">
        <v>471</v>
      </c>
      <c r="D47" s="7">
        <f t="shared" si="0"/>
        <v>16.399999999999999</v>
      </c>
      <c r="E47" s="8">
        <v>0</v>
      </c>
      <c r="F47" s="5">
        <v>0</v>
      </c>
      <c r="G47" s="5">
        <v>0</v>
      </c>
      <c r="H47" s="5">
        <v>0</v>
      </c>
      <c r="I47" s="5">
        <v>0</v>
      </c>
      <c r="J47" s="9">
        <v>0</v>
      </c>
      <c r="K47" s="8">
        <v>0</v>
      </c>
      <c r="L47" s="5">
        <v>0</v>
      </c>
      <c r="M47" s="5">
        <v>0</v>
      </c>
      <c r="N47" s="9">
        <v>0</v>
      </c>
      <c r="O47" s="8">
        <v>8</v>
      </c>
      <c r="P47" s="5">
        <v>84</v>
      </c>
      <c r="Q47" s="5">
        <v>0</v>
      </c>
      <c r="R47" s="9">
        <v>0</v>
      </c>
      <c r="S47" s="8">
        <v>0</v>
      </c>
      <c r="T47" s="5">
        <v>0</v>
      </c>
    </row>
    <row r="48" spans="1:20" x14ac:dyDescent="0.2">
      <c r="A48" s="5" t="s">
        <v>46</v>
      </c>
      <c r="B48" s="5" t="s">
        <v>17</v>
      </c>
      <c r="C48" s="17" t="s">
        <v>462</v>
      </c>
      <c r="D48" s="7">
        <f t="shared" si="0"/>
        <v>16.159999999999997</v>
      </c>
      <c r="E48" s="8">
        <v>40</v>
      </c>
      <c r="F48" s="5">
        <v>27</v>
      </c>
      <c r="G48" s="5">
        <v>319</v>
      </c>
      <c r="H48" s="5">
        <v>1</v>
      </c>
      <c r="I48" s="5">
        <v>1</v>
      </c>
      <c r="J48" s="9">
        <v>0</v>
      </c>
      <c r="K48" s="8">
        <v>2</v>
      </c>
      <c r="L48" s="5">
        <v>14</v>
      </c>
      <c r="M48" s="5">
        <v>0</v>
      </c>
      <c r="N48" s="9">
        <v>0</v>
      </c>
      <c r="O48" s="8">
        <v>0</v>
      </c>
      <c r="P48" s="5">
        <v>0</v>
      </c>
      <c r="Q48" s="5">
        <v>0</v>
      </c>
      <c r="R48" s="9">
        <v>0</v>
      </c>
      <c r="S48" s="8">
        <v>0</v>
      </c>
      <c r="T48" s="5">
        <v>0</v>
      </c>
    </row>
    <row r="49" spans="1:20" x14ac:dyDescent="0.2">
      <c r="A49" s="5" t="s">
        <v>205</v>
      </c>
      <c r="B49" s="5" t="s">
        <v>162</v>
      </c>
      <c r="C49" s="10" t="s">
        <v>468</v>
      </c>
      <c r="D49" s="7">
        <f t="shared" si="0"/>
        <v>16.100000000000001</v>
      </c>
      <c r="E49" s="8">
        <v>0</v>
      </c>
      <c r="F49" s="5">
        <v>0</v>
      </c>
      <c r="G49" s="5">
        <v>0</v>
      </c>
      <c r="H49" s="5">
        <v>0</v>
      </c>
      <c r="I49" s="5">
        <v>0</v>
      </c>
      <c r="J49" s="9">
        <v>0</v>
      </c>
      <c r="K49" s="8">
        <v>0</v>
      </c>
      <c r="L49" s="5">
        <v>0</v>
      </c>
      <c r="M49" s="5">
        <v>0</v>
      </c>
      <c r="N49" s="9">
        <v>0</v>
      </c>
      <c r="O49" s="8">
        <v>5</v>
      </c>
      <c r="P49" s="5">
        <v>51</v>
      </c>
      <c r="Q49" s="5">
        <v>1</v>
      </c>
      <c r="R49" s="9">
        <v>0</v>
      </c>
      <c r="S49" s="8">
        <v>0</v>
      </c>
      <c r="T49" s="5">
        <v>0</v>
      </c>
    </row>
    <row r="50" spans="1:20" x14ac:dyDescent="0.2">
      <c r="A50" s="5" t="s">
        <v>247</v>
      </c>
      <c r="B50" s="5" t="s">
        <v>162</v>
      </c>
      <c r="C50" s="17" t="s">
        <v>469</v>
      </c>
      <c r="D50" s="7">
        <f t="shared" si="0"/>
        <v>15.6</v>
      </c>
      <c r="E50" s="8">
        <v>0</v>
      </c>
      <c r="F50" s="5">
        <v>0</v>
      </c>
      <c r="G50" s="5">
        <v>0</v>
      </c>
      <c r="H50" s="5">
        <v>0</v>
      </c>
      <c r="I50" s="5">
        <v>0</v>
      </c>
      <c r="J50" s="9">
        <v>0</v>
      </c>
      <c r="K50" s="8">
        <v>1</v>
      </c>
      <c r="L50" s="5">
        <v>11</v>
      </c>
      <c r="M50" s="5">
        <v>0</v>
      </c>
      <c r="N50" s="9">
        <v>0</v>
      </c>
      <c r="O50" s="8">
        <v>4</v>
      </c>
      <c r="P50" s="5">
        <v>45</v>
      </c>
      <c r="Q50" s="5">
        <v>1</v>
      </c>
      <c r="R50" s="9">
        <v>0</v>
      </c>
      <c r="S50" s="8">
        <v>0</v>
      </c>
      <c r="T50" s="5">
        <v>0</v>
      </c>
    </row>
    <row r="51" spans="1:20" x14ac:dyDescent="0.2">
      <c r="A51" s="5" t="s">
        <v>190</v>
      </c>
      <c r="B51" s="5" t="s">
        <v>162</v>
      </c>
      <c r="C51" s="17" t="s">
        <v>465</v>
      </c>
      <c r="D51" s="7">
        <f t="shared" si="0"/>
        <v>15.5</v>
      </c>
      <c r="E51" s="8">
        <v>0</v>
      </c>
      <c r="F51" s="5">
        <v>0</v>
      </c>
      <c r="G51" s="5">
        <v>0</v>
      </c>
      <c r="H51" s="5">
        <v>0</v>
      </c>
      <c r="I51" s="5">
        <v>0</v>
      </c>
      <c r="J51" s="9">
        <v>0</v>
      </c>
      <c r="K51" s="8">
        <v>0</v>
      </c>
      <c r="L51" s="5">
        <v>0</v>
      </c>
      <c r="M51" s="5">
        <v>0</v>
      </c>
      <c r="N51" s="9">
        <v>0</v>
      </c>
      <c r="O51" s="8">
        <v>8</v>
      </c>
      <c r="P51" s="5">
        <v>75</v>
      </c>
      <c r="Q51" s="5">
        <v>0</v>
      </c>
      <c r="R51" s="9">
        <v>0</v>
      </c>
      <c r="S51" s="8">
        <v>0</v>
      </c>
      <c r="T51" s="5">
        <v>0</v>
      </c>
    </row>
    <row r="52" spans="1:20" x14ac:dyDescent="0.2">
      <c r="A52" s="5" t="s">
        <v>348</v>
      </c>
      <c r="B52" s="5" t="s">
        <v>69</v>
      </c>
      <c r="C52" s="17" t="s">
        <v>471</v>
      </c>
      <c r="D52" s="7">
        <f t="shared" si="0"/>
        <v>15.5</v>
      </c>
      <c r="E52" s="8">
        <v>0</v>
      </c>
      <c r="F52" s="5">
        <v>0</v>
      </c>
      <c r="G52" s="5">
        <v>0</v>
      </c>
      <c r="H52" s="5">
        <v>0</v>
      </c>
      <c r="I52" s="5">
        <v>0</v>
      </c>
      <c r="J52" s="9">
        <v>0</v>
      </c>
      <c r="K52" s="8">
        <v>0</v>
      </c>
      <c r="L52" s="5">
        <v>0</v>
      </c>
      <c r="M52" s="5">
        <v>0</v>
      </c>
      <c r="N52" s="9">
        <v>0</v>
      </c>
      <c r="O52" s="8">
        <v>6</v>
      </c>
      <c r="P52" s="5">
        <v>95</v>
      </c>
      <c r="Q52" s="5">
        <v>0</v>
      </c>
      <c r="R52" s="9">
        <v>0</v>
      </c>
      <c r="S52" s="8">
        <v>0</v>
      </c>
      <c r="T52" s="5">
        <v>0</v>
      </c>
    </row>
    <row r="53" spans="1:20" x14ac:dyDescent="0.2">
      <c r="A53" s="5" t="s">
        <v>246</v>
      </c>
      <c r="B53" s="5" t="s">
        <v>162</v>
      </c>
      <c r="C53" s="10" t="s">
        <v>466</v>
      </c>
      <c r="D53" s="7">
        <f t="shared" si="0"/>
        <v>15.2</v>
      </c>
      <c r="E53" s="8">
        <v>0</v>
      </c>
      <c r="F53" s="5">
        <v>0</v>
      </c>
      <c r="G53" s="5">
        <v>0</v>
      </c>
      <c r="H53" s="5">
        <v>0</v>
      </c>
      <c r="I53" s="5">
        <v>0</v>
      </c>
      <c r="J53" s="9">
        <v>0</v>
      </c>
      <c r="K53" s="8">
        <v>1</v>
      </c>
      <c r="L53" s="5">
        <v>6</v>
      </c>
      <c r="M53" s="5">
        <v>0</v>
      </c>
      <c r="N53" s="9">
        <v>0</v>
      </c>
      <c r="O53" s="8">
        <v>7</v>
      </c>
      <c r="P53" s="5">
        <v>76</v>
      </c>
      <c r="Q53" s="5">
        <v>0</v>
      </c>
      <c r="R53" s="9">
        <v>0</v>
      </c>
      <c r="S53" s="8">
        <v>0</v>
      </c>
      <c r="T53" s="5">
        <v>0</v>
      </c>
    </row>
    <row r="54" spans="1:20" x14ac:dyDescent="0.2">
      <c r="A54" s="5" t="s">
        <v>230</v>
      </c>
      <c r="B54" s="5" t="s">
        <v>162</v>
      </c>
      <c r="C54" s="10" t="s">
        <v>459</v>
      </c>
      <c r="D54" s="7">
        <f t="shared" si="0"/>
        <v>15.100000000000001</v>
      </c>
      <c r="E54" s="8">
        <v>0</v>
      </c>
      <c r="F54" s="5">
        <v>0</v>
      </c>
      <c r="G54" s="5">
        <v>0</v>
      </c>
      <c r="H54" s="5">
        <v>0</v>
      </c>
      <c r="I54" s="5">
        <v>0</v>
      </c>
      <c r="J54" s="9">
        <v>0</v>
      </c>
      <c r="K54" s="8">
        <v>0</v>
      </c>
      <c r="L54" s="5">
        <v>0</v>
      </c>
      <c r="M54" s="5">
        <v>0</v>
      </c>
      <c r="N54" s="9">
        <v>0</v>
      </c>
      <c r="O54" s="8">
        <v>3</v>
      </c>
      <c r="P54" s="5">
        <v>61</v>
      </c>
      <c r="Q54" s="5">
        <v>1</v>
      </c>
      <c r="R54" s="9">
        <v>0</v>
      </c>
      <c r="S54" s="8">
        <v>0</v>
      </c>
      <c r="T54" s="5">
        <v>0</v>
      </c>
    </row>
    <row r="55" spans="1:20" x14ac:dyDescent="0.2">
      <c r="A55" s="5" t="s">
        <v>223</v>
      </c>
      <c r="B55" s="5" t="s">
        <v>162</v>
      </c>
      <c r="C55" s="10" t="s">
        <v>467</v>
      </c>
      <c r="D55" s="7">
        <f t="shared" si="0"/>
        <v>15.100000000000001</v>
      </c>
      <c r="E55" s="8">
        <v>0</v>
      </c>
      <c r="F55" s="5">
        <v>0</v>
      </c>
      <c r="G55" s="5">
        <v>0</v>
      </c>
      <c r="H55" s="5">
        <v>0</v>
      </c>
      <c r="I55" s="5">
        <v>0</v>
      </c>
      <c r="J55" s="9">
        <v>0</v>
      </c>
      <c r="K55" s="8">
        <v>0</v>
      </c>
      <c r="L55" s="5">
        <v>0</v>
      </c>
      <c r="M55" s="5">
        <v>0</v>
      </c>
      <c r="N55" s="9">
        <v>0</v>
      </c>
      <c r="O55" s="8">
        <v>3</v>
      </c>
      <c r="P55" s="5">
        <v>61</v>
      </c>
      <c r="Q55" s="5">
        <v>1</v>
      </c>
      <c r="R55" s="9">
        <v>0</v>
      </c>
      <c r="S55" s="8">
        <v>0</v>
      </c>
      <c r="T55" s="5">
        <v>0</v>
      </c>
    </row>
    <row r="56" spans="1:20" x14ac:dyDescent="0.2">
      <c r="A56" s="5" t="s">
        <v>184</v>
      </c>
      <c r="B56" s="5" t="s">
        <v>162</v>
      </c>
      <c r="C56" s="10" t="s">
        <v>467</v>
      </c>
      <c r="D56" s="7">
        <f t="shared" si="0"/>
        <v>15</v>
      </c>
      <c r="E56" s="8">
        <v>0</v>
      </c>
      <c r="F56" s="5">
        <v>0</v>
      </c>
      <c r="G56" s="5">
        <v>0</v>
      </c>
      <c r="H56" s="5">
        <v>0</v>
      </c>
      <c r="I56" s="5">
        <v>0</v>
      </c>
      <c r="J56" s="9">
        <v>0</v>
      </c>
      <c r="K56" s="8">
        <v>0</v>
      </c>
      <c r="L56" s="5">
        <v>0</v>
      </c>
      <c r="M56" s="5">
        <v>0</v>
      </c>
      <c r="N56" s="9">
        <v>0</v>
      </c>
      <c r="O56" s="8">
        <v>9</v>
      </c>
      <c r="P56" s="5">
        <v>60</v>
      </c>
      <c r="Q56" s="5">
        <v>0</v>
      </c>
      <c r="R56" s="9">
        <v>0</v>
      </c>
      <c r="S56" s="8">
        <v>0</v>
      </c>
      <c r="T56" s="5">
        <v>0</v>
      </c>
    </row>
    <row r="57" spans="1:20" x14ac:dyDescent="0.2">
      <c r="A57" s="5" t="s">
        <v>192</v>
      </c>
      <c r="B57" s="5" t="s">
        <v>162</v>
      </c>
      <c r="C57" s="10" t="s">
        <v>472</v>
      </c>
      <c r="D57" s="7">
        <f t="shared" si="0"/>
        <v>14.8</v>
      </c>
      <c r="E57" s="8">
        <v>0</v>
      </c>
      <c r="F57" s="5">
        <v>0</v>
      </c>
      <c r="G57" s="5">
        <v>0</v>
      </c>
      <c r="H57" s="5">
        <v>0</v>
      </c>
      <c r="I57" s="5">
        <v>0</v>
      </c>
      <c r="J57" s="9">
        <v>0</v>
      </c>
      <c r="K57" s="8">
        <v>1</v>
      </c>
      <c r="L57" s="5">
        <v>12</v>
      </c>
      <c r="M57" s="5">
        <v>0</v>
      </c>
      <c r="N57" s="9">
        <v>0</v>
      </c>
      <c r="O57" s="8">
        <v>4</v>
      </c>
      <c r="P57" s="5">
        <v>36</v>
      </c>
      <c r="Q57" s="5">
        <v>1</v>
      </c>
      <c r="R57" s="9">
        <v>0</v>
      </c>
      <c r="S57" s="8">
        <v>0</v>
      </c>
      <c r="T57" s="5">
        <v>0</v>
      </c>
    </row>
    <row r="58" spans="1:20" x14ac:dyDescent="0.2">
      <c r="A58" s="5" t="s">
        <v>177</v>
      </c>
      <c r="B58" s="5" t="s">
        <v>162</v>
      </c>
      <c r="C58" s="10" t="s">
        <v>458</v>
      </c>
      <c r="D58" s="7">
        <f t="shared" si="0"/>
        <v>14.8</v>
      </c>
      <c r="E58" s="8">
        <v>0</v>
      </c>
      <c r="F58" s="5">
        <v>0</v>
      </c>
      <c r="G58" s="5">
        <v>0</v>
      </c>
      <c r="H58" s="5">
        <v>0</v>
      </c>
      <c r="I58" s="5">
        <v>0</v>
      </c>
      <c r="J58" s="9">
        <v>0</v>
      </c>
      <c r="K58" s="8">
        <v>0</v>
      </c>
      <c r="L58" s="5">
        <v>0</v>
      </c>
      <c r="M58" s="5">
        <v>0</v>
      </c>
      <c r="N58" s="9">
        <v>0</v>
      </c>
      <c r="O58" s="8">
        <v>7</v>
      </c>
      <c r="P58" s="5">
        <v>78</v>
      </c>
      <c r="Q58" s="5">
        <v>0</v>
      </c>
      <c r="R58" s="9">
        <v>0</v>
      </c>
      <c r="S58" s="8">
        <v>0</v>
      </c>
      <c r="T58" s="5">
        <v>0</v>
      </c>
    </row>
    <row r="59" spans="1:20" x14ac:dyDescent="0.2">
      <c r="A59" s="5" t="s">
        <v>102</v>
      </c>
      <c r="B59" s="5" t="s">
        <v>75</v>
      </c>
      <c r="C59" s="10" t="s">
        <v>459</v>
      </c>
      <c r="D59" s="7">
        <f t="shared" si="0"/>
        <v>14.700000000000001</v>
      </c>
      <c r="E59" s="8">
        <v>0</v>
      </c>
      <c r="F59" s="5">
        <v>0</v>
      </c>
      <c r="G59" s="5">
        <v>0</v>
      </c>
      <c r="H59" s="5">
        <v>0</v>
      </c>
      <c r="I59" s="5">
        <v>0</v>
      </c>
      <c r="J59" s="9">
        <v>0</v>
      </c>
      <c r="K59" s="8">
        <v>12</v>
      </c>
      <c r="L59" s="5">
        <v>29</v>
      </c>
      <c r="M59" s="5">
        <v>1</v>
      </c>
      <c r="N59" s="9">
        <v>0</v>
      </c>
      <c r="O59" s="8">
        <v>1</v>
      </c>
      <c r="P59" s="5">
        <v>48</v>
      </c>
      <c r="Q59" s="5">
        <v>0</v>
      </c>
      <c r="R59" s="9">
        <v>0</v>
      </c>
      <c r="S59" s="8">
        <v>0</v>
      </c>
      <c r="T59" s="5">
        <v>0</v>
      </c>
    </row>
    <row r="60" spans="1:20" x14ac:dyDescent="0.2">
      <c r="A60" s="5" t="s">
        <v>304</v>
      </c>
      <c r="B60" s="5" t="s">
        <v>69</v>
      </c>
      <c r="C60" s="10" t="s">
        <v>472</v>
      </c>
      <c r="D60" s="7">
        <f t="shared" si="0"/>
        <v>14.7</v>
      </c>
      <c r="E60" s="8">
        <v>0</v>
      </c>
      <c r="F60" s="5">
        <v>0</v>
      </c>
      <c r="G60" s="5">
        <v>0</v>
      </c>
      <c r="H60" s="5">
        <v>0</v>
      </c>
      <c r="I60" s="5">
        <v>0</v>
      </c>
      <c r="J60" s="9">
        <v>0</v>
      </c>
      <c r="K60" s="8">
        <v>0</v>
      </c>
      <c r="L60" s="5">
        <v>0</v>
      </c>
      <c r="M60" s="5">
        <v>0</v>
      </c>
      <c r="N60" s="9">
        <v>0</v>
      </c>
      <c r="O60" s="8">
        <v>7</v>
      </c>
      <c r="P60" s="5">
        <v>77</v>
      </c>
      <c r="Q60" s="5">
        <v>0</v>
      </c>
      <c r="R60" s="9">
        <v>0</v>
      </c>
      <c r="S60" s="8">
        <v>0</v>
      </c>
      <c r="T60" s="5">
        <v>0</v>
      </c>
    </row>
    <row r="61" spans="1:20" x14ac:dyDescent="0.2">
      <c r="A61" s="5" t="s">
        <v>234</v>
      </c>
      <c r="B61" s="5" t="s">
        <v>162</v>
      </c>
      <c r="C61" s="10" t="s">
        <v>466</v>
      </c>
      <c r="D61" s="7">
        <f t="shared" si="0"/>
        <v>14.600000000000001</v>
      </c>
      <c r="E61" s="8">
        <v>0</v>
      </c>
      <c r="F61" s="5">
        <v>0</v>
      </c>
      <c r="G61" s="5">
        <v>0</v>
      </c>
      <c r="H61" s="5">
        <v>0</v>
      </c>
      <c r="I61" s="5">
        <v>0</v>
      </c>
      <c r="J61" s="9">
        <v>0</v>
      </c>
      <c r="K61" s="8">
        <v>0</v>
      </c>
      <c r="L61" s="5">
        <v>0</v>
      </c>
      <c r="M61" s="5">
        <v>0</v>
      </c>
      <c r="N61" s="9">
        <v>0</v>
      </c>
      <c r="O61" s="8">
        <v>9</v>
      </c>
      <c r="P61" s="5">
        <v>56</v>
      </c>
      <c r="Q61" s="5">
        <v>0</v>
      </c>
      <c r="R61" s="9">
        <v>0</v>
      </c>
      <c r="S61" s="8">
        <v>0</v>
      </c>
      <c r="T61" s="5">
        <v>0</v>
      </c>
    </row>
    <row r="62" spans="1:20" x14ac:dyDescent="0.2">
      <c r="A62" s="5" t="s">
        <v>59</v>
      </c>
      <c r="B62" s="5" t="s">
        <v>17</v>
      </c>
      <c r="C62" s="10" t="s">
        <v>472</v>
      </c>
      <c r="D62" s="7">
        <f t="shared" si="0"/>
        <v>14.34</v>
      </c>
      <c r="E62" s="8">
        <v>34</v>
      </c>
      <c r="F62" s="5">
        <v>28</v>
      </c>
      <c r="G62" s="5">
        <v>261</v>
      </c>
      <c r="H62" s="5">
        <v>1</v>
      </c>
      <c r="I62" s="5">
        <v>0</v>
      </c>
      <c r="J62" s="9">
        <v>0</v>
      </c>
      <c r="K62" s="8">
        <v>1</v>
      </c>
      <c r="L62" s="5">
        <v>-1</v>
      </c>
      <c r="M62" s="5">
        <v>0</v>
      </c>
      <c r="N62" s="9">
        <v>0</v>
      </c>
      <c r="O62" s="8">
        <v>0</v>
      </c>
      <c r="P62" s="5">
        <v>0</v>
      </c>
      <c r="Q62" s="5">
        <v>0</v>
      </c>
      <c r="R62" s="9">
        <v>0</v>
      </c>
      <c r="S62" s="8">
        <v>0</v>
      </c>
      <c r="T62" s="5">
        <v>0</v>
      </c>
    </row>
    <row r="63" spans="1:20" x14ac:dyDescent="0.2">
      <c r="A63" s="5" t="s">
        <v>206</v>
      </c>
      <c r="B63" s="5" t="s">
        <v>162</v>
      </c>
      <c r="C63" s="17" t="s">
        <v>468</v>
      </c>
      <c r="D63" s="7">
        <f t="shared" si="0"/>
        <v>14.3</v>
      </c>
      <c r="E63" s="8">
        <v>0</v>
      </c>
      <c r="F63" s="5">
        <v>0</v>
      </c>
      <c r="G63" s="5">
        <v>0</v>
      </c>
      <c r="H63" s="5">
        <v>0</v>
      </c>
      <c r="I63" s="5">
        <v>0</v>
      </c>
      <c r="J63" s="9">
        <v>0</v>
      </c>
      <c r="K63" s="8">
        <v>0</v>
      </c>
      <c r="L63" s="5">
        <v>0</v>
      </c>
      <c r="M63" s="5">
        <v>0</v>
      </c>
      <c r="N63" s="9">
        <v>0</v>
      </c>
      <c r="O63" s="8">
        <v>7</v>
      </c>
      <c r="P63" s="5">
        <v>73</v>
      </c>
      <c r="Q63" s="5">
        <v>0</v>
      </c>
      <c r="R63" s="9">
        <v>0</v>
      </c>
      <c r="S63" s="8">
        <v>0</v>
      </c>
      <c r="T63" s="5">
        <v>0</v>
      </c>
    </row>
    <row r="64" spans="1:20" x14ac:dyDescent="0.2">
      <c r="A64" s="5" t="s">
        <v>16</v>
      </c>
      <c r="B64" s="5" t="s">
        <v>17</v>
      </c>
      <c r="C64" s="17" t="s">
        <v>459</v>
      </c>
      <c r="D64" s="7">
        <f t="shared" si="0"/>
        <v>13.979999999999999</v>
      </c>
      <c r="E64" s="8">
        <v>35</v>
      </c>
      <c r="F64" s="5">
        <v>25</v>
      </c>
      <c r="G64" s="5">
        <v>282</v>
      </c>
      <c r="H64" s="5">
        <v>1</v>
      </c>
      <c r="I64" s="5">
        <v>1</v>
      </c>
      <c r="J64" s="9">
        <v>0</v>
      </c>
      <c r="K64" s="8">
        <v>2</v>
      </c>
      <c r="L64" s="5">
        <v>7</v>
      </c>
      <c r="M64" s="5">
        <v>0</v>
      </c>
      <c r="N64" s="9">
        <v>0</v>
      </c>
      <c r="O64" s="8">
        <v>0</v>
      </c>
      <c r="P64" s="5">
        <v>0</v>
      </c>
      <c r="Q64" s="5">
        <v>0</v>
      </c>
      <c r="R64" s="9">
        <v>0</v>
      </c>
      <c r="S64" s="8">
        <v>0</v>
      </c>
      <c r="T64" s="5">
        <v>0</v>
      </c>
    </row>
    <row r="65" spans="1:20" x14ac:dyDescent="0.2">
      <c r="A65" s="5" t="s">
        <v>100</v>
      </c>
      <c r="B65" s="5" t="s">
        <v>75</v>
      </c>
      <c r="C65" s="17" t="s">
        <v>473</v>
      </c>
      <c r="D65" s="7">
        <f t="shared" si="0"/>
        <v>13.9</v>
      </c>
      <c r="E65" s="8">
        <v>0</v>
      </c>
      <c r="F65" s="5">
        <v>0</v>
      </c>
      <c r="G65" s="5">
        <v>0</v>
      </c>
      <c r="H65" s="5">
        <v>0</v>
      </c>
      <c r="I65" s="5">
        <v>0</v>
      </c>
      <c r="J65" s="9">
        <v>0</v>
      </c>
      <c r="K65" s="8">
        <v>17</v>
      </c>
      <c r="L65" s="5">
        <v>79</v>
      </c>
      <c r="M65" s="5">
        <v>1</v>
      </c>
      <c r="N65" s="9">
        <v>0</v>
      </c>
      <c r="O65" s="8">
        <v>0</v>
      </c>
      <c r="P65" s="5">
        <v>0</v>
      </c>
      <c r="Q65" s="5">
        <v>0</v>
      </c>
      <c r="R65" s="9">
        <v>0</v>
      </c>
      <c r="S65" s="8">
        <v>0</v>
      </c>
      <c r="T65" s="5">
        <v>0</v>
      </c>
    </row>
    <row r="66" spans="1:20" x14ac:dyDescent="0.2">
      <c r="A66" s="5" t="s">
        <v>308</v>
      </c>
      <c r="B66" s="5" t="s">
        <v>69</v>
      </c>
      <c r="C66" s="10" t="s">
        <v>462</v>
      </c>
      <c r="D66" s="7">
        <f t="shared" si="0"/>
        <v>13.8</v>
      </c>
      <c r="E66" s="8">
        <v>0</v>
      </c>
      <c r="F66" s="5">
        <v>0</v>
      </c>
      <c r="G66" s="5">
        <v>0</v>
      </c>
      <c r="H66" s="5">
        <v>0</v>
      </c>
      <c r="I66" s="5">
        <v>0</v>
      </c>
      <c r="J66" s="9">
        <v>0</v>
      </c>
      <c r="K66" s="8">
        <v>0</v>
      </c>
      <c r="L66" s="5">
        <v>0</v>
      </c>
      <c r="M66" s="5">
        <v>0</v>
      </c>
      <c r="N66" s="9">
        <v>0</v>
      </c>
      <c r="O66" s="8">
        <v>3</v>
      </c>
      <c r="P66" s="5">
        <v>48</v>
      </c>
      <c r="Q66" s="5">
        <v>1</v>
      </c>
      <c r="R66" s="9">
        <v>0</v>
      </c>
      <c r="S66" s="8">
        <v>0</v>
      </c>
      <c r="T66" s="5">
        <v>0</v>
      </c>
    </row>
    <row r="67" spans="1:20" x14ac:dyDescent="0.2">
      <c r="A67" s="5" t="s">
        <v>23</v>
      </c>
      <c r="B67" s="5" t="s">
        <v>17</v>
      </c>
      <c r="C67" s="17" t="s">
        <v>467</v>
      </c>
      <c r="D67" s="7">
        <f t="shared" si="0"/>
        <v>13.220000000000002</v>
      </c>
      <c r="E67" s="8">
        <v>30</v>
      </c>
      <c r="F67" s="5">
        <v>18</v>
      </c>
      <c r="G67" s="5">
        <v>203</v>
      </c>
      <c r="H67" s="5">
        <v>1</v>
      </c>
      <c r="I67" s="5">
        <v>2</v>
      </c>
      <c r="J67" s="9">
        <v>0</v>
      </c>
      <c r="K67" s="8">
        <v>7</v>
      </c>
      <c r="L67" s="5">
        <v>51</v>
      </c>
      <c r="M67" s="5">
        <v>0</v>
      </c>
      <c r="N67" s="9">
        <v>0</v>
      </c>
      <c r="O67" s="8">
        <v>0</v>
      </c>
      <c r="P67" s="5">
        <v>0</v>
      </c>
      <c r="Q67" s="5">
        <v>0</v>
      </c>
      <c r="R67" s="9">
        <v>0</v>
      </c>
      <c r="S67" s="8">
        <v>0</v>
      </c>
      <c r="T67" s="5">
        <v>0</v>
      </c>
    </row>
    <row r="68" spans="1:20" x14ac:dyDescent="0.2">
      <c r="A68" s="5" t="s">
        <v>313</v>
      </c>
      <c r="B68" s="5" t="s">
        <v>69</v>
      </c>
      <c r="C68" s="10" t="s">
        <v>460</v>
      </c>
      <c r="D68" s="7">
        <f t="shared" si="0"/>
        <v>13.2</v>
      </c>
      <c r="E68" s="8">
        <v>0</v>
      </c>
      <c r="F68" s="5">
        <v>0</v>
      </c>
      <c r="G68" s="5">
        <v>0</v>
      </c>
      <c r="H68" s="5">
        <v>0</v>
      </c>
      <c r="I68" s="5">
        <v>0</v>
      </c>
      <c r="J68" s="9">
        <v>0</v>
      </c>
      <c r="K68" s="8">
        <v>0</v>
      </c>
      <c r="L68" s="5">
        <v>0</v>
      </c>
      <c r="M68" s="5">
        <v>0</v>
      </c>
      <c r="N68" s="9">
        <v>0</v>
      </c>
      <c r="O68" s="8">
        <v>3</v>
      </c>
      <c r="P68" s="5">
        <v>42</v>
      </c>
      <c r="Q68" s="5">
        <v>1</v>
      </c>
      <c r="R68" s="9">
        <v>0</v>
      </c>
      <c r="S68" s="8">
        <v>0</v>
      </c>
      <c r="T68" s="5">
        <v>0</v>
      </c>
    </row>
    <row r="69" spans="1:20" x14ac:dyDescent="0.2">
      <c r="A69" s="5" t="s">
        <v>93</v>
      </c>
      <c r="B69" s="5" t="s">
        <v>75</v>
      </c>
      <c r="C69" s="17" t="s">
        <v>458</v>
      </c>
      <c r="D69" s="7">
        <f t="shared" si="0"/>
        <v>13.1</v>
      </c>
      <c r="E69" s="8">
        <v>0</v>
      </c>
      <c r="F69" s="5">
        <v>0</v>
      </c>
      <c r="G69" s="5">
        <v>0</v>
      </c>
      <c r="H69" s="5">
        <v>0</v>
      </c>
      <c r="I69" s="5">
        <v>0</v>
      </c>
      <c r="J69" s="9">
        <v>0</v>
      </c>
      <c r="K69" s="8">
        <v>14</v>
      </c>
      <c r="L69" s="5">
        <v>45</v>
      </c>
      <c r="M69" s="5">
        <v>1</v>
      </c>
      <c r="N69" s="9">
        <v>0</v>
      </c>
      <c r="O69" s="8">
        <v>2</v>
      </c>
      <c r="P69" s="5">
        <v>6</v>
      </c>
      <c r="Q69" s="5">
        <v>0</v>
      </c>
      <c r="R69" s="9">
        <v>0</v>
      </c>
      <c r="S69" s="8">
        <v>0</v>
      </c>
      <c r="T69" s="5">
        <v>0</v>
      </c>
    </row>
    <row r="70" spans="1:20" x14ac:dyDescent="0.2">
      <c r="A70" s="5" t="s">
        <v>276</v>
      </c>
      <c r="B70" s="5" t="s">
        <v>69</v>
      </c>
      <c r="C70" s="10" t="s">
        <v>471</v>
      </c>
      <c r="D70" s="7">
        <f t="shared" si="0"/>
        <v>12.9</v>
      </c>
      <c r="E70" s="8">
        <v>0</v>
      </c>
      <c r="F70" s="5">
        <v>0</v>
      </c>
      <c r="G70" s="5">
        <v>0</v>
      </c>
      <c r="H70" s="5">
        <v>0</v>
      </c>
      <c r="I70" s="5">
        <v>0</v>
      </c>
      <c r="J70" s="9">
        <v>0</v>
      </c>
      <c r="K70" s="8">
        <v>0</v>
      </c>
      <c r="L70" s="5">
        <v>0</v>
      </c>
      <c r="M70" s="5">
        <v>0</v>
      </c>
      <c r="N70" s="9">
        <v>0</v>
      </c>
      <c r="O70" s="8">
        <v>7</v>
      </c>
      <c r="P70" s="5">
        <v>59</v>
      </c>
      <c r="Q70" s="5">
        <v>0</v>
      </c>
      <c r="R70" s="9">
        <v>0</v>
      </c>
      <c r="S70" s="8">
        <v>0</v>
      </c>
      <c r="T70" s="5">
        <v>0</v>
      </c>
    </row>
    <row r="71" spans="1:20" x14ac:dyDescent="0.2">
      <c r="A71" s="5" t="s">
        <v>142</v>
      </c>
      <c r="B71" s="5" t="s">
        <v>75</v>
      </c>
      <c r="C71" s="10" t="s">
        <v>473</v>
      </c>
      <c r="D71" s="7">
        <f t="shared" si="0"/>
        <v>12.8</v>
      </c>
      <c r="E71" s="8">
        <v>0</v>
      </c>
      <c r="F71" s="5">
        <v>0</v>
      </c>
      <c r="G71" s="5">
        <v>0</v>
      </c>
      <c r="H71" s="5">
        <v>0</v>
      </c>
      <c r="I71" s="5">
        <v>0</v>
      </c>
      <c r="J71" s="9">
        <v>0</v>
      </c>
      <c r="K71" s="8">
        <v>14</v>
      </c>
      <c r="L71" s="5">
        <v>30</v>
      </c>
      <c r="M71" s="5">
        <v>0</v>
      </c>
      <c r="N71" s="9">
        <v>0</v>
      </c>
      <c r="O71" s="8">
        <v>5</v>
      </c>
      <c r="P71" s="5">
        <v>48</v>
      </c>
      <c r="Q71" s="5">
        <v>0</v>
      </c>
      <c r="R71" s="9">
        <v>0</v>
      </c>
      <c r="S71" s="8">
        <v>0</v>
      </c>
      <c r="T71" s="5">
        <v>0</v>
      </c>
    </row>
    <row r="72" spans="1:20" x14ac:dyDescent="0.2">
      <c r="A72" s="5" t="s">
        <v>64</v>
      </c>
      <c r="B72" s="5" t="s">
        <v>17</v>
      </c>
      <c r="C72" s="10" t="s">
        <v>468</v>
      </c>
      <c r="D72" s="7">
        <f t="shared" si="0"/>
        <v>12.7</v>
      </c>
      <c r="E72" s="8">
        <v>25</v>
      </c>
      <c r="F72" s="5">
        <v>18</v>
      </c>
      <c r="G72" s="5">
        <v>240</v>
      </c>
      <c r="H72" s="5">
        <v>1</v>
      </c>
      <c r="I72" s="5">
        <v>1</v>
      </c>
      <c r="J72" s="9">
        <v>0</v>
      </c>
      <c r="K72" s="8">
        <v>6</v>
      </c>
      <c r="L72" s="5">
        <v>11</v>
      </c>
      <c r="M72" s="5">
        <v>0</v>
      </c>
      <c r="N72" s="9">
        <v>0</v>
      </c>
      <c r="O72" s="8">
        <v>0</v>
      </c>
      <c r="P72" s="5">
        <v>0</v>
      </c>
      <c r="Q72" s="5">
        <v>0</v>
      </c>
      <c r="R72" s="9">
        <v>0</v>
      </c>
      <c r="S72" s="8">
        <v>0</v>
      </c>
      <c r="T72" s="5">
        <v>0</v>
      </c>
    </row>
    <row r="73" spans="1:20" x14ac:dyDescent="0.2">
      <c r="A73" s="5" t="s">
        <v>203</v>
      </c>
      <c r="B73" s="5" t="s">
        <v>162</v>
      </c>
      <c r="C73" s="17" t="s">
        <v>458</v>
      </c>
      <c r="D73" s="7">
        <f t="shared" si="0"/>
        <v>12.7</v>
      </c>
      <c r="E73" s="8">
        <v>0</v>
      </c>
      <c r="F73" s="5">
        <v>0</v>
      </c>
      <c r="G73" s="5">
        <v>0</v>
      </c>
      <c r="H73" s="5">
        <v>0</v>
      </c>
      <c r="I73" s="5">
        <v>0</v>
      </c>
      <c r="J73" s="9">
        <v>0</v>
      </c>
      <c r="K73" s="8">
        <v>0</v>
      </c>
      <c r="L73" s="5">
        <v>0</v>
      </c>
      <c r="M73" s="5">
        <v>0</v>
      </c>
      <c r="N73" s="9">
        <v>0</v>
      </c>
      <c r="O73" s="8">
        <v>4</v>
      </c>
      <c r="P73" s="5">
        <v>27</v>
      </c>
      <c r="Q73" s="5">
        <v>1</v>
      </c>
      <c r="R73" s="9">
        <v>0</v>
      </c>
      <c r="S73" s="8">
        <v>0</v>
      </c>
      <c r="T73" s="5">
        <v>0</v>
      </c>
    </row>
    <row r="74" spans="1:20" x14ac:dyDescent="0.2">
      <c r="A74" s="5" t="s">
        <v>188</v>
      </c>
      <c r="B74" s="5" t="s">
        <v>162</v>
      </c>
      <c r="C74" s="17" t="s">
        <v>473</v>
      </c>
      <c r="D74" s="7">
        <f t="shared" si="0"/>
        <v>12.4</v>
      </c>
      <c r="E74" s="8">
        <v>0</v>
      </c>
      <c r="F74" s="5">
        <v>0</v>
      </c>
      <c r="G74" s="5">
        <v>0</v>
      </c>
      <c r="H74" s="5">
        <v>0</v>
      </c>
      <c r="I74" s="5">
        <v>0</v>
      </c>
      <c r="J74" s="9">
        <v>0</v>
      </c>
      <c r="K74" s="8">
        <v>0</v>
      </c>
      <c r="L74" s="5">
        <v>0</v>
      </c>
      <c r="M74" s="5">
        <v>0</v>
      </c>
      <c r="N74" s="9">
        <v>0</v>
      </c>
      <c r="O74" s="8">
        <v>3</v>
      </c>
      <c r="P74" s="5">
        <v>34</v>
      </c>
      <c r="Q74" s="5">
        <v>1</v>
      </c>
      <c r="R74" s="9">
        <v>0</v>
      </c>
      <c r="S74" s="8">
        <v>0</v>
      </c>
      <c r="T74" s="5">
        <v>0</v>
      </c>
    </row>
    <row r="75" spans="1:20" x14ac:dyDescent="0.2">
      <c r="A75" s="5" t="s">
        <v>185</v>
      </c>
      <c r="B75" s="5" t="s">
        <v>162</v>
      </c>
      <c r="C75" s="10" t="s">
        <v>465</v>
      </c>
      <c r="D75" s="7">
        <f t="shared" si="0"/>
        <v>12.2</v>
      </c>
      <c r="E75" s="8">
        <v>0</v>
      </c>
      <c r="F75" s="5">
        <v>0</v>
      </c>
      <c r="G75" s="5">
        <v>0</v>
      </c>
      <c r="H75" s="5">
        <v>0</v>
      </c>
      <c r="I75" s="5">
        <v>0</v>
      </c>
      <c r="J75" s="9">
        <v>0</v>
      </c>
      <c r="K75" s="8">
        <v>0</v>
      </c>
      <c r="L75" s="5">
        <v>0</v>
      </c>
      <c r="M75" s="5">
        <v>0</v>
      </c>
      <c r="N75" s="9">
        <v>0</v>
      </c>
      <c r="O75" s="8">
        <v>3</v>
      </c>
      <c r="P75" s="5">
        <v>32</v>
      </c>
      <c r="Q75" s="5">
        <v>1</v>
      </c>
      <c r="R75" s="9">
        <v>0</v>
      </c>
      <c r="S75" s="8">
        <v>0</v>
      </c>
      <c r="T75" s="5">
        <v>0</v>
      </c>
    </row>
    <row r="76" spans="1:20" x14ac:dyDescent="0.2">
      <c r="A76" s="5" t="s">
        <v>343</v>
      </c>
      <c r="B76" s="5" t="s">
        <v>69</v>
      </c>
      <c r="C76" s="17" t="s">
        <v>467</v>
      </c>
      <c r="D76" s="7">
        <f t="shared" si="0"/>
        <v>12</v>
      </c>
      <c r="E76" s="8">
        <v>0</v>
      </c>
      <c r="F76" s="5">
        <v>0</v>
      </c>
      <c r="G76" s="5">
        <v>0</v>
      </c>
      <c r="H76" s="5">
        <v>0</v>
      </c>
      <c r="I76" s="5">
        <v>0</v>
      </c>
      <c r="J76" s="9">
        <v>0</v>
      </c>
      <c r="K76" s="8">
        <v>0</v>
      </c>
      <c r="L76" s="5">
        <v>0</v>
      </c>
      <c r="M76" s="5">
        <v>0</v>
      </c>
      <c r="N76" s="9">
        <v>0</v>
      </c>
      <c r="O76" s="8">
        <v>6</v>
      </c>
      <c r="P76" s="5">
        <v>60</v>
      </c>
      <c r="Q76" s="5">
        <v>0</v>
      </c>
      <c r="R76" s="9">
        <v>0</v>
      </c>
      <c r="S76" s="8">
        <v>0</v>
      </c>
      <c r="T76" s="5">
        <v>0</v>
      </c>
    </row>
    <row r="77" spans="1:20" x14ac:dyDescent="0.2">
      <c r="A77" s="5" t="s">
        <v>120</v>
      </c>
      <c r="B77" s="5" t="s">
        <v>75</v>
      </c>
      <c r="C77" s="10" t="s">
        <v>460</v>
      </c>
      <c r="D77" s="7">
        <f t="shared" si="0"/>
        <v>11.8</v>
      </c>
      <c r="E77" s="8">
        <v>0</v>
      </c>
      <c r="F77" s="5">
        <v>0</v>
      </c>
      <c r="G77" s="5">
        <v>0</v>
      </c>
      <c r="H77" s="5">
        <v>0</v>
      </c>
      <c r="I77" s="5">
        <v>0</v>
      </c>
      <c r="J77" s="9">
        <v>0</v>
      </c>
      <c r="K77" s="8">
        <v>24</v>
      </c>
      <c r="L77" s="5">
        <v>81</v>
      </c>
      <c r="M77" s="5">
        <v>0</v>
      </c>
      <c r="N77" s="9">
        <v>0</v>
      </c>
      <c r="O77" s="8">
        <v>1</v>
      </c>
      <c r="P77" s="5">
        <v>27</v>
      </c>
      <c r="Q77" s="5">
        <v>0</v>
      </c>
      <c r="R77" s="9">
        <v>0</v>
      </c>
      <c r="S77" s="8">
        <v>0</v>
      </c>
      <c r="T77" s="5">
        <v>0</v>
      </c>
    </row>
    <row r="78" spans="1:20" x14ac:dyDescent="0.2">
      <c r="A78" s="5" t="s">
        <v>339</v>
      </c>
      <c r="B78" s="5" t="s">
        <v>162</v>
      </c>
      <c r="C78" s="17" t="s">
        <v>471</v>
      </c>
      <c r="D78" s="7">
        <f t="shared" si="0"/>
        <v>11.8</v>
      </c>
      <c r="E78" s="8">
        <v>0</v>
      </c>
      <c r="F78" s="5">
        <v>0</v>
      </c>
      <c r="G78" s="5">
        <v>0</v>
      </c>
      <c r="H78" s="5">
        <v>0</v>
      </c>
      <c r="I78" s="5">
        <v>0</v>
      </c>
      <c r="J78" s="9">
        <v>0</v>
      </c>
      <c r="K78" s="8">
        <v>0</v>
      </c>
      <c r="L78" s="5">
        <v>0</v>
      </c>
      <c r="M78" s="5">
        <v>0</v>
      </c>
      <c r="N78" s="9">
        <v>0</v>
      </c>
      <c r="O78" s="8">
        <v>3</v>
      </c>
      <c r="P78" s="5">
        <v>28</v>
      </c>
      <c r="Q78" s="5">
        <v>1</v>
      </c>
      <c r="R78" s="9">
        <v>0</v>
      </c>
      <c r="S78" s="8">
        <v>0</v>
      </c>
      <c r="T78" s="5">
        <v>0</v>
      </c>
    </row>
    <row r="79" spans="1:20" x14ac:dyDescent="0.2">
      <c r="A79" s="5" t="s">
        <v>168</v>
      </c>
      <c r="B79" s="5" t="s">
        <v>162</v>
      </c>
      <c r="C79" s="10" t="s">
        <v>471</v>
      </c>
      <c r="D79" s="7">
        <f t="shared" si="0"/>
        <v>11.8</v>
      </c>
      <c r="E79" s="8">
        <v>0</v>
      </c>
      <c r="F79" s="5">
        <v>0</v>
      </c>
      <c r="G79" s="5">
        <v>0</v>
      </c>
      <c r="H79" s="5">
        <v>0</v>
      </c>
      <c r="I79" s="5">
        <v>0</v>
      </c>
      <c r="J79" s="9">
        <v>0</v>
      </c>
      <c r="K79" s="8">
        <v>0</v>
      </c>
      <c r="L79" s="5">
        <v>0</v>
      </c>
      <c r="M79" s="5">
        <v>0</v>
      </c>
      <c r="N79" s="9">
        <v>0</v>
      </c>
      <c r="O79" s="8">
        <v>2</v>
      </c>
      <c r="P79" s="5">
        <v>38</v>
      </c>
      <c r="Q79" s="5">
        <v>1</v>
      </c>
      <c r="R79" s="9">
        <v>0</v>
      </c>
      <c r="S79" s="8">
        <v>0</v>
      </c>
      <c r="T79" s="5">
        <v>0</v>
      </c>
    </row>
    <row r="80" spans="1:20" x14ac:dyDescent="0.2">
      <c r="A80" s="5" t="s">
        <v>189</v>
      </c>
      <c r="B80" s="5" t="s">
        <v>162</v>
      </c>
      <c r="C80" s="17" t="s">
        <v>464</v>
      </c>
      <c r="D80" s="7">
        <f t="shared" si="0"/>
        <v>11.7</v>
      </c>
      <c r="E80" s="8">
        <v>0</v>
      </c>
      <c r="F80" s="5">
        <v>0</v>
      </c>
      <c r="G80" s="5">
        <v>0</v>
      </c>
      <c r="H80" s="5">
        <v>0</v>
      </c>
      <c r="I80" s="5">
        <v>0</v>
      </c>
      <c r="J80" s="9">
        <v>0</v>
      </c>
      <c r="K80" s="8">
        <v>0</v>
      </c>
      <c r="L80" s="5">
        <v>0</v>
      </c>
      <c r="M80" s="5">
        <v>0</v>
      </c>
      <c r="N80" s="9">
        <v>0</v>
      </c>
      <c r="O80" s="8">
        <v>3</v>
      </c>
      <c r="P80" s="5">
        <v>27</v>
      </c>
      <c r="Q80" s="5">
        <v>1</v>
      </c>
      <c r="R80" s="9">
        <v>0</v>
      </c>
      <c r="S80" s="8">
        <v>0</v>
      </c>
      <c r="T80" s="5">
        <v>0</v>
      </c>
    </row>
    <row r="81" spans="1:20" x14ac:dyDescent="0.2">
      <c r="A81" s="5" t="s">
        <v>113</v>
      </c>
      <c r="B81" s="5" t="s">
        <v>75</v>
      </c>
      <c r="C81" s="17" t="s">
        <v>460</v>
      </c>
      <c r="D81" s="7">
        <f t="shared" si="0"/>
        <v>11.5</v>
      </c>
      <c r="E81" s="8">
        <v>0</v>
      </c>
      <c r="F81" s="5">
        <v>0</v>
      </c>
      <c r="G81" s="5">
        <v>0</v>
      </c>
      <c r="H81" s="5">
        <v>0</v>
      </c>
      <c r="I81" s="5">
        <v>0</v>
      </c>
      <c r="J81" s="9">
        <v>0</v>
      </c>
      <c r="K81" s="8">
        <v>8</v>
      </c>
      <c r="L81" s="5">
        <v>29</v>
      </c>
      <c r="M81" s="5">
        <v>0</v>
      </c>
      <c r="N81" s="9">
        <v>0</v>
      </c>
      <c r="O81" s="8">
        <v>6</v>
      </c>
      <c r="P81" s="5">
        <v>26</v>
      </c>
      <c r="Q81" s="5">
        <v>0</v>
      </c>
      <c r="R81" s="9">
        <v>0</v>
      </c>
      <c r="S81" s="8">
        <v>0</v>
      </c>
      <c r="T81" s="5">
        <v>0</v>
      </c>
    </row>
    <row r="82" spans="1:20" x14ac:dyDescent="0.2">
      <c r="A82" s="5" t="s">
        <v>44</v>
      </c>
      <c r="B82" s="5" t="s">
        <v>17</v>
      </c>
      <c r="C82" s="17" t="s">
        <v>461</v>
      </c>
      <c r="D82" s="7">
        <f t="shared" si="0"/>
        <v>11.4</v>
      </c>
      <c r="E82" s="8">
        <v>28</v>
      </c>
      <c r="F82" s="5">
        <v>19</v>
      </c>
      <c r="G82" s="5">
        <v>210</v>
      </c>
      <c r="H82" s="5">
        <v>1</v>
      </c>
      <c r="I82" s="5">
        <v>1</v>
      </c>
      <c r="J82" s="9">
        <v>0</v>
      </c>
      <c r="K82" s="8">
        <v>2</v>
      </c>
      <c r="L82" s="5">
        <v>10</v>
      </c>
      <c r="M82" s="5">
        <v>0</v>
      </c>
      <c r="N82" s="9">
        <v>0</v>
      </c>
      <c r="O82" s="8">
        <v>0</v>
      </c>
      <c r="P82" s="5">
        <v>0</v>
      </c>
      <c r="Q82" s="5">
        <v>0</v>
      </c>
      <c r="R82" s="9">
        <v>0</v>
      </c>
      <c r="S82" s="8">
        <v>0</v>
      </c>
      <c r="T82" s="5">
        <v>0</v>
      </c>
    </row>
    <row r="83" spans="1:20" x14ac:dyDescent="0.2">
      <c r="A83" s="5" t="s">
        <v>286</v>
      </c>
      <c r="B83" s="5" t="s">
        <v>69</v>
      </c>
      <c r="C83" s="17" t="s">
        <v>462</v>
      </c>
      <c r="D83" s="7">
        <f t="shared" si="0"/>
        <v>11.4</v>
      </c>
      <c r="E83" s="8">
        <v>0</v>
      </c>
      <c r="F83" s="5">
        <v>0</v>
      </c>
      <c r="G83" s="5">
        <v>0</v>
      </c>
      <c r="H83" s="5">
        <v>0</v>
      </c>
      <c r="I83" s="5">
        <v>0</v>
      </c>
      <c r="J83" s="9">
        <v>0</v>
      </c>
      <c r="K83" s="8">
        <v>0</v>
      </c>
      <c r="L83" s="5">
        <v>0</v>
      </c>
      <c r="M83" s="5">
        <v>0</v>
      </c>
      <c r="N83" s="9">
        <v>0</v>
      </c>
      <c r="O83" s="8">
        <v>5</v>
      </c>
      <c r="P83" s="5">
        <v>64</v>
      </c>
      <c r="Q83" s="5">
        <v>0</v>
      </c>
      <c r="R83" s="9">
        <v>0</v>
      </c>
      <c r="S83" s="8">
        <v>0</v>
      </c>
      <c r="T83" s="5">
        <v>0</v>
      </c>
    </row>
    <row r="84" spans="1:20" x14ac:dyDescent="0.2">
      <c r="A84" s="5" t="s">
        <v>117</v>
      </c>
      <c r="B84" s="5" t="s">
        <v>75</v>
      </c>
      <c r="C84" s="17" t="s">
        <v>460</v>
      </c>
      <c r="D84" s="7">
        <f t="shared" si="0"/>
        <v>11.3</v>
      </c>
      <c r="E84" s="8">
        <v>0</v>
      </c>
      <c r="F84" s="5">
        <v>0</v>
      </c>
      <c r="G84" s="5">
        <v>0</v>
      </c>
      <c r="H84" s="5">
        <v>0</v>
      </c>
      <c r="I84" s="5">
        <v>0</v>
      </c>
      <c r="J84" s="9">
        <v>0</v>
      </c>
      <c r="K84" s="8">
        <v>14</v>
      </c>
      <c r="L84" s="5">
        <v>71</v>
      </c>
      <c r="M84" s="5">
        <v>0</v>
      </c>
      <c r="N84" s="9">
        <v>0</v>
      </c>
      <c r="O84" s="8">
        <v>1</v>
      </c>
      <c r="P84" s="5">
        <v>32</v>
      </c>
      <c r="Q84" s="5">
        <v>0</v>
      </c>
      <c r="R84" s="9">
        <v>0</v>
      </c>
      <c r="S84" s="8">
        <v>0</v>
      </c>
      <c r="T84" s="5">
        <v>0</v>
      </c>
    </row>
    <row r="85" spans="1:20" x14ac:dyDescent="0.2">
      <c r="A85" s="5" t="s">
        <v>279</v>
      </c>
      <c r="B85" s="5" t="s">
        <v>69</v>
      </c>
      <c r="C85" s="17" t="s">
        <v>457</v>
      </c>
      <c r="D85" s="7">
        <f t="shared" si="0"/>
        <v>11.3</v>
      </c>
      <c r="E85" s="8">
        <v>0</v>
      </c>
      <c r="F85" s="5">
        <v>0</v>
      </c>
      <c r="G85" s="5">
        <v>0</v>
      </c>
      <c r="H85" s="5">
        <v>0</v>
      </c>
      <c r="I85" s="5">
        <v>0</v>
      </c>
      <c r="J85" s="9">
        <v>0</v>
      </c>
      <c r="K85" s="8">
        <v>0</v>
      </c>
      <c r="L85" s="5">
        <v>0</v>
      </c>
      <c r="M85" s="5">
        <v>0</v>
      </c>
      <c r="N85" s="9">
        <v>0</v>
      </c>
      <c r="O85" s="8">
        <v>6</v>
      </c>
      <c r="P85" s="5">
        <v>53</v>
      </c>
      <c r="Q85" s="5">
        <v>0</v>
      </c>
      <c r="R85" s="9">
        <v>0</v>
      </c>
      <c r="S85" s="8">
        <v>0</v>
      </c>
      <c r="T85" s="5">
        <v>0</v>
      </c>
    </row>
    <row r="86" spans="1:20" x14ac:dyDescent="0.2">
      <c r="A86" s="5" t="s">
        <v>251</v>
      </c>
      <c r="B86" s="5" t="s">
        <v>162</v>
      </c>
      <c r="C86" s="10" t="s">
        <v>472</v>
      </c>
      <c r="D86" s="7">
        <f t="shared" si="0"/>
        <v>11</v>
      </c>
      <c r="E86" s="8">
        <v>0</v>
      </c>
      <c r="F86" s="5">
        <v>0</v>
      </c>
      <c r="G86" s="5">
        <v>0</v>
      </c>
      <c r="H86" s="5">
        <v>0</v>
      </c>
      <c r="I86" s="5">
        <v>0</v>
      </c>
      <c r="J86" s="9">
        <v>0</v>
      </c>
      <c r="K86" s="8">
        <v>0</v>
      </c>
      <c r="L86" s="5">
        <v>0</v>
      </c>
      <c r="M86" s="5">
        <v>0</v>
      </c>
      <c r="N86" s="9">
        <v>0</v>
      </c>
      <c r="O86" s="8">
        <v>5</v>
      </c>
      <c r="P86" s="5">
        <v>60</v>
      </c>
      <c r="Q86" s="5">
        <v>0</v>
      </c>
      <c r="R86" s="9">
        <v>0</v>
      </c>
      <c r="S86" s="8">
        <v>0</v>
      </c>
      <c r="T86" s="5">
        <v>0</v>
      </c>
    </row>
    <row r="87" spans="1:20" x14ac:dyDescent="0.2">
      <c r="A87" s="5" t="s">
        <v>89</v>
      </c>
      <c r="B87" s="5" t="s">
        <v>75</v>
      </c>
      <c r="C87" s="17" t="s">
        <v>466</v>
      </c>
      <c r="D87" s="7">
        <f t="shared" si="0"/>
        <v>10.8</v>
      </c>
      <c r="E87" s="8">
        <v>0</v>
      </c>
      <c r="F87" s="5">
        <v>0</v>
      </c>
      <c r="G87" s="5">
        <v>0</v>
      </c>
      <c r="H87" s="5">
        <v>0</v>
      </c>
      <c r="I87" s="5">
        <v>0</v>
      </c>
      <c r="J87" s="9">
        <v>0</v>
      </c>
      <c r="K87" s="8">
        <v>17</v>
      </c>
      <c r="L87" s="5">
        <v>95</v>
      </c>
      <c r="M87" s="5">
        <v>0</v>
      </c>
      <c r="N87" s="9">
        <v>0</v>
      </c>
      <c r="O87" s="8">
        <v>1</v>
      </c>
      <c r="P87" s="5">
        <v>3</v>
      </c>
      <c r="Q87" s="5">
        <v>0</v>
      </c>
      <c r="R87" s="9">
        <v>0</v>
      </c>
      <c r="S87" s="8">
        <v>0</v>
      </c>
      <c r="T87" s="5">
        <v>0</v>
      </c>
    </row>
    <row r="88" spans="1:20" x14ac:dyDescent="0.2">
      <c r="A88" s="5" t="s">
        <v>114</v>
      </c>
      <c r="B88" s="5" t="s">
        <v>75</v>
      </c>
      <c r="C88" s="17" t="s">
        <v>469</v>
      </c>
      <c r="D88" s="7">
        <f t="shared" si="0"/>
        <v>10.8</v>
      </c>
      <c r="E88" s="8">
        <v>0</v>
      </c>
      <c r="F88" s="5">
        <v>0</v>
      </c>
      <c r="G88" s="5">
        <v>0</v>
      </c>
      <c r="H88" s="5">
        <v>0</v>
      </c>
      <c r="I88" s="5">
        <v>0</v>
      </c>
      <c r="J88" s="9">
        <v>0</v>
      </c>
      <c r="K88" s="8">
        <v>15</v>
      </c>
      <c r="L88" s="5">
        <v>56</v>
      </c>
      <c r="M88" s="5">
        <v>0</v>
      </c>
      <c r="N88" s="9">
        <v>0</v>
      </c>
      <c r="O88" s="8">
        <v>3</v>
      </c>
      <c r="P88" s="5">
        <v>22</v>
      </c>
      <c r="Q88" s="5">
        <v>0</v>
      </c>
      <c r="R88" s="9">
        <v>0</v>
      </c>
      <c r="S88" s="8">
        <v>0</v>
      </c>
      <c r="T88" s="5">
        <v>0</v>
      </c>
    </row>
    <row r="89" spans="1:20" x14ac:dyDescent="0.2">
      <c r="A89" s="5" t="s">
        <v>264</v>
      </c>
      <c r="B89" s="5" t="s">
        <v>162</v>
      </c>
      <c r="C89" s="10" t="s">
        <v>465</v>
      </c>
      <c r="D89" s="7">
        <f t="shared" si="0"/>
        <v>10.7</v>
      </c>
      <c r="E89" s="8">
        <v>0</v>
      </c>
      <c r="F89" s="5">
        <v>0</v>
      </c>
      <c r="G89" s="5">
        <v>0</v>
      </c>
      <c r="H89" s="5">
        <v>0</v>
      </c>
      <c r="I89" s="5">
        <v>0</v>
      </c>
      <c r="J89" s="9">
        <v>0</v>
      </c>
      <c r="K89" s="8">
        <v>0</v>
      </c>
      <c r="L89" s="5">
        <v>0</v>
      </c>
      <c r="M89" s="5">
        <v>0</v>
      </c>
      <c r="N89" s="9">
        <v>0</v>
      </c>
      <c r="O89" s="8">
        <v>3</v>
      </c>
      <c r="P89" s="5">
        <v>77</v>
      </c>
      <c r="Q89" s="5">
        <v>0</v>
      </c>
      <c r="R89" s="9">
        <v>0</v>
      </c>
      <c r="S89" s="8">
        <v>0</v>
      </c>
      <c r="T89" s="5">
        <v>0</v>
      </c>
    </row>
    <row r="90" spans="1:20" x14ac:dyDescent="0.2">
      <c r="A90" s="5" t="s">
        <v>300</v>
      </c>
      <c r="B90" s="5" t="s">
        <v>69</v>
      </c>
      <c r="C90" s="10" t="s">
        <v>463</v>
      </c>
      <c r="D90" s="7">
        <f t="shared" si="0"/>
        <v>10.600000000000001</v>
      </c>
      <c r="E90" s="8">
        <v>0</v>
      </c>
      <c r="F90" s="5">
        <v>0</v>
      </c>
      <c r="G90" s="5">
        <v>0</v>
      </c>
      <c r="H90" s="5">
        <v>0</v>
      </c>
      <c r="I90" s="5">
        <v>0</v>
      </c>
      <c r="J90" s="9">
        <v>0</v>
      </c>
      <c r="K90" s="8">
        <v>0</v>
      </c>
      <c r="L90" s="5">
        <v>0</v>
      </c>
      <c r="M90" s="5">
        <v>0</v>
      </c>
      <c r="N90" s="9">
        <v>0</v>
      </c>
      <c r="O90" s="8">
        <v>6</v>
      </c>
      <c r="P90" s="5">
        <v>46</v>
      </c>
      <c r="Q90" s="5">
        <v>0</v>
      </c>
      <c r="R90" s="9">
        <v>0</v>
      </c>
      <c r="S90" s="8">
        <v>0</v>
      </c>
      <c r="T90" s="5">
        <v>0</v>
      </c>
    </row>
    <row r="91" spans="1:20" x14ac:dyDescent="0.2">
      <c r="A91" s="5" t="s">
        <v>474</v>
      </c>
      <c r="B91" s="5" t="s">
        <v>69</v>
      </c>
      <c r="C91" s="10" t="s">
        <v>468</v>
      </c>
      <c r="D91" s="7">
        <f t="shared" si="0"/>
        <v>10.6</v>
      </c>
      <c r="E91" s="8">
        <v>0</v>
      </c>
      <c r="F91" s="5">
        <v>0</v>
      </c>
      <c r="G91" s="5">
        <v>0</v>
      </c>
      <c r="H91" s="5">
        <v>0</v>
      </c>
      <c r="I91" s="5">
        <v>0</v>
      </c>
      <c r="J91" s="9">
        <v>0</v>
      </c>
      <c r="K91" s="8">
        <v>0</v>
      </c>
      <c r="L91" s="5">
        <v>0</v>
      </c>
      <c r="M91" s="5">
        <v>0</v>
      </c>
      <c r="N91" s="9">
        <v>0</v>
      </c>
      <c r="O91" s="8">
        <v>2</v>
      </c>
      <c r="P91" s="5">
        <v>26</v>
      </c>
      <c r="Q91" s="5">
        <v>1</v>
      </c>
      <c r="R91" s="9">
        <v>0</v>
      </c>
      <c r="S91" s="8">
        <v>0</v>
      </c>
      <c r="T91" s="5">
        <v>0</v>
      </c>
    </row>
    <row r="92" spans="1:20" x14ac:dyDescent="0.2">
      <c r="A92" s="5" t="s">
        <v>225</v>
      </c>
      <c r="B92" s="5" t="s">
        <v>162</v>
      </c>
      <c r="C92" s="10" t="s">
        <v>461</v>
      </c>
      <c r="D92" s="7">
        <f t="shared" si="0"/>
        <v>10.5</v>
      </c>
      <c r="E92" s="8">
        <v>0</v>
      </c>
      <c r="F92" s="5">
        <v>0</v>
      </c>
      <c r="G92" s="5">
        <v>0</v>
      </c>
      <c r="H92" s="5">
        <v>0</v>
      </c>
      <c r="I92" s="5">
        <v>0</v>
      </c>
      <c r="J92" s="9">
        <v>0</v>
      </c>
      <c r="K92" s="8">
        <v>0</v>
      </c>
      <c r="L92" s="5">
        <v>0</v>
      </c>
      <c r="M92" s="5">
        <v>0</v>
      </c>
      <c r="N92" s="9">
        <v>0</v>
      </c>
      <c r="O92" s="8">
        <v>3</v>
      </c>
      <c r="P92" s="5">
        <v>55</v>
      </c>
      <c r="Q92" s="5">
        <v>0</v>
      </c>
      <c r="R92" s="9">
        <v>1</v>
      </c>
      <c r="S92" s="8">
        <v>0</v>
      </c>
      <c r="T92" s="5">
        <v>0</v>
      </c>
    </row>
    <row r="93" spans="1:20" x14ac:dyDescent="0.2">
      <c r="A93" s="5" t="s">
        <v>475</v>
      </c>
      <c r="B93" s="5" t="s">
        <v>162</v>
      </c>
      <c r="C93" s="10" t="s">
        <v>461</v>
      </c>
      <c r="D93" s="7">
        <f t="shared" si="0"/>
        <v>10.5</v>
      </c>
      <c r="E93" s="8">
        <v>0</v>
      </c>
      <c r="F93" s="5">
        <v>0</v>
      </c>
      <c r="G93" s="5">
        <v>0</v>
      </c>
      <c r="H93" s="5">
        <v>0</v>
      </c>
      <c r="I93" s="5">
        <v>0</v>
      </c>
      <c r="J93" s="9">
        <v>0</v>
      </c>
      <c r="K93" s="8">
        <v>0</v>
      </c>
      <c r="L93" s="5">
        <v>0</v>
      </c>
      <c r="M93" s="5">
        <v>0</v>
      </c>
      <c r="N93" s="9">
        <v>0</v>
      </c>
      <c r="O93" s="8">
        <v>2</v>
      </c>
      <c r="P93" s="5">
        <v>25</v>
      </c>
      <c r="Q93" s="5">
        <v>1</v>
      </c>
      <c r="R93" s="9">
        <v>0</v>
      </c>
      <c r="S93" s="8">
        <v>0</v>
      </c>
      <c r="T93" s="5">
        <v>0</v>
      </c>
    </row>
    <row r="94" spans="1:20" x14ac:dyDescent="0.2">
      <c r="A94" s="5" t="s">
        <v>372</v>
      </c>
      <c r="B94" s="5" t="s">
        <v>69</v>
      </c>
      <c r="C94" s="10" t="s">
        <v>462</v>
      </c>
      <c r="D94" s="7">
        <f t="shared" si="0"/>
        <v>10.5</v>
      </c>
      <c r="E94" s="8">
        <v>0</v>
      </c>
      <c r="F94" s="5">
        <v>0</v>
      </c>
      <c r="G94" s="5">
        <v>0</v>
      </c>
      <c r="H94" s="5">
        <v>0</v>
      </c>
      <c r="I94" s="5">
        <v>0</v>
      </c>
      <c r="J94" s="9">
        <v>0</v>
      </c>
      <c r="K94" s="8">
        <v>0</v>
      </c>
      <c r="L94" s="5">
        <v>0</v>
      </c>
      <c r="M94" s="5">
        <v>0</v>
      </c>
      <c r="N94" s="9">
        <v>0</v>
      </c>
      <c r="O94" s="8">
        <v>1</v>
      </c>
      <c r="P94" s="5">
        <v>35</v>
      </c>
      <c r="Q94" s="5">
        <v>1</v>
      </c>
      <c r="R94" s="9">
        <v>0</v>
      </c>
      <c r="S94" s="8">
        <v>0</v>
      </c>
      <c r="T94" s="5">
        <v>0</v>
      </c>
    </row>
    <row r="95" spans="1:20" x14ac:dyDescent="0.2">
      <c r="A95" s="5" t="s">
        <v>289</v>
      </c>
      <c r="B95" s="5" t="s">
        <v>69</v>
      </c>
      <c r="C95" s="17" t="s">
        <v>467</v>
      </c>
      <c r="D95" s="7">
        <f t="shared" si="0"/>
        <v>10.4</v>
      </c>
      <c r="E95" s="8">
        <v>0</v>
      </c>
      <c r="F95" s="5">
        <v>0</v>
      </c>
      <c r="G95" s="5">
        <v>0</v>
      </c>
      <c r="H95" s="5">
        <v>0</v>
      </c>
      <c r="I95" s="5">
        <v>0</v>
      </c>
      <c r="J95" s="9">
        <v>0</v>
      </c>
      <c r="K95" s="8">
        <v>0</v>
      </c>
      <c r="L95" s="5">
        <v>0</v>
      </c>
      <c r="M95" s="5">
        <v>0</v>
      </c>
      <c r="N95" s="9">
        <v>0</v>
      </c>
      <c r="O95" s="8">
        <v>1</v>
      </c>
      <c r="P95" s="5">
        <v>34</v>
      </c>
      <c r="Q95" s="5">
        <v>1</v>
      </c>
      <c r="R95" s="9">
        <v>0</v>
      </c>
      <c r="S95" s="8">
        <v>0</v>
      </c>
      <c r="T95" s="5">
        <v>0</v>
      </c>
    </row>
    <row r="96" spans="1:20" x14ac:dyDescent="0.2">
      <c r="A96" s="5" t="s">
        <v>187</v>
      </c>
      <c r="B96" s="5" t="s">
        <v>162</v>
      </c>
      <c r="C96" s="10" t="s">
        <v>468</v>
      </c>
      <c r="D96" s="7">
        <f t="shared" si="0"/>
        <v>10.3</v>
      </c>
      <c r="E96" s="8">
        <v>0</v>
      </c>
      <c r="F96" s="5">
        <v>0</v>
      </c>
      <c r="G96" s="5">
        <v>0</v>
      </c>
      <c r="H96" s="5">
        <v>0</v>
      </c>
      <c r="I96" s="5">
        <v>0</v>
      </c>
      <c r="J96" s="9">
        <v>0</v>
      </c>
      <c r="K96" s="8">
        <v>0</v>
      </c>
      <c r="L96" s="5">
        <v>0</v>
      </c>
      <c r="M96" s="5">
        <v>0</v>
      </c>
      <c r="N96" s="9">
        <v>0</v>
      </c>
      <c r="O96" s="8">
        <v>4</v>
      </c>
      <c r="P96" s="5">
        <v>63</v>
      </c>
      <c r="Q96" s="5">
        <v>0</v>
      </c>
      <c r="R96" s="9">
        <v>0</v>
      </c>
      <c r="S96" s="8">
        <v>0</v>
      </c>
      <c r="T96" s="5">
        <v>0</v>
      </c>
    </row>
    <row r="97" spans="1:20" x14ac:dyDescent="0.2">
      <c r="A97" s="5" t="s">
        <v>309</v>
      </c>
      <c r="B97" s="5" t="s">
        <v>69</v>
      </c>
      <c r="C97" s="17" t="s">
        <v>469</v>
      </c>
      <c r="D97" s="7">
        <f t="shared" si="0"/>
        <v>10.3</v>
      </c>
      <c r="E97" s="8">
        <v>0</v>
      </c>
      <c r="F97" s="5">
        <v>0</v>
      </c>
      <c r="G97" s="5">
        <v>0</v>
      </c>
      <c r="H97" s="5">
        <v>0</v>
      </c>
      <c r="I97" s="5">
        <v>0</v>
      </c>
      <c r="J97" s="9">
        <v>0</v>
      </c>
      <c r="K97" s="8">
        <v>0</v>
      </c>
      <c r="L97" s="5">
        <v>0</v>
      </c>
      <c r="M97" s="5">
        <v>0</v>
      </c>
      <c r="N97" s="9">
        <v>0</v>
      </c>
      <c r="O97" s="8">
        <v>3</v>
      </c>
      <c r="P97" s="5">
        <v>13</v>
      </c>
      <c r="Q97" s="5">
        <v>1</v>
      </c>
      <c r="R97" s="9">
        <v>0</v>
      </c>
      <c r="S97" s="8">
        <v>0</v>
      </c>
      <c r="T97" s="5">
        <v>0</v>
      </c>
    </row>
    <row r="98" spans="1:20" x14ac:dyDescent="0.2">
      <c r="A98" s="5" t="s">
        <v>161</v>
      </c>
      <c r="B98" s="5" t="s">
        <v>162</v>
      </c>
      <c r="C98" s="17" t="s">
        <v>459</v>
      </c>
      <c r="D98" s="7">
        <f t="shared" si="0"/>
        <v>10.200000000000001</v>
      </c>
      <c r="E98" s="8">
        <v>0</v>
      </c>
      <c r="F98" s="5">
        <v>0</v>
      </c>
      <c r="G98" s="5">
        <v>0</v>
      </c>
      <c r="H98" s="5">
        <v>0</v>
      </c>
      <c r="I98" s="5">
        <v>0</v>
      </c>
      <c r="J98" s="9">
        <v>0</v>
      </c>
      <c r="K98" s="8">
        <v>1</v>
      </c>
      <c r="L98" s="5">
        <v>14</v>
      </c>
      <c r="M98" s="5">
        <v>0</v>
      </c>
      <c r="N98" s="9">
        <v>0</v>
      </c>
      <c r="O98" s="8">
        <v>3</v>
      </c>
      <c r="P98" s="5">
        <v>58</v>
      </c>
      <c r="Q98" s="5">
        <v>0</v>
      </c>
      <c r="R98" s="9">
        <v>0</v>
      </c>
      <c r="S98" s="8">
        <v>0</v>
      </c>
      <c r="T98" s="5">
        <v>0</v>
      </c>
    </row>
    <row r="99" spans="1:20" x14ac:dyDescent="0.2">
      <c r="A99" s="5" t="s">
        <v>80</v>
      </c>
      <c r="B99" s="5" t="s">
        <v>75</v>
      </c>
      <c r="C99" s="10" t="s">
        <v>471</v>
      </c>
      <c r="D99" s="7">
        <f t="shared" si="0"/>
        <v>10.199999999999999</v>
      </c>
      <c r="E99" s="8">
        <v>0</v>
      </c>
      <c r="F99" s="5">
        <v>0</v>
      </c>
      <c r="G99" s="5">
        <v>0</v>
      </c>
      <c r="H99" s="5">
        <v>0</v>
      </c>
      <c r="I99" s="5">
        <v>0</v>
      </c>
      <c r="J99" s="9">
        <v>0</v>
      </c>
      <c r="K99" s="8">
        <v>20</v>
      </c>
      <c r="L99" s="5">
        <v>55</v>
      </c>
      <c r="M99" s="5">
        <v>0</v>
      </c>
      <c r="N99" s="9">
        <v>0</v>
      </c>
      <c r="O99" s="8">
        <v>3</v>
      </c>
      <c r="P99" s="5">
        <v>17</v>
      </c>
      <c r="Q99" s="5">
        <v>0</v>
      </c>
      <c r="R99" s="9">
        <v>0</v>
      </c>
      <c r="S99" s="8">
        <v>0</v>
      </c>
      <c r="T99" s="5">
        <v>0</v>
      </c>
    </row>
    <row r="100" spans="1:20" x14ac:dyDescent="0.2">
      <c r="A100" s="5" t="s">
        <v>85</v>
      </c>
      <c r="B100" s="5" t="s">
        <v>75</v>
      </c>
      <c r="C100" s="10" t="s">
        <v>467</v>
      </c>
      <c r="D100" s="7">
        <f t="shared" si="0"/>
        <v>9.9000000000000021</v>
      </c>
      <c r="E100" s="8">
        <v>0</v>
      </c>
      <c r="F100" s="5">
        <v>0</v>
      </c>
      <c r="G100" s="5">
        <v>0</v>
      </c>
      <c r="H100" s="5">
        <v>0</v>
      </c>
      <c r="I100" s="5">
        <v>0</v>
      </c>
      <c r="J100" s="9">
        <v>0</v>
      </c>
      <c r="K100" s="8">
        <v>6</v>
      </c>
      <c r="L100" s="5">
        <v>56</v>
      </c>
      <c r="M100" s="5">
        <v>0</v>
      </c>
      <c r="N100" s="9">
        <v>0</v>
      </c>
      <c r="O100" s="8">
        <v>3</v>
      </c>
      <c r="P100" s="5">
        <v>13</v>
      </c>
      <c r="Q100" s="5">
        <v>0</v>
      </c>
      <c r="R100" s="9">
        <v>0</v>
      </c>
      <c r="S100" s="8">
        <v>0</v>
      </c>
      <c r="T100" s="5">
        <v>0</v>
      </c>
    </row>
    <row r="101" spans="1:20" x14ac:dyDescent="0.2">
      <c r="A101" s="5" t="s">
        <v>191</v>
      </c>
      <c r="B101" s="5" t="s">
        <v>162</v>
      </c>
      <c r="C101" s="17" t="s">
        <v>461</v>
      </c>
      <c r="D101" s="7">
        <f t="shared" si="0"/>
        <v>9.9</v>
      </c>
      <c r="E101" s="8">
        <v>0</v>
      </c>
      <c r="F101" s="5">
        <v>0</v>
      </c>
      <c r="G101" s="5">
        <v>0</v>
      </c>
      <c r="H101" s="5">
        <v>0</v>
      </c>
      <c r="I101" s="5">
        <v>0</v>
      </c>
      <c r="J101" s="9">
        <v>0</v>
      </c>
      <c r="K101" s="8">
        <v>0</v>
      </c>
      <c r="L101" s="5">
        <v>0</v>
      </c>
      <c r="M101" s="5">
        <v>0</v>
      </c>
      <c r="N101" s="9">
        <v>0</v>
      </c>
      <c r="O101" s="8">
        <v>3</v>
      </c>
      <c r="P101" s="5">
        <v>69</v>
      </c>
      <c r="Q101" s="5">
        <v>0</v>
      </c>
      <c r="R101" s="9">
        <v>0</v>
      </c>
      <c r="S101" s="8">
        <v>0</v>
      </c>
      <c r="T101" s="5">
        <v>0</v>
      </c>
    </row>
    <row r="102" spans="1:20" x14ac:dyDescent="0.2">
      <c r="A102" s="5" t="s">
        <v>476</v>
      </c>
      <c r="B102" s="5" t="s">
        <v>17</v>
      </c>
      <c r="C102" s="17" t="s">
        <v>465</v>
      </c>
      <c r="D102" s="7">
        <f t="shared" si="0"/>
        <v>9.82</v>
      </c>
      <c r="E102" s="8">
        <v>39</v>
      </c>
      <c r="F102" s="5">
        <v>24</v>
      </c>
      <c r="G102" s="5">
        <v>238</v>
      </c>
      <c r="H102" s="5">
        <v>0</v>
      </c>
      <c r="I102" s="5">
        <v>1</v>
      </c>
      <c r="J102" s="9">
        <v>0</v>
      </c>
      <c r="K102" s="8">
        <v>3</v>
      </c>
      <c r="L102" s="5">
        <v>3</v>
      </c>
      <c r="M102" s="5">
        <v>1</v>
      </c>
      <c r="N102" s="9">
        <v>0</v>
      </c>
      <c r="O102" s="8">
        <v>0</v>
      </c>
      <c r="P102" s="5">
        <v>0</v>
      </c>
      <c r="Q102" s="5">
        <v>0</v>
      </c>
      <c r="R102" s="9">
        <v>0</v>
      </c>
      <c r="S102" s="8">
        <v>2</v>
      </c>
      <c r="T102" s="5">
        <v>0</v>
      </c>
    </row>
    <row r="103" spans="1:20" x14ac:dyDescent="0.2">
      <c r="A103" s="5" t="s">
        <v>316</v>
      </c>
      <c r="B103" s="5" t="s">
        <v>69</v>
      </c>
      <c r="C103" s="10" t="s">
        <v>467</v>
      </c>
      <c r="D103" s="7">
        <f t="shared" si="0"/>
        <v>9.8000000000000007</v>
      </c>
      <c r="E103" s="8">
        <v>0</v>
      </c>
      <c r="F103" s="5">
        <v>0</v>
      </c>
      <c r="G103" s="5">
        <v>0</v>
      </c>
      <c r="H103" s="5">
        <v>0</v>
      </c>
      <c r="I103" s="5">
        <v>0</v>
      </c>
      <c r="J103" s="9">
        <v>0</v>
      </c>
      <c r="K103" s="8">
        <v>0</v>
      </c>
      <c r="L103" s="5">
        <v>0</v>
      </c>
      <c r="M103" s="5">
        <v>0</v>
      </c>
      <c r="N103" s="9">
        <v>0</v>
      </c>
      <c r="O103" s="8">
        <v>4</v>
      </c>
      <c r="P103" s="5">
        <v>58</v>
      </c>
      <c r="Q103" s="5">
        <v>0</v>
      </c>
      <c r="R103" s="9">
        <v>0</v>
      </c>
      <c r="S103" s="8">
        <v>0</v>
      </c>
      <c r="T103" s="5">
        <v>0</v>
      </c>
    </row>
    <row r="104" spans="1:20" x14ac:dyDescent="0.2">
      <c r="A104" s="5" t="s">
        <v>427</v>
      </c>
      <c r="B104" s="5" t="s">
        <v>162</v>
      </c>
      <c r="C104" s="10" t="s">
        <v>473</v>
      </c>
      <c r="D104" s="7">
        <f t="shared" si="0"/>
        <v>9.6999999999999993</v>
      </c>
      <c r="E104" s="8">
        <v>0</v>
      </c>
      <c r="F104" s="5">
        <v>0</v>
      </c>
      <c r="G104" s="5">
        <v>0</v>
      </c>
      <c r="H104" s="5">
        <v>0</v>
      </c>
      <c r="I104" s="5">
        <v>0</v>
      </c>
      <c r="J104" s="9">
        <v>0</v>
      </c>
      <c r="K104" s="8">
        <v>1</v>
      </c>
      <c r="L104" s="5">
        <v>7</v>
      </c>
      <c r="M104" s="5">
        <v>0</v>
      </c>
      <c r="N104" s="9">
        <v>0</v>
      </c>
      <c r="O104" s="8">
        <v>5</v>
      </c>
      <c r="P104" s="5">
        <v>40</v>
      </c>
      <c r="Q104" s="5">
        <v>0</v>
      </c>
      <c r="R104" s="9">
        <v>0</v>
      </c>
      <c r="S104" s="8">
        <v>0</v>
      </c>
      <c r="T104" s="5">
        <v>0</v>
      </c>
    </row>
    <row r="105" spans="1:20" x14ac:dyDescent="0.2">
      <c r="A105" s="5" t="s">
        <v>280</v>
      </c>
      <c r="B105" s="5" t="s">
        <v>69</v>
      </c>
      <c r="C105" s="17" t="s">
        <v>461</v>
      </c>
      <c r="D105" s="7">
        <f t="shared" si="0"/>
        <v>9.6000000000000014</v>
      </c>
      <c r="E105" s="8">
        <v>0</v>
      </c>
      <c r="F105" s="5">
        <v>0</v>
      </c>
      <c r="G105" s="5">
        <v>0</v>
      </c>
      <c r="H105" s="5">
        <v>0</v>
      </c>
      <c r="I105" s="5">
        <v>0</v>
      </c>
      <c r="J105" s="9">
        <v>0</v>
      </c>
      <c r="K105" s="8">
        <v>0</v>
      </c>
      <c r="L105" s="5">
        <v>0</v>
      </c>
      <c r="M105" s="5">
        <v>0</v>
      </c>
      <c r="N105" s="9">
        <v>0</v>
      </c>
      <c r="O105" s="8">
        <v>4</v>
      </c>
      <c r="P105" s="5">
        <v>56</v>
      </c>
      <c r="Q105" s="5">
        <v>0</v>
      </c>
      <c r="R105" s="9">
        <v>0</v>
      </c>
      <c r="S105" s="8">
        <v>0</v>
      </c>
      <c r="T105" s="5">
        <v>0</v>
      </c>
    </row>
    <row r="106" spans="1:20" x14ac:dyDescent="0.2">
      <c r="A106" s="5" t="s">
        <v>30</v>
      </c>
      <c r="B106" s="5" t="s">
        <v>17</v>
      </c>
      <c r="C106" s="17" t="s">
        <v>466</v>
      </c>
      <c r="D106" s="7">
        <f t="shared" si="0"/>
        <v>9.56</v>
      </c>
      <c r="E106" s="8">
        <v>19</v>
      </c>
      <c r="F106" s="5">
        <v>12</v>
      </c>
      <c r="G106" s="5">
        <v>139</v>
      </c>
      <c r="H106" s="5">
        <v>2</v>
      </c>
      <c r="I106" s="5">
        <v>2</v>
      </c>
      <c r="J106" s="9">
        <v>0</v>
      </c>
      <c r="K106" s="8">
        <v>1</v>
      </c>
      <c r="L106" s="5">
        <v>0</v>
      </c>
      <c r="M106" s="5">
        <v>0</v>
      </c>
      <c r="N106" s="9">
        <v>0</v>
      </c>
      <c r="O106" s="8">
        <v>0</v>
      </c>
      <c r="P106" s="5">
        <v>0</v>
      </c>
      <c r="Q106" s="5">
        <v>0</v>
      </c>
      <c r="R106" s="9">
        <v>0</v>
      </c>
      <c r="S106" s="8">
        <v>0</v>
      </c>
      <c r="T106" s="5">
        <v>0</v>
      </c>
    </row>
    <row r="107" spans="1:20" x14ac:dyDescent="0.2">
      <c r="A107" s="5" t="s">
        <v>136</v>
      </c>
      <c r="B107" s="5" t="s">
        <v>75</v>
      </c>
      <c r="C107" s="10" t="s">
        <v>463</v>
      </c>
      <c r="D107" s="7">
        <f t="shared" si="0"/>
        <v>9.5</v>
      </c>
      <c r="E107" s="8">
        <v>0</v>
      </c>
      <c r="F107" s="5">
        <v>0</v>
      </c>
      <c r="G107" s="5">
        <v>0</v>
      </c>
      <c r="H107" s="5">
        <v>0</v>
      </c>
      <c r="I107" s="5">
        <v>0</v>
      </c>
      <c r="J107" s="9">
        <v>0</v>
      </c>
      <c r="K107" s="8">
        <v>9</v>
      </c>
      <c r="L107" s="5">
        <v>26</v>
      </c>
      <c r="M107" s="5">
        <v>0</v>
      </c>
      <c r="N107" s="9">
        <v>0</v>
      </c>
      <c r="O107" s="8">
        <v>5</v>
      </c>
      <c r="P107" s="5">
        <v>19</v>
      </c>
      <c r="Q107" s="5">
        <v>0</v>
      </c>
      <c r="R107" s="9">
        <v>0</v>
      </c>
      <c r="S107" s="8">
        <v>0</v>
      </c>
      <c r="T107" s="5">
        <v>0</v>
      </c>
    </row>
    <row r="108" spans="1:20" x14ac:dyDescent="0.2">
      <c r="A108" s="5" t="s">
        <v>241</v>
      </c>
      <c r="B108" s="5" t="s">
        <v>162</v>
      </c>
      <c r="C108" s="17" t="s">
        <v>473</v>
      </c>
      <c r="D108" s="7">
        <f t="shared" si="0"/>
        <v>9.4</v>
      </c>
      <c r="E108" s="8">
        <v>0</v>
      </c>
      <c r="F108" s="5">
        <v>0</v>
      </c>
      <c r="G108" s="5">
        <v>0</v>
      </c>
      <c r="H108" s="5">
        <v>0</v>
      </c>
      <c r="I108" s="5">
        <v>0</v>
      </c>
      <c r="J108" s="9">
        <v>0</v>
      </c>
      <c r="K108" s="8">
        <v>0</v>
      </c>
      <c r="L108" s="5">
        <v>0</v>
      </c>
      <c r="M108" s="5">
        <v>0</v>
      </c>
      <c r="N108" s="9">
        <v>0</v>
      </c>
      <c r="O108" s="8">
        <v>4</v>
      </c>
      <c r="P108" s="5">
        <v>54</v>
      </c>
      <c r="Q108" s="5">
        <v>0</v>
      </c>
      <c r="R108" s="9">
        <v>0</v>
      </c>
      <c r="S108" s="8">
        <v>0</v>
      </c>
      <c r="T108" s="5">
        <v>0</v>
      </c>
    </row>
    <row r="109" spans="1:20" x14ac:dyDescent="0.2">
      <c r="A109" s="5" t="s">
        <v>195</v>
      </c>
      <c r="B109" s="5" t="s">
        <v>162</v>
      </c>
      <c r="C109" s="10" t="s">
        <v>469</v>
      </c>
      <c r="D109" s="7">
        <f t="shared" si="0"/>
        <v>9.3000000000000007</v>
      </c>
      <c r="E109" s="8">
        <v>0</v>
      </c>
      <c r="F109" s="5">
        <v>0</v>
      </c>
      <c r="G109" s="5">
        <v>0</v>
      </c>
      <c r="H109" s="5">
        <v>0</v>
      </c>
      <c r="I109" s="5">
        <v>0</v>
      </c>
      <c r="J109" s="9">
        <v>0</v>
      </c>
      <c r="K109" s="8">
        <v>0</v>
      </c>
      <c r="L109" s="5">
        <v>0</v>
      </c>
      <c r="M109" s="5">
        <v>0</v>
      </c>
      <c r="N109" s="9">
        <v>0</v>
      </c>
      <c r="O109" s="8">
        <v>4</v>
      </c>
      <c r="P109" s="5">
        <v>53</v>
      </c>
      <c r="Q109" s="5">
        <v>0</v>
      </c>
      <c r="R109" s="9">
        <v>0</v>
      </c>
      <c r="S109" s="8">
        <v>0</v>
      </c>
      <c r="T109" s="5">
        <v>0</v>
      </c>
    </row>
    <row r="110" spans="1:20" x14ac:dyDescent="0.2">
      <c r="A110" s="5" t="s">
        <v>361</v>
      </c>
      <c r="B110" s="5" t="s">
        <v>162</v>
      </c>
      <c r="C110" s="10" t="s">
        <v>472</v>
      </c>
      <c r="D110" s="7">
        <f t="shared" si="0"/>
        <v>9.3000000000000007</v>
      </c>
      <c r="E110" s="8">
        <v>0</v>
      </c>
      <c r="F110" s="5">
        <v>0</v>
      </c>
      <c r="G110" s="5">
        <v>0</v>
      </c>
      <c r="H110" s="5">
        <v>0</v>
      </c>
      <c r="I110" s="5">
        <v>0</v>
      </c>
      <c r="J110" s="9">
        <v>0</v>
      </c>
      <c r="K110" s="8">
        <v>0</v>
      </c>
      <c r="L110" s="5">
        <v>0</v>
      </c>
      <c r="M110" s="5">
        <v>0</v>
      </c>
      <c r="N110" s="9">
        <v>0</v>
      </c>
      <c r="O110" s="8">
        <v>4</v>
      </c>
      <c r="P110" s="5">
        <v>53</v>
      </c>
      <c r="Q110" s="5">
        <v>0</v>
      </c>
      <c r="R110" s="9">
        <v>0</v>
      </c>
      <c r="S110" s="8">
        <v>0</v>
      </c>
      <c r="T110" s="5">
        <v>0</v>
      </c>
    </row>
    <row r="111" spans="1:20" x14ac:dyDescent="0.2">
      <c r="A111" s="5" t="s">
        <v>55</v>
      </c>
      <c r="B111" s="5" t="s">
        <v>17</v>
      </c>
      <c r="C111" s="17" t="s">
        <v>473</v>
      </c>
      <c r="D111" s="7">
        <f t="shared" si="0"/>
        <v>9.2000000000000011</v>
      </c>
      <c r="E111" s="8">
        <v>20</v>
      </c>
      <c r="F111" s="5">
        <v>13</v>
      </c>
      <c r="G111" s="5">
        <v>110</v>
      </c>
      <c r="H111" s="5">
        <v>1</v>
      </c>
      <c r="I111" s="5">
        <v>0</v>
      </c>
      <c r="J111" s="9">
        <v>0</v>
      </c>
      <c r="K111" s="8">
        <v>0</v>
      </c>
      <c r="L111" s="5">
        <v>0</v>
      </c>
      <c r="M111" s="5">
        <v>0</v>
      </c>
      <c r="N111" s="9">
        <v>0</v>
      </c>
      <c r="O111" s="8">
        <v>1</v>
      </c>
      <c r="P111" s="5">
        <v>-2</v>
      </c>
      <c r="Q111" s="5">
        <v>0</v>
      </c>
      <c r="R111" s="9">
        <v>0</v>
      </c>
      <c r="S111" s="8">
        <v>0</v>
      </c>
      <c r="T111" s="5">
        <v>0</v>
      </c>
    </row>
    <row r="112" spans="1:20" x14ac:dyDescent="0.2">
      <c r="A112" s="5" t="s">
        <v>181</v>
      </c>
      <c r="B112" s="5" t="s">
        <v>162</v>
      </c>
      <c r="C112" s="10" t="s">
        <v>464</v>
      </c>
      <c r="D112" s="7">
        <f t="shared" si="0"/>
        <v>9.1000000000000014</v>
      </c>
      <c r="E112" s="8">
        <v>0</v>
      </c>
      <c r="F112" s="5">
        <v>0</v>
      </c>
      <c r="G112" s="5">
        <v>0</v>
      </c>
      <c r="H112" s="5">
        <v>0</v>
      </c>
      <c r="I112" s="5">
        <v>0</v>
      </c>
      <c r="J112" s="9">
        <v>0</v>
      </c>
      <c r="K112" s="8">
        <v>0</v>
      </c>
      <c r="L112" s="5">
        <v>0</v>
      </c>
      <c r="M112" s="5">
        <v>0</v>
      </c>
      <c r="N112" s="9">
        <v>0</v>
      </c>
      <c r="O112" s="8">
        <v>4</v>
      </c>
      <c r="P112" s="5">
        <v>51</v>
      </c>
      <c r="Q112" s="5">
        <v>0</v>
      </c>
      <c r="R112" s="9">
        <v>0</v>
      </c>
      <c r="S112" s="8">
        <v>0</v>
      </c>
      <c r="T112" s="5">
        <v>0</v>
      </c>
    </row>
    <row r="113" spans="1:20" x14ac:dyDescent="0.2">
      <c r="A113" s="5" t="s">
        <v>271</v>
      </c>
      <c r="B113" s="5" t="s">
        <v>69</v>
      </c>
      <c r="C113" s="17" t="s">
        <v>472</v>
      </c>
      <c r="D113" s="7">
        <f t="shared" si="0"/>
        <v>9.1000000000000014</v>
      </c>
      <c r="E113" s="8">
        <v>0</v>
      </c>
      <c r="F113" s="5">
        <v>0</v>
      </c>
      <c r="G113" s="5">
        <v>0</v>
      </c>
      <c r="H113" s="5">
        <v>0</v>
      </c>
      <c r="I113" s="5">
        <v>0</v>
      </c>
      <c r="J113" s="9">
        <v>0</v>
      </c>
      <c r="K113" s="8">
        <v>0</v>
      </c>
      <c r="L113" s="5">
        <v>0</v>
      </c>
      <c r="M113" s="5">
        <v>0</v>
      </c>
      <c r="N113" s="9">
        <v>0</v>
      </c>
      <c r="O113" s="8">
        <v>4</v>
      </c>
      <c r="P113" s="5">
        <v>51</v>
      </c>
      <c r="Q113" s="5">
        <v>0</v>
      </c>
      <c r="R113" s="9">
        <v>0</v>
      </c>
      <c r="S113" s="8">
        <v>0</v>
      </c>
      <c r="T113" s="5">
        <v>0</v>
      </c>
    </row>
    <row r="114" spans="1:20" x14ac:dyDescent="0.2">
      <c r="A114" s="5" t="s">
        <v>111</v>
      </c>
      <c r="B114" s="5" t="s">
        <v>75</v>
      </c>
      <c r="C114" s="17" t="s">
        <v>461</v>
      </c>
      <c r="D114" s="7">
        <f t="shared" si="0"/>
        <v>9.1</v>
      </c>
      <c r="E114" s="8">
        <v>0</v>
      </c>
      <c r="F114" s="5">
        <v>0</v>
      </c>
      <c r="G114" s="5">
        <v>0</v>
      </c>
      <c r="H114" s="5">
        <v>0</v>
      </c>
      <c r="I114" s="5">
        <v>0</v>
      </c>
      <c r="J114" s="9">
        <v>0</v>
      </c>
      <c r="K114" s="8">
        <v>8</v>
      </c>
      <c r="L114" s="5">
        <v>40</v>
      </c>
      <c r="M114" s="5">
        <v>0</v>
      </c>
      <c r="N114" s="9">
        <v>0</v>
      </c>
      <c r="O114" s="8">
        <v>4</v>
      </c>
      <c r="P114" s="5">
        <v>11</v>
      </c>
      <c r="Q114" s="5">
        <v>0</v>
      </c>
      <c r="R114" s="9">
        <v>0</v>
      </c>
      <c r="S114" s="8">
        <v>0</v>
      </c>
      <c r="T114" s="5">
        <v>0</v>
      </c>
    </row>
    <row r="115" spans="1:20" x14ac:dyDescent="0.2">
      <c r="A115" s="5" t="s">
        <v>337</v>
      </c>
      <c r="B115" s="5" t="s">
        <v>75</v>
      </c>
      <c r="C115" s="10" t="s">
        <v>462</v>
      </c>
      <c r="D115" s="7">
        <f t="shared" si="0"/>
        <v>9</v>
      </c>
      <c r="E115" s="8">
        <v>0</v>
      </c>
      <c r="F115" s="5">
        <v>0</v>
      </c>
      <c r="G115" s="5">
        <v>0</v>
      </c>
      <c r="H115" s="5">
        <v>0</v>
      </c>
      <c r="I115" s="5">
        <v>0</v>
      </c>
      <c r="J115" s="9">
        <v>0</v>
      </c>
      <c r="K115" s="8">
        <v>18</v>
      </c>
      <c r="L115" s="5">
        <v>70</v>
      </c>
      <c r="M115" s="5">
        <v>0</v>
      </c>
      <c r="N115" s="9">
        <v>0</v>
      </c>
      <c r="O115" s="8">
        <v>0</v>
      </c>
      <c r="P115" s="5">
        <v>0</v>
      </c>
      <c r="Q115" s="5">
        <v>0</v>
      </c>
      <c r="R115" s="9">
        <v>1</v>
      </c>
      <c r="S115" s="8">
        <v>0</v>
      </c>
      <c r="T115" s="5">
        <v>0</v>
      </c>
    </row>
    <row r="116" spans="1:20" x14ac:dyDescent="0.2">
      <c r="A116" s="5" t="s">
        <v>79</v>
      </c>
      <c r="B116" s="5" t="s">
        <v>75</v>
      </c>
      <c r="C116" s="10" t="s">
        <v>472</v>
      </c>
      <c r="D116" s="7">
        <f t="shared" si="0"/>
        <v>9</v>
      </c>
      <c r="E116" s="8">
        <v>0</v>
      </c>
      <c r="F116" s="5">
        <v>0</v>
      </c>
      <c r="G116" s="5">
        <v>0</v>
      </c>
      <c r="H116" s="5">
        <v>0</v>
      </c>
      <c r="I116" s="5">
        <v>0</v>
      </c>
      <c r="J116" s="9">
        <v>0</v>
      </c>
      <c r="K116" s="8">
        <v>11</v>
      </c>
      <c r="L116" s="5">
        <v>47</v>
      </c>
      <c r="M116" s="5">
        <v>0</v>
      </c>
      <c r="N116" s="9">
        <v>0</v>
      </c>
      <c r="O116" s="8">
        <v>3</v>
      </c>
      <c r="P116" s="5">
        <v>13</v>
      </c>
      <c r="Q116" s="5">
        <v>0</v>
      </c>
      <c r="R116" s="9">
        <v>0</v>
      </c>
      <c r="S116" s="8">
        <v>0</v>
      </c>
      <c r="T116" s="5">
        <v>0</v>
      </c>
    </row>
    <row r="117" spans="1:20" x14ac:dyDescent="0.2">
      <c r="A117" s="5" t="s">
        <v>151</v>
      </c>
      <c r="B117" s="5" t="s">
        <v>75</v>
      </c>
      <c r="C117" s="10" t="s">
        <v>460</v>
      </c>
      <c r="D117" s="7">
        <f t="shared" si="0"/>
        <v>8.84</v>
      </c>
      <c r="E117" s="8">
        <v>1</v>
      </c>
      <c r="F117" s="5">
        <v>1</v>
      </c>
      <c r="G117" s="5">
        <v>6</v>
      </c>
      <c r="H117" s="5">
        <v>1</v>
      </c>
      <c r="I117" s="5">
        <v>0</v>
      </c>
      <c r="J117" s="9">
        <v>0</v>
      </c>
      <c r="K117" s="8">
        <v>7</v>
      </c>
      <c r="L117" s="5">
        <v>25</v>
      </c>
      <c r="M117" s="5">
        <v>0</v>
      </c>
      <c r="N117" s="9">
        <v>0</v>
      </c>
      <c r="O117" s="8">
        <v>1</v>
      </c>
      <c r="P117" s="5">
        <v>11</v>
      </c>
      <c r="Q117" s="5">
        <v>0</v>
      </c>
      <c r="R117" s="9">
        <v>0</v>
      </c>
      <c r="S117" s="8">
        <v>0</v>
      </c>
      <c r="T117" s="5">
        <v>0</v>
      </c>
    </row>
    <row r="118" spans="1:20" x14ac:dyDescent="0.2">
      <c r="A118" s="5" t="s">
        <v>129</v>
      </c>
      <c r="B118" s="5" t="s">
        <v>75</v>
      </c>
      <c r="C118" s="10" t="s">
        <v>468</v>
      </c>
      <c r="D118" s="7">
        <f t="shared" si="0"/>
        <v>8.8000000000000007</v>
      </c>
      <c r="E118" s="8">
        <v>0</v>
      </c>
      <c r="F118" s="5">
        <v>0</v>
      </c>
      <c r="G118" s="5">
        <v>0</v>
      </c>
      <c r="H118" s="5">
        <v>0</v>
      </c>
      <c r="I118" s="5">
        <v>0</v>
      </c>
      <c r="J118" s="9">
        <v>0</v>
      </c>
      <c r="K118" s="8">
        <v>5</v>
      </c>
      <c r="L118" s="5">
        <v>40</v>
      </c>
      <c r="M118" s="5">
        <v>0</v>
      </c>
      <c r="N118" s="9">
        <v>0</v>
      </c>
      <c r="O118" s="8">
        <v>3</v>
      </c>
      <c r="P118" s="5">
        <v>18</v>
      </c>
      <c r="Q118" s="5">
        <v>0</v>
      </c>
      <c r="R118" s="9">
        <v>0</v>
      </c>
      <c r="S118" s="8">
        <v>0</v>
      </c>
      <c r="T118" s="5">
        <v>0</v>
      </c>
    </row>
    <row r="119" spans="1:20" x14ac:dyDescent="0.2">
      <c r="A119" s="5" t="s">
        <v>61</v>
      </c>
      <c r="B119" s="5" t="s">
        <v>17</v>
      </c>
      <c r="C119" s="10" t="s">
        <v>473</v>
      </c>
      <c r="D119" s="7">
        <f t="shared" si="0"/>
        <v>8.7200000000000024</v>
      </c>
      <c r="E119" s="8">
        <v>34</v>
      </c>
      <c r="F119" s="5">
        <v>27</v>
      </c>
      <c r="G119" s="5">
        <v>203</v>
      </c>
      <c r="H119" s="5">
        <v>0</v>
      </c>
      <c r="I119" s="5">
        <v>2</v>
      </c>
      <c r="J119" s="9">
        <v>0</v>
      </c>
      <c r="K119" s="8">
        <v>10</v>
      </c>
      <c r="L119" s="5">
        <v>66</v>
      </c>
      <c r="M119" s="5">
        <v>0</v>
      </c>
      <c r="N119" s="9">
        <v>0</v>
      </c>
      <c r="O119" s="8">
        <v>0</v>
      </c>
      <c r="P119" s="5">
        <v>0</v>
      </c>
      <c r="Q119" s="5">
        <v>0</v>
      </c>
      <c r="R119" s="9">
        <v>0</v>
      </c>
      <c r="S119" s="8">
        <v>1</v>
      </c>
      <c r="T119" s="5">
        <v>0</v>
      </c>
    </row>
    <row r="120" spans="1:20" x14ac:dyDescent="0.2">
      <c r="A120" s="5" t="s">
        <v>258</v>
      </c>
      <c r="B120" s="5" t="s">
        <v>162</v>
      </c>
      <c r="C120" s="10" t="s">
        <v>465</v>
      </c>
      <c r="D120" s="7">
        <f t="shared" si="0"/>
        <v>8.7000000000000011</v>
      </c>
      <c r="E120" s="8">
        <v>0</v>
      </c>
      <c r="F120" s="5">
        <v>0</v>
      </c>
      <c r="G120" s="5">
        <v>0</v>
      </c>
      <c r="H120" s="5">
        <v>0</v>
      </c>
      <c r="I120" s="5">
        <v>0</v>
      </c>
      <c r="J120" s="9">
        <v>0</v>
      </c>
      <c r="K120" s="8">
        <v>3</v>
      </c>
      <c r="L120" s="5">
        <v>51</v>
      </c>
      <c r="M120" s="5">
        <v>0</v>
      </c>
      <c r="N120" s="9">
        <v>0</v>
      </c>
      <c r="O120" s="8">
        <v>2</v>
      </c>
      <c r="P120" s="5">
        <v>16</v>
      </c>
      <c r="Q120" s="5">
        <v>0</v>
      </c>
      <c r="R120" s="9">
        <v>0</v>
      </c>
      <c r="S120" s="8">
        <v>0</v>
      </c>
      <c r="T120" s="5">
        <v>0</v>
      </c>
    </row>
    <row r="121" spans="1:20" x14ac:dyDescent="0.2">
      <c r="A121" s="5" t="s">
        <v>196</v>
      </c>
      <c r="B121" s="5" t="s">
        <v>162</v>
      </c>
      <c r="C121" s="17" t="s">
        <v>459</v>
      </c>
      <c r="D121" s="7">
        <f t="shared" si="0"/>
        <v>8.6000000000000014</v>
      </c>
      <c r="E121" s="8">
        <v>0</v>
      </c>
      <c r="F121" s="5">
        <v>0</v>
      </c>
      <c r="G121" s="5">
        <v>0</v>
      </c>
      <c r="H121" s="5">
        <v>0</v>
      </c>
      <c r="I121" s="5">
        <v>0</v>
      </c>
      <c r="J121" s="9">
        <v>0</v>
      </c>
      <c r="K121" s="8">
        <v>0</v>
      </c>
      <c r="L121" s="5">
        <v>0</v>
      </c>
      <c r="M121" s="5">
        <v>0</v>
      </c>
      <c r="N121" s="9">
        <v>0</v>
      </c>
      <c r="O121" s="8">
        <v>4</v>
      </c>
      <c r="P121" s="5">
        <v>46</v>
      </c>
      <c r="Q121" s="5">
        <v>0</v>
      </c>
      <c r="R121" s="9">
        <v>0</v>
      </c>
      <c r="S121" s="8">
        <v>0</v>
      </c>
      <c r="T121" s="5">
        <v>0</v>
      </c>
    </row>
    <row r="122" spans="1:20" x14ac:dyDescent="0.2">
      <c r="A122" s="5" t="s">
        <v>103</v>
      </c>
      <c r="B122" s="5" t="s">
        <v>75</v>
      </c>
      <c r="C122" s="17" t="s">
        <v>468</v>
      </c>
      <c r="D122" s="7">
        <f t="shared" si="0"/>
        <v>8.6</v>
      </c>
      <c r="E122" s="8">
        <v>0</v>
      </c>
      <c r="F122" s="5">
        <v>0</v>
      </c>
      <c r="G122" s="5">
        <v>0</v>
      </c>
      <c r="H122" s="5">
        <v>0</v>
      </c>
      <c r="I122" s="5">
        <v>0</v>
      </c>
      <c r="J122" s="9">
        <v>0</v>
      </c>
      <c r="K122" s="8">
        <v>14</v>
      </c>
      <c r="L122" s="5">
        <v>67</v>
      </c>
      <c r="M122" s="5">
        <v>0</v>
      </c>
      <c r="N122" s="9">
        <v>0</v>
      </c>
      <c r="O122" s="8">
        <v>1</v>
      </c>
      <c r="P122" s="5">
        <v>9</v>
      </c>
      <c r="Q122" s="5">
        <v>0</v>
      </c>
      <c r="R122" s="9">
        <v>0</v>
      </c>
      <c r="S122" s="8">
        <v>0</v>
      </c>
      <c r="T122" s="5">
        <v>0</v>
      </c>
    </row>
    <row r="123" spans="1:20" x14ac:dyDescent="0.2">
      <c r="A123" s="5" t="s">
        <v>209</v>
      </c>
      <c r="B123" s="5" t="s">
        <v>162</v>
      </c>
      <c r="C123" s="17" t="s">
        <v>469</v>
      </c>
      <c r="D123" s="7">
        <f t="shared" si="0"/>
        <v>8.6</v>
      </c>
      <c r="E123" s="8">
        <v>0</v>
      </c>
      <c r="F123" s="5">
        <v>0</v>
      </c>
      <c r="G123" s="5">
        <v>0</v>
      </c>
      <c r="H123" s="5">
        <v>0</v>
      </c>
      <c r="I123" s="5">
        <v>0</v>
      </c>
      <c r="J123" s="9">
        <v>0</v>
      </c>
      <c r="K123" s="8">
        <v>0</v>
      </c>
      <c r="L123" s="5">
        <v>0</v>
      </c>
      <c r="M123" s="5">
        <v>0</v>
      </c>
      <c r="N123" s="9">
        <v>0</v>
      </c>
      <c r="O123" s="8">
        <v>2</v>
      </c>
      <c r="P123" s="5">
        <v>6</v>
      </c>
      <c r="Q123" s="5">
        <v>1</v>
      </c>
      <c r="R123" s="9">
        <v>0</v>
      </c>
      <c r="S123" s="8">
        <v>0</v>
      </c>
      <c r="T123" s="5">
        <v>0</v>
      </c>
    </row>
    <row r="124" spans="1:20" x14ac:dyDescent="0.2">
      <c r="A124" s="5" t="s">
        <v>347</v>
      </c>
      <c r="B124" s="5" t="s">
        <v>69</v>
      </c>
      <c r="C124" s="17" t="s">
        <v>473</v>
      </c>
      <c r="D124" s="7">
        <f t="shared" si="0"/>
        <v>8.3000000000000007</v>
      </c>
      <c r="E124" s="8">
        <v>0</v>
      </c>
      <c r="F124" s="5">
        <v>0</v>
      </c>
      <c r="G124" s="5">
        <v>0</v>
      </c>
      <c r="H124" s="5">
        <v>0</v>
      </c>
      <c r="I124" s="5">
        <v>0</v>
      </c>
      <c r="J124" s="9">
        <v>0</v>
      </c>
      <c r="K124" s="8">
        <v>0</v>
      </c>
      <c r="L124" s="5">
        <v>0</v>
      </c>
      <c r="M124" s="5">
        <v>0</v>
      </c>
      <c r="N124" s="9">
        <v>0</v>
      </c>
      <c r="O124" s="8">
        <v>2</v>
      </c>
      <c r="P124" s="5">
        <v>63</v>
      </c>
      <c r="Q124" s="5">
        <v>0</v>
      </c>
      <c r="R124" s="9">
        <v>0</v>
      </c>
      <c r="S124" s="8">
        <v>0</v>
      </c>
      <c r="T124" s="5">
        <v>0</v>
      </c>
    </row>
    <row r="125" spans="1:20" x14ac:dyDescent="0.2">
      <c r="A125" s="5" t="s">
        <v>360</v>
      </c>
      <c r="B125" s="5" t="s">
        <v>162</v>
      </c>
      <c r="C125" s="17" t="s">
        <v>464</v>
      </c>
      <c r="D125" s="7">
        <f t="shared" si="0"/>
        <v>8.1999999999999993</v>
      </c>
      <c r="E125" s="8">
        <v>0</v>
      </c>
      <c r="F125" s="5">
        <v>0</v>
      </c>
      <c r="G125" s="5">
        <v>0</v>
      </c>
      <c r="H125" s="5">
        <v>0</v>
      </c>
      <c r="I125" s="5">
        <v>0</v>
      </c>
      <c r="J125" s="9">
        <v>0</v>
      </c>
      <c r="K125" s="8">
        <v>0</v>
      </c>
      <c r="L125" s="5">
        <v>0</v>
      </c>
      <c r="M125" s="5">
        <v>0</v>
      </c>
      <c r="N125" s="9">
        <v>0</v>
      </c>
      <c r="O125" s="8">
        <v>3</v>
      </c>
      <c r="P125" s="5">
        <v>52</v>
      </c>
      <c r="Q125" s="5">
        <v>0</v>
      </c>
      <c r="R125" s="9">
        <v>0</v>
      </c>
      <c r="S125" s="8">
        <v>0</v>
      </c>
      <c r="T125" s="5">
        <v>0</v>
      </c>
    </row>
    <row r="126" spans="1:20" x14ac:dyDescent="0.2">
      <c r="A126" s="5" t="s">
        <v>287</v>
      </c>
      <c r="B126" s="5" t="s">
        <v>69</v>
      </c>
      <c r="C126" s="17" t="s">
        <v>459</v>
      </c>
      <c r="D126" s="7">
        <f t="shared" si="0"/>
        <v>8.1000000000000014</v>
      </c>
      <c r="E126" s="8">
        <v>0</v>
      </c>
      <c r="F126" s="5">
        <v>0</v>
      </c>
      <c r="G126" s="5">
        <v>0</v>
      </c>
      <c r="H126" s="5">
        <v>0</v>
      </c>
      <c r="I126" s="5">
        <v>0</v>
      </c>
      <c r="J126" s="9">
        <v>0</v>
      </c>
      <c r="K126" s="8">
        <v>0</v>
      </c>
      <c r="L126" s="5">
        <v>0</v>
      </c>
      <c r="M126" s="5">
        <v>0</v>
      </c>
      <c r="N126" s="9">
        <v>0</v>
      </c>
      <c r="O126" s="8">
        <v>4</v>
      </c>
      <c r="P126" s="5">
        <v>41</v>
      </c>
      <c r="Q126" s="5">
        <v>0</v>
      </c>
      <c r="R126" s="9">
        <v>0</v>
      </c>
      <c r="S126" s="8">
        <v>0</v>
      </c>
      <c r="T126" s="5">
        <v>0</v>
      </c>
    </row>
    <row r="127" spans="1:20" x14ac:dyDescent="0.2">
      <c r="A127" s="5" t="s">
        <v>179</v>
      </c>
      <c r="B127" s="5" t="s">
        <v>162</v>
      </c>
      <c r="C127" s="17" t="s">
        <v>463</v>
      </c>
      <c r="D127" s="7">
        <f t="shared" si="0"/>
        <v>8</v>
      </c>
      <c r="E127" s="8">
        <v>0</v>
      </c>
      <c r="F127" s="5">
        <v>0</v>
      </c>
      <c r="G127" s="5">
        <v>0</v>
      </c>
      <c r="H127" s="5">
        <v>0</v>
      </c>
      <c r="I127" s="5">
        <v>0</v>
      </c>
      <c r="J127" s="9">
        <v>0</v>
      </c>
      <c r="K127" s="8">
        <v>1</v>
      </c>
      <c r="L127" s="5">
        <v>-6</v>
      </c>
      <c r="M127" s="5">
        <v>0</v>
      </c>
      <c r="N127" s="9">
        <v>0</v>
      </c>
      <c r="O127" s="8">
        <v>3</v>
      </c>
      <c r="P127" s="5">
        <v>56</v>
      </c>
      <c r="Q127" s="5">
        <v>0</v>
      </c>
      <c r="R127" s="9">
        <v>0</v>
      </c>
      <c r="S127" s="8">
        <v>0</v>
      </c>
      <c r="T127" s="5">
        <v>0</v>
      </c>
    </row>
    <row r="128" spans="1:20" x14ac:dyDescent="0.2">
      <c r="A128" s="5" t="s">
        <v>383</v>
      </c>
      <c r="B128" s="5" t="s">
        <v>75</v>
      </c>
      <c r="C128" s="17" t="s">
        <v>462</v>
      </c>
      <c r="D128" s="7">
        <f t="shared" si="0"/>
        <v>7.7</v>
      </c>
      <c r="E128" s="8">
        <v>0</v>
      </c>
      <c r="F128" s="5">
        <v>0</v>
      </c>
      <c r="G128" s="5">
        <v>0</v>
      </c>
      <c r="H128" s="5">
        <v>0</v>
      </c>
      <c r="I128" s="5">
        <v>0</v>
      </c>
      <c r="J128" s="9">
        <v>0</v>
      </c>
      <c r="K128" s="8">
        <v>9</v>
      </c>
      <c r="L128" s="5">
        <v>47</v>
      </c>
      <c r="M128" s="5">
        <v>0</v>
      </c>
      <c r="N128" s="9">
        <v>0</v>
      </c>
      <c r="O128" s="8">
        <v>2</v>
      </c>
      <c r="P128" s="5">
        <v>10</v>
      </c>
      <c r="Q128" s="5">
        <v>0</v>
      </c>
      <c r="R128" s="9">
        <v>0</v>
      </c>
      <c r="S128" s="8">
        <v>0</v>
      </c>
      <c r="T128" s="5">
        <v>0</v>
      </c>
    </row>
    <row r="129" spans="1:20" x14ac:dyDescent="0.2">
      <c r="A129" s="5" t="s">
        <v>149</v>
      </c>
      <c r="B129" s="5" t="s">
        <v>75</v>
      </c>
      <c r="C129" s="10" t="s">
        <v>459</v>
      </c>
      <c r="D129" s="7">
        <f t="shared" si="0"/>
        <v>7.6000000000000005</v>
      </c>
      <c r="E129" s="8">
        <v>0</v>
      </c>
      <c r="F129" s="5">
        <v>0</v>
      </c>
      <c r="G129" s="5">
        <v>0</v>
      </c>
      <c r="H129" s="5">
        <v>0</v>
      </c>
      <c r="I129" s="5">
        <v>0</v>
      </c>
      <c r="J129" s="9">
        <v>0</v>
      </c>
      <c r="K129" s="8">
        <v>4</v>
      </c>
      <c r="L129" s="5">
        <v>32</v>
      </c>
      <c r="M129" s="5">
        <v>0</v>
      </c>
      <c r="N129" s="9">
        <v>0</v>
      </c>
      <c r="O129" s="8">
        <v>2</v>
      </c>
      <c r="P129" s="5">
        <v>24</v>
      </c>
      <c r="Q129" s="5">
        <v>0</v>
      </c>
      <c r="R129" s="9">
        <v>0</v>
      </c>
      <c r="S129" s="8">
        <v>0</v>
      </c>
      <c r="T129" s="5">
        <v>0</v>
      </c>
    </row>
    <row r="130" spans="1:20" x14ac:dyDescent="0.2">
      <c r="A130" s="5" t="s">
        <v>176</v>
      </c>
      <c r="B130" s="5" t="s">
        <v>162</v>
      </c>
      <c r="C130" s="17" t="s">
        <v>462</v>
      </c>
      <c r="D130" s="7">
        <f t="shared" si="0"/>
        <v>7.4</v>
      </c>
      <c r="E130" s="8">
        <v>0</v>
      </c>
      <c r="F130" s="5">
        <v>0</v>
      </c>
      <c r="G130" s="5">
        <v>0</v>
      </c>
      <c r="H130" s="5">
        <v>0</v>
      </c>
      <c r="I130" s="5">
        <v>0</v>
      </c>
      <c r="J130" s="9">
        <v>0</v>
      </c>
      <c r="K130" s="8">
        <v>0</v>
      </c>
      <c r="L130" s="5">
        <v>0</v>
      </c>
      <c r="M130" s="5">
        <v>0</v>
      </c>
      <c r="N130" s="9">
        <v>0</v>
      </c>
      <c r="O130" s="8">
        <v>5</v>
      </c>
      <c r="P130" s="5">
        <v>24</v>
      </c>
      <c r="Q130" s="5">
        <v>0</v>
      </c>
      <c r="R130" s="9">
        <v>0</v>
      </c>
      <c r="S130" s="8">
        <v>0</v>
      </c>
      <c r="T130" s="5">
        <v>0</v>
      </c>
    </row>
    <row r="131" spans="1:20" x14ac:dyDescent="0.2">
      <c r="A131" s="5" t="s">
        <v>231</v>
      </c>
      <c r="B131" s="5" t="s">
        <v>162</v>
      </c>
      <c r="C131" s="17" t="s">
        <v>464</v>
      </c>
      <c r="D131" s="7">
        <f t="shared" si="0"/>
        <v>7.4</v>
      </c>
      <c r="E131" s="8">
        <v>0</v>
      </c>
      <c r="F131" s="5">
        <v>0</v>
      </c>
      <c r="G131" s="5">
        <v>0</v>
      </c>
      <c r="H131" s="5">
        <v>0</v>
      </c>
      <c r="I131" s="5">
        <v>0</v>
      </c>
      <c r="J131" s="9">
        <v>0</v>
      </c>
      <c r="K131" s="8">
        <v>0</v>
      </c>
      <c r="L131" s="5">
        <v>0</v>
      </c>
      <c r="M131" s="5">
        <v>0</v>
      </c>
      <c r="N131" s="9">
        <v>0</v>
      </c>
      <c r="O131" s="8">
        <v>1</v>
      </c>
      <c r="P131" s="5">
        <v>4</v>
      </c>
      <c r="Q131" s="5">
        <v>1</v>
      </c>
      <c r="R131" s="9">
        <v>0</v>
      </c>
      <c r="S131" s="8">
        <v>0</v>
      </c>
      <c r="T131" s="5">
        <v>0</v>
      </c>
    </row>
    <row r="132" spans="1:20" x14ac:dyDescent="0.2">
      <c r="A132" s="5" t="s">
        <v>373</v>
      </c>
      <c r="B132" s="5" t="s">
        <v>69</v>
      </c>
      <c r="C132" s="10" t="s">
        <v>461</v>
      </c>
      <c r="D132" s="7">
        <f t="shared" si="0"/>
        <v>7.4</v>
      </c>
      <c r="E132" s="8">
        <v>0</v>
      </c>
      <c r="F132" s="5">
        <v>0</v>
      </c>
      <c r="G132" s="5">
        <v>0</v>
      </c>
      <c r="H132" s="5">
        <v>0</v>
      </c>
      <c r="I132" s="5">
        <v>0</v>
      </c>
      <c r="J132" s="9">
        <v>0</v>
      </c>
      <c r="K132" s="8">
        <v>0</v>
      </c>
      <c r="L132" s="5">
        <v>0</v>
      </c>
      <c r="M132" s="5">
        <v>0</v>
      </c>
      <c r="N132" s="9">
        <v>0</v>
      </c>
      <c r="O132" s="8">
        <v>4</v>
      </c>
      <c r="P132" s="5">
        <v>34</v>
      </c>
      <c r="Q132" s="5">
        <v>0</v>
      </c>
      <c r="R132" s="9">
        <v>0</v>
      </c>
      <c r="S132" s="8">
        <v>0</v>
      </c>
      <c r="T132" s="5">
        <v>0</v>
      </c>
    </row>
    <row r="133" spans="1:20" x14ac:dyDescent="0.2">
      <c r="A133" s="5" t="s">
        <v>108</v>
      </c>
      <c r="B133" s="5" t="s">
        <v>75</v>
      </c>
      <c r="C133" s="10" t="s">
        <v>466</v>
      </c>
      <c r="D133" s="7">
        <f t="shared" si="0"/>
        <v>7.3000000000000007</v>
      </c>
      <c r="E133" s="8">
        <v>0</v>
      </c>
      <c r="F133" s="5">
        <v>0</v>
      </c>
      <c r="G133" s="5">
        <v>0</v>
      </c>
      <c r="H133" s="5">
        <v>0</v>
      </c>
      <c r="I133" s="5">
        <v>0</v>
      </c>
      <c r="J133" s="9">
        <v>0</v>
      </c>
      <c r="K133" s="8">
        <v>14</v>
      </c>
      <c r="L133" s="5">
        <v>41</v>
      </c>
      <c r="M133" s="5">
        <v>0</v>
      </c>
      <c r="N133" s="9">
        <v>0</v>
      </c>
      <c r="O133" s="8">
        <v>2</v>
      </c>
      <c r="P133" s="5">
        <v>12</v>
      </c>
      <c r="Q133" s="5">
        <v>0</v>
      </c>
      <c r="R133" s="9">
        <v>0</v>
      </c>
      <c r="S133" s="8">
        <v>0</v>
      </c>
      <c r="T133" s="5">
        <v>0</v>
      </c>
    </row>
    <row r="134" spans="1:20" x14ac:dyDescent="0.2">
      <c r="A134" s="5" t="s">
        <v>282</v>
      </c>
      <c r="B134" s="5" t="s">
        <v>69</v>
      </c>
      <c r="C134" s="17" t="s">
        <v>458</v>
      </c>
      <c r="D134" s="7">
        <f t="shared" si="0"/>
        <v>7.3000000000000007</v>
      </c>
      <c r="E134" s="8">
        <v>0</v>
      </c>
      <c r="F134" s="5">
        <v>0</v>
      </c>
      <c r="G134" s="5">
        <v>0</v>
      </c>
      <c r="H134" s="5">
        <v>0</v>
      </c>
      <c r="I134" s="5">
        <v>0</v>
      </c>
      <c r="J134" s="9">
        <v>0</v>
      </c>
      <c r="K134" s="8">
        <v>1</v>
      </c>
      <c r="L134" s="5">
        <v>2</v>
      </c>
      <c r="M134" s="5">
        <v>0</v>
      </c>
      <c r="N134" s="9">
        <v>0</v>
      </c>
      <c r="O134" s="8">
        <v>3</v>
      </c>
      <c r="P134" s="5">
        <v>41</v>
      </c>
      <c r="Q134" s="5">
        <v>0</v>
      </c>
      <c r="R134" s="9">
        <v>0</v>
      </c>
      <c r="S134" s="8">
        <v>0</v>
      </c>
      <c r="T134" s="5">
        <v>0</v>
      </c>
    </row>
    <row r="135" spans="1:20" x14ac:dyDescent="0.2">
      <c r="A135" s="5" t="s">
        <v>57</v>
      </c>
      <c r="B135" s="5" t="s">
        <v>17</v>
      </c>
      <c r="C135" s="10" t="s">
        <v>466</v>
      </c>
      <c r="D135" s="7">
        <f t="shared" si="0"/>
        <v>7.16</v>
      </c>
      <c r="E135" s="8">
        <v>32</v>
      </c>
      <c r="F135" s="5">
        <v>25</v>
      </c>
      <c r="G135" s="5">
        <v>204</v>
      </c>
      <c r="H135" s="5">
        <v>0</v>
      </c>
      <c r="I135" s="5">
        <v>0</v>
      </c>
      <c r="J135" s="9">
        <v>0</v>
      </c>
      <c r="K135" s="8">
        <v>2</v>
      </c>
      <c r="L135" s="5">
        <v>10</v>
      </c>
      <c r="M135" s="5">
        <v>0</v>
      </c>
      <c r="N135" s="9">
        <v>0</v>
      </c>
      <c r="O135" s="8">
        <v>0</v>
      </c>
      <c r="P135" s="5">
        <v>0</v>
      </c>
      <c r="Q135" s="5">
        <v>0</v>
      </c>
      <c r="R135" s="9">
        <v>0</v>
      </c>
      <c r="S135" s="8">
        <v>1</v>
      </c>
      <c r="T135" s="5">
        <v>0</v>
      </c>
    </row>
    <row r="136" spans="1:20" x14ac:dyDescent="0.2">
      <c r="A136" s="5" t="s">
        <v>359</v>
      </c>
      <c r="B136" s="5" t="s">
        <v>162</v>
      </c>
      <c r="C136" s="17" t="s">
        <v>458</v>
      </c>
      <c r="D136" s="7">
        <f t="shared" si="0"/>
        <v>7.1000000000000005</v>
      </c>
      <c r="E136" s="8">
        <v>0</v>
      </c>
      <c r="F136" s="5">
        <v>0</v>
      </c>
      <c r="G136" s="5">
        <v>0</v>
      </c>
      <c r="H136" s="5">
        <v>0</v>
      </c>
      <c r="I136" s="5">
        <v>0</v>
      </c>
      <c r="J136" s="9">
        <v>0</v>
      </c>
      <c r="K136" s="8">
        <v>0</v>
      </c>
      <c r="L136" s="5">
        <v>0</v>
      </c>
      <c r="M136" s="5">
        <v>0</v>
      </c>
      <c r="N136" s="9">
        <v>0</v>
      </c>
      <c r="O136" s="8">
        <v>2</v>
      </c>
      <c r="P136" s="5">
        <v>51</v>
      </c>
      <c r="Q136" s="5">
        <v>0</v>
      </c>
      <c r="R136" s="9">
        <v>0</v>
      </c>
      <c r="S136" s="8">
        <v>0</v>
      </c>
      <c r="T136" s="5">
        <v>0</v>
      </c>
    </row>
    <row r="137" spans="1:20" x14ac:dyDescent="0.2">
      <c r="A137" s="5" t="s">
        <v>106</v>
      </c>
      <c r="B137" s="5" t="s">
        <v>75</v>
      </c>
      <c r="C137" s="17" t="s">
        <v>466</v>
      </c>
      <c r="D137" s="7">
        <f t="shared" si="0"/>
        <v>7.1</v>
      </c>
      <c r="E137" s="8">
        <v>0</v>
      </c>
      <c r="F137" s="5">
        <v>0</v>
      </c>
      <c r="G137" s="5">
        <v>0</v>
      </c>
      <c r="H137" s="5">
        <v>0</v>
      </c>
      <c r="I137" s="5">
        <v>0</v>
      </c>
      <c r="J137" s="9">
        <v>0</v>
      </c>
      <c r="K137" s="8">
        <v>5</v>
      </c>
      <c r="L137" s="5">
        <v>40</v>
      </c>
      <c r="M137" s="5">
        <v>0</v>
      </c>
      <c r="N137" s="9">
        <v>0</v>
      </c>
      <c r="O137" s="8">
        <v>2</v>
      </c>
      <c r="P137" s="5">
        <v>11</v>
      </c>
      <c r="Q137" s="5">
        <v>0</v>
      </c>
      <c r="R137" s="9">
        <v>0</v>
      </c>
      <c r="S137" s="8">
        <v>0</v>
      </c>
      <c r="T137" s="5">
        <v>0</v>
      </c>
    </row>
    <row r="138" spans="1:20" x14ac:dyDescent="0.2">
      <c r="A138" s="5" t="s">
        <v>444</v>
      </c>
      <c r="B138" s="5" t="s">
        <v>69</v>
      </c>
      <c r="C138" s="10" t="s">
        <v>467</v>
      </c>
      <c r="D138" s="7">
        <f t="shared" si="0"/>
        <v>7.1</v>
      </c>
      <c r="E138" s="8">
        <v>0</v>
      </c>
      <c r="F138" s="5">
        <v>0</v>
      </c>
      <c r="G138" s="5">
        <v>0</v>
      </c>
      <c r="H138" s="5">
        <v>0</v>
      </c>
      <c r="I138" s="5">
        <v>0</v>
      </c>
      <c r="J138" s="9">
        <v>0</v>
      </c>
      <c r="K138" s="8">
        <v>0</v>
      </c>
      <c r="L138" s="5">
        <v>0</v>
      </c>
      <c r="M138" s="5">
        <v>0</v>
      </c>
      <c r="N138" s="9">
        <v>0</v>
      </c>
      <c r="O138" s="8">
        <v>1</v>
      </c>
      <c r="P138" s="5">
        <v>1</v>
      </c>
      <c r="Q138" s="5">
        <v>1</v>
      </c>
      <c r="R138" s="9">
        <v>0</v>
      </c>
      <c r="S138" s="8">
        <v>0</v>
      </c>
      <c r="T138" s="5">
        <v>0</v>
      </c>
    </row>
    <row r="139" spans="1:20" x14ac:dyDescent="0.2">
      <c r="A139" s="5" t="s">
        <v>175</v>
      </c>
      <c r="B139" s="5" t="s">
        <v>162</v>
      </c>
      <c r="C139" s="17" t="s">
        <v>469</v>
      </c>
      <c r="D139" s="7">
        <f t="shared" si="0"/>
        <v>7</v>
      </c>
      <c r="E139" s="8">
        <v>0</v>
      </c>
      <c r="F139" s="5">
        <v>0</v>
      </c>
      <c r="G139" s="5">
        <v>0</v>
      </c>
      <c r="H139" s="5">
        <v>0</v>
      </c>
      <c r="I139" s="5">
        <v>0</v>
      </c>
      <c r="J139" s="9">
        <v>0</v>
      </c>
      <c r="K139" s="8">
        <v>0</v>
      </c>
      <c r="L139" s="5">
        <v>0</v>
      </c>
      <c r="M139" s="5">
        <v>0</v>
      </c>
      <c r="N139" s="9">
        <v>0</v>
      </c>
      <c r="O139" s="8">
        <v>3</v>
      </c>
      <c r="P139" s="5">
        <v>40</v>
      </c>
      <c r="Q139" s="5">
        <v>0</v>
      </c>
      <c r="R139" s="9">
        <v>0</v>
      </c>
      <c r="S139" s="8">
        <v>0</v>
      </c>
      <c r="T139" s="5">
        <v>0</v>
      </c>
    </row>
    <row r="140" spans="1:20" x14ac:dyDescent="0.2">
      <c r="A140" s="5" t="s">
        <v>116</v>
      </c>
      <c r="B140" s="5" t="s">
        <v>75</v>
      </c>
      <c r="C140" s="17" t="s">
        <v>463</v>
      </c>
      <c r="D140" s="7">
        <f t="shared" si="0"/>
        <v>6.9</v>
      </c>
      <c r="E140" s="8">
        <v>0</v>
      </c>
      <c r="F140" s="5">
        <v>0</v>
      </c>
      <c r="G140" s="5">
        <v>0</v>
      </c>
      <c r="H140" s="5">
        <v>0</v>
      </c>
      <c r="I140" s="5">
        <v>0</v>
      </c>
      <c r="J140" s="9">
        <v>0</v>
      </c>
      <c r="K140" s="8">
        <v>15</v>
      </c>
      <c r="L140" s="5">
        <v>48</v>
      </c>
      <c r="M140" s="5">
        <v>0</v>
      </c>
      <c r="N140" s="9">
        <v>0</v>
      </c>
      <c r="O140" s="8">
        <v>2</v>
      </c>
      <c r="P140" s="5">
        <v>1</v>
      </c>
      <c r="Q140" s="5">
        <v>0</v>
      </c>
      <c r="R140" s="9">
        <v>0</v>
      </c>
      <c r="S140" s="8">
        <v>0</v>
      </c>
      <c r="T140" s="5">
        <v>0</v>
      </c>
    </row>
    <row r="141" spans="1:20" x14ac:dyDescent="0.2">
      <c r="A141" s="5" t="s">
        <v>233</v>
      </c>
      <c r="B141" s="5" t="s">
        <v>162</v>
      </c>
      <c r="C141" s="10" t="s">
        <v>472</v>
      </c>
      <c r="D141" s="7">
        <f t="shared" si="0"/>
        <v>6.7</v>
      </c>
      <c r="E141" s="8">
        <v>0</v>
      </c>
      <c r="F141" s="5">
        <v>0</v>
      </c>
      <c r="G141" s="5">
        <v>0</v>
      </c>
      <c r="H141" s="5">
        <v>0</v>
      </c>
      <c r="I141" s="5">
        <v>0</v>
      </c>
      <c r="J141" s="9">
        <v>0</v>
      </c>
      <c r="K141" s="8">
        <v>0</v>
      </c>
      <c r="L141" s="5">
        <v>0</v>
      </c>
      <c r="M141" s="5">
        <v>0</v>
      </c>
      <c r="N141" s="9">
        <v>0</v>
      </c>
      <c r="O141" s="8">
        <v>4</v>
      </c>
      <c r="P141" s="5">
        <v>27</v>
      </c>
      <c r="Q141" s="5">
        <v>0</v>
      </c>
      <c r="R141" s="9">
        <v>0</v>
      </c>
      <c r="S141" s="8">
        <v>0</v>
      </c>
      <c r="T141" s="5">
        <v>0</v>
      </c>
    </row>
    <row r="142" spans="1:20" x14ac:dyDescent="0.2">
      <c r="A142" s="5" t="s">
        <v>254</v>
      </c>
      <c r="B142" s="5" t="s">
        <v>162</v>
      </c>
      <c r="C142" s="17" t="s">
        <v>464</v>
      </c>
      <c r="D142" s="7">
        <f t="shared" si="0"/>
        <v>6.7</v>
      </c>
      <c r="E142" s="8">
        <v>0</v>
      </c>
      <c r="F142" s="5">
        <v>0</v>
      </c>
      <c r="G142" s="5">
        <v>0</v>
      </c>
      <c r="H142" s="5">
        <v>0</v>
      </c>
      <c r="I142" s="5">
        <v>0</v>
      </c>
      <c r="J142" s="9">
        <v>0</v>
      </c>
      <c r="K142" s="8">
        <v>0</v>
      </c>
      <c r="L142" s="5">
        <v>0</v>
      </c>
      <c r="M142" s="5">
        <v>0</v>
      </c>
      <c r="N142" s="9">
        <v>0</v>
      </c>
      <c r="O142" s="8">
        <v>2</v>
      </c>
      <c r="P142" s="5">
        <v>47</v>
      </c>
      <c r="Q142" s="5">
        <v>0</v>
      </c>
      <c r="R142" s="9">
        <v>0</v>
      </c>
      <c r="S142" s="8">
        <v>0</v>
      </c>
      <c r="T142" s="5">
        <v>0</v>
      </c>
    </row>
    <row r="143" spans="1:20" x14ac:dyDescent="0.2">
      <c r="A143" s="5" t="s">
        <v>291</v>
      </c>
      <c r="B143" s="5" t="s">
        <v>69</v>
      </c>
      <c r="C143" s="10" t="s">
        <v>459</v>
      </c>
      <c r="D143" s="7">
        <f t="shared" si="0"/>
        <v>6.7</v>
      </c>
      <c r="E143" s="8">
        <v>0</v>
      </c>
      <c r="F143" s="5">
        <v>0</v>
      </c>
      <c r="G143" s="5">
        <v>0</v>
      </c>
      <c r="H143" s="5">
        <v>0</v>
      </c>
      <c r="I143" s="5">
        <v>0</v>
      </c>
      <c r="J143" s="9">
        <v>0</v>
      </c>
      <c r="K143" s="8">
        <v>0</v>
      </c>
      <c r="L143" s="5">
        <v>0</v>
      </c>
      <c r="M143" s="5">
        <v>0</v>
      </c>
      <c r="N143" s="9">
        <v>0</v>
      </c>
      <c r="O143" s="8">
        <v>4</v>
      </c>
      <c r="P143" s="5">
        <v>27</v>
      </c>
      <c r="Q143" s="5">
        <v>0</v>
      </c>
      <c r="R143" s="9">
        <v>0</v>
      </c>
      <c r="S143" s="8">
        <v>0</v>
      </c>
      <c r="T143" s="5">
        <v>0</v>
      </c>
    </row>
    <row r="144" spans="1:20" x14ac:dyDescent="0.2">
      <c r="A144" s="5" t="s">
        <v>95</v>
      </c>
      <c r="B144" s="5" t="s">
        <v>75</v>
      </c>
      <c r="C144" s="17" t="s">
        <v>457</v>
      </c>
      <c r="D144" s="7">
        <f t="shared" si="0"/>
        <v>6.6000000000000005</v>
      </c>
      <c r="E144" s="8">
        <v>0</v>
      </c>
      <c r="F144" s="5">
        <v>0</v>
      </c>
      <c r="G144" s="5">
        <v>0</v>
      </c>
      <c r="H144" s="5">
        <v>0</v>
      </c>
      <c r="I144" s="5">
        <v>0</v>
      </c>
      <c r="J144" s="9">
        <v>0</v>
      </c>
      <c r="K144" s="8">
        <v>11</v>
      </c>
      <c r="L144" s="5">
        <v>52</v>
      </c>
      <c r="M144" s="5">
        <v>0</v>
      </c>
      <c r="N144" s="9">
        <v>0</v>
      </c>
      <c r="O144" s="8">
        <v>1</v>
      </c>
      <c r="P144" s="5">
        <v>4</v>
      </c>
      <c r="Q144" s="5">
        <v>0</v>
      </c>
      <c r="R144" s="9">
        <v>0</v>
      </c>
      <c r="S144" s="8">
        <v>0</v>
      </c>
      <c r="T144" s="5">
        <v>0</v>
      </c>
    </row>
    <row r="145" spans="1:20" x14ac:dyDescent="0.2">
      <c r="A145" s="5" t="s">
        <v>238</v>
      </c>
      <c r="B145" s="5" t="s">
        <v>162</v>
      </c>
      <c r="C145" s="17" t="s">
        <v>468</v>
      </c>
      <c r="D145" s="7">
        <f t="shared" si="0"/>
        <v>6.6</v>
      </c>
      <c r="E145" s="8">
        <v>0</v>
      </c>
      <c r="F145" s="5">
        <v>0</v>
      </c>
      <c r="G145" s="5">
        <v>0</v>
      </c>
      <c r="H145" s="5">
        <v>0</v>
      </c>
      <c r="I145" s="5">
        <v>0</v>
      </c>
      <c r="J145" s="9">
        <v>0</v>
      </c>
      <c r="K145" s="8">
        <v>0</v>
      </c>
      <c r="L145" s="5">
        <v>0</v>
      </c>
      <c r="M145" s="5">
        <v>0</v>
      </c>
      <c r="N145" s="9">
        <v>0</v>
      </c>
      <c r="O145" s="8">
        <v>4</v>
      </c>
      <c r="P145" s="5">
        <v>26</v>
      </c>
      <c r="Q145" s="5">
        <v>0</v>
      </c>
      <c r="R145" s="9">
        <v>0</v>
      </c>
      <c r="S145" s="8">
        <v>0</v>
      </c>
      <c r="T145" s="5">
        <v>0</v>
      </c>
    </row>
    <row r="146" spans="1:20" x14ac:dyDescent="0.2">
      <c r="A146" s="5" t="s">
        <v>86</v>
      </c>
      <c r="B146" s="5" t="s">
        <v>75</v>
      </c>
      <c r="C146" s="10" t="s">
        <v>465</v>
      </c>
      <c r="D146" s="7">
        <f t="shared" si="0"/>
        <v>6.5</v>
      </c>
      <c r="E146" s="8">
        <v>0</v>
      </c>
      <c r="F146" s="5">
        <v>0</v>
      </c>
      <c r="G146" s="5">
        <v>0</v>
      </c>
      <c r="H146" s="5">
        <v>0</v>
      </c>
      <c r="I146" s="5">
        <v>0</v>
      </c>
      <c r="J146" s="9">
        <v>0</v>
      </c>
      <c r="K146" s="8">
        <v>17</v>
      </c>
      <c r="L146" s="5">
        <v>65</v>
      </c>
      <c r="M146" s="5">
        <v>0</v>
      </c>
      <c r="N146" s="9">
        <v>0</v>
      </c>
      <c r="O146" s="8">
        <v>0</v>
      </c>
      <c r="P146" s="5">
        <v>0</v>
      </c>
      <c r="Q146" s="5">
        <v>0</v>
      </c>
      <c r="R146" s="9">
        <v>0</v>
      </c>
      <c r="S146" s="8">
        <v>0</v>
      </c>
      <c r="T146" s="5">
        <v>0</v>
      </c>
    </row>
    <row r="147" spans="1:20" x14ac:dyDescent="0.2">
      <c r="A147" s="5" t="s">
        <v>207</v>
      </c>
      <c r="B147" s="5" t="s">
        <v>162</v>
      </c>
      <c r="C147" s="17" t="s">
        <v>472</v>
      </c>
      <c r="D147" s="7">
        <f t="shared" si="0"/>
        <v>6.5</v>
      </c>
      <c r="E147" s="8">
        <v>0</v>
      </c>
      <c r="F147" s="5">
        <v>0</v>
      </c>
      <c r="G147" s="5">
        <v>0</v>
      </c>
      <c r="H147" s="5">
        <v>0</v>
      </c>
      <c r="I147" s="5">
        <v>0</v>
      </c>
      <c r="J147" s="9">
        <v>0</v>
      </c>
      <c r="K147" s="8">
        <v>0</v>
      </c>
      <c r="L147" s="5">
        <v>0</v>
      </c>
      <c r="M147" s="5">
        <v>0</v>
      </c>
      <c r="N147" s="9">
        <v>0</v>
      </c>
      <c r="O147" s="8">
        <v>2</v>
      </c>
      <c r="P147" s="5">
        <v>45</v>
      </c>
      <c r="Q147" s="5">
        <v>0</v>
      </c>
      <c r="R147" s="9">
        <v>0</v>
      </c>
      <c r="S147" s="8">
        <v>0</v>
      </c>
      <c r="T147" s="5">
        <v>0</v>
      </c>
    </row>
    <row r="148" spans="1:20" x14ac:dyDescent="0.2">
      <c r="A148" s="5" t="s">
        <v>433</v>
      </c>
      <c r="B148" s="5" t="s">
        <v>75</v>
      </c>
      <c r="C148" s="10" t="s">
        <v>472</v>
      </c>
      <c r="D148" s="7">
        <f t="shared" si="0"/>
        <v>6.4</v>
      </c>
      <c r="E148" s="8">
        <v>0</v>
      </c>
      <c r="F148" s="5">
        <v>0</v>
      </c>
      <c r="G148" s="5">
        <v>0</v>
      </c>
      <c r="H148" s="5">
        <v>0</v>
      </c>
      <c r="I148" s="5">
        <v>0</v>
      </c>
      <c r="J148" s="9">
        <v>0</v>
      </c>
      <c r="K148" s="8">
        <v>2</v>
      </c>
      <c r="L148" s="5">
        <v>4</v>
      </c>
      <c r="M148" s="5">
        <v>1</v>
      </c>
      <c r="N148" s="9">
        <v>0</v>
      </c>
      <c r="O148" s="8">
        <v>0</v>
      </c>
      <c r="P148" s="5">
        <v>0</v>
      </c>
      <c r="Q148" s="5">
        <v>0</v>
      </c>
      <c r="R148" s="9">
        <v>0</v>
      </c>
      <c r="S148" s="8">
        <v>0</v>
      </c>
      <c r="T148" s="5">
        <v>0</v>
      </c>
    </row>
    <row r="149" spans="1:20" x14ac:dyDescent="0.2">
      <c r="A149" s="5" t="s">
        <v>172</v>
      </c>
      <c r="B149" s="5" t="s">
        <v>162</v>
      </c>
      <c r="C149" s="10" t="s">
        <v>469</v>
      </c>
      <c r="D149" s="7">
        <f t="shared" si="0"/>
        <v>6.3000000000000007</v>
      </c>
      <c r="E149" s="8">
        <v>0</v>
      </c>
      <c r="F149" s="5">
        <v>0</v>
      </c>
      <c r="G149" s="5">
        <v>0</v>
      </c>
      <c r="H149" s="5">
        <v>0</v>
      </c>
      <c r="I149" s="5">
        <v>0</v>
      </c>
      <c r="J149" s="9">
        <v>0</v>
      </c>
      <c r="K149" s="8">
        <v>0</v>
      </c>
      <c r="L149" s="5">
        <v>0</v>
      </c>
      <c r="M149" s="5">
        <v>0</v>
      </c>
      <c r="N149" s="9">
        <v>0</v>
      </c>
      <c r="O149" s="8">
        <v>3</v>
      </c>
      <c r="P149" s="5">
        <v>33</v>
      </c>
      <c r="Q149" s="5">
        <v>0</v>
      </c>
      <c r="R149" s="9">
        <v>0</v>
      </c>
      <c r="S149" s="8">
        <v>0</v>
      </c>
      <c r="T149" s="5">
        <v>0</v>
      </c>
    </row>
    <row r="150" spans="1:20" x14ac:dyDescent="0.2">
      <c r="A150" s="5" t="s">
        <v>51</v>
      </c>
      <c r="B150" s="5" t="s">
        <v>17</v>
      </c>
      <c r="C150" s="17" t="s">
        <v>471</v>
      </c>
      <c r="D150" s="7">
        <f t="shared" si="0"/>
        <v>6.24</v>
      </c>
      <c r="E150" s="8">
        <v>31</v>
      </c>
      <c r="F150" s="5">
        <v>19</v>
      </c>
      <c r="G150" s="5">
        <v>191</v>
      </c>
      <c r="H150" s="5">
        <v>1</v>
      </c>
      <c r="I150" s="5">
        <v>2</v>
      </c>
      <c r="J150" s="9">
        <v>0</v>
      </c>
      <c r="K150" s="8">
        <v>1</v>
      </c>
      <c r="L150" s="5">
        <v>6</v>
      </c>
      <c r="M150" s="5">
        <v>0</v>
      </c>
      <c r="N150" s="9">
        <v>0</v>
      </c>
      <c r="O150" s="8">
        <v>0</v>
      </c>
      <c r="P150" s="5">
        <v>0</v>
      </c>
      <c r="Q150" s="5">
        <v>0</v>
      </c>
      <c r="R150" s="9">
        <v>0</v>
      </c>
      <c r="S150" s="8">
        <v>1</v>
      </c>
      <c r="T150" s="5">
        <v>0</v>
      </c>
    </row>
    <row r="151" spans="1:20" x14ac:dyDescent="0.2">
      <c r="A151" s="5" t="s">
        <v>94</v>
      </c>
      <c r="B151" s="5" t="s">
        <v>75</v>
      </c>
      <c r="C151" s="10" t="s">
        <v>466</v>
      </c>
      <c r="D151" s="7">
        <f t="shared" si="0"/>
        <v>6.2</v>
      </c>
      <c r="E151" s="8">
        <v>0</v>
      </c>
      <c r="F151" s="5">
        <v>0</v>
      </c>
      <c r="G151" s="5">
        <v>0</v>
      </c>
      <c r="H151" s="5">
        <v>0</v>
      </c>
      <c r="I151" s="5">
        <v>0</v>
      </c>
      <c r="J151" s="9">
        <v>0</v>
      </c>
      <c r="K151" s="8">
        <v>13</v>
      </c>
      <c r="L151" s="5">
        <v>19</v>
      </c>
      <c r="M151" s="5">
        <v>0</v>
      </c>
      <c r="N151" s="9">
        <v>0</v>
      </c>
      <c r="O151" s="8">
        <v>3</v>
      </c>
      <c r="P151" s="5">
        <v>13</v>
      </c>
      <c r="Q151" s="5">
        <v>0</v>
      </c>
      <c r="R151" s="9">
        <v>0</v>
      </c>
      <c r="S151" s="8">
        <v>0</v>
      </c>
      <c r="T151" s="5">
        <v>0</v>
      </c>
    </row>
    <row r="152" spans="1:20" x14ac:dyDescent="0.2">
      <c r="A152" s="5" t="s">
        <v>193</v>
      </c>
      <c r="B152" s="5" t="s">
        <v>162</v>
      </c>
      <c r="C152" s="17" t="s">
        <v>467</v>
      </c>
      <c r="D152" s="7">
        <f t="shared" si="0"/>
        <v>6.2</v>
      </c>
      <c r="E152" s="8">
        <v>0</v>
      </c>
      <c r="F152" s="5">
        <v>0</v>
      </c>
      <c r="G152" s="5">
        <v>0</v>
      </c>
      <c r="H152" s="5">
        <v>0</v>
      </c>
      <c r="I152" s="5">
        <v>0</v>
      </c>
      <c r="J152" s="9">
        <v>0</v>
      </c>
      <c r="K152" s="8">
        <v>0</v>
      </c>
      <c r="L152" s="5">
        <v>0</v>
      </c>
      <c r="M152" s="5">
        <v>0</v>
      </c>
      <c r="N152" s="9">
        <v>0</v>
      </c>
      <c r="O152" s="8">
        <v>3</v>
      </c>
      <c r="P152" s="5">
        <v>32</v>
      </c>
      <c r="Q152" s="5">
        <v>0</v>
      </c>
      <c r="R152" s="9">
        <v>0</v>
      </c>
      <c r="S152" s="8">
        <v>0</v>
      </c>
      <c r="T152" s="5">
        <v>0</v>
      </c>
    </row>
    <row r="153" spans="1:20" x14ac:dyDescent="0.2">
      <c r="A153" s="5" t="s">
        <v>97</v>
      </c>
      <c r="B153" s="5" t="s">
        <v>75</v>
      </c>
      <c r="C153" s="10" t="s">
        <v>458</v>
      </c>
      <c r="D153" s="7">
        <f t="shared" si="0"/>
        <v>6.1000000000000005</v>
      </c>
      <c r="E153" s="8">
        <v>0</v>
      </c>
      <c r="F153" s="5">
        <v>0</v>
      </c>
      <c r="G153" s="5">
        <v>0</v>
      </c>
      <c r="H153" s="5">
        <v>0</v>
      </c>
      <c r="I153" s="5">
        <v>0</v>
      </c>
      <c r="J153" s="9">
        <v>0</v>
      </c>
      <c r="K153" s="8">
        <v>4</v>
      </c>
      <c r="L153" s="5">
        <v>14</v>
      </c>
      <c r="M153" s="5">
        <v>0</v>
      </c>
      <c r="N153" s="9">
        <v>1</v>
      </c>
      <c r="O153" s="8">
        <v>2</v>
      </c>
      <c r="P153" s="5">
        <v>7</v>
      </c>
      <c r="Q153" s="5">
        <v>0</v>
      </c>
      <c r="R153" s="9">
        <v>0</v>
      </c>
      <c r="S153" s="8">
        <v>0</v>
      </c>
      <c r="T153" s="5">
        <v>0</v>
      </c>
    </row>
    <row r="154" spans="1:20" x14ac:dyDescent="0.2">
      <c r="A154" s="5" t="s">
        <v>201</v>
      </c>
      <c r="B154" s="5" t="s">
        <v>162</v>
      </c>
      <c r="C154" s="10" t="s">
        <v>472</v>
      </c>
      <c r="D154" s="7">
        <f t="shared" si="0"/>
        <v>6.1000000000000005</v>
      </c>
      <c r="E154" s="8">
        <v>0</v>
      </c>
      <c r="F154" s="5">
        <v>0</v>
      </c>
      <c r="G154" s="5">
        <v>0</v>
      </c>
      <c r="H154" s="5">
        <v>0</v>
      </c>
      <c r="I154" s="5">
        <v>0</v>
      </c>
      <c r="J154" s="9">
        <v>0</v>
      </c>
      <c r="K154" s="8">
        <v>1</v>
      </c>
      <c r="L154" s="5">
        <v>46</v>
      </c>
      <c r="M154" s="5">
        <v>0</v>
      </c>
      <c r="N154" s="9">
        <v>0</v>
      </c>
      <c r="O154" s="8">
        <v>1</v>
      </c>
      <c r="P154" s="5">
        <v>5</v>
      </c>
      <c r="Q154" s="5">
        <v>0</v>
      </c>
      <c r="R154" s="9">
        <v>0</v>
      </c>
      <c r="S154" s="8">
        <v>0</v>
      </c>
      <c r="T154" s="5">
        <v>0</v>
      </c>
    </row>
    <row r="155" spans="1:20" x14ac:dyDescent="0.2">
      <c r="A155" s="5" t="s">
        <v>87</v>
      </c>
      <c r="B155" s="5" t="s">
        <v>75</v>
      </c>
      <c r="C155" s="17" t="s">
        <v>472</v>
      </c>
      <c r="D155" s="7">
        <f t="shared" si="0"/>
        <v>6</v>
      </c>
      <c r="E155" s="8">
        <v>0</v>
      </c>
      <c r="F155" s="5">
        <v>0</v>
      </c>
      <c r="G155" s="5">
        <v>0</v>
      </c>
      <c r="H155" s="5">
        <v>0</v>
      </c>
      <c r="I155" s="5">
        <v>0</v>
      </c>
      <c r="J155" s="9">
        <v>0</v>
      </c>
      <c r="K155" s="8">
        <v>14</v>
      </c>
      <c r="L155" s="5">
        <v>30</v>
      </c>
      <c r="M155" s="5">
        <v>0</v>
      </c>
      <c r="N155" s="9">
        <v>0</v>
      </c>
      <c r="O155" s="8">
        <v>2</v>
      </c>
      <c r="P155" s="5">
        <v>10</v>
      </c>
      <c r="Q155" s="5">
        <v>0</v>
      </c>
      <c r="R155" s="9">
        <v>0</v>
      </c>
      <c r="S155" s="8">
        <v>0</v>
      </c>
      <c r="T155" s="5">
        <v>0</v>
      </c>
    </row>
    <row r="156" spans="1:20" x14ac:dyDescent="0.2">
      <c r="A156" s="5" t="s">
        <v>202</v>
      </c>
      <c r="B156" s="5" t="s">
        <v>162</v>
      </c>
      <c r="C156" s="17" t="s">
        <v>460</v>
      </c>
      <c r="D156" s="7">
        <f t="shared" si="0"/>
        <v>5.9</v>
      </c>
      <c r="E156" s="8">
        <v>0</v>
      </c>
      <c r="F156" s="5">
        <v>0</v>
      </c>
      <c r="G156" s="5">
        <v>0</v>
      </c>
      <c r="H156" s="5">
        <v>0</v>
      </c>
      <c r="I156" s="5">
        <v>0</v>
      </c>
      <c r="J156" s="9">
        <v>0</v>
      </c>
      <c r="K156" s="8">
        <v>1</v>
      </c>
      <c r="L156" s="5">
        <v>5</v>
      </c>
      <c r="M156" s="5">
        <v>0</v>
      </c>
      <c r="N156" s="9">
        <v>0</v>
      </c>
      <c r="O156" s="8">
        <v>3</v>
      </c>
      <c r="P156" s="5">
        <v>24</v>
      </c>
      <c r="Q156" s="5">
        <v>0</v>
      </c>
      <c r="R156" s="9">
        <v>0</v>
      </c>
      <c r="S156" s="8">
        <v>0</v>
      </c>
      <c r="T156" s="5">
        <v>0</v>
      </c>
    </row>
    <row r="157" spans="1:20" x14ac:dyDescent="0.2">
      <c r="A157" s="5" t="s">
        <v>352</v>
      </c>
      <c r="B157" s="5" t="s">
        <v>69</v>
      </c>
      <c r="C157" s="10" t="s">
        <v>468</v>
      </c>
      <c r="D157" s="7">
        <f t="shared" si="0"/>
        <v>5.9</v>
      </c>
      <c r="E157" s="8">
        <v>0</v>
      </c>
      <c r="F157" s="5">
        <v>0</v>
      </c>
      <c r="G157" s="5">
        <v>0</v>
      </c>
      <c r="H157" s="5">
        <v>0</v>
      </c>
      <c r="I157" s="5">
        <v>0</v>
      </c>
      <c r="J157" s="9">
        <v>0</v>
      </c>
      <c r="K157" s="8">
        <v>0</v>
      </c>
      <c r="L157" s="5">
        <v>0</v>
      </c>
      <c r="M157" s="5">
        <v>0</v>
      </c>
      <c r="N157" s="9">
        <v>0</v>
      </c>
      <c r="O157" s="8">
        <v>3</v>
      </c>
      <c r="P157" s="5">
        <v>29</v>
      </c>
      <c r="Q157" s="5">
        <v>0</v>
      </c>
      <c r="R157" s="9">
        <v>0</v>
      </c>
      <c r="S157" s="8">
        <v>0</v>
      </c>
      <c r="T157" s="5">
        <v>0</v>
      </c>
    </row>
    <row r="158" spans="1:20" x14ac:dyDescent="0.2">
      <c r="A158" s="5" t="s">
        <v>166</v>
      </c>
      <c r="B158" s="5" t="s">
        <v>162</v>
      </c>
      <c r="C158" s="17" t="s">
        <v>472</v>
      </c>
      <c r="D158" s="7">
        <f t="shared" si="0"/>
        <v>5.6</v>
      </c>
      <c r="E158" s="8">
        <v>0</v>
      </c>
      <c r="F158" s="5">
        <v>0</v>
      </c>
      <c r="G158" s="5">
        <v>0</v>
      </c>
      <c r="H158" s="5">
        <v>0</v>
      </c>
      <c r="I158" s="5">
        <v>0</v>
      </c>
      <c r="J158" s="9">
        <v>0</v>
      </c>
      <c r="K158" s="8">
        <v>0</v>
      </c>
      <c r="L158" s="5">
        <v>0</v>
      </c>
      <c r="M158" s="5">
        <v>0</v>
      </c>
      <c r="N158" s="9">
        <v>0</v>
      </c>
      <c r="O158" s="8">
        <v>2</v>
      </c>
      <c r="P158" s="5">
        <v>36</v>
      </c>
      <c r="Q158" s="5">
        <v>0</v>
      </c>
      <c r="R158" s="9">
        <v>0</v>
      </c>
      <c r="S158" s="8">
        <v>0</v>
      </c>
      <c r="T158" s="5">
        <v>0</v>
      </c>
    </row>
    <row r="159" spans="1:20" x14ac:dyDescent="0.2">
      <c r="A159" s="5" t="s">
        <v>197</v>
      </c>
      <c r="B159" s="5" t="s">
        <v>162</v>
      </c>
      <c r="C159" s="10" t="s">
        <v>460</v>
      </c>
      <c r="D159" s="7">
        <f t="shared" si="0"/>
        <v>5.6</v>
      </c>
      <c r="E159" s="8">
        <v>0</v>
      </c>
      <c r="F159" s="5">
        <v>0</v>
      </c>
      <c r="G159" s="5">
        <v>0</v>
      </c>
      <c r="H159" s="5">
        <v>0</v>
      </c>
      <c r="I159" s="5">
        <v>0</v>
      </c>
      <c r="J159" s="9">
        <v>0</v>
      </c>
      <c r="K159" s="8">
        <v>0</v>
      </c>
      <c r="L159" s="5">
        <v>0</v>
      </c>
      <c r="M159" s="5">
        <v>0</v>
      </c>
      <c r="N159" s="9">
        <v>0</v>
      </c>
      <c r="O159" s="8">
        <v>3</v>
      </c>
      <c r="P159" s="5">
        <v>26</v>
      </c>
      <c r="Q159" s="5">
        <v>0</v>
      </c>
      <c r="R159" s="9">
        <v>0</v>
      </c>
      <c r="S159" s="8">
        <v>0</v>
      </c>
      <c r="T159" s="5">
        <v>0</v>
      </c>
    </row>
    <row r="160" spans="1:20" x14ac:dyDescent="0.2">
      <c r="A160" s="5" t="s">
        <v>92</v>
      </c>
      <c r="B160" s="5" t="s">
        <v>75</v>
      </c>
      <c r="C160" s="17" t="s">
        <v>459</v>
      </c>
      <c r="D160" s="7">
        <f t="shared" si="0"/>
        <v>5.5</v>
      </c>
      <c r="E160" s="8">
        <v>0</v>
      </c>
      <c r="F160" s="5">
        <v>0</v>
      </c>
      <c r="G160" s="5">
        <v>0</v>
      </c>
      <c r="H160" s="5">
        <v>0</v>
      </c>
      <c r="I160" s="5">
        <v>0</v>
      </c>
      <c r="J160" s="9">
        <v>0</v>
      </c>
      <c r="K160" s="8">
        <v>7</v>
      </c>
      <c r="L160" s="5">
        <v>9</v>
      </c>
      <c r="M160" s="5">
        <v>0</v>
      </c>
      <c r="N160" s="9">
        <v>0</v>
      </c>
      <c r="O160" s="8">
        <v>3</v>
      </c>
      <c r="P160" s="5">
        <v>36</v>
      </c>
      <c r="Q160" s="5">
        <v>0</v>
      </c>
      <c r="R160" s="9">
        <v>0</v>
      </c>
      <c r="S160" s="8">
        <v>1</v>
      </c>
      <c r="T160" s="5">
        <v>0</v>
      </c>
    </row>
    <row r="161" spans="1:20" x14ac:dyDescent="0.2">
      <c r="A161" s="5" t="s">
        <v>98</v>
      </c>
      <c r="B161" s="5" t="s">
        <v>75</v>
      </c>
      <c r="C161" s="17" t="s">
        <v>464</v>
      </c>
      <c r="D161" s="7">
        <f t="shared" si="0"/>
        <v>5.5</v>
      </c>
      <c r="E161" s="8">
        <v>0</v>
      </c>
      <c r="F161" s="5">
        <v>0</v>
      </c>
      <c r="G161" s="5">
        <v>0</v>
      </c>
      <c r="H161" s="5">
        <v>0</v>
      </c>
      <c r="I161" s="5">
        <v>0</v>
      </c>
      <c r="J161" s="9">
        <v>0</v>
      </c>
      <c r="K161" s="8">
        <v>6</v>
      </c>
      <c r="L161" s="5">
        <v>12</v>
      </c>
      <c r="M161" s="5">
        <v>0</v>
      </c>
      <c r="N161" s="9">
        <v>0</v>
      </c>
      <c r="O161" s="8">
        <v>2</v>
      </c>
      <c r="P161" s="5">
        <v>23</v>
      </c>
      <c r="Q161" s="5">
        <v>0</v>
      </c>
      <c r="R161" s="9">
        <v>0</v>
      </c>
      <c r="S161" s="8">
        <v>0</v>
      </c>
      <c r="T161" s="5">
        <v>0</v>
      </c>
    </row>
    <row r="162" spans="1:20" x14ac:dyDescent="0.2">
      <c r="A162" s="5" t="s">
        <v>210</v>
      </c>
      <c r="B162" s="5" t="s">
        <v>162</v>
      </c>
      <c r="C162" s="17" t="s">
        <v>460</v>
      </c>
      <c r="D162" s="7">
        <f t="shared" si="0"/>
        <v>5.5</v>
      </c>
      <c r="E162" s="8">
        <v>0</v>
      </c>
      <c r="F162" s="5">
        <v>0</v>
      </c>
      <c r="G162" s="5">
        <v>0</v>
      </c>
      <c r="H162" s="5">
        <v>0</v>
      </c>
      <c r="I162" s="5">
        <v>0</v>
      </c>
      <c r="J162" s="9">
        <v>0</v>
      </c>
      <c r="K162" s="8">
        <v>0</v>
      </c>
      <c r="L162" s="5">
        <v>0</v>
      </c>
      <c r="M162" s="5">
        <v>0</v>
      </c>
      <c r="N162" s="9">
        <v>0</v>
      </c>
      <c r="O162" s="8">
        <v>3</v>
      </c>
      <c r="P162" s="5">
        <v>25</v>
      </c>
      <c r="Q162" s="5">
        <v>0</v>
      </c>
      <c r="R162" s="9">
        <v>0</v>
      </c>
      <c r="S162" s="8">
        <v>0</v>
      </c>
      <c r="T162" s="5">
        <v>0</v>
      </c>
    </row>
    <row r="163" spans="1:20" x14ac:dyDescent="0.2">
      <c r="A163" s="5" t="s">
        <v>370</v>
      </c>
      <c r="B163" s="5" t="s">
        <v>75</v>
      </c>
      <c r="C163" s="17" t="s">
        <v>457</v>
      </c>
      <c r="D163" s="7">
        <f t="shared" si="0"/>
        <v>5.4</v>
      </c>
      <c r="E163" s="8">
        <v>0</v>
      </c>
      <c r="F163" s="5">
        <v>0</v>
      </c>
      <c r="G163" s="5">
        <v>0</v>
      </c>
      <c r="H163" s="5">
        <v>0</v>
      </c>
      <c r="I163" s="5">
        <v>0</v>
      </c>
      <c r="J163" s="9">
        <v>0</v>
      </c>
      <c r="K163" s="8">
        <v>1</v>
      </c>
      <c r="L163" s="5">
        <v>3</v>
      </c>
      <c r="M163" s="5">
        <v>0</v>
      </c>
      <c r="N163" s="9">
        <v>0</v>
      </c>
      <c r="O163" s="8">
        <v>3</v>
      </c>
      <c r="P163" s="5">
        <v>21</v>
      </c>
      <c r="Q163" s="5">
        <v>0</v>
      </c>
      <c r="R163" s="9">
        <v>0</v>
      </c>
      <c r="S163" s="8">
        <v>0</v>
      </c>
      <c r="T163" s="5">
        <v>0</v>
      </c>
    </row>
    <row r="164" spans="1:20" x14ac:dyDescent="0.2">
      <c r="A164" s="5" t="s">
        <v>423</v>
      </c>
      <c r="B164" s="5" t="s">
        <v>75</v>
      </c>
      <c r="C164" s="17" t="s">
        <v>463</v>
      </c>
      <c r="D164" s="7">
        <f t="shared" si="0"/>
        <v>5.4</v>
      </c>
      <c r="E164" s="8">
        <v>0</v>
      </c>
      <c r="F164" s="5">
        <v>0</v>
      </c>
      <c r="G164" s="5">
        <v>0</v>
      </c>
      <c r="H164" s="5">
        <v>0</v>
      </c>
      <c r="I164" s="5">
        <v>0</v>
      </c>
      <c r="J164" s="9">
        <v>0</v>
      </c>
      <c r="K164" s="8">
        <v>3</v>
      </c>
      <c r="L164" s="5">
        <v>21</v>
      </c>
      <c r="M164" s="5">
        <v>0</v>
      </c>
      <c r="N164" s="9">
        <v>0</v>
      </c>
      <c r="O164" s="8">
        <v>1</v>
      </c>
      <c r="P164" s="5">
        <v>23</v>
      </c>
      <c r="Q164" s="5">
        <v>0</v>
      </c>
      <c r="R164" s="9">
        <v>0</v>
      </c>
      <c r="S164" s="8">
        <v>0</v>
      </c>
      <c r="T164" s="5">
        <v>0</v>
      </c>
    </row>
    <row r="165" spans="1:20" x14ac:dyDescent="0.2">
      <c r="A165" s="5" t="s">
        <v>220</v>
      </c>
      <c r="B165" s="5" t="s">
        <v>162</v>
      </c>
      <c r="C165" s="10" t="s">
        <v>462</v>
      </c>
      <c r="D165" s="7">
        <f t="shared" si="0"/>
        <v>5.4</v>
      </c>
      <c r="E165" s="8">
        <v>0</v>
      </c>
      <c r="F165" s="5">
        <v>0</v>
      </c>
      <c r="G165" s="5">
        <v>0</v>
      </c>
      <c r="H165" s="5">
        <v>0</v>
      </c>
      <c r="I165" s="5">
        <v>0</v>
      </c>
      <c r="J165" s="9">
        <v>0</v>
      </c>
      <c r="K165" s="8">
        <v>0</v>
      </c>
      <c r="L165" s="5">
        <v>0</v>
      </c>
      <c r="M165" s="5">
        <v>0</v>
      </c>
      <c r="N165" s="9">
        <v>0</v>
      </c>
      <c r="O165" s="8">
        <v>2</v>
      </c>
      <c r="P165" s="5">
        <v>34</v>
      </c>
      <c r="Q165" s="5">
        <v>0</v>
      </c>
      <c r="R165" s="9">
        <v>0</v>
      </c>
      <c r="S165" s="8">
        <v>0</v>
      </c>
      <c r="T165" s="5">
        <v>0</v>
      </c>
    </row>
    <row r="166" spans="1:20" x14ac:dyDescent="0.2">
      <c r="A166" s="5" t="s">
        <v>252</v>
      </c>
      <c r="B166" s="5" t="s">
        <v>162</v>
      </c>
      <c r="C166" s="10" t="s">
        <v>473</v>
      </c>
      <c r="D166" s="7">
        <f t="shared" si="0"/>
        <v>5.4</v>
      </c>
      <c r="E166" s="8">
        <v>0</v>
      </c>
      <c r="F166" s="5">
        <v>0</v>
      </c>
      <c r="G166" s="5">
        <v>0</v>
      </c>
      <c r="H166" s="5">
        <v>0</v>
      </c>
      <c r="I166" s="5">
        <v>0</v>
      </c>
      <c r="J166" s="9">
        <v>0</v>
      </c>
      <c r="K166" s="8">
        <v>0</v>
      </c>
      <c r="L166" s="5">
        <v>0</v>
      </c>
      <c r="M166" s="5">
        <v>0</v>
      </c>
      <c r="N166" s="9">
        <v>0</v>
      </c>
      <c r="O166" s="8">
        <v>3</v>
      </c>
      <c r="P166" s="5">
        <v>24</v>
      </c>
      <c r="Q166" s="5">
        <v>0</v>
      </c>
      <c r="R166" s="9">
        <v>0</v>
      </c>
      <c r="S166" s="8">
        <v>0</v>
      </c>
      <c r="T166" s="5">
        <v>0</v>
      </c>
    </row>
    <row r="167" spans="1:20" x14ac:dyDescent="0.2">
      <c r="A167" s="5" t="s">
        <v>357</v>
      </c>
      <c r="B167" s="5" t="s">
        <v>162</v>
      </c>
      <c r="C167" s="10" t="s">
        <v>468</v>
      </c>
      <c r="D167" s="7">
        <f t="shared" si="0"/>
        <v>5.4</v>
      </c>
      <c r="E167" s="8">
        <v>0</v>
      </c>
      <c r="F167" s="5">
        <v>0</v>
      </c>
      <c r="G167" s="5">
        <v>0</v>
      </c>
      <c r="H167" s="5">
        <v>0</v>
      </c>
      <c r="I167" s="5">
        <v>0</v>
      </c>
      <c r="J167" s="9">
        <v>0</v>
      </c>
      <c r="K167" s="8">
        <v>0</v>
      </c>
      <c r="L167" s="5">
        <v>0</v>
      </c>
      <c r="M167" s="5">
        <v>0</v>
      </c>
      <c r="N167" s="9">
        <v>0</v>
      </c>
      <c r="O167" s="8">
        <v>1</v>
      </c>
      <c r="P167" s="5">
        <v>44</v>
      </c>
      <c r="Q167" s="5">
        <v>0</v>
      </c>
      <c r="R167" s="9">
        <v>0</v>
      </c>
      <c r="S167" s="8">
        <v>0</v>
      </c>
      <c r="T167" s="5">
        <v>0</v>
      </c>
    </row>
    <row r="168" spans="1:20" x14ac:dyDescent="0.2">
      <c r="A168" s="5" t="s">
        <v>164</v>
      </c>
      <c r="B168" s="5" t="s">
        <v>162</v>
      </c>
      <c r="C168" s="17" t="s">
        <v>465</v>
      </c>
      <c r="D168" s="7">
        <f t="shared" si="0"/>
        <v>5.3000000000000007</v>
      </c>
      <c r="E168" s="8">
        <v>0</v>
      </c>
      <c r="F168" s="5">
        <v>0</v>
      </c>
      <c r="G168" s="5">
        <v>0</v>
      </c>
      <c r="H168" s="5">
        <v>0</v>
      </c>
      <c r="I168" s="5">
        <v>0</v>
      </c>
      <c r="J168" s="9">
        <v>0</v>
      </c>
      <c r="K168" s="8">
        <v>0</v>
      </c>
      <c r="L168" s="5">
        <v>0</v>
      </c>
      <c r="M168" s="5">
        <v>0</v>
      </c>
      <c r="N168" s="9">
        <v>0</v>
      </c>
      <c r="O168" s="8">
        <v>2</v>
      </c>
      <c r="P168" s="5">
        <v>33</v>
      </c>
      <c r="Q168" s="5">
        <v>0</v>
      </c>
      <c r="R168" s="9">
        <v>0</v>
      </c>
      <c r="S168" s="8">
        <v>0</v>
      </c>
      <c r="T168" s="5">
        <v>0</v>
      </c>
    </row>
    <row r="169" spans="1:20" x14ac:dyDescent="0.2">
      <c r="A169" s="5" t="s">
        <v>345</v>
      </c>
      <c r="B169" s="5" t="s">
        <v>162</v>
      </c>
      <c r="C169" s="17" t="s">
        <v>472</v>
      </c>
      <c r="D169" s="7">
        <f t="shared" si="0"/>
        <v>5.3000000000000007</v>
      </c>
      <c r="E169" s="8">
        <v>0</v>
      </c>
      <c r="F169" s="5">
        <v>0</v>
      </c>
      <c r="G169" s="5">
        <v>0</v>
      </c>
      <c r="H169" s="5">
        <v>0</v>
      </c>
      <c r="I169" s="5">
        <v>0</v>
      </c>
      <c r="J169" s="9">
        <v>0</v>
      </c>
      <c r="K169" s="8">
        <v>0</v>
      </c>
      <c r="L169" s="5">
        <v>0</v>
      </c>
      <c r="M169" s="5">
        <v>0</v>
      </c>
      <c r="N169" s="9">
        <v>0</v>
      </c>
      <c r="O169" s="8">
        <v>2</v>
      </c>
      <c r="P169" s="5">
        <v>33</v>
      </c>
      <c r="Q169" s="5">
        <v>0</v>
      </c>
      <c r="R169" s="9">
        <v>0</v>
      </c>
      <c r="S169" s="8">
        <v>0</v>
      </c>
      <c r="T169" s="5">
        <v>0</v>
      </c>
    </row>
    <row r="170" spans="1:20" x14ac:dyDescent="0.2">
      <c r="A170" s="5" t="s">
        <v>294</v>
      </c>
      <c r="B170" s="5" t="s">
        <v>69</v>
      </c>
      <c r="C170" s="10" t="s">
        <v>473</v>
      </c>
      <c r="D170" s="7">
        <f t="shared" si="0"/>
        <v>5.0999999999999996</v>
      </c>
      <c r="E170" s="8">
        <v>0</v>
      </c>
      <c r="F170" s="5">
        <v>0</v>
      </c>
      <c r="G170" s="5">
        <v>0</v>
      </c>
      <c r="H170" s="5">
        <v>0</v>
      </c>
      <c r="I170" s="5">
        <v>0</v>
      </c>
      <c r="J170" s="9">
        <v>0</v>
      </c>
      <c r="K170" s="8">
        <v>0</v>
      </c>
      <c r="L170" s="5">
        <v>0</v>
      </c>
      <c r="M170" s="5">
        <v>0</v>
      </c>
      <c r="N170" s="9">
        <v>0</v>
      </c>
      <c r="O170" s="8">
        <v>3</v>
      </c>
      <c r="P170" s="5">
        <v>21</v>
      </c>
      <c r="Q170" s="5">
        <v>0</v>
      </c>
      <c r="R170" s="9">
        <v>0</v>
      </c>
      <c r="S170" s="8">
        <v>0</v>
      </c>
      <c r="T170" s="5">
        <v>0</v>
      </c>
    </row>
    <row r="171" spans="1:20" x14ac:dyDescent="0.2">
      <c r="A171" s="5" t="s">
        <v>144</v>
      </c>
      <c r="B171" s="5" t="s">
        <v>75</v>
      </c>
      <c r="C171" s="17" t="s">
        <v>473</v>
      </c>
      <c r="D171" s="7">
        <f t="shared" si="0"/>
        <v>5</v>
      </c>
      <c r="E171" s="8">
        <v>0</v>
      </c>
      <c r="F171" s="5">
        <v>0</v>
      </c>
      <c r="G171" s="5">
        <v>0</v>
      </c>
      <c r="H171" s="5">
        <v>0</v>
      </c>
      <c r="I171" s="5">
        <v>0</v>
      </c>
      <c r="J171" s="9">
        <v>0</v>
      </c>
      <c r="K171" s="8">
        <v>5</v>
      </c>
      <c r="L171" s="5">
        <v>31</v>
      </c>
      <c r="M171" s="5">
        <v>0</v>
      </c>
      <c r="N171" s="9">
        <v>0</v>
      </c>
      <c r="O171" s="8">
        <v>1</v>
      </c>
      <c r="P171" s="5">
        <v>9</v>
      </c>
      <c r="Q171" s="5">
        <v>0</v>
      </c>
      <c r="R171" s="9">
        <v>0</v>
      </c>
      <c r="S171" s="8">
        <v>0</v>
      </c>
      <c r="T171" s="5">
        <v>0</v>
      </c>
    </row>
    <row r="172" spans="1:20" x14ac:dyDescent="0.2">
      <c r="A172" s="5" t="s">
        <v>356</v>
      </c>
      <c r="B172" s="5" t="s">
        <v>75</v>
      </c>
      <c r="C172" s="10" t="s">
        <v>463</v>
      </c>
      <c r="D172" s="7">
        <f t="shared" si="0"/>
        <v>4.9000000000000004</v>
      </c>
      <c r="E172" s="8">
        <v>0</v>
      </c>
      <c r="F172" s="5">
        <v>0</v>
      </c>
      <c r="G172" s="5">
        <v>0</v>
      </c>
      <c r="H172" s="5">
        <v>0</v>
      </c>
      <c r="I172" s="5">
        <v>0</v>
      </c>
      <c r="J172" s="9">
        <v>0</v>
      </c>
      <c r="K172" s="8">
        <v>5</v>
      </c>
      <c r="L172" s="5">
        <v>49</v>
      </c>
      <c r="M172" s="5">
        <v>0</v>
      </c>
      <c r="N172" s="9">
        <v>0</v>
      </c>
      <c r="O172" s="8">
        <v>0</v>
      </c>
      <c r="P172" s="5">
        <v>0</v>
      </c>
      <c r="Q172" s="5">
        <v>0</v>
      </c>
      <c r="R172" s="9">
        <v>0</v>
      </c>
      <c r="S172" s="8">
        <v>0</v>
      </c>
      <c r="T172" s="5">
        <v>0</v>
      </c>
    </row>
    <row r="173" spans="1:20" x14ac:dyDescent="0.2">
      <c r="A173" s="5" t="s">
        <v>222</v>
      </c>
      <c r="B173" s="5" t="s">
        <v>162</v>
      </c>
      <c r="C173" s="17" t="s">
        <v>462</v>
      </c>
      <c r="D173" s="7">
        <f t="shared" si="0"/>
        <v>4.9000000000000004</v>
      </c>
      <c r="E173" s="8">
        <v>0</v>
      </c>
      <c r="F173" s="5">
        <v>0</v>
      </c>
      <c r="G173" s="5">
        <v>0</v>
      </c>
      <c r="H173" s="5">
        <v>0</v>
      </c>
      <c r="I173" s="5">
        <v>0</v>
      </c>
      <c r="J173" s="9">
        <v>0</v>
      </c>
      <c r="K173" s="8">
        <v>0</v>
      </c>
      <c r="L173" s="5">
        <v>0</v>
      </c>
      <c r="M173" s="5">
        <v>0</v>
      </c>
      <c r="N173" s="9">
        <v>0</v>
      </c>
      <c r="O173" s="8">
        <v>2</v>
      </c>
      <c r="P173" s="5">
        <v>29</v>
      </c>
      <c r="Q173" s="5">
        <v>0</v>
      </c>
      <c r="R173" s="9">
        <v>0</v>
      </c>
      <c r="S173" s="8">
        <v>0</v>
      </c>
      <c r="T173" s="5">
        <v>0</v>
      </c>
    </row>
    <row r="174" spans="1:20" x14ac:dyDescent="0.2">
      <c r="A174" s="5" t="s">
        <v>371</v>
      </c>
      <c r="B174" s="5" t="s">
        <v>162</v>
      </c>
      <c r="C174" s="10" t="s">
        <v>466</v>
      </c>
      <c r="D174" s="7">
        <f t="shared" si="0"/>
        <v>4.8000000000000007</v>
      </c>
      <c r="E174" s="8">
        <v>0</v>
      </c>
      <c r="F174" s="5">
        <v>0</v>
      </c>
      <c r="G174" s="5">
        <v>0</v>
      </c>
      <c r="H174" s="5">
        <v>0</v>
      </c>
      <c r="I174" s="5">
        <v>0</v>
      </c>
      <c r="J174" s="9">
        <v>0</v>
      </c>
      <c r="K174" s="8">
        <v>0</v>
      </c>
      <c r="L174" s="5">
        <v>0</v>
      </c>
      <c r="M174" s="5">
        <v>0</v>
      </c>
      <c r="N174" s="9">
        <v>0</v>
      </c>
      <c r="O174" s="8">
        <v>2</v>
      </c>
      <c r="P174" s="5">
        <v>28</v>
      </c>
      <c r="Q174" s="5">
        <v>0</v>
      </c>
      <c r="R174" s="9">
        <v>0</v>
      </c>
      <c r="S174" s="8">
        <v>0</v>
      </c>
      <c r="T174" s="5">
        <v>0</v>
      </c>
    </row>
    <row r="175" spans="1:20" x14ac:dyDescent="0.2">
      <c r="A175" s="5" t="s">
        <v>265</v>
      </c>
      <c r="B175" s="5" t="s">
        <v>162</v>
      </c>
      <c r="C175" s="10" t="s">
        <v>462</v>
      </c>
      <c r="D175" s="7">
        <f t="shared" si="0"/>
        <v>4.8000000000000007</v>
      </c>
      <c r="E175" s="8">
        <v>0</v>
      </c>
      <c r="F175" s="5">
        <v>0</v>
      </c>
      <c r="G175" s="5">
        <v>0</v>
      </c>
      <c r="H175" s="5">
        <v>0</v>
      </c>
      <c r="I175" s="5">
        <v>0</v>
      </c>
      <c r="J175" s="9">
        <v>0</v>
      </c>
      <c r="K175" s="8">
        <v>0</v>
      </c>
      <c r="L175" s="5">
        <v>0</v>
      </c>
      <c r="M175" s="5">
        <v>0</v>
      </c>
      <c r="N175" s="9">
        <v>0</v>
      </c>
      <c r="O175" s="8">
        <v>1</v>
      </c>
      <c r="P175" s="5">
        <v>38</v>
      </c>
      <c r="Q175" s="5">
        <v>0</v>
      </c>
      <c r="R175" s="9">
        <v>0</v>
      </c>
      <c r="S175" s="8">
        <v>0</v>
      </c>
      <c r="T175" s="5">
        <v>0</v>
      </c>
    </row>
    <row r="176" spans="1:20" x14ac:dyDescent="0.2">
      <c r="A176" s="5" t="s">
        <v>243</v>
      </c>
      <c r="B176" s="5" t="s">
        <v>162</v>
      </c>
      <c r="C176" s="17" t="s">
        <v>461</v>
      </c>
      <c r="D176" s="7">
        <f t="shared" si="0"/>
        <v>4.8</v>
      </c>
      <c r="E176" s="8">
        <v>0</v>
      </c>
      <c r="F176" s="5">
        <v>0</v>
      </c>
      <c r="G176" s="5">
        <v>0</v>
      </c>
      <c r="H176" s="5">
        <v>0</v>
      </c>
      <c r="I176" s="5">
        <v>0</v>
      </c>
      <c r="J176" s="9">
        <v>0</v>
      </c>
      <c r="K176" s="8">
        <v>1</v>
      </c>
      <c r="L176" s="5">
        <v>40</v>
      </c>
      <c r="M176" s="5">
        <v>0</v>
      </c>
      <c r="N176" s="9">
        <v>0</v>
      </c>
      <c r="O176" s="8">
        <v>1</v>
      </c>
      <c r="P176" s="5">
        <v>-2</v>
      </c>
      <c r="Q176" s="5">
        <v>0</v>
      </c>
      <c r="R176" s="9">
        <v>0</v>
      </c>
      <c r="S176" s="8">
        <v>0</v>
      </c>
      <c r="T176" s="5">
        <v>0</v>
      </c>
    </row>
    <row r="177" spans="1:20" x14ac:dyDescent="0.2">
      <c r="A177" s="5" t="s">
        <v>62</v>
      </c>
      <c r="B177" s="5" t="s">
        <v>17</v>
      </c>
      <c r="C177" s="17" t="s">
        <v>468</v>
      </c>
      <c r="D177" s="7">
        <f t="shared" si="0"/>
        <v>4.7</v>
      </c>
      <c r="E177" s="8">
        <v>30</v>
      </c>
      <c r="F177" s="5">
        <v>20</v>
      </c>
      <c r="G177" s="5">
        <v>165</v>
      </c>
      <c r="H177" s="5">
        <v>0</v>
      </c>
      <c r="I177" s="5">
        <v>0</v>
      </c>
      <c r="J177" s="9">
        <v>0</v>
      </c>
      <c r="K177" s="8">
        <v>3</v>
      </c>
      <c r="L177" s="5">
        <v>1</v>
      </c>
      <c r="M177" s="5">
        <v>0</v>
      </c>
      <c r="N177" s="9">
        <v>0</v>
      </c>
      <c r="O177" s="8">
        <v>0</v>
      </c>
      <c r="P177" s="5">
        <v>0</v>
      </c>
      <c r="Q177" s="5">
        <v>0</v>
      </c>
      <c r="R177" s="9">
        <v>0</v>
      </c>
      <c r="S177" s="8">
        <v>1</v>
      </c>
      <c r="T177" s="5">
        <v>0</v>
      </c>
    </row>
    <row r="178" spans="1:20" x14ac:dyDescent="0.2">
      <c r="A178" s="5" t="s">
        <v>393</v>
      </c>
      <c r="B178" s="5" t="s">
        <v>75</v>
      </c>
      <c r="C178" s="10" t="s">
        <v>465</v>
      </c>
      <c r="D178" s="7">
        <f t="shared" si="0"/>
        <v>4.7</v>
      </c>
      <c r="E178" s="8">
        <v>0</v>
      </c>
      <c r="F178" s="5">
        <v>0</v>
      </c>
      <c r="G178" s="5">
        <v>0</v>
      </c>
      <c r="H178" s="5">
        <v>0</v>
      </c>
      <c r="I178" s="5">
        <v>0</v>
      </c>
      <c r="J178" s="9">
        <v>0</v>
      </c>
      <c r="K178" s="8">
        <v>5</v>
      </c>
      <c r="L178" s="5">
        <v>12</v>
      </c>
      <c r="M178" s="5">
        <v>0</v>
      </c>
      <c r="N178" s="9">
        <v>0</v>
      </c>
      <c r="O178" s="8">
        <v>2</v>
      </c>
      <c r="P178" s="5">
        <v>15</v>
      </c>
      <c r="Q178" s="5">
        <v>0</v>
      </c>
      <c r="R178" s="9">
        <v>0</v>
      </c>
      <c r="S178" s="8">
        <v>0</v>
      </c>
      <c r="T178" s="5">
        <v>0</v>
      </c>
    </row>
    <row r="179" spans="1:20" x14ac:dyDescent="0.2">
      <c r="A179" s="5" t="s">
        <v>477</v>
      </c>
      <c r="B179" s="5" t="s">
        <v>69</v>
      </c>
      <c r="C179" s="10" t="s">
        <v>467</v>
      </c>
      <c r="D179" s="7">
        <f t="shared" si="0"/>
        <v>4.5999999999999996</v>
      </c>
      <c r="E179" s="8">
        <v>0</v>
      </c>
      <c r="F179" s="5">
        <v>0</v>
      </c>
      <c r="G179" s="5">
        <v>0</v>
      </c>
      <c r="H179" s="5">
        <v>0</v>
      </c>
      <c r="I179" s="5">
        <v>0</v>
      </c>
      <c r="J179" s="9">
        <v>0</v>
      </c>
      <c r="K179" s="8">
        <v>0</v>
      </c>
      <c r="L179" s="5">
        <v>0</v>
      </c>
      <c r="M179" s="5">
        <v>0</v>
      </c>
      <c r="N179" s="9">
        <v>0</v>
      </c>
      <c r="O179" s="8">
        <v>2</v>
      </c>
      <c r="P179" s="5">
        <v>26</v>
      </c>
      <c r="Q179" s="5">
        <v>0</v>
      </c>
      <c r="R179" s="9">
        <v>0</v>
      </c>
      <c r="S179" s="8">
        <v>0</v>
      </c>
      <c r="T179" s="5">
        <v>0</v>
      </c>
    </row>
    <row r="180" spans="1:20" x14ac:dyDescent="0.2">
      <c r="A180" s="5" t="s">
        <v>256</v>
      </c>
      <c r="B180" s="5" t="s">
        <v>162</v>
      </c>
      <c r="C180" s="10" t="s">
        <v>473</v>
      </c>
      <c r="D180" s="7">
        <f t="shared" si="0"/>
        <v>4.5</v>
      </c>
      <c r="E180" s="8">
        <v>0</v>
      </c>
      <c r="F180" s="5">
        <v>0</v>
      </c>
      <c r="G180" s="5">
        <v>0</v>
      </c>
      <c r="H180" s="5">
        <v>0</v>
      </c>
      <c r="I180" s="5">
        <v>0</v>
      </c>
      <c r="J180" s="9">
        <v>0</v>
      </c>
      <c r="K180" s="8">
        <v>0</v>
      </c>
      <c r="L180" s="5">
        <v>0</v>
      </c>
      <c r="M180" s="5">
        <v>0</v>
      </c>
      <c r="N180" s="9">
        <v>0</v>
      </c>
      <c r="O180" s="8">
        <v>3</v>
      </c>
      <c r="P180" s="5">
        <v>15</v>
      </c>
      <c r="Q180" s="5">
        <v>0</v>
      </c>
      <c r="R180" s="9">
        <v>0</v>
      </c>
      <c r="S180" s="8">
        <v>0</v>
      </c>
      <c r="T180" s="5">
        <v>0</v>
      </c>
    </row>
    <row r="181" spans="1:20" x14ac:dyDescent="0.2">
      <c r="A181" s="5" t="s">
        <v>169</v>
      </c>
      <c r="B181" s="5" t="s">
        <v>162</v>
      </c>
      <c r="C181" s="10" t="s">
        <v>462</v>
      </c>
      <c r="D181" s="7">
        <f t="shared" si="0"/>
        <v>4.5</v>
      </c>
      <c r="E181" s="8">
        <v>0</v>
      </c>
      <c r="F181" s="5">
        <v>0</v>
      </c>
      <c r="G181" s="5">
        <v>0</v>
      </c>
      <c r="H181" s="5">
        <v>0</v>
      </c>
      <c r="I181" s="5">
        <v>0</v>
      </c>
      <c r="J181" s="9">
        <v>0</v>
      </c>
      <c r="K181" s="8">
        <v>0</v>
      </c>
      <c r="L181" s="5">
        <v>0</v>
      </c>
      <c r="M181" s="5">
        <v>0</v>
      </c>
      <c r="N181" s="9">
        <v>0</v>
      </c>
      <c r="O181" s="8">
        <v>1</v>
      </c>
      <c r="P181" s="5">
        <v>15</v>
      </c>
      <c r="Q181" s="5">
        <v>0</v>
      </c>
      <c r="R181" s="9">
        <v>1</v>
      </c>
      <c r="S181" s="8">
        <v>0</v>
      </c>
      <c r="T181" s="5">
        <v>0</v>
      </c>
    </row>
    <row r="182" spans="1:20" x14ac:dyDescent="0.2">
      <c r="A182" s="5" t="s">
        <v>248</v>
      </c>
      <c r="B182" s="5" t="s">
        <v>162</v>
      </c>
      <c r="C182" s="10" t="s">
        <v>461</v>
      </c>
      <c r="D182" s="7">
        <f t="shared" si="0"/>
        <v>4.5</v>
      </c>
      <c r="E182" s="8">
        <v>0</v>
      </c>
      <c r="F182" s="5">
        <v>0</v>
      </c>
      <c r="G182" s="5">
        <v>0</v>
      </c>
      <c r="H182" s="5">
        <v>0</v>
      </c>
      <c r="I182" s="5">
        <v>0</v>
      </c>
      <c r="J182" s="9">
        <v>0</v>
      </c>
      <c r="K182" s="8">
        <v>0</v>
      </c>
      <c r="L182" s="5">
        <v>0</v>
      </c>
      <c r="M182" s="5">
        <v>0</v>
      </c>
      <c r="N182" s="9">
        <v>0</v>
      </c>
      <c r="O182" s="8">
        <v>1</v>
      </c>
      <c r="P182" s="5">
        <v>35</v>
      </c>
      <c r="Q182" s="5">
        <v>0</v>
      </c>
      <c r="R182" s="9">
        <v>0</v>
      </c>
      <c r="S182" s="8">
        <v>0</v>
      </c>
      <c r="T182" s="5">
        <v>0</v>
      </c>
    </row>
    <row r="183" spans="1:20" x14ac:dyDescent="0.2">
      <c r="A183" s="5" t="s">
        <v>349</v>
      </c>
      <c r="B183" s="5" t="s">
        <v>69</v>
      </c>
      <c r="C183" s="10" t="s">
        <v>458</v>
      </c>
      <c r="D183" s="7">
        <f t="shared" si="0"/>
        <v>4.5</v>
      </c>
      <c r="E183" s="8">
        <v>0</v>
      </c>
      <c r="F183" s="5">
        <v>0</v>
      </c>
      <c r="G183" s="5">
        <v>0</v>
      </c>
      <c r="H183" s="5">
        <v>0</v>
      </c>
      <c r="I183" s="5">
        <v>0</v>
      </c>
      <c r="J183" s="9">
        <v>0</v>
      </c>
      <c r="K183" s="8">
        <v>0</v>
      </c>
      <c r="L183" s="5">
        <v>0</v>
      </c>
      <c r="M183" s="5">
        <v>0</v>
      </c>
      <c r="N183" s="9">
        <v>0</v>
      </c>
      <c r="O183" s="8">
        <v>2</v>
      </c>
      <c r="P183" s="5">
        <v>25</v>
      </c>
      <c r="Q183" s="5">
        <v>0</v>
      </c>
      <c r="R183" s="9">
        <v>0</v>
      </c>
      <c r="S183" s="8">
        <v>0</v>
      </c>
      <c r="T183" s="5">
        <v>0</v>
      </c>
    </row>
    <row r="184" spans="1:20" x14ac:dyDescent="0.2">
      <c r="A184" s="5" t="s">
        <v>285</v>
      </c>
      <c r="B184" s="5" t="s">
        <v>69</v>
      </c>
      <c r="C184" s="10" t="s">
        <v>462</v>
      </c>
      <c r="D184" s="7">
        <f t="shared" si="0"/>
        <v>4.4000000000000004</v>
      </c>
      <c r="E184" s="8">
        <v>0</v>
      </c>
      <c r="F184" s="5">
        <v>0</v>
      </c>
      <c r="G184" s="5">
        <v>0</v>
      </c>
      <c r="H184" s="5">
        <v>0</v>
      </c>
      <c r="I184" s="5">
        <v>0</v>
      </c>
      <c r="J184" s="9">
        <v>0</v>
      </c>
      <c r="K184" s="8">
        <v>0</v>
      </c>
      <c r="L184" s="5">
        <v>0</v>
      </c>
      <c r="M184" s="5">
        <v>0</v>
      </c>
      <c r="N184" s="9">
        <v>0</v>
      </c>
      <c r="O184" s="8">
        <v>2</v>
      </c>
      <c r="P184" s="5">
        <v>24</v>
      </c>
      <c r="Q184" s="5">
        <v>0</v>
      </c>
      <c r="R184" s="9">
        <v>0</v>
      </c>
      <c r="S184" s="8">
        <v>0</v>
      </c>
      <c r="T184" s="5">
        <v>0</v>
      </c>
    </row>
    <row r="185" spans="1:20" x14ac:dyDescent="0.2">
      <c r="A185" s="5" t="s">
        <v>273</v>
      </c>
      <c r="B185" s="5" t="s">
        <v>69</v>
      </c>
      <c r="C185" s="17" t="s">
        <v>466</v>
      </c>
      <c r="D185" s="7">
        <f t="shared" si="0"/>
        <v>4.4000000000000004</v>
      </c>
      <c r="E185" s="8">
        <v>0</v>
      </c>
      <c r="F185" s="5">
        <v>0</v>
      </c>
      <c r="G185" s="5">
        <v>0</v>
      </c>
      <c r="H185" s="5">
        <v>0</v>
      </c>
      <c r="I185" s="5">
        <v>0</v>
      </c>
      <c r="J185" s="9">
        <v>0</v>
      </c>
      <c r="K185" s="8">
        <v>0</v>
      </c>
      <c r="L185" s="5">
        <v>0</v>
      </c>
      <c r="M185" s="5">
        <v>0</v>
      </c>
      <c r="N185" s="9">
        <v>0</v>
      </c>
      <c r="O185" s="8">
        <v>2</v>
      </c>
      <c r="P185" s="5">
        <v>24</v>
      </c>
      <c r="Q185" s="5">
        <v>0</v>
      </c>
      <c r="R185" s="9">
        <v>0</v>
      </c>
      <c r="S185" s="8">
        <v>0</v>
      </c>
      <c r="T185" s="5">
        <v>0</v>
      </c>
    </row>
    <row r="186" spans="1:20" x14ac:dyDescent="0.2">
      <c r="A186" s="5" t="s">
        <v>236</v>
      </c>
      <c r="B186" s="5" t="s">
        <v>162</v>
      </c>
      <c r="C186" s="10" t="s">
        <v>473</v>
      </c>
      <c r="D186" s="7">
        <f t="shared" si="0"/>
        <v>4.3000000000000007</v>
      </c>
      <c r="E186" s="8">
        <v>0</v>
      </c>
      <c r="F186" s="5">
        <v>0</v>
      </c>
      <c r="G186" s="5">
        <v>0</v>
      </c>
      <c r="H186" s="5">
        <v>0</v>
      </c>
      <c r="I186" s="5">
        <v>0</v>
      </c>
      <c r="J186" s="9">
        <v>0</v>
      </c>
      <c r="K186" s="8">
        <v>0</v>
      </c>
      <c r="L186" s="5">
        <v>0</v>
      </c>
      <c r="M186" s="5">
        <v>0</v>
      </c>
      <c r="N186" s="9">
        <v>0</v>
      </c>
      <c r="O186" s="8">
        <v>2</v>
      </c>
      <c r="P186" s="5">
        <v>23</v>
      </c>
      <c r="Q186" s="5">
        <v>0</v>
      </c>
      <c r="R186" s="9">
        <v>0</v>
      </c>
      <c r="S186" s="8">
        <v>0</v>
      </c>
      <c r="T186" s="5">
        <v>0</v>
      </c>
    </row>
    <row r="187" spans="1:20" x14ac:dyDescent="0.2">
      <c r="A187" s="5" t="s">
        <v>110</v>
      </c>
      <c r="B187" s="5" t="s">
        <v>75</v>
      </c>
      <c r="C187" s="17" t="s">
        <v>472</v>
      </c>
      <c r="D187" s="7">
        <f t="shared" si="0"/>
        <v>4.2</v>
      </c>
      <c r="E187" s="8">
        <v>0</v>
      </c>
      <c r="F187" s="5">
        <v>0</v>
      </c>
      <c r="G187" s="5">
        <v>0</v>
      </c>
      <c r="H187" s="5">
        <v>0</v>
      </c>
      <c r="I187" s="5">
        <v>0</v>
      </c>
      <c r="J187" s="9">
        <v>0</v>
      </c>
      <c r="K187" s="8">
        <v>6</v>
      </c>
      <c r="L187" s="5">
        <v>16</v>
      </c>
      <c r="M187" s="5">
        <v>0</v>
      </c>
      <c r="N187" s="9">
        <v>0</v>
      </c>
      <c r="O187" s="8">
        <v>2</v>
      </c>
      <c r="P187" s="5">
        <v>6</v>
      </c>
      <c r="Q187" s="5">
        <v>0</v>
      </c>
      <c r="R187" s="9">
        <v>0</v>
      </c>
      <c r="S187" s="8">
        <v>0</v>
      </c>
      <c r="T187" s="5">
        <v>0</v>
      </c>
    </row>
    <row r="188" spans="1:20" x14ac:dyDescent="0.2">
      <c r="A188" s="5" t="s">
        <v>478</v>
      </c>
      <c r="B188" s="5" t="s">
        <v>162</v>
      </c>
      <c r="C188" s="10" t="s">
        <v>457</v>
      </c>
      <c r="D188" s="7">
        <f t="shared" si="0"/>
        <v>4.2</v>
      </c>
      <c r="E188" s="8">
        <v>0</v>
      </c>
      <c r="F188" s="5">
        <v>0</v>
      </c>
      <c r="G188" s="5">
        <v>0</v>
      </c>
      <c r="H188" s="5">
        <v>0</v>
      </c>
      <c r="I188" s="5">
        <v>0</v>
      </c>
      <c r="J188" s="9">
        <v>0</v>
      </c>
      <c r="K188" s="8">
        <v>0</v>
      </c>
      <c r="L188" s="5">
        <v>0</v>
      </c>
      <c r="M188" s="5">
        <v>0</v>
      </c>
      <c r="N188" s="9">
        <v>0</v>
      </c>
      <c r="O188" s="8">
        <v>2</v>
      </c>
      <c r="P188" s="5">
        <v>22</v>
      </c>
      <c r="Q188" s="5">
        <v>0</v>
      </c>
      <c r="R188" s="9">
        <v>0</v>
      </c>
      <c r="S188" s="8">
        <v>0</v>
      </c>
      <c r="T188" s="5">
        <v>0</v>
      </c>
    </row>
    <row r="189" spans="1:20" x14ac:dyDescent="0.2">
      <c r="A189" s="5" t="s">
        <v>267</v>
      </c>
      <c r="B189" s="5" t="s">
        <v>162</v>
      </c>
      <c r="C189" s="17" t="s">
        <v>467</v>
      </c>
      <c r="D189" s="7">
        <f t="shared" si="0"/>
        <v>4.2</v>
      </c>
      <c r="E189" s="8">
        <v>0</v>
      </c>
      <c r="F189" s="5">
        <v>0</v>
      </c>
      <c r="G189" s="5">
        <v>0</v>
      </c>
      <c r="H189" s="5">
        <v>0</v>
      </c>
      <c r="I189" s="5">
        <v>0</v>
      </c>
      <c r="J189" s="9">
        <v>0</v>
      </c>
      <c r="K189" s="8">
        <v>0</v>
      </c>
      <c r="L189" s="5">
        <v>0</v>
      </c>
      <c r="M189" s="5">
        <v>0</v>
      </c>
      <c r="N189" s="9">
        <v>0</v>
      </c>
      <c r="O189" s="8">
        <v>2</v>
      </c>
      <c r="P189" s="5">
        <v>22</v>
      </c>
      <c r="Q189" s="5">
        <v>0</v>
      </c>
      <c r="R189" s="9">
        <v>0</v>
      </c>
      <c r="S189" s="8">
        <v>0</v>
      </c>
      <c r="T189" s="5">
        <v>0</v>
      </c>
    </row>
    <row r="190" spans="1:20" x14ac:dyDescent="0.2">
      <c r="A190" s="5" t="s">
        <v>123</v>
      </c>
      <c r="B190" s="5" t="s">
        <v>75</v>
      </c>
      <c r="C190" s="17" t="s">
        <v>467</v>
      </c>
      <c r="D190" s="7">
        <f t="shared" si="0"/>
        <v>4.0999999999999996</v>
      </c>
      <c r="E190" s="8">
        <v>0</v>
      </c>
      <c r="F190" s="5">
        <v>0</v>
      </c>
      <c r="G190" s="5">
        <v>0</v>
      </c>
      <c r="H190" s="5">
        <v>0</v>
      </c>
      <c r="I190" s="5">
        <v>0</v>
      </c>
      <c r="J190" s="9">
        <v>0</v>
      </c>
      <c r="K190" s="8">
        <v>1</v>
      </c>
      <c r="L190" s="5">
        <v>9</v>
      </c>
      <c r="M190" s="5">
        <v>0</v>
      </c>
      <c r="N190" s="9">
        <v>0</v>
      </c>
      <c r="O190" s="8">
        <v>2</v>
      </c>
      <c r="P190" s="5">
        <v>12</v>
      </c>
      <c r="Q190" s="5">
        <v>0</v>
      </c>
      <c r="R190" s="9">
        <v>0</v>
      </c>
      <c r="S190" s="8">
        <v>0</v>
      </c>
      <c r="T190" s="5">
        <v>0</v>
      </c>
    </row>
    <row r="191" spans="1:20" x14ac:dyDescent="0.2">
      <c r="A191" s="5" t="s">
        <v>293</v>
      </c>
      <c r="B191" s="5" t="s">
        <v>69</v>
      </c>
      <c r="C191" s="17" t="s">
        <v>471</v>
      </c>
      <c r="D191" s="7">
        <f t="shared" si="0"/>
        <v>4.0999999999999996</v>
      </c>
      <c r="E191" s="8">
        <v>0</v>
      </c>
      <c r="F191" s="5">
        <v>0</v>
      </c>
      <c r="G191" s="5">
        <v>0</v>
      </c>
      <c r="H191" s="5">
        <v>0</v>
      </c>
      <c r="I191" s="5">
        <v>0</v>
      </c>
      <c r="J191" s="9">
        <v>0</v>
      </c>
      <c r="K191" s="8">
        <v>0</v>
      </c>
      <c r="L191" s="5">
        <v>0</v>
      </c>
      <c r="M191" s="5">
        <v>0</v>
      </c>
      <c r="N191" s="9">
        <v>0</v>
      </c>
      <c r="O191" s="8">
        <v>2</v>
      </c>
      <c r="P191" s="5">
        <v>21</v>
      </c>
      <c r="Q191" s="5">
        <v>0</v>
      </c>
      <c r="R191" s="9">
        <v>0</v>
      </c>
      <c r="S191" s="8">
        <v>0</v>
      </c>
      <c r="T191" s="5">
        <v>0</v>
      </c>
    </row>
    <row r="192" spans="1:20" x14ac:dyDescent="0.2">
      <c r="A192" s="5" t="s">
        <v>376</v>
      </c>
      <c r="B192" s="5" t="s">
        <v>162</v>
      </c>
      <c r="C192" s="17" t="s">
        <v>457</v>
      </c>
      <c r="D192" s="7">
        <f t="shared" si="0"/>
        <v>4</v>
      </c>
      <c r="E192" s="8">
        <v>0</v>
      </c>
      <c r="F192" s="5">
        <v>0</v>
      </c>
      <c r="G192" s="5">
        <v>0</v>
      </c>
      <c r="H192" s="5">
        <v>0</v>
      </c>
      <c r="I192" s="5">
        <v>0</v>
      </c>
      <c r="J192" s="9">
        <v>0</v>
      </c>
      <c r="K192" s="8">
        <v>0</v>
      </c>
      <c r="L192" s="5">
        <v>0</v>
      </c>
      <c r="M192" s="5">
        <v>0</v>
      </c>
      <c r="N192" s="9">
        <v>0</v>
      </c>
      <c r="O192" s="8">
        <v>3</v>
      </c>
      <c r="P192" s="5">
        <v>10</v>
      </c>
      <c r="Q192" s="5">
        <v>0</v>
      </c>
      <c r="R192" s="9">
        <v>0</v>
      </c>
      <c r="S192" s="8">
        <v>0</v>
      </c>
      <c r="T192" s="5">
        <v>0</v>
      </c>
    </row>
    <row r="193" spans="1:20" x14ac:dyDescent="0.2">
      <c r="A193" s="5" t="s">
        <v>326</v>
      </c>
      <c r="B193" s="5" t="s">
        <v>162</v>
      </c>
      <c r="C193" s="17" t="s">
        <v>468</v>
      </c>
      <c r="D193" s="7">
        <f t="shared" si="0"/>
        <v>3.9000000000000004</v>
      </c>
      <c r="E193" s="8">
        <v>0</v>
      </c>
      <c r="F193" s="5">
        <v>0</v>
      </c>
      <c r="G193" s="5">
        <v>0</v>
      </c>
      <c r="H193" s="5">
        <v>0</v>
      </c>
      <c r="I193" s="5">
        <v>0</v>
      </c>
      <c r="J193" s="9">
        <v>0</v>
      </c>
      <c r="K193" s="8">
        <v>0</v>
      </c>
      <c r="L193" s="5">
        <v>0</v>
      </c>
      <c r="M193" s="5">
        <v>0</v>
      </c>
      <c r="N193" s="9">
        <v>0</v>
      </c>
      <c r="O193" s="8">
        <v>2</v>
      </c>
      <c r="P193" s="5">
        <v>19</v>
      </c>
      <c r="Q193" s="5">
        <v>0</v>
      </c>
      <c r="R193" s="9">
        <v>0</v>
      </c>
      <c r="S193" s="8">
        <v>0</v>
      </c>
      <c r="T193" s="5">
        <v>0</v>
      </c>
    </row>
    <row r="194" spans="1:20" x14ac:dyDescent="0.2">
      <c r="A194" s="5" t="s">
        <v>439</v>
      </c>
      <c r="B194" s="5" t="s">
        <v>162</v>
      </c>
      <c r="C194" s="17" t="s">
        <v>471</v>
      </c>
      <c r="D194" s="7">
        <f t="shared" si="0"/>
        <v>3.9000000000000004</v>
      </c>
      <c r="E194" s="8">
        <v>0</v>
      </c>
      <c r="F194" s="5">
        <v>0</v>
      </c>
      <c r="G194" s="5">
        <v>0</v>
      </c>
      <c r="H194" s="5">
        <v>0</v>
      </c>
      <c r="I194" s="5">
        <v>0</v>
      </c>
      <c r="J194" s="9">
        <v>0</v>
      </c>
      <c r="K194" s="8">
        <v>0</v>
      </c>
      <c r="L194" s="5">
        <v>0</v>
      </c>
      <c r="M194" s="5">
        <v>0</v>
      </c>
      <c r="N194" s="9">
        <v>0</v>
      </c>
      <c r="O194" s="8">
        <v>2</v>
      </c>
      <c r="P194" s="5">
        <v>19</v>
      </c>
      <c r="Q194" s="5">
        <v>0</v>
      </c>
      <c r="R194" s="9">
        <v>0</v>
      </c>
      <c r="S194" s="8">
        <v>0</v>
      </c>
      <c r="T194" s="5">
        <v>0</v>
      </c>
    </row>
    <row r="195" spans="1:20" x14ac:dyDescent="0.2">
      <c r="A195" s="5" t="s">
        <v>105</v>
      </c>
      <c r="B195" s="5" t="s">
        <v>75</v>
      </c>
      <c r="C195" s="17" t="s">
        <v>464</v>
      </c>
      <c r="D195" s="7">
        <f t="shared" si="0"/>
        <v>3.9</v>
      </c>
      <c r="E195" s="8">
        <v>0</v>
      </c>
      <c r="F195" s="5">
        <v>0</v>
      </c>
      <c r="G195" s="5">
        <v>0</v>
      </c>
      <c r="H195" s="5">
        <v>0</v>
      </c>
      <c r="I195" s="5">
        <v>0</v>
      </c>
      <c r="J195" s="9">
        <v>0</v>
      </c>
      <c r="K195" s="8">
        <v>2</v>
      </c>
      <c r="L195" s="5">
        <v>0</v>
      </c>
      <c r="M195" s="5">
        <v>0</v>
      </c>
      <c r="N195" s="9">
        <v>0</v>
      </c>
      <c r="O195" s="8">
        <v>3</v>
      </c>
      <c r="P195" s="5">
        <v>9</v>
      </c>
      <c r="Q195" s="5">
        <v>0</v>
      </c>
      <c r="R195" s="9">
        <v>0</v>
      </c>
      <c r="S195" s="8">
        <v>0</v>
      </c>
      <c r="T195" s="5">
        <v>0</v>
      </c>
    </row>
    <row r="196" spans="1:20" x14ac:dyDescent="0.2">
      <c r="A196" s="5" t="s">
        <v>219</v>
      </c>
      <c r="B196" s="5" t="s">
        <v>162</v>
      </c>
      <c r="C196" s="10" t="s">
        <v>460</v>
      </c>
      <c r="D196" s="7">
        <f t="shared" si="0"/>
        <v>3.9</v>
      </c>
      <c r="E196" s="8">
        <v>0</v>
      </c>
      <c r="F196" s="5">
        <v>0</v>
      </c>
      <c r="G196" s="5">
        <v>0</v>
      </c>
      <c r="H196" s="5">
        <v>0</v>
      </c>
      <c r="I196" s="5">
        <v>0</v>
      </c>
      <c r="J196" s="9">
        <v>0</v>
      </c>
      <c r="K196" s="8">
        <v>2</v>
      </c>
      <c r="L196" s="5">
        <v>13</v>
      </c>
      <c r="M196" s="5">
        <v>0</v>
      </c>
      <c r="N196" s="9">
        <v>0</v>
      </c>
      <c r="O196" s="8">
        <v>1</v>
      </c>
      <c r="P196" s="5">
        <v>16</v>
      </c>
      <c r="Q196" s="5">
        <v>0</v>
      </c>
      <c r="R196" s="9">
        <v>0</v>
      </c>
      <c r="S196" s="8">
        <v>0</v>
      </c>
      <c r="T196" s="5">
        <v>0</v>
      </c>
    </row>
    <row r="197" spans="1:20" x14ac:dyDescent="0.2">
      <c r="A197" s="5" t="s">
        <v>432</v>
      </c>
      <c r="B197" s="5" t="s">
        <v>162</v>
      </c>
      <c r="C197" s="10" t="s">
        <v>459</v>
      </c>
      <c r="D197" s="7">
        <f t="shared" si="0"/>
        <v>3.8</v>
      </c>
      <c r="E197" s="8">
        <v>0</v>
      </c>
      <c r="F197" s="5">
        <v>0</v>
      </c>
      <c r="G197" s="5">
        <v>0</v>
      </c>
      <c r="H197" s="5">
        <v>0</v>
      </c>
      <c r="I197" s="5">
        <v>0</v>
      </c>
      <c r="J197" s="9">
        <v>0</v>
      </c>
      <c r="K197" s="8">
        <v>0</v>
      </c>
      <c r="L197" s="5">
        <v>0</v>
      </c>
      <c r="M197" s="5">
        <v>0</v>
      </c>
      <c r="N197" s="9">
        <v>0</v>
      </c>
      <c r="O197" s="8">
        <v>2</v>
      </c>
      <c r="P197" s="5">
        <v>18</v>
      </c>
      <c r="Q197" s="5">
        <v>0</v>
      </c>
      <c r="R197" s="9">
        <v>0</v>
      </c>
      <c r="S197" s="8">
        <v>0</v>
      </c>
      <c r="T197" s="5">
        <v>0</v>
      </c>
    </row>
    <row r="198" spans="1:20" x14ac:dyDescent="0.2">
      <c r="A198" s="5" t="s">
        <v>429</v>
      </c>
      <c r="B198" s="5" t="s">
        <v>69</v>
      </c>
      <c r="C198" s="17" t="s">
        <v>468</v>
      </c>
      <c r="D198" s="7">
        <f t="shared" si="0"/>
        <v>3.8</v>
      </c>
      <c r="E198" s="8">
        <v>0</v>
      </c>
      <c r="F198" s="5">
        <v>0</v>
      </c>
      <c r="G198" s="5">
        <v>0</v>
      </c>
      <c r="H198" s="5">
        <v>0</v>
      </c>
      <c r="I198" s="5">
        <v>0</v>
      </c>
      <c r="J198" s="9">
        <v>0</v>
      </c>
      <c r="K198" s="8">
        <v>0</v>
      </c>
      <c r="L198" s="5">
        <v>0</v>
      </c>
      <c r="M198" s="5">
        <v>0</v>
      </c>
      <c r="N198" s="9">
        <v>0</v>
      </c>
      <c r="O198" s="8">
        <v>2</v>
      </c>
      <c r="P198" s="5">
        <v>18</v>
      </c>
      <c r="Q198" s="5">
        <v>0</v>
      </c>
      <c r="R198" s="9">
        <v>0</v>
      </c>
      <c r="S198" s="8">
        <v>0</v>
      </c>
      <c r="T198" s="5">
        <v>0</v>
      </c>
    </row>
    <row r="199" spans="1:20" x14ac:dyDescent="0.2">
      <c r="A199" s="5" t="s">
        <v>479</v>
      </c>
      <c r="B199" s="5" t="s">
        <v>69</v>
      </c>
      <c r="C199" s="10" t="s">
        <v>464</v>
      </c>
      <c r="D199" s="7">
        <f t="shared" si="0"/>
        <v>3.8</v>
      </c>
      <c r="E199" s="8">
        <v>0</v>
      </c>
      <c r="F199" s="5">
        <v>0</v>
      </c>
      <c r="G199" s="5">
        <v>0</v>
      </c>
      <c r="H199" s="5">
        <v>0</v>
      </c>
      <c r="I199" s="5">
        <v>0</v>
      </c>
      <c r="J199" s="9">
        <v>0</v>
      </c>
      <c r="K199" s="8">
        <v>0</v>
      </c>
      <c r="L199" s="5">
        <v>0</v>
      </c>
      <c r="M199" s="5">
        <v>0</v>
      </c>
      <c r="N199" s="9">
        <v>0</v>
      </c>
      <c r="O199" s="8">
        <v>2</v>
      </c>
      <c r="P199" s="5">
        <v>18</v>
      </c>
      <c r="Q199" s="5">
        <v>0</v>
      </c>
      <c r="R199" s="9">
        <v>0</v>
      </c>
      <c r="S199" s="8">
        <v>0</v>
      </c>
      <c r="T199" s="5">
        <v>0</v>
      </c>
    </row>
    <row r="200" spans="1:20" x14ac:dyDescent="0.2">
      <c r="A200" s="5" t="s">
        <v>284</v>
      </c>
      <c r="B200" s="5" t="s">
        <v>69</v>
      </c>
      <c r="C200" s="17" t="s">
        <v>460</v>
      </c>
      <c r="D200" s="7">
        <f t="shared" si="0"/>
        <v>3.7</v>
      </c>
      <c r="E200" s="8">
        <v>0</v>
      </c>
      <c r="F200" s="5">
        <v>0</v>
      </c>
      <c r="G200" s="5">
        <v>0</v>
      </c>
      <c r="H200" s="5">
        <v>0</v>
      </c>
      <c r="I200" s="5">
        <v>0</v>
      </c>
      <c r="J200" s="9">
        <v>0</v>
      </c>
      <c r="K200" s="8">
        <v>0</v>
      </c>
      <c r="L200" s="5">
        <v>0</v>
      </c>
      <c r="M200" s="5">
        <v>0</v>
      </c>
      <c r="N200" s="9">
        <v>0</v>
      </c>
      <c r="O200" s="8">
        <v>3</v>
      </c>
      <c r="P200" s="5">
        <v>7</v>
      </c>
      <c r="Q200" s="5">
        <v>0</v>
      </c>
      <c r="R200" s="9">
        <v>0</v>
      </c>
      <c r="S200" s="8">
        <v>0</v>
      </c>
      <c r="T200" s="5">
        <v>0</v>
      </c>
    </row>
    <row r="201" spans="1:20" x14ac:dyDescent="0.2">
      <c r="A201" s="5" t="s">
        <v>480</v>
      </c>
      <c r="B201" s="5" t="s">
        <v>17</v>
      </c>
      <c r="C201" s="17" t="s">
        <v>473</v>
      </c>
      <c r="D201" s="7">
        <f t="shared" si="0"/>
        <v>3.62</v>
      </c>
      <c r="E201" s="8">
        <v>6</v>
      </c>
      <c r="F201" s="5">
        <v>2</v>
      </c>
      <c r="G201" s="5">
        <v>63</v>
      </c>
      <c r="H201" s="5">
        <v>0</v>
      </c>
      <c r="I201" s="5">
        <v>0</v>
      </c>
      <c r="J201" s="9">
        <v>0</v>
      </c>
      <c r="K201" s="8">
        <v>1</v>
      </c>
      <c r="L201" s="5">
        <v>11</v>
      </c>
      <c r="M201" s="5">
        <v>0</v>
      </c>
      <c r="N201" s="9">
        <v>0</v>
      </c>
      <c r="O201" s="8">
        <v>0</v>
      </c>
      <c r="P201" s="5">
        <v>0</v>
      </c>
      <c r="Q201" s="5">
        <v>0</v>
      </c>
      <c r="R201" s="9">
        <v>0</v>
      </c>
      <c r="S201" s="8">
        <v>0</v>
      </c>
      <c r="T201" s="5">
        <v>0</v>
      </c>
    </row>
    <row r="202" spans="1:20" x14ac:dyDescent="0.2">
      <c r="A202" s="5" t="s">
        <v>145</v>
      </c>
      <c r="B202" s="5" t="s">
        <v>75</v>
      </c>
      <c r="C202" s="17" t="s">
        <v>458</v>
      </c>
      <c r="D202" s="7">
        <f t="shared" si="0"/>
        <v>3.6000000000000005</v>
      </c>
      <c r="E202" s="8">
        <v>0</v>
      </c>
      <c r="F202" s="5">
        <v>0</v>
      </c>
      <c r="G202" s="5">
        <v>0</v>
      </c>
      <c r="H202" s="5">
        <v>0</v>
      </c>
      <c r="I202" s="5">
        <v>0</v>
      </c>
      <c r="J202" s="9">
        <v>0</v>
      </c>
      <c r="K202" s="8">
        <v>6</v>
      </c>
      <c r="L202" s="5">
        <v>19</v>
      </c>
      <c r="M202" s="5">
        <v>0</v>
      </c>
      <c r="N202" s="9">
        <v>0</v>
      </c>
      <c r="O202" s="8">
        <v>1</v>
      </c>
      <c r="P202" s="5">
        <v>7</v>
      </c>
      <c r="Q202" s="5">
        <v>0</v>
      </c>
      <c r="R202" s="9">
        <v>0</v>
      </c>
      <c r="S202" s="8">
        <v>0</v>
      </c>
      <c r="T202" s="5">
        <v>0</v>
      </c>
    </row>
    <row r="203" spans="1:20" x14ac:dyDescent="0.2">
      <c r="A203" s="5" t="s">
        <v>237</v>
      </c>
      <c r="B203" s="5" t="s">
        <v>162</v>
      </c>
      <c r="C203" s="17" t="s">
        <v>473</v>
      </c>
      <c r="D203" s="7">
        <f t="shared" si="0"/>
        <v>3.5</v>
      </c>
      <c r="E203" s="8">
        <v>0</v>
      </c>
      <c r="F203" s="5">
        <v>0</v>
      </c>
      <c r="G203" s="5">
        <v>0</v>
      </c>
      <c r="H203" s="5">
        <v>0</v>
      </c>
      <c r="I203" s="5">
        <v>0</v>
      </c>
      <c r="J203" s="9">
        <v>0</v>
      </c>
      <c r="K203" s="8">
        <v>0</v>
      </c>
      <c r="L203" s="5">
        <v>0</v>
      </c>
      <c r="M203" s="5">
        <v>0</v>
      </c>
      <c r="N203" s="9">
        <v>0</v>
      </c>
      <c r="O203" s="8">
        <v>3</v>
      </c>
      <c r="P203" s="5">
        <v>5</v>
      </c>
      <c r="Q203" s="5">
        <v>0</v>
      </c>
      <c r="R203" s="9">
        <v>0</v>
      </c>
      <c r="S203" s="8">
        <v>0</v>
      </c>
      <c r="T203" s="5">
        <v>0</v>
      </c>
    </row>
    <row r="204" spans="1:20" x14ac:dyDescent="0.2">
      <c r="A204" s="5" t="s">
        <v>50</v>
      </c>
      <c r="B204" s="5" t="s">
        <v>17</v>
      </c>
      <c r="C204" s="17" t="s">
        <v>460</v>
      </c>
      <c r="D204" s="7">
        <f t="shared" si="0"/>
        <v>3.4600000000000004</v>
      </c>
      <c r="E204" s="8">
        <v>23</v>
      </c>
      <c r="F204" s="5">
        <v>15</v>
      </c>
      <c r="G204" s="5">
        <v>114</v>
      </c>
      <c r="H204" s="5">
        <v>0</v>
      </c>
      <c r="I204" s="5">
        <v>1</v>
      </c>
      <c r="J204" s="9">
        <v>0</v>
      </c>
      <c r="K204" s="8">
        <v>2</v>
      </c>
      <c r="L204" s="5">
        <v>9</v>
      </c>
      <c r="M204" s="5">
        <v>0</v>
      </c>
      <c r="N204" s="9">
        <v>0</v>
      </c>
      <c r="O204" s="8">
        <v>0</v>
      </c>
      <c r="P204" s="5">
        <v>0</v>
      </c>
      <c r="Q204" s="5">
        <v>0</v>
      </c>
      <c r="R204" s="9">
        <v>0</v>
      </c>
      <c r="S204" s="8">
        <v>0</v>
      </c>
      <c r="T204" s="5">
        <v>0</v>
      </c>
    </row>
    <row r="205" spans="1:20" x14ac:dyDescent="0.2">
      <c r="A205" s="5" t="s">
        <v>380</v>
      </c>
      <c r="B205" s="5" t="s">
        <v>75</v>
      </c>
      <c r="C205" s="17" t="s">
        <v>465</v>
      </c>
      <c r="D205" s="7">
        <f t="shared" si="0"/>
        <v>3.4000000000000004</v>
      </c>
      <c r="E205" s="8">
        <v>0</v>
      </c>
      <c r="F205" s="5">
        <v>0</v>
      </c>
      <c r="G205" s="5">
        <v>0</v>
      </c>
      <c r="H205" s="5">
        <v>0</v>
      </c>
      <c r="I205" s="5">
        <v>0</v>
      </c>
      <c r="J205" s="9">
        <v>0</v>
      </c>
      <c r="K205" s="8">
        <v>0</v>
      </c>
      <c r="L205" s="5">
        <v>0</v>
      </c>
      <c r="M205" s="5">
        <v>0</v>
      </c>
      <c r="N205" s="9">
        <v>0</v>
      </c>
      <c r="O205" s="8">
        <v>2</v>
      </c>
      <c r="P205" s="5">
        <v>14</v>
      </c>
      <c r="Q205" s="5">
        <v>0</v>
      </c>
      <c r="R205" s="9">
        <v>0</v>
      </c>
      <c r="S205" s="8">
        <v>0</v>
      </c>
      <c r="T205" s="5">
        <v>0</v>
      </c>
    </row>
    <row r="206" spans="1:20" x14ac:dyDescent="0.2">
      <c r="A206" s="5" t="s">
        <v>91</v>
      </c>
      <c r="B206" s="5" t="s">
        <v>75</v>
      </c>
      <c r="C206" s="17" t="s">
        <v>463</v>
      </c>
      <c r="D206" s="7">
        <f t="shared" si="0"/>
        <v>3.3000000000000003</v>
      </c>
      <c r="E206" s="8">
        <v>0</v>
      </c>
      <c r="F206" s="5">
        <v>0</v>
      </c>
      <c r="G206" s="5">
        <v>0</v>
      </c>
      <c r="H206" s="5">
        <v>0</v>
      </c>
      <c r="I206" s="5">
        <v>0</v>
      </c>
      <c r="J206" s="9">
        <v>0</v>
      </c>
      <c r="K206" s="8">
        <v>3</v>
      </c>
      <c r="L206" s="5">
        <v>33</v>
      </c>
      <c r="M206" s="5">
        <v>0</v>
      </c>
      <c r="N206" s="9">
        <v>0</v>
      </c>
      <c r="O206" s="8">
        <v>0</v>
      </c>
      <c r="P206" s="5">
        <v>0</v>
      </c>
      <c r="Q206" s="5">
        <v>0</v>
      </c>
      <c r="R206" s="9">
        <v>0</v>
      </c>
      <c r="S206" s="8">
        <v>0</v>
      </c>
      <c r="T206" s="5">
        <v>0</v>
      </c>
    </row>
    <row r="207" spans="1:20" x14ac:dyDescent="0.2">
      <c r="A207" s="5" t="s">
        <v>118</v>
      </c>
      <c r="B207" s="5" t="s">
        <v>75</v>
      </c>
      <c r="C207" s="17" t="s">
        <v>459</v>
      </c>
      <c r="D207" s="7">
        <f t="shared" si="0"/>
        <v>3.3000000000000003</v>
      </c>
      <c r="E207" s="8">
        <v>0</v>
      </c>
      <c r="F207" s="5">
        <v>0</v>
      </c>
      <c r="G207" s="5">
        <v>0</v>
      </c>
      <c r="H207" s="5">
        <v>0</v>
      </c>
      <c r="I207" s="5">
        <v>0</v>
      </c>
      <c r="J207" s="9">
        <v>0</v>
      </c>
      <c r="K207" s="8">
        <v>0</v>
      </c>
      <c r="L207" s="5">
        <v>0</v>
      </c>
      <c r="M207" s="5">
        <v>0</v>
      </c>
      <c r="N207" s="9">
        <v>0</v>
      </c>
      <c r="O207" s="8">
        <v>1</v>
      </c>
      <c r="P207" s="5">
        <v>23</v>
      </c>
      <c r="Q207" s="5">
        <v>0</v>
      </c>
      <c r="R207" s="9">
        <v>0</v>
      </c>
      <c r="S207" s="8">
        <v>0</v>
      </c>
      <c r="T207" s="5">
        <v>0</v>
      </c>
    </row>
    <row r="208" spans="1:20" x14ac:dyDescent="0.2">
      <c r="A208" s="5" t="s">
        <v>451</v>
      </c>
      <c r="B208" s="5" t="s">
        <v>75</v>
      </c>
      <c r="C208" s="10" t="s">
        <v>457</v>
      </c>
      <c r="D208" s="7">
        <f t="shared" si="0"/>
        <v>3.3</v>
      </c>
      <c r="E208" s="8">
        <v>0</v>
      </c>
      <c r="F208" s="5">
        <v>0</v>
      </c>
      <c r="G208" s="5">
        <v>0</v>
      </c>
      <c r="H208" s="5">
        <v>0</v>
      </c>
      <c r="I208" s="5">
        <v>0</v>
      </c>
      <c r="J208" s="9">
        <v>0</v>
      </c>
      <c r="K208" s="8">
        <v>3</v>
      </c>
      <c r="L208" s="5">
        <v>10</v>
      </c>
      <c r="M208" s="5">
        <v>0</v>
      </c>
      <c r="N208" s="9">
        <v>0</v>
      </c>
      <c r="O208" s="8">
        <v>1</v>
      </c>
      <c r="P208" s="5">
        <v>13</v>
      </c>
      <c r="Q208" s="5">
        <v>0</v>
      </c>
      <c r="R208" s="9">
        <v>0</v>
      </c>
      <c r="S208" s="8">
        <v>0</v>
      </c>
      <c r="T208" s="5">
        <v>0</v>
      </c>
    </row>
    <row r="209" spans="1:20" x14ac:dyDescent="0.2">
      <c r="A209" s="5" t="s">
        <v>68</v>
      </c>
      <c r="B209" s="5" t="s">
        <v>69</v>
      </c>
      <c r="C209" s="10" t="s">
        <v>469</v>
      </c>
      <c r="D209" s="7">
        <f t="shared" si="0"/>
        <v>3.22</v>
      </c>
      <c r="E209" s="8">
        <v>1</v>
      </c>
      <c r="F209" s="5">
        <v>1</v>
      </c>
      <c r="G209" s="5">
        <v>13</v>
      </c>
      <c r="H209" s="5">
        <v>0</v>
      </c>
      <c r="I209" s="5">
        <v>0</v>
      </c>
      <c r="J209" s="9">
        <v>0</v>
      </c>
      <c r="K209" s="8">
        <v>4</v>
      </c>
      <c r="L209" s="5">
        <v>10</v>
      </c>
      <c r="M209" s="5">
        <v>0</v>
      </c>
      <c r="N209" s="9">
        <v>0</v>
      </c>
      <c r="O209" s="8">
        <v>1</v>
      </c>
      <c r="P209" s="5">
        <v>7</v>
      </c>
      <c r="Q209" s="5">
        <v>0</v>
      </c>
      <c r="R209" s="9">
        <v>0</v>
      </c>
      <c r="S209" s="8">
        <v>0</v>
      </c>
      <c r="T209" s="5">
        <v>0</v>
      </c>
    </row>
    <row r="210" spans="1:20" x14ac:dyDescent="0.2">
      <c r="A210" s="5" t="s">
        <v>369</v>
      </c>
      <c r="B210" s="5" t="s">
        <v>162</v>
      </c>
      <c r="C210" s="10" t="s">
        <v>460</v>
      </c>
      <c r="D210" s="7">
        <f t="shared" si="0"/>
        <v>3.2</v>
      </c>
      <c r="E210" s="8">
        <v>0</v>
      </c>
      <c r="F210" s="5">
        <v>0</v>
      </c>
      <c r="G210" s="5">
        <v>0</v>
      </c>
      <c r="H210" s="5">
        <v>0</v>
      </c>
      <c r="I210" s="5">
        <v>0</v>
      </c>
      <c r="J210" s="9">
        <v>0</v>
      </c>
      <c r="K210" s="8">
        <v>0</v>
      </c>
      <c r="L210" s="5">
        <v>0</v>
      </c>
      <c r="M210" s="5">
        <v>0</v>
      </c>
      <c r="N210" s="9">
        <v>0</v>
      </c>
      <c r="O210" s="8">
        <v>1</v>
      </c>
      <c r="P210" s="5">
        <v>22</v>
      </c>
      <c r="Q210" s="5">
        <v>0</v>
      </c>
      <c r="R210" s="9">
        <v>0</v>
      </c>
      <c r="S210" s="8">
        <v>0</v>
      </c>
      <c r="T210" s="5">
        <v>0</v>
      </c>
    </row>
    <row r="211" spans="1:20" x14ac:dyDescent="0.2">
      <c r="A211" s="5" t="s">
        <v>367</v>
      </c>
      <c r="B211" s="5" t="s">
        <v>162</v>
      </c>
      <c r="C211" s="17" t="s">
        <v>465</v>
      </c>
      <c r="D211" s="7">
        <f t="shared" si="0"/>
        <v>3.2</v>
      </c>
      <c r="E211" s="8">
        <v>0</v>
      </c>
      <c r="F211" s="5">
        <v>0</v>
      </c>
      <c r="G211" s="5">
        <v>0</v>
      </c>
      <c r="H211" s="5">
        <v>0</v>
      </c>
      <c r="I211" s="5">
        <v>0</v>
      </c>
      <c r="J211" s="9">
        <v>0</v>
      </c>
      <c r="K211" s="8">
        <v>0</v>
      </c>
      <c r="L211" s="5">
        <v>0</v>
      </c>
      <c r="M211" s="5">
        <v>0</v>
      </c>
      <c r="N211" s="9">
        <v>0</v>
      </c>
      <c r="O211" s="8">
        <v>2</v>
      </c>
      <c r="P211" s="5">
        <v>12</v>
      </c>
      <c r="Q211" s="5">
        <v>0</v>
      </c>
      <c r="R211" s="9">
        <v>0</v>
      </c>
      <c r="S211" s="8">
        <v>0</v>
      </c>
      <c r="T211" s="5">
        <v>0</v>
      </c>
    </row>
    <row r="212" spans="1:20" x14ac:dyDescent="0.2">
      <c r="A212" s="5" t="s">
        <v>41</v>
      </c>
      <c r="B212" s="5" t="s">
        <v>17</v>
      </c>
      <c r="C212" s="10" t="s">
        <v>469</v>
      </c>
      <c r="D212" s="7">
        <f t="shared" si="0"/>
        <v>3.1799999999999997</v>
      </c>
      <c r="E212" s="8">
        <v>37</v>
      </c>
      <c r="F212" s="5">
        <v>23</v>
      </c>
      <c r="G212" s="5">
        <v>127</v>
      </c>
      <c r="H212" s="5">
        <v>0</v>
      </c>
      <c r="I212" s="5">
        <v>0</v>
      </c>
      <c r="J212" s="9">
        <v>0</v>
      </c>
      <c r="K212" s="8">
        <v>2</v>
      </c>
      <c r="L212" s="5">
        <v>1</v>
      </c>
      <c r="M212" s="5">
        <v>0</v>
      </c>
      <c r="N212" s="9">
        <v>0</v>
      </c>
      <c r="O212" s="8">
        <v>0</v>
      </c>
      <c r="P212" s="5">
        <v>0</v>
      </c>
      <c r="Q212" s="5">
        <v>0</v>
      </c>
      <c r="R212" s="9">
        <v>0</v>
      </c>
      <c r="S212" s="8">
        <v>1</v>
      </c>
      <c r="T212" s="5">
        <v>0</v>
      </c>
    </row>
    <row r="213" spans="1:20" x14ac:dyDescent="0.2">
      <c r="A213" s="5" t="s">
        <v>481</v>
      </c>
      <c r="B213" s="5" t="s">
        <v>162</v>
      </c>
      <c r="C213" s="10" t="s">
        <v>464</v>
      </c>
      <c r="D213" s="7">
        <f t="shared" si="0"/>
        <v>3.1</v>
      </c>
      <c r="E213" s="8">
        <v>0</v>
      </c>
      <c r="F213" s="5">
        <v>0</v>
      </c>
      <c r="G213" s="5">
        <v>0</v>
      </c>
      <c r="H213" s="5">
        <v>0</v>
      </c>
      <c r="I213" s="5">
        <v>0</v>
      </c>
      <c r="J213" s="9">
        <v>0</v>
      </c>
      <c r="K213" s="8">
        <v>0</v>
      </c>
      <c r="L213" s="5">
        <v>0</v>
      </c>
      <c r="M213" s="5">
        <v>0</v>
      </c>
      <c r="N213" s="9">
        <v>0</v>
      </c>
      <c r="O213" s="8">
        <v>1</v>
      </c>
      <c r="P213" s="5">
        <v>21</v>
      </c>
      <c r="Q213" s="5">
        <v>0</v>
      </c>
      <c r="R213" s="9">
        <v>0</v>
      </c>
      <c r="S213" s="8">
        <v>0</v>
      </c>
      <c r="T213" s="5">
        <v>0</v>
      </c>
    </row>
    <row r="214" spans="1:20" x14ac:dyDescent="0.2">
      <c r="A214" s="5" t="s">
        <v>240</v>
      </c>
      <c r="B214" s="5" t="s">
        <v>162</v>
      </c>
      <c r="C214" s="10" t="s">
        <v>459</v>
      </c>
      <c r="D214" s="7">
        <f t="shared" si="0"/>
        <v>3</v>
      </c>
      <c r="E214" s="8">
        <v>0</v>
      </c>
      <c r="F214" s="5">
        <v>0</v>
      </c>
      <c r="G214" s="5">
        <v>0</v>
      </c>
      <c r="H214" s="5">
        <v>0</v>
      </c>
      <c r="I214" s="5">
        <v>0</v>
      </c>
      <c r="J214" s="9">
        <v>0</v>
      </c>
      <c r="K214" s="8">
        <v>0</v>
      </c>
      <c r="L214" s="5">
        <v>0</v>
      </c>
      <c r="M214" s="5">
        <v>0</v>
      </c>
      <c r="N214" s="9">
        <v>0</v>
      </c>
      <c r="O214" s="8">
        <v>2</v>
      </c>
      <c r="P214" s="5">
        <v>10</v>
      </c>
      <c r="Q214" s="5">
        <v>0</v>
      </c>
      <c r="R214" s="9">
        <v>0</v>
      </c>
      <c r="S214" s="8">
        <v>0</v>
      </c>
      <c r="T214" s="5">
        <v>0</v>
      </c>
    </row>
    <row r="215" spans="1:20" x14ac:dyDescent="0.2">
      <c r="A215" s="5" t="s">
        <v>346</v>
      </c>
      <c r="B215" s="5" t="s">
        <v>162</v>
      </c>
      <c r="C215" s="10" t="s">
        <v>473</v>
      </c>
      <c r="D215" s="7">
        <f t="shared" si="0"/>
        <v>3</v>
      </c>
      <c r="E215" s="8">
        <v>0</v>
      </c>
      <c r="F215" s="5">
        <v>0</v>
      </c>
      <c r="G215" s="5">
        <v>0</v>
      </c>
      <c r="H215" s="5">
        <v>0</v>
      </c>
      <c r="I215" s="5">
        <v>0</v>
      </c>
      <c r="J215" s="9">
        <v>0</v>
      </c>
      <c r="K215" s="8">
        <v>0</v>
      </c>
      <c r="L215" s="5">
        <v>0</v>
      </c>
      <c r="M215" s="5">
        <v>0</v>
      </c>
      <c r="N215" s="9">
        <v>0</v>
      </c>
      <c r="O215" s="8">
        <v>2</v>
      </c>
      <c r="P215" s="5">
        <v>10</v>
      </c>
      <c r="Q215" s="5">
        <v>0</v>
      </c>
      <c r="R215" s="9">
        <v>0</v>
      </c>
      <c r="S215" s="8">
        <v>0</v>
      </c>
      <c r="T215" s="5">
        <v>0</v>
      </c>
    </row>
    <row r="216" spans="1:20" x14ac:dyDescent="0.2">
      <c r="A216" s="5" t="s">
        <v>449</v>
      </c>
      <c r="B216" s="5" t="s">
        <v>69</v>
      </c>
      <c r="C216" s="10" t="s">
        <v>471</v>
      </c>
      <c r="D216" s="7">
        <f t="shared" si="0"/>
        <v>3</v>
      </c>
      <c r="E216" s="8">
        <v>0</v>
      </c>
      <c r="F216" s="5">
        <v>0</v>
      </c>
      <c r="G216" s="5">
        <v>0</v>
      </c>
      <c r="H216" s="5">
        <v>0</v>
      </c>
      <c r="I216" s="5">
        <v>0</v>
      </c>
      <c r="J216" s="9">
        <v>0</v>
      </c>
      <c r="K216" s="8">
        <v>0</v>
      </c>
      <c r="L216" s="5">
        <v>0</v>
      </c>
      <c r="M216" s="5">
        <v>0</v>
      </c>
      <c r="N216" s="9">
        <v>0</v>
      </c>
      <c r="O216" s="8">
        <v>2</v>
      </c>
      <c r="P216" s="5">
        <v>10</v>
      </c>
      <c r="Q216" s="5">
        <v>0</v>
      </c>
      <c r="R216" s="9">
        <v>0</v>
      </c>
      <c r="S216" s="8">
        <v>0</v>
      </c>
      <c r="T216" s="5">
        <v>0</v>
      </c>
    </row>
    <row r="217" spans="1:20" x14ac:dyDescent="0.2">
      <c r="A217" s="5" t="s">
        <v>127</v>
      </c>
      <c r="B217" s="5" t="s">
        <v>75</v>
      </c>
      <c r="C217" s="10" t="s">
        <v>459</v>
      </c>
      <c r="D217" s="7">
        <f t="shared" si="0"/>
        <v>2.9000000000000004</v>
      </c>
      <c r="E217" s="8">
        <v>0</v>
      </c>
      <c r="F217" s="5">
        <v>0</v>
      </c>
      <c r="G217" s="5">
        <v>0</v>
      </c>
      <c r="H217" s="5">
        <v>0</v>
      </c>
      <c r="I217" s="5">
        <v>0</v>
      </c>
      <c r="J217" s="9">
        <v>0</v>
      </c>
      <c r="K217" s="8">
        <v>6</v>
      </c>
      <c r="L217" s="5">
        <v>29</v>
      </c>
      <c r="M217" s="5">
        <v>0</v>
      </c>
      <c r="N217" s="9">
        <v>0</v>
      </c>
      <c r="O217" s="8">
        <v>0</v>
      </c>
      <c r="P217" s="5">
        <v>0</v>
      </c>
      <c r="Q217" s="5">
        <v>0</v>
      </c>
      <c r="R217" s="9">
        <v>0</v>
      </c>
      <c r="S217" s="8">
        <v>0</v>
      </c>
      <c r="T217" s="5">
        <v>0</v>
      </c>
    </row>
    <row r="218" spans="1:20" x14ac:dyDescent="0.2">
      <c r="A218" s="5" t="s">
        <v>482</v>
      </c>
      <c r="B218" s="5" t="s">
        <v>75</v>
      </c>
      <c r="C218" s="17" t="s">
        <v>469</v>
      </c>
      <c r="D218" s="7">
        <f t="shared" si="0"/>
        <v>2.9000000000000004</v>
      </c>
      <c r="E218" s="8">
        <v>0</v>
      </c>
      <c r="F218" s="5">
        <v>0</v>
      </c>
      <c r="G218" s="5">
        <v>0</v>
      </c>
      <c r="H218" s="5">
        <v>0</v>
      </c>
      <c r="I218" s="5">
        <v>0</v>
      </c>
      <c r="J218" s="9">
        <v>0</v>
      </c>
      <c r="K218" s="8">
        <v>9</v>
      </c>
      <c r="L218" s="5">
        <v>16</v>
      </c>
      <c r="M218" s="5">
        <v>0</v>
      </c>
      <c r="N218" s="9">
        <v>0</v>
      </c>
      <c r="O218" s="8">
        <v>1</v>
      </c>
      <c r="P218" s="5">
        <v>3</v>
      </c>
      <c r="Q218" s="5">
        <v>0</v>
      </c>
      <c r="R218" s="9">
        <v>0</v>
      </c>
      <c r="S218" s="8">
        <v>0</v>
      </c>
      <c r="T218" s="5">
        <v>0</v>
      </c>
    </row>
    <row r="219" spans="1:20" x14ac:dyDescent="0.2">
      <c r="A219" s="5" t="s">
        <v>245</v>
      </c>
      <c r="B219" s="5" t="s">
        <v>162</v>
      </c>
      <c r="C219" s="10" t="s">
        <v>466</v>
      </c>
      <c r="D219" s="7">
        <f t="shared" si="0"/>
        <v>2.9000000000000004</v>
      </c>
      <c r="E219" s="8">
        <v>0</v>
      </c>
      <c r="F219" s="5">
        <v>0</v>
      </c>
      <c r="G219" s="5">
        <v>0</v>
      </c>
      <c r="H219" s="5">
        <v>0</v>
      </c>
      <c r="I219" s="5">
        <v>0</v>
      </c>
      <c r="J219" s="9">
        <v>0</v>
      </c>
      <c r="K219" s="8">
        <v>1</v>
      </c>
      <c r="L219" s="5">
        <v>7</v>
      </c>
      <c r="M219" s="5">
        <v>0</v>
      </c>
      <c r="N219" s="9">
        <v>0</v>
      </c>
      <c r="O219" s="8">
        <v>1</v>
      </c>
      <c r="P219" s="5">
        <v>12</v>
      </c>
      <c r="Q219" s="5">
        <v>0</v>
      </c>
      <c r="R219" s="9">
        <v>0</v>
      </c>
      <c r="S219" s="8">
        <v>0</v>
      </c>
      <c r="T219" s="5">
        <v>0</v>
      </c>
    </row>
    <row r="220" spans="1:20" x14ac:dyDescent="0.2">
      <c r="A220" s="5" t="s">
        <v>131</v>
      </c>
      <c r="B220" s="5" t="s">
        <v>75</v>
      </c>
      <c r="C220" s="10" t="s">
        <v>473</v>
      </c>
      <c r="D220" s="7">
        <f t="shared" si="0"/>
        <v>2.9</v>
      </c>
      <c r="E220" s="8">
        <v>0</v>
      </c>
      <c r="F220" s="5">
        <v>0</v>
      </c>
      <c r="G220" s="5">
        <v>0</v>
      </c>
      <c r="H220" s="5">
        <v>0</v>
      </c>
      <c r="I220" s="5">
        <v>0</v>
      </c>
      <c r="J220" s="9">
        <v>0</v>
      </c>
      <c r="K220" s="8">
        <v>4</v>
      </c>
      <c r="L220" s="5">
        <v>9</v>
      </c>
      <c r="M220" s="5">
        <v>0</v>
      </c>
      <c r="N220" s="9">
        <v>0</v>
      </c>
      <c r="O220" s="8">
        <v>1</v>
      </c>
      <c r="P220" s="5">
        <v>10</v>
      </c>
      <c r="Q220" s="5">
        <v>0</v>
      </c>
      <c r="R220" s="9">
        <v>0</v>
      </c>
      <c r="S220" s="8">
        <v>0</v>
      </c>
      <c r="T220" s="5">
        <v>0</v>
      </c>
    </row>
    <row r="221" spans="1:20" x14ac:dyDescent="0.2">
      <c r="A221" s="5" t="s">
        <v>297</v>
      </c>
      <c r="B221" s="5" t="s">
        <v>69</v>
      </c>
      <c r="C221" s="10" t="s">
        <v>465</v>
      </c>
      <c r="D221" s="7">
        <f t="shared" si="0"/>
        <v>2.9</v>
      </c>
      <c r="E221" s="8">
        <v>0</v>
      </c>
      <c r="F221" s="5">
        <v>0</v>
      </c>
      <c r="G221" s="5">
        <v>0</v>
      </c>
      <c r="H221" s="5">
        <v>0</v>
      </c>
      <c r="I221" s="5">
        <v>0</v>
      </c>
      <c r="J221" s="9">
        <v>0</v>
      </c>
      <c r="K221" s="8">
        <v>0</v>
      </c>
      <c r="L221" s="5">
        <v>0</v>
      </c>
      <c r="M221" s="5">
        <v>0</v>
      </c>
      <c r="N221" s="9">
        <v>0</v>
      </c>
      <c r="O221" s="8">
        <v>2</v>
      </c>
      <c r="P221" s="5">
        <v>9</v>
      </c>
      <c r="Q221" s="5">
        <v>0</v>
      </c>
      <c r="R221" s="9">
        <v>0</v>
      </c>
      <c r="S221" s="8">
        <v>0</v>
      </c>
      <c r="T221" s="5">
        <v>0</v>
      </c>
    </row>
    <row r="222" spans="1:20" x14ac:dyDescent="0.2">
      <c r="A222" s="5" t="s">
        <v>107</v>
      </c>
      <c r="B222" s="5" t="s">
        <v>75</v>
      </c>
      <c r="C222" s="10" t="s">
        <v>467</v>
      </c>
      <c r="D222" s="7">
        <f t="shared" si="0"/>
        <v>2.8000000000000003</v>
      </c>
      <c r="E222" s="8">
        <v>0</v>
      </c>
      <c r="F222" s="5">
        <v>0</v>
      </c>
      <c r="G222" s="5">
        <v>0</v>
      </c>
      <c r="H222" s="5">
        <v>0</v>
      </c>
      <c r="I222" s="5">
        <v>0</v>
      </c>
      <c r="J222" s="9">
        <v>0</v>
      </c>
      <c r="K222" s="8">
        <v>5</v>
      </c>
      <c r="L222" s="5">
        <v>16</v>
      </c>
      <c r="M222" s="5">
        <v>0</v>
      </c>
      <c r="N222" s="9">
        <v>0</v>
      </c>
      <c r="O222" s="8">
        <v>1</v>
      </c>
      <c r="P222" s="5">
        <v>2</v>
      </c>
      <c r="Q222" s="5">
        <v>0</v>
      </c>
      <c r="R222" s="9">
        <v>0</v>
      </c>
      <c r="S222" s="8">
        <v>0</v>
      </c>
      <c r="T222" s="5">
        <v>0</v>
      </c>
    </row>
    <row r="223" spans="1:20" x14ac:dyDescent="0.2">
      <c r="A223" s="5" t="s">
        <v>441</v>
      </c>
      <c r="B223" s="5" t="s">
        <v>162</v>
      </c>
      <c r="C223" s="10" t="s">
        <v>467</v>
      </c>
      <c r="D223" s="7">
        <f t="shared" si="0"/>
        <v>2.8</v>
      </c>
      <c r="E223" s="8">
        <v>0</v>
      </c>
      <c r="F223" s="5">
        <v>0</v>
      </c>
      <c r="G223" s="5">
        <v>0</v>
      </c>
      <c r="H223" s="5">
        <v>0</v>
      </c>
      <c r="I223" s="5">
        <v>0</v>
      </c>
      <c r="J223" s="9">
        <v>0</v>
      </c>
      <c r="K223" s="8">
        <v>0</v>
      </c>
      <c r="L223" s="5">
        <v>0</v>
      </c>
      <c r="M223" s="5">
        <v>0</v>
      </c>
      <c r="N223" s="9">
        <v>0</v>
      </c>
      <c r="O223" s="8">
        <v>2</v>
      </c>
      <c r="P223" s="5">
        <v>8</v>
      </c>
      <c r="Q223" s="5">
        <v>0</v>
      </c>
      <c r="R223" s="9">
        <v>0</v>
      </c>
      <c r="S223" s="8">
        <v>0</v>
      </c>
      <c r="T223" s="5">
        <v>0</v>
      </c>
    </row>
    <row r="224" spans="1:20" x14ac:dyDescent="0.2">
      <c r="A224" s="5" t="s">
        <v>382</v>
      </c>
      <c r="B224" s="5" t="s">
        <v>162</v>
      </c>
      <c r="C224" s="17" t="s">
        <v>463</v>
      </c>
      <c r="D224" s="7">
        <f t="shared" si="0"/>
        <v>2.8</v>
      </c>
      <c r="E224" s="8">
        <v>0</v>
      </c>
      <c r="F224" s="5">
        <v>0</v>
      </c>
      <c r="G224" s="5">
        <v>0</v>
      </c>
      <c r="H224" s="5">
        <v>0</v>
      </c>
      <c r="I224" s="5">
        <v>0</v>
      </c>
      <c r="J224" s="9">
        <v>0</v>
      </c>
      <c r="K224" s="8">
        <v>0</v>
      </c>
      <c r="L224" s="5">
        <v>0</v>
      </c>
      <c r="M224" s="5">
        <v>0</v>
      </c>
      <c r="N224" s="9">
        <v>0</v>
      </c>
      <c r="O224" s="8">
        <v>2</v>
      </c>
      <c r="P224" s="5">
        <v>8</v>
      </c>
      <c r="Q224" s="5">
        <v>0</v>
      </c>
      <c r="R224" s="9">
        <v>0</v>
      </c>
      <c r="S224" s="8">
        <v>0</v>
      </c>
      <c r="T224" s="5">
        <v>0</v>
      </c>
    </row>
    <row r="225" spans="1:20" x14ac:dyDescent="0.2">
      <c r="A225" s="5" t="s">
        <v>253</v>
      </c>
      <c r="B225" s="5" t="s">
        <v>162</v>
      </c>
      <c r="C225" s="10" t="s">
        <v>465</v>
      </c>
      <c r="D225" s="7">
        <f t="shared" si="0"/>
        <v>2.8</v>
      </c>
      <c r="E225" s="8">
        <v>0</v>
      </c>
      <c r="F225" s="5">
        <v>0</v>
      </c>
      <c r="G225" s="5">
        <v>0</v>
      </c>
      <c r="H225" s="5">
        <v>0</v>
      </c>
      <c r="I225" s="5">
        <v>0</v>
      </c>
      <c r="J225" s="9">
        <v>0</v>
      </c>
      <c r="K225" s="8">
        <v>0</v>
      </c>
      <c r="L225" s="5">
        <v>0</v>
      </c>
      <c r="M225" s="5">
        <v>0</v>
      </c>
      <c r="N225" s="9">
        <v>0</v>
      </c>
      <c r="O225" s="8">
        <v>1</v>
      </c>
      <c r="P225" s="5">
        <v>18</v>
      </c>
      <c r="Q225" s="5">
        <v>0</v>
      </c>
      <c r="R225" s="9">
        <v>0</v>
      </c>
      <c r="S225" s="8">
        <v>0</v>
      </c>
      <c r="T225" s="5">
        <v>0</v>
      </c>
    </row>
    <row r="226" spans="1:20" x14ac:dyDescent="0.2">
      <c r="A226" s="5" t="s">
        <v>442</v>
      </c>
      <c r="B226" s="5" t="s">
        <v>69</v>
      </c>
      <c r="C226" s="17" t="s">
        <v>464</v>
      </c>
      <c r="D226" s="7">
        <f t="shared" si="0"/>
        <v>2.8</v>
      </c>
      <c r="E226" s="8">
        <v>0</v>
      </c>
      <c r="F226" s="5">
        <v>0</v>
      </c>
      <c r="G226" s="5">
        <v>0</v>
      </c>
      <c r="H226" s="5">
        <v>0</v>
      </c>
      <c r="I226" s="5">
        <v>0</v>
      </c>
      <c r="J226" s="9">
        <v>0</v>
      </c>
      <c r="K226" s="8">
        <v>0</v>
      </c>
      <c r="L226" s="5">
        <v>0</v>
      </c>
      <c r="M226" s="5">
        <v>0</v>
      </c>
      <c r="N226" s="9">
        <v>0</v>
      </c>
      <c r="O226" s="8">
        <v>2</v>
      </c>
      <c r="P226" s="5">
        <v>8</v>
      </c>
      <c r="Q226" s="5">
        <v>0</v>
      </c>
      <c r="R226" s="9">
        <v>0</v>
      </c>
      <c r="S226" s="8">
        <v>0</v>
      </c>
      <c r="T226" s="5">
        <v>0</v>
      </c>
    </row>
    <row r="227" spans="1:20" x14ac:dyDescent="0.2">
      <c r="A227" s="5" t="s">
        <v>134</v>
      </c>
      <c r="B227" s="5" t="s">
        <v>75</v>
      </c>
      <c r="C227" s="10" t="s">
        <v>472</v>
      </c>
      <c r="D227" s="7">
        <f t="shared" si="0"/>
        <v>2.7</v>
      </c>
      <c r="E227" s="8">
        <v>0</v>
      </c>
      <c r="F227" s="5">
        <v>0</v>
      </c>
      <c r="G227" s="5">
        <v>0</v>
      </c>
      <c r="H227" s="5">
        <v>0</v>
      </c>
      <c r="I227" s="5">
        <v>0</v>
      </c>
      <c r="J227" s="9">
        <v>0</v>
      </c>
      <c r="K227" s="8">
        <v>3</v>
      </c>
      <c r="L227" s="5">
        <v>9</v>
      </c>
      <c r="M227" s="5">
        <v>0</v>
      </c>
      <c r="N227" s="9">
        <v>0</v>
      </c>
      <c r="O227" s="8">
        <v>1</v>
      </c>
      <c r="P227" s="5">
        <v>8</v>
      </c>
      <c r="Q227" s="5">
        <v>0</v>
      </c>
      <c r="R227" s="9">
        <v>0</v>
      </c>
      <c r="S227" s="8">
        <v>0</v>
      </c>
      <c r="T227" s="5">
        <v>0</v>
      </c>
    </row>
    <row r="228" spans="1:20" x14ac:dyDescent="0.2">
      <c r="A228" s="5" t="s">
        <v>483</v>
      </c>
      <c r="B228" s="5" t="s">
        <v>162</v>
      </c>
      <c r="C228" s="17" t="s">
        <v>468</v>
      </c>
      <c r="D228" s="7">
        <f t="shared" si="0"/>
        <v>2.7</v>
      </c>
      <c r="E228" s="8">
        <v>0</v>
      </c>
      <c r="F228" s="5">
        <v>0</v>
      </c>
      <c r="G228" s="5">
        <v>0</v>
      </c>
      <c r="H228" s="5">
        <v>0</v>
      </c>
      <c r="I228" s="5">
        <v>0</v>
      </c>
      <c r="J228" s="9">
        <v>0</v>
      </c>
      <c r="K228" s="8">
        <v>0</v>
      </c>
      <c r="L228" s="5">
        <v>0</v>
      </c>
      <c r="M228" s="5">
        <v>0</v>
      </c>
      <c r="N228" s="9">
        <v>0</v>
      </c>
      <c r="O228" s="8">
        <v>1</v>
      </c>
      <c r="P228" s="5">
        <v>17</v>
      </c>
      <c r="Q228" s="5">
        <v>0</v>
      </c>
      <c r="R228" s="9">
        <v>0</v>
      </c>
      <c r="S228" s="8">
        <v>0</v>
      </c>
      <c r="T228" s="5">
        <v>0</v>
      </c>
    </row>
    <row r="229" spans="1:20" x14ac:dyDescent="0.2">
      <c r="A229" s="5" t="s">
        <v>484</v>
      </c>
      <c r="B229" s="5" t="s">
        <v>162</v>
      </c>
      <c r="C229" s="10" t="s">
        <v>467</v>
      </c>
      <c r="D229" s="7">
        <f t="shared" si="0"/>
        <v>2.6999999999999997</v>
      </c>
      <c r="E229" s="8">
        <v>0</v>
      </c>
      <c r="F229" s="5">
        <v>0</v>
      </c>
      <c r="G229" s="5">
        <v>0</v>
      </c>
      <c r="H229" s="5">
        <v>0</v>
      </c>
      <c r="I229" s="5">
        <v>0</v>
      </c>
      <c r="J229" s="9">
        <v>0</v>
      </c>
      <c r="K229" s="8">
        <v>2</v>
      </c>
      <c r="L229" s="5">
        <v>13</v>
      </c>
      <c r="M229" s="5">
        <v>0</v>
      </c>
      <c r="N229" s="9">
        <v>0</v>
      </c>
      <c r="O229" s="8">
        <v>1</v>
      </c>
      <c r="P229" s="5">
        <v>4</v>
      </c>
      <c r="Q229" s="5">
        <v>0</v>
      </c>
      <c r="R229" s="9">
        <v>0</v>
      </c>
      <c r="S229" s="8">
        <v>0</v>
      </c>
      <c r="T229" s="5">
        <v>0</v>
      </c>
    </row>
    <row r="230" spans="1:20" x14ac:dyDescent="0.2">
      <c r="A230" s="5" t="s">
        <v>218</v>
      </c>
      <c r="B230" s="5" t="s">
        <v>162</v>
      </c>
      <c r="C230" s="10" t="s">
        <v>463</v>
      </c>
      <c r="D230" s="7">
        <f t="shared" si="0"/>
        <v>2.6</v>
      </c>
      <c r="E230" s="8">
        <v>0</v>
      </c>
      <c r="F230" s="5">
        <v>0</v>
      </c>
      <c r="G230" s="5">
        <v>0</v>
      </c>
      <c r="H230" s="5">
        <v>0</v>
      </c>
      <c r="I230" s="5">
        <v>0</v>
      </c>
      <c r="J230" s="9">
        <v>0</v>
      </c>
      <c r="K230" s="8">
        <v>0</v>
      </c>
      <c r="L230" s="5">
        <v>0</v>
      </c>
      <c r="M230" s="5">
        <v>0</v>
      </c>
      <c r="N230" s="9">
        <v>0</v>
      </c>
      <c r="O230" s="8">
        <v>1</v>
      </c>
      <c r="P230" s="5">
        <v>16</v>
      </c>
      <c r="Q230" s="5">
        <v>0</v>
      </c>
      <c r="R230" s="9">
        <v>0</v>
      </c>
      <c r="S230" s="8">
        <v>0</v>
      </c>
      <c r="T230" s="5">
        <v>0</v>
      </c>
    </row>
    <row r="231" spans="1:20" x14ac:dyDescent="0.2">
      <c r="A231" s="5" t="s">
        <v>224</v>
      </c>
      <c r="B231" s="5" t="s">
        <v>162</v>
      </c>
      <c r="C231" s="17" t="s">
        <v>466</v>
      </c>
      <c r="D231" s="7">
        <f t="shared" si="0"/>
        <v>2.6</v>
      </c>
      <c r="E231" s="8">
        <v>0</v>
      </c>
      <c r="F231" s="5">
        <v>0</v>
      </c>
      <c r="G231" s="5">
        <v>0</v>
      </c>
      <c r="H231" s="5">
        <v>0</v>
      </c>
      <c r="I231" s="5">
        <v>0</v>
      </c>
      <c r="J231" s="9">
        <v>0</v>
      </c>
      <c r="K231" s="8">
        <v>0</v>
      </c>
      <c r="L231" s="5">
        <v>0</v>
      </c>
      <c r="M231" s="5">
        <v>0</v>
      </c>
      <c r="N231" s="9">
        <v>0</v>
      </c>
      <c r="O231" s="8">
        <v>1</v>
      </c>
      <c r="P231" s="5">
        <v>16</v>
      </c>
      <c r="Q231" s="5">
        <v>0</v>
      </c>
      <c r="R231" s="9">
        <v>0</v>
      </c>
      <c r="S231" s="8">
        <v>0</v>
      </c>
      <c r="T231" s="5">
        <v>0</v>
      </c>
    </row>
    <row r="232" spans="1:20" x14ac:dyDescent="0.2">
      <c r="A232" s="5" t="s">
        <v>485</v>
      </c>
      <c r="B232" s="5" t="s">
        <v>162</v>
      </c>
      <c r="C232" s="17" t="s">
        <v>459</v>
      </c>
      <c r="D232" s="7">
        <f t="shared" si="0"/>
        <v>2.6</v>
      </c>
      <c r="E232" s="8">
        <v>0</v>
      </c>
      <c r="F232" s="5">
        <v>0</v>
      </c>
      <c r="G232" s="5">
        <v>0</v>
      </c>
      <c r="H232" s="5">
        <v>0</v>
      </c>
      <c r="I232" s="5">
        <v>0</v>
      </c>
      <c r="J232" s="9">
        <v>0</v>
      </c>
      <c r="K232" s="8">
        <v>0</v>
      </c>
      <c r="L232" s="5">
        <v>0</v>
      </c>
      <c r="M232" s="5">
        <v>0</v>
      </c>
      <c r="N232" s="9">
        <v>0</v>
      </c>
      <c r="O232" s="8">
        <v>1</v>
      </c>
      <c r="P232" s="5">
        <v>16</v>
      </c>
      <c r="Q232" s="5">
        <v>0</v>
      </c>
      <c r="R232" s="9">
        <v>0</v>
      </c>
      <c r="S232" s="8">
        <v>0</v>
      </c>
      <c r="T232" s="5">
        <v>0</v>
      </c>
    </row>
    <row r="233" spans="1:20" x14ac:dyDescent="0.2">
      <c r="A233" s="5" t="s">
        <v>82</v>
      </c>
      <c r="B233" s="5" t="s">
        <v>75</v>
      </c>
      <c r="C233" s="10" t="s">
        <v>464</v>
      </c>
      <c r="D233" s="7">
        <f t="shared" si="0"/>
        <v>2.5</v>
      </c>
      <c r="E233" s="8">
        <v>0</v>
      </c>
      <c r="F233" s="5">
        <v>0</v>
      </c>
      <c r="G233" s="5">
        <v>0</v>
      </c>
      <c r="H233" s="5">
        <v>0</v>
      </c>
      <c r="I233" s="5">
        <v>0</v>
      </c>
      <c r="J233" s="9">
        <v>0</v>
      </c>
      <c r="K233" s="8">
        <v>5</v>
      </c>
      <c r="L233" s="5">
        <v>13</v>
      </c>
      <c r="M233" s="5">
        <v>0</v>
      </c>
      <c r="N233" s="9">
        <v>0</v>
      </c>
      <c r="O233" s="8">
        <v>1</v>
      </c>
      <c r="P233" s="5">
        <v>2</v>
      </c>
      <c r="Q233" s="5">
        <v>0</v>
      </c>
      <c r="R233" s="9">
        <v>0</v>
      </c>
      <c r="S233" s="8">
        <v>0</v>
      </c>
      <c r="T233" s="5">
        <v>0</v>
      </c>
    </row>
    <row r="234" spans="1:20" x14ac:dyDescent="0.2">
      <c r="A234" s="5" t="s">
        <v>384</v>
      </c>
      <c r="B234" s="5" t="s">
        <v>162</v>
      </c>
      <c r="C234" s="17" t="s">
        <v>458</v>
      </c>
      <c r="D234" s="7">
        <f t="shared" si="0"/>
        <v>2.5</v>
      </c>
      <c r="E234" s="8">
        <v>0</v>
      </c>
      <c r="F234" s="5">
        <v>0</v>
      </c>
      <c r="G234" s="5">
        <v>0</v>
      </c>
      <c r="H234" s="5">
        <v>0</v>
      </c>
      <c r="I234" s="5">
        <v>0</v>
      </c>
      <c r="J234" s="9">
        <v>0</v>
      </c>
      <c r="K234" s="8">
        <v>0</v>
      </c>
      <c r="L234" s="5">
        <v>0</v>
      </c>
      <c r="M234" s="5">
        <v>0</v>
      </c>
      <c r="N234" s="9">
        <v>0</v>
      </c>
      <c r="O234" s="8">
        <v>1</v>
      </c>
      <c r="P234" s="5">
        <v>15</v>
      </c>
      <c r="Q234" s="5">
        <v>0</v>
      </c>
      <c r="R234" s="9">
        <v>0</v>
      </c>
      <c r="S234" s="8">
        <v>0</v>
      </c>
      <c r="T234" s="5">
        <v>0</v>
      </c>
    </row>
    <row r="235" spans="1:20" x14ac:dyDescent="0.2">
      <c r="A235" s="5" t="s">
        <v>486</v>
      </c>
      <c r="B235" s="5" t="s">
        <v>69</v>
      </c>
      <c r="C235" s="10" t="s">
        <v>461</v>
      </c>
      <c r="D235" s="7">
        <f t="shared" si="0"/>
        <v>2.5</v>
      </c>
      <c r="E235" s="8">
        <v>0</v>
      </c>
      <c r="F235" s="5">
        <v>0</v>
      </c>
      <c r="G235" s="5">
        <v>0</v>
      </c>
      <c r="H235" s="5">
        <v>0</v>
      </c>
      <c r="I235" s="5">
        <v>0</v>
      </c>
      <c r="J235" s="9">
        <v>0</v>
      </c>
      <c r="K235" s="8">
        <v>0</v>
      </c>
      <c r="L235" s="5">
        <v>0</v>
      </c>
      <c r="M235" s="5">
        <v>0</v>
      </c>
      <c r="N235" s="9">
        <v>0</v>
      </c>
      <c r="O235" s="8">
        <v>2</v>
      </c>
      <c r="P235" s="5">
        <v>5</v>
      </c>
      <c r="Q235" s="5">
        <v>0</v>
      </c>
      <c r="R235" s="9">
        <v>0</v>
      </c>
      <c r="S235" s="8">
        <v>0</v>
      </c>
      <c r="T235" s="5">
        <v>0</v>
      </c>
    </row>
    <row r="236" spans="1:20" x14ac:dyDescent="0.2">
      <c r="A236" s="5" t="s">
        <v>487</v>
      </c>
      <c r="B236" s="5" t="s">
        <v>75</v>
      </c>
      <c r="C236" s="17" t="s">
        <v>463</v>
      </c>
      <c r="D236" s="7">
        <f t="shared" si="0"/>
        <v>2.4000000000000004</v>
      </c>
      <c r="E236" s="8">
        <v>0</v>
      </c>
      <c r="F236" s="5">
        <v>0</v>
      </c>
      <c r="G236" s="5">
        <v>0</v>
      </c>
      <c r="H236" s="5">
        <v>0</v>
      </c>
      <c r="I236" s="5">
        <v>0</v>
      </c>
      <c r="J236" s="9">
        <v>0</v>
      </c>
      <c r="K236" s="8">
        <v>0</v>
      </c>
      <c r="L236" s="5">
        <v>0</v>
      </c>
      <c r="M236" s="5">
        <v>0</v>
      </c>
      <c r="N236" s="9">
        <v>0</v>
      </c>
      <c r="O236" s="8">
        <v>1</v>
      </c>
      <c r="P236" s="5">
        <v>14</v>
      </c>
      <c r="Q236" s="5">
        <v>0</v>
      </c>
      <c r="R236" s="9">
        <v>0</v>
      </c>
      <c r="S236" s="8">
        <v>0</v>
      </c>
      <c r="T236" s="5">
        <v>0</v>
      </c>
    </row>
    <row r="237" spans="1:20" x14ac:dyDescent="0.2">
      <c r="A237" s="5" t="s">
        <v>216</v>
      </c>
      <c r="B237" s="5" t="s">
        <v>162</v>
      </c>
      <c r="C237" s="17" t="s">
        <v>472</v>
      </c>
      <c r="D237" s="7">
        <f t="shared" si="0"/>
        <v>2.4000000000000004</v>
      </c>
      <c r="E237" s="8">
        <v>0</v>
      </c>
      <c r="F237" s="5">
        <v>0</v>
      </c>
      <c r="G237" s="5">
        <v>0</v>
      </c>
      <c r="H237" s="5">
        <v>0</v>
      </c>
      <c r="I237" s="5">
        <v>0</v>
      </c>
      <c r="J237" s="9">
        <v>0</v>
      </c>
      <c r="K237" s="8">
        <v>0</v>
      </c>
      <c r="L237" s="5">
        <v>0</v>
      </c>
      <c r="M237" s="5">
        <v>0</v>
      </c>
      <c r="N237" s="9">
        <v>0</v>
      </c>
      <c r="O237" s="8">
        <v>1</v>
      </c>
      <c r="P237" s="5">
        <v>14</v>
      </c>
      <c r="Q237" s="5">
        <v>0</v>
      </c>
      <c r="R237" s="9">
        <v>0</v>
      </c>
      <c r="S237" s="8">
        <v>0</v>
      </c>
      <c r="T237" s="5">
        <v>0</v>
      </c>
    </row>
    <row r="238" spans="1:20" x14ac:dyDescent="0.2">
      <c r="A238" s="5" t="s">
        <v>74</v>
      </c>
      <c r="B238" s="5" t="s">
        <v>75</v>
      </c>
      <c r="C238" s="10" t="s">
        <v>461</v>
      </c>
      <c r="D238" s="7">
        <f t="shared" si="0"/>
        <v>2.4</v>
      </c>
      <c r="E238" s="8">
        <v>0</v>
      </c>
      <c r="F238" s="5">
        <v>0</v>
      </c>
      <c r="G238" s="5">
        <v>0</v>
      </c>
      <c r="H238" s="5">
        <v>0</v>
      </c>
      <c r="I238" s="5">
        <v>0</v>
      </c>
      <c r="J238" s="9">
        <v>0</v>
      </c>
      <c r="K238" s="8">
        <v>5</v>
      </c>
      <c r="L238" s="5">
        <v>18</v>
      </c>
      <c r="M238" s="5">
        <v>0</v>
      </c>
      <c r="N238" s="9">
        <v>0</v>
      </c>
      <c r="O238" s="8">
        <v>1</v>
      </c>
      <c r="P238" s="5">
        <v>-4</v>
      </c>
      <c r="Q238" s="5">
        <v>0</v>
      </c>
      <c r="R238" s="9">
        <v>0</v>
      </c>
      <c r="S238" s="8">
        <v>0</v>
      </c>
      <c r="T238" s="5">
        <v>0</v>
      </c>
    </row>
    <row r="239" spans="1:20" x14ac:dyDescent="0.2">
      <c r="A239" s="5" t="s">
        <v>124</v>
      </c>
      <c r="B239" s="5" t="s">
        <v>75</v>
      </c>
      <c r="C239" s="17" t="s">
        <v>467</v>
      </c>
      <c r="D239" s="7">
        <f t="shared" si="0"/>
        <v>2.3000000000000003</v>
      </c>
      <c r="E239" s="8">
        <v>0</v>
      </c>
      <c r="F239" s="5">
        <v>0</v>
      </c>
      <c r="G239" s="5">
        <v>0</v>
      </c>
      <c r="H239" s="5">
        <v>0</v>
      </c>
      <c r="I239" s="5">
        <v>0</v>
      </c>
      <c r="J239" s="9">
        <v>0</v>
      </c>
      <c r="K239" s="8">
        <v>3</v>
      </c>
      <c r="L239" s="5">
        <v>12</v>
      </c>
      <c r="M239" s="5">
        <v>0</v>
      </c>
      <c r="N239" s="9">
        <v>0</v>
      </c>
      <c r="O239" s="8">
        <v>1</v>
      </c>
      <c r="P239" s="5">
        <v>1</v>
      </c>
      <c r="Q239" s="5">
        <v>0</v>
      </c>
      <c r="R239" s="9">
        <v>0</v>
      </c>
      <c r="S239" s="8">
        <v>0</v>
      </c>
      <c r="T239" s="5">
        <v>0</v>
      </c>
    </row>
    <row r="240" spans="1:20" x14ac:dyDescent="0.2">
      <c r="A240" s="5" t="s">
        <v>488</v>
      </c>
      <c r="B240" s="5" t="s">
        <v>17</v>
      </c>
      <c r="C240" s="17" t="s">
        <v>472</v>
      </c>
      <c r="D240" s="7">
        <f t="shared" si="0"/>
        <v>2.2800000000000002</v>
      </c>
      <c r="E240" s="8">
        <v>9</v>
      </c>
      <c r="F240" s="5">
        <v>4</v>
      </c>
      <c r="G240" s="5">
        <v>57</v>
      </c>
      <c r="H240" s="5">
        <v>0</v>
      </c>
      <c r="I240" s="5">
        <v>0</v>
      </c>
      <c r="J240" s="9">
        <v>0</v>
      </c>
      <c r="K240" s="8">
        <v>0</v>
      </c>
      <c r="L240" s="5">
        <v>0</v>
      </c>
      <c r="M240" s="5">
        <v>0</v>
      </c>
      <c r="N240" s="9">
        <v>0</v>
      </c>
      <c r="O240" s="8">
        <v>0</v>
      </c>
      <c r="P240" s="5">
        <v>0</v>
      </c>
      <c r="Q240" s="5">
        <v>0</v>
      </c>
      <c r="R240" s="9">
        <v>0</v>
      </c>
      <c r="S240" s="8">
        <v>0</v>
      </c>
      <c r="T240" s="5">
        <v>0</v>
      </c>
    </row>
    <row r="241" spans="1:20" x14ac:dyDescent="0.2">
      <c r="A241" s="5" t="s">
        <v>78</v>
      </c>
      <c r="B241" s="5" t="s">
        <v>75</v>
      </c>
      <c r="C241" s="17" t="s">
        <v>471</v>
      </c>
      <c r="D241" s="7">
        <f t="shared" si="0"/>
        <v>2.2000000000000002</v>
      </c>
      <c r="E241" s="8">
        <v>0</v>
      </c>
      <c r="F241" s="5">
        <v>0</v>
      </c>
      <c r="G241" s="5">
        <v>0</v>
      </c>
      <c r="H241" s="5">
        <v>0</v>
      </c>
      <c r="I241" s="5">
        <v>0</v>
      </c>
      <c r="J241" s="9">
        <v>0</v>
      </c>
      <c r="K241" s="8">
        <v>7</v>
      </c>
      <c r="L241" s="5">
        <v>16</v>
      </c>
      <c r="M241" s="5">
        <v>0</v>
      </c>
      <c r="N241" s="9">
        <v>0</v>
      </c>
      <c r="O241" s="8">
        <v>1</v>
      </c>
      <c r="P241" s="5">
        <v>-4</v>
      </c>
      <c r="Q241" s="5">
        <v>0</v>
      </c>
      <c r="R241" s="9">
        <v>0</v>
      </c>
      <c r="S241" s="8">
        <v>0</v>
      </c>
      <c r="T241" s="5">
        <v>0</v>
      </c>
    </row>
    <row r="242" spans="1:20" x14ac:dyDescent="0.2">
      <c r="A242" s="5" t="s">
        <v>489</v>
      </c>
      <c r="B242" s="5" t="s">
        <v>75</v>
      </c>
      <c r="C242" s="17" t="s">
        <v>465</v>
      </c>
      <c r="D242" s="7">
        <f t="shared" si="0"/>
        <v>2.2000000000000002</v>
      </c>
      <c r="E242" s="8">
        <v>0</v>
      </c>
      <c r="F242" s="5">
        <v>0</v>
      </c>
      <c r="G242" s="5">
        <v>0</v>
      </c>
      <c r="H242" s="5">
        <v>0</v>
      </c>
      <c r="I242" s="5">
        <v>0</v>
      </c>
      <c r="J242" s="9">
        <v>0</v>
      </c>
      <c r="K242" s="8">
        <v>0</v>
      </c>
      <c r="L242" s="5">
        <v>0</v>
      </c>
      <c r="M242" s="5">
        <v>0</v>
      </c>
      <c r="N242" s="9">
        <v>0</v>
      </c>
      <c r="O242" s="8">
        <v>1</v>
      </c>
      <c r="P242" s="5">
        <v>12</v>
      </c>
      <c r="Q242" s="5">
        <v>0</v>
      </c>
      <c r="R242" s="9">
        <v>0</v>
      </c>
      <c r="S242" s="8">
        <v>0</v>
      </c>
      <c r="T242" s="5">
        <v>0</v>
      </c>
    </row>
    <row r="243" spans="1:20" x14ac:dyDescent="0.2">
      <c r="A243" s="5" t="s">
        <v>288</v>
      </c>
      <c r="B243" s="5" t="s">
        <v>69</v>
      </c>
      <c r="C243" s="17" t="s">
        <v>472</v>
      </c>
      <c r="D243" s="7">
        <f t="shared" si="0"/>
        <v>2.2000000000000002</v>
      </c>
      <c r="E243" s="8">
        <v>0</v>
      </c>
      <c r="F243" s="5">
        <v>0</v>
      </c>
      <c r="G243" s="5">
        <v>0</v>
      </c>
      <c r="H243" s="5">
        <v>0</v>
      </c>
      <c r="I243" s="5">
        <v>0</v>
      </c>
      <c r="J243" s="9">
        <v>0</v>
      </c>
      <c r="K243" s="8">
        <v>0</v>
      </c>
      <c r="L243" s="5">
        <v>0</v>
      </c>
      <c r="M243" s="5">
        <v>0</v>
      </c>
      <c r="N243" s="9">
        <v>0</v>
      </c>
      <c r="O243" s="8">
        <v>1</v>
      </c>
      <c r="P243" s="5">
        <v>12</v>
      </c>
      <c r="Q243" s="5">
        <v>0</v>
      </c>
      <c r="R243" s="9">
        <v>0</v>
      </c>
      <c r="S243" s="8">
        <v>0</v>
      </c>
      <c r="T243" s="5">
        <v>0</v>
      </c>
    </row>
    <row r="244" spans="1:20" x14ac:dyDescent="0.2">
      <c r="A244" s="5" t="s">
        <v>295</v>
      </c>
      <c r="B244" s="5" t="s">
        <v>69</v>
      </c>
      <c r="C244" s="10" t="s">
        <v>459</v>
      </c>
      <c r="D244" s="7">
        <f t="shared" si="0"/>
        <v>2.2000000000000002</v>
      </c>
      <c r="E244" s="8">
        <v>0</v>
      </c>
      <c r="F244" s="5">
        <v>0</v>
      </c>
      <c r="G244" s="5">
        <v>0</v>
      </c>
      <c r="H244" s="5">
        <v>0</v>
      </c>
      <c r="I244" s="5">
        <v>0</v>
      </c>
      <c r="J244" s="9">
        <v>0</v>
      </c>
      <c r="K244" s="8">
        <v>0</v>
      </c>
      <c r="L244" s="5">
        <v>0</v>
      </c>
      <c r="M244" s="5">
        <v>0</v>
      </c>
      <c r="N244" s="9">
        <v>0</v>
      </c>
      <c r="O244" s="8">
        <v>1</v>
      </c>
      <c r="P244" s="5">
        <v>12</v>
      </c>
      <c r="Q244" s="5">
        <v>0</v>
      </c>
      <c r="R244" s="9">
        <v>0</v>
      </c>
      <c r="S244" s="8">
        <v>0</v>
      </c>
      <c r="T244" s="5">
        <v>0</v>
      </c>
    </row>
    <row r="245" spans="1:20" x14ac:dyDescent="0.2">
      <c r="A245" s="5" t="s">
        <v>159</v>
      </c>
      <c r="B245" s="5" t="s">
        <v>75</v>
      </c>
      <c r="C245" s="10" t="s">
        <v>472</v>
      </c>
      <c r="D245" s="7">
        <f t="shared" si="0"/>
        <v>2.1</v>
      </c>
      <c r="E245" s="8">
        <v>0</v>
      </c>
      <c r="F245" s="5">
        <v>0</v>
      </c>
      <c r="G245" s="5">
        <v>0</v>
      </c>
      <c r="H245" s="5">
        <v>0</v>
      </c>
      <c r="I245" s="5">
        <v>0</v>
      </c>
      <c r="J245" s="9">
        <v>0</v>
      </c>
      <c r="K245" s="8">
        <v>8</v>
      </c>
      <c r="L245" s="5">
        <v>9</v>
      </c>
      <c r="M245" s="5">
        <v>0</v>
      </c>
      <c r="N245" s="9">
        <v>0</v>
      </c>
      <c r="O245" s="8">
        <v>1</v>
      </c>
      <c r="P245" s="5">
        <v>2</v>
      </c>
      <c r="Q245" s="5">
        <v>0</v>
      </c>
      <c r="R245" s="9">
        <v>0</v>
      </c>
      <c r="S245" s="8">
        <v>0</v>
      </c>
      <c r="T245" s="5">
        <v>0</v>
      </c>
    </row>
    <row r="246" spans="1:20" x14ac:dyDescent="0.2">
      <c r="A246" s="5" t="s">
        <v>204</v>
      </c>
      <c r="B246" s="5" t="s">
        <v>162</v>
      </c>
      <c r="C246" s="17" t="s">
        <v>464</v>
      </c>
      <c r="D246" s="7">
        <f t="shared" si="0"/>
        <v>2.1</v>
      </c>
      <c r="E246" s="8">
        <v>0</v>
      </c>
      <c r="F246" s="5">
        <v>0</v>
      </c>
      <c r="G246" s="5">
        <v>0</v>
      </c>
      <c r="H246" s="5">
        <v>0</v>
      </c>
      <c r="I246" s="5">
        <v>0</v>
      </c>
      <c r="J246" s="9">
        <v>0</v>
      </c>
      <c r="K246" s="8">
        <v>0</v>
      </c>
      <c r="L246" s="5">
        <v>0</v>
      </c>
      <c r="M246" s="5">
        <v>0</v>
      </c>
      <c r="N246" s="9">
        <v>0</v>
      </c>
      <c r="O246" s="8">
        <v>1</v>
      </c>
      <c r="P246" s="5">
        <v>11</v>
      </c>
      <c r="Q246" s="5">
        <v>0</v>
      </c>
      <c r="R246" s="9">
        <v>0</v>
      </c>
      <c r="S246" s="8">
        <v>0</v>
      </c>
      <c r="T246" s="5">
        <v>0</v>
      </c>
    </row>
    <row r="247" spans="1:20" x14ac:dyDescent="0.2">
      <c r="A247" s="5" t="s">
        <v>420</v>
      </c>
      <c r="B247" s="5" t="s">
        <v>162</v>
      </c>
      <c r="C247" s="10" t="s">
        <v>458</v>
      </c>
      <c r="D247" s="7">
        <f t="shared" si="0"/>
        <v>2.1</v>
      </c>
      <c r="E247" s="8">
        <v>0</v>
      </c>
      <c r="F247" s="5">
        <v>0</v>
      </c>
      <c r="G247" s="5">
        <v>0</v>
      </c>
      <c r="H247" s="5">
        <v>0</v>
      </c>
      <c r="I247" s="5">
        <v>0</v>
      </c>
      <c r="J247" s="9">
        <v>0</v>
      </c>
      <c r="K247" s="8">
        <v>0</v>
      </c>
      <c r="L247" s="5">
        <v>0</v>
      </c>
      <c r="M247" s="5">
        <v>0</v>
      </c>
      <c r="N247" s="9">
        <v>0</v>
      </c>
      <c r="O247" s="8">
        <v>1</v>
      </c>
      <c r="P247" s="5">
        <v>11</v>
      </c>
      <c r="Q247" s="5">
        <v>0</v>
      </c>
      <c r="R247" s="9">
        <v>0</v>
      </c>
      <c r="S247" s="8">
        <v>0</v>
      </c>
      <c r="T247" s="5">
        <v>0</v>
      </c>
    </row>
    <row r="248" spans="1:20" x14ac:dyDescent="0.2">
      <c r="A248" s="5" t="s">
        <v>306</v>
      </c>
      <c r="B248" s="5" t="s">
        <v>69</v>
      </c>
      <c r="C248" s="17" t="s">
        <v>465</v>
      </c>
      <c r="D248" s="7">
        <f t="shared" si="0"/>
        <v>2.1</v>
      </c>
      <c r="E248" s="8">
        <v>0</v>
      </c>
      <c r="F248" s="5">
        <v>0</v>
      </c>
      <c r="G248" s="5">
        <v>0</v>
      </c>
      <c r="H248" s="5">
        <v>0</v>
      </c>
      <c r="I248" s="5">
        <v>0</v>
      </c>
      <c r="J248" s="9">
        <v>0</v>
      </c>
      <c r="K248" s="8">
        <v>0</v>
      </c>
      <c r="L248" s="5">
        <v>0</v>
      </c>
      <c r="M248" s="5">
        <v>0</v>
      </c>
      <c r="N248" s="9">
        <v>0</v>
      </c>
      <c r="O248" s="8">
        <v>1</v>
      </c>
      <c r="P248" s="5">
        <v>11</v>
      </c>
      <c r="Q248" s="5">
        <v>0</v>
      </c>
      <c r="R248" s="9">
        <v>0</v>
      </c>
      <c r="S248" s="8">
        <v>0</v>
      </c>
      <c r="T248" s="5">
        <v>0</v>
      </c>
    </row>
    <row r="249" spans="1:20" x14ac:dyDescent="0.2">
      <c r="A249" s="5" t="s">
        <v>208</v>
      </c>
      <c r="B249" s="5" t="s">
        <v>162</v>
      </c>
      <c r="C249" s="10" t="s">
        <v>463</v>
      </c>
      <c r="D249" s="7">
        <f t="shared" si="0"/>
        <v>2</v>
      </c>
      <c r="E249" s="8">
        <v>0</v>
      </c>
      <c r="F249" s="5">
        <v>0</v>
      </c>
      <c r="G249" s="5">
        <v>0</v>
      </c>
      <c r="H249" s="5">
        <v>0</v>
      </c>
      <c r="I249" s="5">
        <v>0</v>
      </c>
      <c r="J249" s="9">
        <v>0</v>
      </c>
      <c r="K249" s="8">
        <v>1</v>
      </c>
      <c r="L249" s="5">
        <v>-20</v>
      </c>
      <c r="M249" s="5">
        <v>0</v>
      </c>
      <c r="N249" s="9">
        <v>0</v>
      </c>
      <c r="O249" s="8">
        <v>2</v>
      </c>
      <c r="P249" s="5">
        <v>20</v>
      </c>
      <c r="Q249" s="5">
        <v>0</v>
      </c>
      <c r="R249" s="9">
        <v>0</v>
      </c>
      <c r="S249" s="8">
        <v>0</v>
      </c>
      <c r="T249" s="5">
        <v>0</v>
      </c>
    </row>
    <row r="250" spans="1:20" x14ac:dyDescent="0.2">
      <c r="A250" s="5" t="s">
        <v>490</v>
      </c>
      <c r="B250" s="5" t="s">
        <v>162</v>
      </c>
      <c r="C250" s="17" t="s">
        <v>473</v>
      </c>
      <c r="D250" s="7">
        <f t="shared" si="0"/>
        <v>2</v>
      </c>
      <c r="E250" s="8">
        <v>0</v>
      </c>
      <c r="F250" s="5">
        <v>0</v>
      </c>
      <c r="G250" s="5">
        <v>0</v>
      </c>
      <c r="H250" s="5">
        <v>0</v>
      </c>
      <c r="I250" s="5">
        <v>0</v>
      </c>
      <c r="J250" s="9">
        <v>0</v>
      </c>
      <c r="K250" s="8">
        <v>0</v>
      </c>
      <c r="L250" s="5">
        <v>0</v>
      </c>
      <c r="M250" s="5">
        <v>0</v>
      </c>
      <c r="N250" s="9">
        <v>0</v>
      </c>
      <c r="O250" s="8">
        <v>1</v>
      </c>
      <c r="P250" s="5">
        <v>10</v>
      </c>
      <c r="Q250" s="5">
        <v>0</v>
      </c>
      <c r="R250" s="9">
        <v>0</v>
      </c>
      <c r="S250" s="8">
        <v>0</v>
      </c>
      <c r="T250" s="5">
        <v>0</v>
      </c>
    </row>
    <row r="251" spans="1:20" x14ac:dyDescent="0.2">
      <c r="A251" s="5" t="s">
        <v>491</v>
      </c>
      <c r="B251" s="5" t="s">
        <v>69</v>
      </c>
      <c r="C251" s="17" t="s">
        <v>464</v>
      </c>
      <c r="D251" s="7">
        <f t="shared" si="0"/>
        <v>2</v>
      </c>
      <c r="E251" s="8">
        <v>0</v>
      </c>
      <c r="F251" s="5">
        <v>0</v>
      </c>
      <c r="G251" s="5">
        <v>0</v>
      </c>
      <c r="H251" s="5">
        <v>0</v>
      </c>
      <c r="I251" s="5">
        <v>0</v>
      </c>
      <c r="J251" s="9">
        <v>0</v>
      </c>
      <c r="K251" s="8">
        <v>0</v>
      </c>
      <c r="L251" s="5">
        <v>0</v>
      </c>
      <c r="M251" s="5">
        <v>0</v>
      </c>
      <c r="N251" s="9">
        <v>0</v>
      </c>
      <c r="O251" s="8">
        <v>1</v>
      </c>
      <c r="P251" s="5">
        <v>10</v>
      </c>
      <c r="Q251" s="5">
        <v>0</v>
      </c>
      <c r="R251" s="9">
        <v>0</v>
      </c>
      <c r="S251" s="8">
        <v>0</v>
      </c>
      <c r="T251" s="5">
        <v>0</v>
      </c>
    </row>
    <row r="252" spans="1:20" x14ac:dyDescent="0.2">
      <c r="A252" s="5" t="s">
        <v>492</v>
      </c>
      <c r="B252" s="5" t="s">
        <v>69</v>
      </c>
      <c r="C252" s="17" t="s">
        <v>460</v>
      </c>
      <c r="D252" s="7">
        <f t="shared" si="0"/>
        <v>2</v>
      </c>
      <c r="E252" s="8">
        <v>0</v>
      </c>
      <c r="F252" s="5">
        <v>0</v>
      </c>
      <c r="G252" s="5">
        <v>0</v>
      </c>
      <c r="H252" s="5">
        <v>0</v>
      </c>
      <c r="I252" s="5">
        <v>0</v>
      </c>
      <c r="J252" s="9">
        <v>0</v>
      </c>
      <c r="K252" s="8">
        <v>0</v>
      </c>
      <c r="L252" s="5">
        <v>0</v>
      </c>
      <c r="M252" s="5">
        <v>0</v>
      </c>
      <c r="N252" s="9">
        <v>0</v>
      </c>
      <c r="O252" s="8">
        <v>1</v>
      </c>
      <c r="P252" s="5">
        <v>10</v>
      </c>
      <c r="Q252" s="5">
        <v>0</v>
      </c>
      <c r="R252" s="9">
        <v>0</v>
      </c>
      <c r="S252" s="8">
        <v>0</v>
      </c>
      <c r="T252" s="5">
        <v>0</v>
      </c>
    </row>
    <row r="253" spans="1:20" x14ac:dyDescent="0.2">
      <c r="A253" s="5" t="s">
        <v>270</v>
      </c>
      <c r="B253" s="5" t="s">
        <v>162</v>
      </c>
      <c r="C253" s="17" t="s">
        <v>467</v>
      </c>
      <c r="D253" s="7">
        <f t="shared" si="0"/>
        <v>1.9000000000000001</v>
      </c>
      <c r="E253" s="8">
        <v>0</v>
      </c>
      <c r="F253" s="5">
        <v>0</v>
      </c>
      <c r="G253" s="5">
        <v>0</v>
      </c>
      <c r="H253" s="5">
        <v>0</v>
      </c>
      <c r="I253" s="5">
        <v>0</v>
      </c>
      <c r="J253" s="9">
        <v>0</v>
      </c>
      <c r="K253" s="8">
        <v>2</v>
      </c>
      <c r="L253" s="5">
        <v>19</v>
      </c>
      <c r="M253" s="5">
        <v>0</v>
      </c>
      <c r="N253" s="9">
        <v>0</v>
      </c>
      <c r="O253" s="8">
        <v>0</v>
      </c>
      <c r="P253" s="5">
        <v>0</v>
      </c>
      <c r="Q253" s="5">
        <v>0</v>
      </c>
      <c r="R253" s="9">
        <v>0</v>
      </c>
      <c r="S253" s="8">
        <v>0</v>
      </c>
      <c r="T253" s="5">
        <v>0</v>
      </c>
    </row>
    <row r="254" spans="1:20" x14ac:dyDescent="0.2">
      <c r="A254" s="5" t="s">
        <v>244</v>
      </c>
      <c r="B254" s="5" t="s">
        <v>162</v>
      </c>
      <c r="C254" s="10" t="s">
        <v>464</v>
      </c>
      <c r="D254" s="7">
        <f t="shared" si="0"/>
        <v>1.9000000000000001</v>
      </c>
      <c r="E254" s="8">
        <v>0</v>
      </c>
      <c r="F254" s="5">
        <v>0</v>
      </c>
      <c r="G254" s="5">
        <v>0</v>
      </c>
      <c r="H254" s="5">
        <v>0</v>
      </c>
      <c r="I254" s="5">
        <v>0</v>
      </c>
      <c r="J254" s="9">
        <v>0</v>
      </c>
      <c r="K254" s="8">
        <v>2</v>
      </c>
      <c r="L254" s="5">
        <v>19</v>
      </c>
      <c r="M254" s="5">
        <v>0</v>
      </c>
      <c r="N254" s="9">
        <v>0</v>
      </c>
      <c r="O254" s="8">
        <v>0</v>
      </c>
      <c r="P254" s="5">
        <v>0</v>
      </c>
      <c r="Q254" s="5">
        <v>0</v>
      </c>
      <c r="R254" s="9">
        <v>0</v>
      </c>
      <c r="S254" s="8">
        <v>0</v>
      </c>
      <c r="T254" s="5">
        <v>0</v>
      </c>
    </row>
    <row r="255" spans="1:20" x14ac:dyDescent="0.2">
      <c r="A255" s="5" t="s">
        <v>493</v>
      </c>
      <c r="B255" s="5" t="s">
        <v>162</v>
      </c>
      <c r="C255" s="10" t="s">
        <v>457</v>
      </c>
      <c r="D255" s="7">
        <f t="shared" si="0"/>
        <v>1.9</v>
      </c>
      <c r="E255" s="8">
        <v>0</v>
      </c>
      <c r="F255" s="5">
        <v>0</v>
      </c>
      <c r="G255" s="5">
        <v>0</v>
      </c>
      <c r="H255" s="5">
        <v>0</v>
      </c>
      <c r="I255" s="5">
        <v>0</v>
      </c>
      <c r="J255" s="9">
        <v>0</v>
      </c>
      <c r="K255" s="8">
        <v>0</v>
      </c>
      <c r="L255" s="5">
        <v>0</v>
      </c>
      <c r="M255" s="5">
        <v>0</v>
      </c>
      <c r="N255" s="9">
        <v>0</v>
      </c>
      <c r="O255" s="8">
        <v>1</v>
      </c>
      <c r="P255" s="5">
        <v>9</v>
      </c>
      <c r="Q255" s="5">
        <v>0</v>
      </c>
      <c r="R255" s="9">
        <v>0</v>
      </c>
      <c r="S255" s="8">
        <v>0</v>
      </c>
      <c r="T255" s="5">
        <v>0</v>
      </c>
    </row>
    <row r="256" spans="1:20" x14ac:dyDescent="0.2">
      <c r="A256" s="5" t="s">
        <v>298</v>
      </c>
      <c r="B256" s="5" t="s">
        <v>69</v>
      </c>
      <c r="C256" s="10" t="s">
        <v>457</v>
      </c>
      <c r="D256" s="7">
        <f t="shared" si="0"/>
        <v>1.9</v>
      </c>
      <c r="E256" s="8">
        <v>0</v>
      </c>
      <c r="F256" s="5">
        <v>0</v>
      </c>
      <c r="G256" s="5">
        <v>0</v>
      </c>
      <c r="H256" s="5">
        <v>0</v>
      </c>
      <c r="I256" s="5">
        <v>0</v>
      </c>
      <c r="J256" s="9">
        <v>0</v>
      </c>
      <c r="K256" s="8">
        <v>0</v>
      </c>
      <c r="L256" s="5">
        <v>0</v>
      </c>
      <c r="M256" s="5">
        <v>0</v>
      </c>
      <c r="N256" s="9">
        <v>0</v>
      </c>
      <c r="O256" s="8">
        <v>1</v>
      </c>
      <c r="P256" s="5">
        <v>9</v>
      </c>
      <c r="Q256" s="5">
        <v>0</v>
      </c>
      <c r="R256" s="9">
        <v>0</v>
      </c>
      <c r="S256" s="8">
        <v>0</v>
      </c>
      <c r="T256" s="5">
        <v>0</v>
      </c>
    </row>
    <row r="257" spans="1:20" x14ac:dyDescent="0.2">
      <c r="A257" s="5" t="s">
        <v>430</v>
      </c>
      <c r="B257" s="5" t="s">
        <v>75</v>
      </c>
      <c r="C257" s="10" t="s">
        <v>469</v>
      </c>
      <c r="D257" s="7">
        <f t="shared" si="0"/>
        <v>1.8</v>
      </c>
      <c r="E257" s="8">
        <v>0</v>
      </c>
      <c r="F257" s="5">
        <v>0</v>
      </c>
      <c r="G257" s="5">
        <v>0</v>
      </c>
      <c r="H257" s="5">
        <v>0</v>
      </c>
      <c r="I257" s="5">
        <v>0</v>
      </c>
      <c r="J257" s="9">
        <v>0</v>
      </c>
      <c r="K257" s="8">
        <v>1</v>
      </c>
      <c r="L257" s="5">
        <v>3</v>
      </c>
      <c r="M257" s="5">
        <v>0</v>
      </c>
      <c r="N257" s="9">
        <v>0</v>
      </c>
      <c r="O257" s="8">
        <v>1</v>
      </c>
      <c r="P257" s="5">
        <v>5</v>
      </c>
      <c r="Q257" s="5">
        <v>0</v>
      </c>
      <c r="R257" s="9">
        <v>0</v>
      </c>
      <c r="S257" s="8">
        <v>0</v>
      </c>
      <c r="T257" s="5">
        <v>0</v>
      </c>
    </row>
    <row r="258" spans="1:20" x14ac:dyDescent="0.2">
      <c r="A258" s="5" t="s">
        <v>194</v>
      </c>
      <c r="B258" s="5" t="s">
        <v>162</v>
      </c>
      <c r="C258" s="17" t="s">
        <v>460</v>
      </c>
      <c r="D258" s="7">
        <f t="shared" ref="D258:D299" si="1">0.04*G258+4*H258-2*I258+2*J258+0.1*L258+6*M258+2*N258+1*O258+0.1*P258+6*Q258+2*R258-2*S258</f>
        <v>1.8</v>
      </c>
      <c r="E258" s="8">
        <v>0</v>
      </c>
      <c r="F258" s="5">
        <v>0</v>
      </c>
      <c r="G258" s="5">
        <v>0</v>
      </c>
      <c r="H258" s="5">
        <v>0</v>
      </c>
      <c r="I258" s="5">
        <v>0</v>
      </c>
      <c r="J258" s="9">
        <v>0</v>
      </c>
      <c r="K258" s="8">
        <v>0</v>
      </c>
      <c r="L258" s="5">
        <v>0</v>
      </c>
      <c r="M258" s="5">
        <v>0</v>
      </c>
      <c r="N258" s="9">
        <v>0</v>
      </c>
      <c r="O258" s="8">
        <v>1</v>
      </c>
      <c r="P258" s="5">
        <v>8</v>
      </c>
      <c r="Q258" s="5">
        <v>0</v>
      </c>
      <c r="R258" s="9">
        <v>0</v>
      </c>
      <c r="S258" s="8">
        <v>0</v>
      </c>
      <c r="T258" s="5">
        <v>0</v>
      </c>
    </row>
    <row r="259" spans="1:20" x14ac:dyDescent="0.2">
      <c r="A259" s="5" t="s">
        <v>494</v>
      </c>
      <c r="B259" s="5" t="s">
        <v>69</v>
      </c>
      <c r="C259" s="10" t="s">
        <v>464</v>
      </c>
      <c r="D259" s="7">
        <f t="shared" si="1"/>
        <v>1.8</v>
      </c>
      <c r="E259" s="8">
        <v>0</v>
      </c>
      <c r="F259" s="5">
        <v>0</v>
      </c>
      <c r="G259" s="5">
        <v>0</v>
      </c>
      <c r="H259" s="5">
        <v>0</v>
      </c>
      <c r="I259" s="5">
        <v>0</v>
      </c>
      <c r="J259" s="9">
        <v>0</v>
      </c>
      <c r="K259" s="8">
        <v>0</v>
      </c>
      <c r="L259" s="5">
        <v>0</v>
      </c>
      <c r="M259" s="5">
        <v>0</v>
      </c>
      <c r="N259" s="9">
        <v>0</v>
      </c>
      <c r="O259" s="8">
        <v>1</v>
      </c>
      <c r="P259" s="5">
        <v>8</v>
      </c>
      <c r="Q259" s="5">
        <v>0</v>
      </c>
      <c r="R259" s="9">
        <v>0</v>
      </c>
      <c r="S259" s="8">
        <v>0</v>
      </c>
      <c r="T259" s="5">
        <v>0</v>
      </c>
    </row>
    <row r="260" spans="1:20" x14ac:dyDescent="0.2">
      <c r="A260" s="5" t="s">
        <v>453</v>
      </c>
      <c r="B260" s="5" t="s">
        <v>75</v>
      </c>
      <c r="C260" s="10" t="s">
        <v>457</v>
      </c>
      <c r="D260" s="7">
        <f t="shared" si="1"/>
        <v>1.7000000000000002</v>
      </c>
      <c r="E260" s="8">
        <v>0</v>
      </c>
      <c r="F260" s="5">
        <v>0</v>
      </c>
      <c r="G260" s="5">
        <v>0</v>
      </c>
      <c r="H260" s="5">
        <v>0</v>
      </c>
      <c r="I260" s="5">
        <v>0</v>
      </c>
      <c r="J260" s="9">
        <v>0</v>
      </c>
      <c r="K260" s="8">
        <v>2</v>
      </c>
      <c r="L260" s="5">
        <v>3</v>
      </c>
      <c r="M260" s="5">
        <v>0</v>
      </c>
      <c r="N260" s="9">
        <v>0</v>
      </c>
      <c r="O260" s="8">
        <v>1</v>
      </c>
      <c r="P260" s="5">
        <v>4</v>
      </c>
      <c r="Q260" s="5">
        <v>0</v>
      </c>
      <c r="R260" s="9">
        <v>0</v>
      </c>
      <c r="S260" s="8">
        <v>0</v>
      </c>
      <c r="T260" s="5">
        <v>0</v>
      </c>
    </row>
    <row r="261" spans="1:20" x14ac:dyDescent="0.2">
      <c r="A261" s="5" t="s">
        <v>421</v>
      </c>
      <c r="B261" s="5" t="s">
        <v>162</v>
      </c>
      <c r="C261" s="10" t="s">
        <v>457</v>
      </c>
      <c r="D261" s="7">
        <f t="shared" si="1"/>
        <v>1.7000000000000002</v>
      </c>
      <c r="E261" s="8">
        <v>0</v>
      </c>
      <c r="F261" s="5">
        <v>0</v>
      </c>
      <c r="G261" s="5">
        <v>0</v>
      </c>
      <c r="H261" s="5">
        <v>0</v>
      </c>
      <c r="I261" s="5">
        <v>0</v>
      </c>
      <c r="J261" s="9">
        <v>0</v>
      </c>
      <c r="K261" s="8">
        <v>0</v>
      </c>
      <c r="L261" s="5">
        <v>0</v>
      </c>
      <c r="M261" s="5">
        <v>0</v>
      </c>
      <c r="N261" s="9">
        <v>0</v>
      </c>
      <c r="O261" s="8">
        <v>1</v>
      </c>
      <c r="P261" s="5">
        <v>7</v>
      </c>
      <c r="Q261" s="5">
        <v>0</v>
      </c>
      <c r="R261" s="9">
        <v>0</v>
      </c>
      <c r="S261" s="8">
        <v>0</v>
      </c>
      <c r="T261" s="5">
        <v>0</v>
      </c>
    </row>
    <row r="262" spans="1:20" x14ac:dyDescent="0.2">
      <c r="A262" s="5" t="s">
        <v>255</v>
      </c>
      <c r="B262" s="5" t="s">
        <v>162</v>
      </c>
      <c r="C262" s="17" t="s">
        <v>463</v>
      </c>
      <c r="D262" s="7">
        <f t="shared" si="1"/>
        <v>1.7000000000000002</v>
      </c>
      <c r="E262" s="8">
        <v>0</v>
      </c>
      <c r="F262" s="5">
        <v>0</v>
      </c>
      <c r="G262" s="5">
        <v>0</v>
      </c>
      <c r="H262" s="5">
        <v>0</v>
      </c>
      <c r="I262" s="5">
        <v>0</v>
      </c>
      <c r="J262" s="9">
        <v>0</v>
      </c>
      <c r="K262" s="8">
        <v>0</v>
      </c>
      <c r="L262" s="5">
        <v>0</v>
      </c>
      <c r="M262" s="5">
        <v>0</v>
      </c>
      <c r="N262" s="9">
        <v>0</v>
      </c>
      <c r="O262" s="8">
        <v>1</v>
      </c>
      <c r="P262" s="5">
        <v>7</v>
      </c>
      <c r="Q262" s="5">
        <v>0</v>
      </c>
      <c r="R262" s="9">
        <v>0</v>
      </c>
      <c r="S262" s="8">
        <v>0</v>
      </c>
      <c r="T262" s="5">
        <v>0</v>
      </c>
    </row>
    <row r="263" spans="1:20" x14ac:dyDescent="0.2">
      <c r="A263" s="5" t="s">
        <v>272</v>
      </c>
      <c r="B263" s="5" t="s">
        <v>69</v>
      </c>
      <c r="C263" s="10" t="s">
        <v>466</v>
      </c>
      <c r="D263" s="7">
        <f t="shared" si="1"/>
        <v>1.7000000000000002</v>
      </c>
      <c r="E263" s="8">
        <v>0</v>
      </c>
      <c r="F263" s="5">
        <v>0</v>
      </c>
      <c r="G263" s="5">
        <v>0</v>
      </c>
      <c r="H263" s="5">
        <v>0</v>
      </c>
      <c r="I263" s="5">
        <v>0</v>
      </c>
      <c r="J263" s="9">
        <v>0</v>
      </c>
      <c r="K263" s="8">
        <v>0</v>
      </c>
      <c r="L263" s="5">
        <v>0</v>
      </c>
      <c r="M263" s="5">
        <v>0</v>
      </c>
      <c r="N263" s="9">
        <v>0</v>
      </c>
      <c r="O263" s="8">
        <v>1</v>
      </c>
      <c r="P263" s="5">
        <v>7</v>
      </c>
      <c r="Q263" s="5">
        <v>0</v>
      </c>
      <c r="R263" s="9">
        <v>0</v>
      </c>
      <c r="S263" s="8">
        <v>0</v>
      </c>
      <c r="T263" s="5">
        <v>0</v>
      </c>
    </row>
    <row r="264" spans="1:20" x14ac:dyDescent="0.2">
      <c r="A264" s="5" t="s">
        <v>437</v>
      </c>
      <c r="B264" s="5" t="s">
        <v>69</v>
      </c>
      <c r="C264" s="17" t="s">
        <v>468</v>
      </c>
      <c r="D264" s="7">
        <f t="shared" si="1"/>
        <v>1.7000000000000002</v>
      </c>
      <c r="E264" s="8">
        <v>0</v>
      </c>
      <c r="F264" s="5">
        <v>0</v>
      </c>
      <c r="G264" s="5">
        <v>0</v>
      </c>
      <c r="H264" s="5">
        <v>0</v>
      </c>
      <c r="I264" s="5">
        <v>0</v>
      </c>
      <c r="J264" s="9">
        <v>0</v>
      </c>
      <c r="K264" s="8">
        <v>0</v>
      </c>
      <c r="L264" s="5">
        <v>0</v>
      </c>
      <c r="M264" s="5">
        <v>0</v>
      </c>
      <c r="N264" s="9">
        <v>0</v>
      </c>
      <c r="O264" s="8">
        <v>1</v>
      </c>
      <c r="P264" s="5">
        <v>7</v>
      </c>
      <c r="Q264" s="5">
        <v>0</v>
      </c>
      <c r="R264" s="9">
        <v>0</v>
      </c>
      <c r="S264" s="8">
        <v>0</v>
      </c>
      <c r="T264" s="5">
        <v>0</v>
      </c>
    </row>
    <row r="265" spans="1:20" x14ac:dyDescent="0.2">
      <c r="A265" s="5" t="s">
        <v>377</v>
      </c>
      <c r="B265" s="5" t="s">
        <v>162</v>
      </c>
      <c r="C265" s="10" t="s">
        <v>462</v>
      </c>
      <c r="D265" s="7">
        <f t="shared" si="1"/>
        <v>1.6</v>
      </c>
      <c r="E265" s="8">
        <v>0</v>
      </c>
      <c r="F265" s="5">
        <v>0</v>
      </c>
      <c r="G265" s="5">
        <v>0</v>
      </c>
      <c r="H265" s="5">
        <v>0</v>
      </c>
      <c r="I265" s="5">
        <v>0</v>
      </c>
      <c r="J265" s="9">
        <v>0</v>
      </c>
      <c r="K265" s="8">
        <v>0</v>
      </c>
      <c r="L265" s="5">
        <v>0</v>
      </c>
      <c r="M265" s="5">
        <v>0</v>
      </c>
      <c r="N265" s="9">
        <v>0</v>
      </c>
      <c r="O265" s="8">
        <v>1</v>
      </c>
      <c r="P265" s="5">
        <v>6</v>
      </c>
      <c r="Q265" s="5">
        <v>0</v>
      </c>
      <c r="R265" s="9">
        <v>0</v>
      </c>
      <c r="S265" s="8">
        <v>0</v>
      </c>
      <c r="T265" s="5">
        <v>0</v>
      </c>
    </row>
    <row r="266" spans="1:20" x14ac:dyDescent="0.2">
      <c r="A266" s="5" t="s">
        <v>385</v>
      </c>
      <c r="B266" s="5" t="s">
        <v>162</v>
      </c>
      <c r="C266" s="10" t="s">
        <v>473</v>
      </c>
      <c r="D266" s="7">
        <f t="shared" si="1"/>
        <v>1.6</v>
      </c>
      <c r="E266" s="8">
        <v>0</v>
      </c>
      <c r="F266" s="5">
        <v>0</v>
      </c>
      <c r="G266" s="5">
        <v>0</v>
      </c>
      <c r="H266" s="5">
        <v>0</v>
      </c>
      <c r="I266" s="5">
        <v>0</v>
      </c>
      <c r="J266" s="9">
        <v>0</v>
      </c>
      <c r="K266" s="8">
        <v>0</v>
      </c>
      <c r="L266" s="5">
        <v>0</v>
      </c>
      <c r="M266" s="5">
        <v>0</v>
      </c>
      <c r="N266" s="9">
        <v>0</v>
      </c>
      <c r="O266" s="8">
        <v>1</v>
      </c>
      <c r="P266" s="5">
        <v>6</v>
      </c>
      <c r="Q266" s="5">
        <v>0</v>
      </c>
      <c r="R266" s="9">
        <v>0</v>
      </c>
      <c r="S266" s="8">
        <v>0</v>
      </c>
      <c r="T266" s="5">
        <v>0</v>
      </c>
    </row>
    <row r="267" spans="1:20" x14ac:dyDescent="0.2">
      <c r="A267" s="5" t="s">
        <v>226</v>
      </c>
      <c r="B267" s="5" t="s">
        <v>162</v>
      </c>
      <c r="C267" s="17" t="s">
        <v>467</v>
      </c>
      <c r="D267" s="7">
        <f t="shared" si="1"/>
        <v>1.6</v>
      </c>
      <c r="E267" s="8">
        <v>0</v>
      </c>
      <c r="F267" s="5">
        <v>0</v>
      </c>
      <c r="G267" s="5">
        <v>0</v>
      </c>
      <c r="H267" s="5">
        <v>0</v>
      </c>
      <c r="I267" s="5">
        <v>0</v>
      </c>
      <c r="J267" s="9">
        <v>0</v>
      </c>
      <c r="K267" s="8">
        <v>0</v>
      </c>
      <c r="L267" s="5">
        <v>0</v>
      </c>
      <c r="M267" s="5">
        <v>0</v>
      </c>
      <c r="N267" s="9">
        <v>0</v>
      </c>
      <c r="O267" s="8">
        <v>1</v>
      </c>
      <c r="P267" s="5">
        <v>6</v>
      </c>
      <c r="Q267" s="5">
        <v>0</v>
      </c>
      <c r="R267" s="9">
        <v>0</v>
      </c>
      <c r="S267" s="8">
        <v>0</v>
      </c>
      <c r="T267" s="5">
        <v>0</v>
      </c>
    </row>
    <row r="268" spans="1:20" x14ac:dyDescent="0.2">
      <c r="A268" s="5" t="s">
        <v>311</v>
      </c>
      <c r="B268" s="5" t="s">
        <v>69</v>
      </c>
      <c r="C268" s="10" t="s">
        <v>463</v>
      </c>
      <c r="D268" s="7">
        <f t="shared" si="1"/>
        <v>1.6</v>
      </c>
      <c r="E268" s="8">
        <v>0</v>
      </c>
      <c r="F268" s="5">
        <v>0</v>
      </c>
      <c r="G268" s="5">
        <v>0</v>
      </c>
      <c r="H268" s="5">
        <v>0</v>
      </c>
      <c r="I268" s="5">
        <v>0</v>
      </c>
      <c r="J268" s="9">
        <v>0</v>
      </c>
      <c r="K268" s="8">
        <v>0</v>
      </c>
      <c r="L268" s="5">
        <v>0</v>
      </c>
      <c r="M268" s="5">
        <v>0</v>
      </c>
      <c r="N268" s="9">
        <v>0</v>
      </c>
      <c r="O268" s="8">
        <v>1</v>
      </c>
      <c r="P268" s="5">
        <v>6</v>
      </c>
      <c r="Q268" s="5">
        <v>0</v>
      </c>
      <c r="R268" s="9">
        <v>0</v>
      </c>
      <c r="S268" s="8">
        <v>0</v>
      </c>
      <c r="T268" s="5">
        <v>0</v>
      </c>
    </row>
    <row r="269" spans="1:20" x14ac:dyDescent="0.2">
      <c r="A269" s="5" t="s">
        <v>351</v>
      </c>
      <c r="B269" s="5" t="s">
        <v>69</v>
      </c>
      <c r="C269" s="17" t="s">
        <v>458</v>
      </c>
      <c r="D269" s="7">
        <f t="shared" si="1"/>
        <v>1.6</v>
      </c>
      <c r="E269" s="8">
        <v>0</v>
      </c>
      <c r="F269" s="5">
        <v>0</v>
      </c>
      <c r="G269" s="5">
        <v>0</v>
      </c>
      <c r="H269" s="5">
        <v>0</v>
      </c>
      <c r="I269" s="5">
        <v>0</v>
      </c>
      <c r="J269" s="9">
        <v>0</v>
      </c>
      <c r="K269" s="8">
        <v>0</v>
      </c>
      <c r="L269" s="5">
        <v>0</v>
      </c>
      <c r="M269" s="5">
        <v>0</v>
      </c>
      <c r="N269" s="9">
        <v>0</v>
      </c>
      <c r="O269" s="8">
        <v>1</v>
      </c>
      <c r="P269" s="5">
        <v>6</v>
      </c>
      <c r="Q269" s="5">
        <v>0</v>
      </c>
      <c r="R269" s="9">
        <v>0</v>
      </c>
      <c r="S269" s="8">
        <v>0</v>
      </c>
      <c r="T269" s="5">
        <v>0</v>
      </c>
    </row>
    <row r="270" spans="1:20" x14ac:dyDescent="0.2">
      <c r="A270" s="5" t="s">
        <v>315</v>
      </c>
      <c r="B270" s="5" t="s">
        <v>69</v>
      </c>
      <c r="C270" s="10" t="s">
        <v>473</v>
      </c>
      <c r="D270" s="7">
        <f t="shared" si="1"/>
        <v>1.6</v>
      </c>
      <c r="E270" s="8">
        <v>0</v>
      </c>
      <c r="F270" s="5">
        <v>0</v>
      </c>
      <c r="G270" s="5">
        <v>0</v>
      </c>
      <c r="H270" s="5">
        <v>0</v>
      </c>
      <c r="I270" s="5">
        <v>0</v>
      </c>
      <c r="J270" s="9">
        <v>0</v>
      </c>
      <c r="K270" s="8">
        <v>0</v>
      </c>
      <c r="L270" s="5">
        <v>0</v>
      </c>
      <c r="M270" s="5">
        <v>0</v>
      </c>
      <c r="N270" s="9">
        <v>0</v>
      </c>
      <c r="O270" s="8">
        <v>1</v>
      </c>
      <c r="P270" s="5">
        <v>6</v>
      </c>
      <c r="Q270" s="5">
        <v>0</v>
      </c>
      <c r="R270" s="9">
        <v>0</v>
      </c>
      <c r="S270" s="8">
        <v>0</v>
      </c>
      <c r="T270" s="5">
        <v>0</v>
      </c>
    </row>
    <row r="271" spans="1:20" x14ac:dyDescent="0.2">
      <c r="A271" s="5" t="s">
        <v>153</v>
      </c>
      <c r="B271" s="5" t="s">
        <v>75</v>
      </c>
      <c r="C271" s="17" t="s">
        <v>465</v>
      </c>
      <c r="D271" s="7">
        <f t="shared" si="1"/>
        <v>1.5</v>
      </c>
      <c r="E271" s="8">
        <v>0</v>
      </c>
      <c r="F271" s="5">
        <v>0</v>
      </c>
      <c r="G271" s="5">
        <v>0</v>
      </c>
      <c r="H271" s="5">
        <v>0</v>
      </c>
      <c r="I271" s="5">
        <v>0</v>
      </c>
      <c r="J271" s="9">
        <v>0</v>
      </c>
      <c r="K271" s="8">
        <v>3</v>
      </c>
      <c r="L271" s="5">
        <v>15</v>
      </c>
      <c r="M271" s="5">
        <v>0</v>
      </c>
      <c r="N271" s="9">
        <v>0</v>
      </c>
      <c r="O271" s="8">
        <v>0</v>
      </c>
      <c r="P271" s="5">
        <v>0</v>
      </c>
      <c r="Q271" s="5">
        <v>0</v>
      </c>
      <c r="R271" s="9">
        <v>0</v>
      </c>
      <c r="S271" s="8">
        <v>0</v>
      </c>
      <c r="T271" s="5">
        <v>0</v>
      </c>
    </row>
    <row r="272" spans="1:20" x14ac:dyDescent="0.2">
      <c r="A272" s="5" t="s">
        <v>495</v>
      </c>
      <c r="B272" s="5" t="s">
        <v>162</v>
      </c>
      <c r="C272" s="10" t="s">
        <v>463</v>
      </c>
      <c r="D272" s="7">
        <f t="shared" si="1"/>
        <v>1.5</v>
      </c>
      <c r="E272" s="8">
        <v>0</v>
      </c>
      <c r="F272" s="5">
        <v>0</v>
      </c>
      <c r="G272" s="5">
        <v>0</v>
      </c>
      <c r="H272" s="5">
        <v>0</v>
      </c>
      <c r="I272" s="5">
        <v>0</v>
      </c>
      <c r="J272" s="9">
        <v>0</v>
      </c>
      <c r="K272" s="8">
        <v>0</v>
      </c>
      <c r="L272" s="5">
        <v>0</v>
      </c>
      <c r="M272" s="5">
        <v>0</v>
      </c>
      <c r="N272" s="9">
        <v>0</v>
      </c>
      <c r="O272" s="8">
        <v>1</v>
      </c>
      <c r="P272" s="5">
        <v>5</v>
      </c>
      <c r="Q272" s="5">
        <v>0</v>
      </c>
      <c r="R272" s="9">
        <v>0</v>
      </c>
      <c r="S272" s="8">
        <v>0</v>
      </c>
      <c r="T272" s="5">
        <v>0</v>
      </c>
    </row>
    <row r="273" spans="1:20" x14ac:dyDescent="0.2">
      <c r="A273" s="5" t="s">
        <v>227</v>
      </c>
      <c r="B273" s="5" t="s">
        <v>162</v>
      </c>
      <c r="C273" s="17" t="s">
        <v>467</v>
      </c>
      <c r="D273" s="7">
        <f t="shared" si="1"/>
        <v>1.5</v>
      </c>
      <c r="E273" s="8">
        <v>0</v>
      </c>
      <c r="F273" s="5">
        <v>0</v>
      </c>
      <c r="G273" s="5">
        <v>0</v>
      </c>
      <c r="H273" s="5">
        <v>0</v>
      </c>
      <c r="I273" s="5">
        <v>0</v>
      </c>
      <c r="J273" s="9">
        <v>0</v>
      </c>
      <c r="K273" s="8">
        <v>0</v>
      </c>
      <c r="L273" s="5">
        <v>0</v>
      </c>
      <c r="M273" s="5">
        <v>0</v>
      </c>
      <c r="N273" s="9">
        <v>0</v>
      </c>
      <c r="O273" s="8">
        <v>1</v>
      </c>
      <c r="P273" s="5">
        <v>5</v>
      </c>
      <c r="Q273" s="5">
        <v>0</v>
      </c>
      <c r="R273" s="9">
        <v>0</v>
      </c>
      <c r="S273" s="8">
        <v>0</v>
      </c>
      <c r="T273" s="5">
        <v>0</v>
      </c>
    </row>
    <row r="274" spans="1:20" x14ac:dyDescent="0.2">
      <c r="A274" s="5" t="s">
        <v>307</v>
      </c>
      <c r="B274" s="5" t="s">
        <v>69</v>
      </c>
      <c r="C274" s="17" t="s">
        <v>462</v>
      </c>
      <c r="D274" s="7">
        <f t="shared" si="1"/>
        <v>1.5</v>
      </c>
      <c r="E274" s="8">
        <v>0</v>
      </c>
      <c r="F274" s="5">
        <v>0</v>
      </c>
      <c r="G274" s="5">
        <v>0</v>
      </c>
      <c r="H274" s="5">
        <v>0</v>
      </c>
      <c r="I274" s="5">
        <v>0</v>
      </c>
      <c r="J274" s="9">
        <v>0</v>
      </c>
      <c r="K274" s="8">
        <v>0</v>
      </c>
      <c r="L274" s="5">
        <v>0</v>
      </c>
      <c r="M274" s="5">
        <v>0</v>
      </c>
      <c r="N274" s="9">
        <v>0</v>
      </c>
      <c r="O274" s="8">
        <v>1</v>
      </c>
      <c r="P274" s="5">
        <v>5</v>
      </c>
      <c r="Q274" s="5">
        <v>0</v>
      </c>
      <c r="R274" s="9">
        <v>0</v>
      </c>
      <c r="S274" s="8">
        <v>0</v>
      </c>
      <c r="T274" s="5">
        <v>0</v>
      </c>
    </row>
    <row r="275" spans="1:20" x14ac:dyDescent="0.2">
      <c r="A275" s="5" t="s">
        <v>299</v>
      </c>
      <c r="B275" s="5" t="s">
        <v>69</v>
      </c>
      <c r="C275" s="17" t="s">
        <v>457</v>
      </c>
      <c r="D275" s="7">
        <f t="shared" si="1"/>
        <v>1.5</v>
      </c>
      <c r="E275" s="8">
        <v>0</v>
      </c>
      <c r="F275" s="5">
        <v>0</v>
      </c>
      <c r="G275" s="5">
        <v>0</v>
      </c>
      <c r="H275" s="5">
        <v>0</v>
      </c>
      <c r="I275" s="5">
        <v>0</v>
      </c>
      <c r="J275" s="9">
        <v>0</v>
      </c>
      <c r="K275" s="8">
        <v>0</v>
      </c>
      <c r="L275" s="5">
        <v>0</v>
      </c>
      <c r="M275" s="5">
        <v>0</v>
      </c>
      <c r="N275" s="9">
        <v>0</v>
      </c>
      <c r="O275" s="8">
        <v>1</v>
      </c>
      <c r="P275" s="5">
        <v>5</v>
      </c>
      <c r="Q275" s="5">
        <v>0</v>
      </c>
      <c r="R275" s="9">
        <v>0</v>
      </c>
      <c r="S275" s="8">
        <v>0</v>
      </c>
      <c r="T275" s="5">
        <v>0</v>
      </c>
    </row>
    <row r="276" spans="1:20" x14ac:dyDescent="0.2">
      <c r="A276" s="5" t="s">
        <v>340</v>
      </c>
      <c r="B276" s="5" t="s">
        <v>162</v>
      </c>
      <c r="C276" s="17" t="s">
        <v>463</v>
      </c>
      <c r="D276" s="7">
        <f t="shared" si="1"/>
        <v>1.4</v>
      </c>
      <c r="E276" s="8">
        <v>0</v>
      </c>
      <c r="F276" s="5">
        <v>0</v>
      </c>
      <c r="G276" s="5">
        <v>0</v>
      </c>
      <c r="H276" s="5">
        <v>0</v>
      </c>
      <c r="I276" s="5">
        <v>0</v>
      </c>
      <c r="J276" s="9">
        <v>0</v>
      </c>
      <c r="K276" s="8">
        <v>0</v>
      </c>
      <c r="L276" s="5">
        <v>0</v>
      </c>
      <c r="M276" s="5">
        <v>0</v>
      </c>
      <c r="N276" s="9">
        <v>0</v>
      </c>
      <c r="O276" s="8">
        <v>1</v>
      </c>
      <c r="P276" s="5">
        <v>4</v>
      </c>
      <c r="Q276" s="5">
        <v>0</v>
      </c>
      <c r="R276" s="9">
        <v>0</v>
      </c>
      <c r="S276" s="8">
        <v>0</v>
      </c>
      <c r="T276" s="5">
        <v>0</v>
      </c>
    </row>
    <row r="277" spans="1:20" x14ac:dyDescent="0.2">
      <c r="A277" s="5" t="s">
        <v>171</v>
      </c>
      <c r="B277" s="5" t="s">
        <v>162</v>
      </c>
      <c r="C277" s="10" t="s">
        <v>469</v>
      </c>
      <c r="D277" s="7">
        <f t="shared" si="1"/>
        <v>1.4</v>
      </c>
      <c r="E277" s="8">
        <v>0</v>
      </c>
      <c r="F277" s="5">
        <v>0</v>
      </c>
      <c r="G277" s="5">
        <v>0</v>
      </c>
      <c r="H277" s="5">
        <v>0</v>
      </c>
      <c r="I277" s="5">
        <v>0</v>
      </c>
      <c r="J277" s="9">
        <v>0</v>
      </c>
      <c r="K277" s="8">
        <v>0</v>
      </c>
      <c r="L277" s="5">
        <v>0</v>
      </c>
      <c r="M277" s="5">
        <v>0</v>
      </c>
      <c r="N277" s="9">
        <v>0</v>
      </c>
      <c r="O277" s="8">
        <v>1</v>
      </c>
      <c r="P277" s="5">
        <v>4</v>
      </c>
      <c r="Q277" s="5">
        <v>0</v>
      </c>
      <c r="R277" s="9">
        <v>0</v>
      </c>
      <c r="S277" s="8">
        <v>0</v>
      </c>
      <c r="T277" s="5">
        <v>0</v>
      </c>
    </row>
    <row r="278" spans="1:20" x14ac:dyDescent="0.2">
      <c r="A278" s="5" t="s">
        <v>278</v>
      </c>
      <c r="B278" s="5" t="s">
        <v>69</v>
      </c>
      <c r="C278" s="10" t="s">
        <v>463</v>
      </c>
      <c r="D278" s="7">
        <f t="shared" si="1"/>
        <v>1.4</v>
      </c>
      <c r="E278" s="8">
        <v>0</v>
      </c>
      <c r="F278" s="5">
        <v>0</v>
      </c>
      <c r="G278" s="5">
        <v>0</v>
      </c>
      <c r="H278" s="5">
        <v>0</v>
      </c>
      <c r="I278" s="5">
        <v>0</v>
      </c>
      <c r="J278" s="9">
        <v>0</v>
      </c>
      <c r="K278" s="8">
        <v>1</v>
      </c>
      <c r="L278" s="5">
        <v>2</v>
      </c>
      <c r="M278" s="5">
        <v>0</v>
      </c>
      <c r="N278" s="9">
        <v>0</v>
      </c>
      <c r="O278" s="8">
        <v>1</v>
      </c>
      <c r="P278" s="5">
        <v>2</v>
      </c>
      <c r="Q278" s="5">
        <v>0</v>
      </c>
      <c r="R278" s="9">
        <v>0</v>
      </c>
      <c r="S278" s="8">
        <v>0</v>
      </c>
      <c r="T278" s="5">
        <v>0</v>
      </c>
    </row>
    <row r="279" spans="1:20" x14ac:dyDescent="0.2">
      <c r="A279" s="5" t="s">
        <v>269</v>
      </c>
      <c r="B279" s="5" t="s">
        <v>162</v>
      </c>
      <c r="C279" s="17" t="s">
        <v>469</v>
      </c>
      <c r="D279" s="7">
        <f t="shared" si="1"/>
        <v>1.3</v>
      </c>
      <c r="E279" s="8">
        <v>0</v>
      </c>
      <c r="F279" s="5">
        <v>0</v>
      </c>
      <c r="G279" s="5">
        <v>0</v>
      </c>
      <c r="H279" s="5">
        <v>0</v>
      </c>
      <c r="I279" s="5">
        <v>0</v>
      </c>
      <c r="J279" s="9">
        <v>0</v>
      </c>
      <c r="K279" s="8">
        <v>0</v>
      </c>
      <c r="L279" s="5">
        <v>0</v>
      </c>
      <c r="M279" s="5">
        <v>0</v>
      </c>
      <c r="N279" s="9">
        <v>0</v>
      </c>
      <c r="O279" s="8">
        <v>1</v>
      </c>
      <c r="P279" s="5">
        <v>3</v>
      </c>
      <c r="Q279" s="5">
        <v>0</v>
      </c>
      <c r="R279" s="9">
        <v>0</v>
      </c>
      <c r="S279" s="8">
        <v>0</v>
      </c>
      <c r="T279" s="5">
        <v>0</v>
      </c>
    </row>
    <row r="280" spans="1:20" x14ac:dyDescent="0.2">
      <c r="A280" s="5" t="s">
        <v>496</v>
      </c>
      <c r="B280" s="5" t="s">
        <v>17</v>
      </c>
      <c r="C280" s="10" t="s">
        <v>463</v>
      </c>
      <c r="D280" s="7">
        <f t="shared" si="1"/>
        <v>1.2400000000000002</v>
      </c>
      <c r="E280" s="8">
        <v>36</v>
      </c>
      <c r="F280" s="5">
        <v>19</v>
      </c>
      <c r="G280" s="5">
        <v>121</v>
      </c>
      <c r="H280" s="5">
        <v>0</v>
      </c>
      <c r="I280" s="5">
        <v>3</v>
      </c>
      <c r="J280" s="9">
        <v>0</v>
      </c>
      <c r="K280" s="8">
        <v>4</v>
      </c>
      <c r="L280" s="5">
        <v>24</v>
      </c>
      <c r="M280" s="5">
        <v>0</v>
      </c>
      <c r="N280" s="9">
        <v>0</v>
      </c>
      <c r="O280" s="8">
        <v>0</v>
      </c>
      <c r="P280" s="5">
        <v>0</v>
      </c>
      <c r="Q280" s="5">
        <v>0</v>
      </c>
      <c r="R280" s="9">
        <v>0</v>
      </c>
      <c r="S280" s="8">
        <v>0</v>
      </c>
      <c r="T280" s="5">
        <v>0</v>
      </c>
    </row>
    <row r="281" spans="1:20" x14ac:dyDescent="0.2">
      <c r="A281" s="5" t="s">
        <v>428</v>
      </c>
      <c r="B281" s="5" t="s">
        <v>75</v>
      </c>
      <c r="C281" s="10" t="s">
        <v>463</v>
      </c>
      <c r="D281" s="7">
        <f t="shared" si="1"/>
        <v>1.2000000000000002</v>
      </c>
      <c r="E281" s="8">
        <v>0</v>
      </c>
      <c r="F281" s="5">
        <v>0</v>
      </c>
      <c r="G281" s="5">
        <v>0</v>
      </c>
      <c r="H281" s="5">
        <v>0</v>
      </c>
      <c r="I281" s="5">
        <v>0</v>
      </c>
      <c r="J281" s="9">
        <v>0</v>
      </c>
      <c r="K281" s="8">
        <v>5</v>
      </c>
      <c r="L281" s="5">
        <v>12</v>
      </c>
      <c r="M281" s="5">
        <v>0</v>
      </c>
      <c r="N281" s="9">
        <v>0</v>
      </c>
      <c r="O281" s="8">
        <v>0</v>
      </c>
      <c r="P281" s="5">
        <v>0</v>
      </c>
      <c r="Q281" s="5">
        <v>0</v>
      </c>
      <c r="R281" s="9">
        <v>0</v>
      </c>
      <c r="S281" s="8">
        <v>0</v>
      </c>
      <c r="T281" s="5">
        <v>0</v>
      </c>
    </row>
    <row r="282" spans="1:20" x14ac:dyDescent="0.2">
      <c r="A282" s="5" t="s">
        <v>122</v>
      </c>
      <c r="B282" s="5" t="s">
        <v>75</v>
      </c>
      <c r="C282" s="10" t="s">
        <v>461</v>
      </c>
      <c r="D282" s="7">
        <f t="shared" si="1"/>
        <v>1.1000000000000001</v>
      </c>
      <c r="E282" s="8">
        <v>0</v>
      </c>
      <c r="F282" s="5">
        <v>0</v>
      </c>
      <c r="G282" s="5">
        <v>0</v>
      </c>
      <c r="H282" s="5">
        <v>0</v>
      </c>
      <c r="I282" s="5">
        <v>0</v>
      </c>
      <c r="J282" s="9">
        <v>0</v>
      </c>
      <c r="K282" s="8">
        <v>5</v>
      </c>
      <c r="L282" s="5">
        <v>11</v>
      </c>
      <c r="M282" s="5">
        <v>0</v>
      </c>
      <c r="N282" s="9">
        <v>0</v>
      </c>
      <c r="O282" s="8">
        <v>0</v>
      </c>
      <c r="P282" s="5">
        <v>0</v>
      </c>
      <c r="Q282" s="5">
        <v>0</v>
      </c>
      <c r="R282" s="9">
        <v>0</v>
      </c>
      <c r="S282" s="8">
        <v>0</v>
      </c>
      <c r="T282" s="5">
        <v>0</v>
      </c>
    </row>
    <row r="283" spans="1:20" x14ac:dyDescent="0.2">
      <c r="A283" s="5" t="s">
        <v>281</v>
      </c>
      <c r="B283" s="5" t="s">
        <v>69</v>
      </c>
      <c r="C283" s="10" t="s">
        <v>461</v>
      </c>
      <c r="D283" s="7">
        <f t="shared" si="1"/>
        <v>1.1000000000000001</v>
      </c>
      <c r="E283" s="8">
        <v>0</v>
      </c>
      <c r="F283" s="5">
        <v>0</v>
      </c>
      <c r="G283" s="5">
        <v>0</v>
      </c>
      <c r="H283" s="5">
        <v>0</v>
      </c>
      <c r="I283" s="5">
        <v>0</v>
      </c>
      <c r="J283" s="9">
        <v>0</v>
      </c>
      <c r="K283" s="8">
        <v>0</v>
      </c>
      <c r="L283" s="5">
        <v>0</v>
      </c>
      <c r="M283" s="5">
        <v>0</v>
      </c>
      <c r="N283" s="9">
        <v>0</v>
      </c>
      <c r="O283" s="8">
        <v>1</v>
      </c>
      <c r="P283" s="5">
        <v>1</v>
      </c>
      <c r="Q283" s="5">
        <v>0</v>
      </c>
      <c r="R283" s="9">
        <v>0</v>
      </c>
      <c r="S283" s="8">
        <v>0</v>
      </c>
      <c r="T283" s="5">
        <v>0</v>
      </c>
    </row>
    <row r="284" spans="1:20" x14ac:dyDescent="0.2">
      <c r="A284" s="5" t="s">
        <v>112</v>
      </c>
      <c r="B284" s="5" t="s">
        <v>75</v>
      </c>
      <c r="C284" s="10" t="s">
        <v>471</v>
      </c>
      <c r="D284" s="7">
        <f t="shared" si="1"/>
        <v>1</v>
      </c>
      <c r="E284" s="8">
        <v>0</v>
      </c>
      <c r="F284" s="5">
        <v>0</v>
      </c>
      <c r="G284" s="5">
        <v>0</v>
      </c>
      <c r="H284" s="5">
        <v>0</v>
      </c>
      <c r="I284" s="5">
        <v>0</v>
      </c>
      <c r="J284" s="9">
        <v>0</v>
      </c>
      <c r="K284" s="8">
        <v>3</v>
      </c>
      <c r="L284" s="5">
        <v>10</v>
      </c>
      <c r="M284" s="5">
        <v>0</v>
      </c>
      <c r="N284" s="9">
        <v>0</v>
      </c>
      <c r="O284" s="8">
        <v>0</v>
      </c>
      <c r="P284" s="5">
        <v>0</v>
      </c>
      <c r="Q284" s="5">
        <v>0</v>
      </c>
      <c r="R284" s="9">
        <v>0</v>
      </c>
      <c r="S284" s="8">
        <v>0</v>
      </c>
      <c r="T284" s="5">
        <v>0</v>
      </c>
    </row>
    <row r="285" spans="1:20" x14ac:dyDescent="0.2">
      <c r="A285" s="5" t="s">
        <v>454</v>
      </c>
      <c r="B285" s="5" t="s">
        <v>162</v>
      </c>
      <c r="C285" s="10" t="s">
        <v>463</v>
      </c>
      <c r="D285" s="7">
        <f t="shared" si="1"/>
        <v>1</v>
      </c>
      <c r="E285" s="8">
        <v>0</v>
      </c>
      <c r="F285" s="5">
        <v>0</v>
      </c>
      <c r="G285" s="5">
        <v>0</v>
      </c>
      <c r="H285" s="5">
        <v>0</v>
      </c>
      <c r="I285" s="5">
        <v>0</v>
      </c>
      <c r="J285" s="9">
        <v>0</v>
      </c>
      <c r="K285" s="8">
        <v>0</v>
      </c>
      <c r="L285" s="5">
        <v>0</v>
      </c>
      <c r="M285" s="5">
        <v>0</v>
      </c>
      <c r="N285" s="9">
        <v>0</v>
      </c>
      <c r="O285" s="8">
        <v>1</v>
      </c>
      <c r="P285" s="5">
        <v>0</v>
      </c>
      <c r="Q285" s="5">
        <v>0</v>
      </c>
      <c r="R285" s="9">
        <v>0</v>
      </c>
      <c r="S285" s="8">
        <v>0</v>
      </c>
      <c r="T285" s="5">
        <v>0</v>
      </c>
    </row>
    <row r="286" spans="1:20" x14ac:dyDescent="0.2">
      <c r="A286" s="5" t="s">
        <v>398</v>
      </c>
      <c r="B286" s="5" t="s">
        <v>162</v>
      </c>
      <c r="C286" s="10" t="s">
        <v>464</v>
      </c>
      <c r="D286" s="7">
        <f t="shared" si="1"/>
        <v>1</v>
      </c>
      <c r="E286" s="8">
        <v>0</v>
      </c>
      <c r="F286" s="5">
        <v>0</v>
      </c>
      <c r="G286" s="5">
        <v>0</v>
      </c>
      <c r="H286" s="5">
        <v>0</v>
      </c>
      <c r="I286" s="5">
        <v>0</v>
      </c>
      <c r="J286" s="9">
        <v>0</v>
      </c>
      <c r="K286" s="8">
        <v>1</v>
      </c>
      <c r="L286" s="5">
        <v>10</v>
      </c>
      <c r="M286" s="5">
        <v>0</v>
      </c>
      <c r="N286" s="9">
        <v>0</v>
      </c>
      <c r="O286" s="8">
        <v>0</v>
      </c>
      <c r="P286" s="5">
        <v>0</v>
      </c>
      <c r="Q286" s="5">
        <v>0</v>
      </c>
      <c r="R286" s="9">
        <v>0</v>
      </c>
      <c r="S286" s="8">
        <v>0</v>
      </c>
      <c r="T286" s="5">
        <v>0</v>
      </c>
    </row>
    <row r="287" spans="1:20" x14ac:dyDescent="0.2">
      <c r="A287" s="5" t="s">
        <v>435</v>
      </c>
      <c r="B287" s="5" t="s">
        <v>162</v>
      </c>
      <c r="C287" s="10" t="s">
        <v>471</v>
      </c>
      <c r="D287" s="7">
        <f t="shared" si="1"/>
        <v>0.9</v>
      </c>
      <c r="E287" s="8">
        <v>0</v>
      </c>
      <c r="F287" s="5">
        <v>0</v>
      </c>
      <c r="G287" s="5">
        <v>0</v>
      </c>
      <c r="H287" s="5">
        <v>0</v>
      </c>
      <c r="I287" s="5">
        <v>0</v>
      </c>
      <c r="J287" s="9">
        <v>0</v>
      </c>
      <c r="K287" s="8">
        <v>0</v>
      </c>
      <c r="L287" s="5">
        <v>0</v>
      </c>
      <c r="M287" s="5">
        <v>0</v>
      </c>
      <c r="N287" s="9">
        <v>0</v>
      </c>
      <c r="O287" s="8">
        <v>1</v>
      </c>
      <c r="P287" s="5">
        <v>-1</v>
      </c>
      <c r="Q287" s="5">
        <v>0</v>
      </c>
      <c r="R287" s="9">
        <v>0</v>
      </c>
      <c r="S287" s="8">
        <v>0</v>
      </c>
      <c r="T287" s="5">
        <v>0</v>
      </c>
    </row>
    <row r="288" spans="1:20" x14ac:dyDescent="0.2">
      <c r="A288" s="5" t="s">
        <v>446</v>
      </c>
      <c r="B288" s="5" t="s">
        <v>69</v>
      </c>
      <c r="C288" s="17" t="s">
        <v>468</v>
      </c>
      <c r="D288" s="7">
        <f t="shared" si="1"/>
        <v>0.9</v>
      </c>
      <c r="E288" s="8">
        <v>0</v>
      </c>
      <c r="F288" s="5">
        <v>0</v>
      </c>
      <c r="G288" s="5">
        <v>0</v>
      </c>
      <c r="H288" s="5">
        <v>0</v>
      </c>
      <c r="I288" s="5">
        <v>0</v>
      </c>
      <c r="J288" s="9">
        <v>0</v>
      </c>
      <c r="K288" s="8">
        <v>0</v>
      </c>
      <c r="L288" s="5">
        <v>0</v>
      </c>
      <c r="M288" s="5">
        <v>0</v>
      </c>
      <c r="N288" s="9">
        <v>0</v>
      </c>
      <c r="O288" s="8">
        <v>1</v>
      </c>
      <c r="P288" s="5">
        <v>-1</v>
      </c>
      <c r="Q288" s="5">
        <v>0</v>
      </c>
      <c r="R288" s="9">
        <v>0</v>
      </c>
      <c r="S288" s="8">
        <v>0</v>
      </c>
      <c r="T288" s="5">
        <v>0</v>
      </c>
    </row>
    <row r="289" spans="1:20" x14ac:dyDescent="0.2">
      <c r="A289" s="5" t="s">
        <v>497</v>
      </c>
      <c r="B289" s="5" t="s">
        <v>17</v>
      </c>
      <c r="C289" s="17" t="s">
        <v>463</v>
      </c>
      <c r="D289" s="7">
        <f t="shared" si="1"/>
        <v>0.8</v>
      </c>
      <c r="E289" s="8">
        <v>0</v>
      </c>
      <c r="F289" s="5">
        <v>0</v>
      </c>
      <c r="G289" s="5">
        <v>0</v>
      </c>
      <c r="H289" s="5">
        <v>0</v>
      </c>
      <c r="I289" s="5">
        <v>0</v>
      </c>
      <c r="J289" s="9">
        <v>0</v>
      </c>
      <c r="K289" s="8">
        <v>2</v>
      </c>
      <c r="L289" s="5">
        <v>8</v>
      </c>
      <c r="M289" s="5">
        <v>0</v>
      </c>
      <c r="N289" s="9">
        <v>0</v>
      </c>
      <c r="O289" s="8">
        <v>0</v>
      </c>
      <c r="P289" s="5">
        <v>0</v>
      </c>
      <c r="Q289" s="5">
        <v>0</v>
      </c>
      <c r="R289" s="9">
        <v>0</v>
      </c>
      <c r="S289" s="8">
        <v>0</v>
      </c>
      <c r="T289" s="5">
        <v>0</v>
      </c>
    </row>
    <row r="290" spans="1:20" x14ac:dyDescent="0.2">
      <c r="A290" s="5" t="s">
        <v>498</v>
      </c>
      <c r="B290" s="5" t="s">
        <v>17</v>
      </c>
      <c r="C290" s="17" t="s">
        <v>460</v>
      </c>
      <c r="D290" s="7">
        <f t="shared" si="1"/>
        <v>0.72</v>
      </c>
      <c r="E290" s="8">
        <v>5</v>
      </c>
      <c r="F290" s="5">
        <v>3</v>
      </c>
      <c r="G290" s="5">
        <v>18</v>
      </c>
      <c r="H290" s="5">
        <v>0</v>
      </c>
      <c r="I290" s="5">
        <v>0</v>
      </c>
      <c r="J290" s="9">
        <v>0</v>
      </c>
      <c r="K290" s="8">
        <v>0</v>
      </c>
      <c r="L290" s="5">
        <v>0</v>
      </c>
      <c r="M290" s="5">
        <v>0</v>
      </c>
      <c r="N290" s="9">
        <v>0</v>
      </c>
      <c r="O290" s="8">
        <v>0</v>
      </c>
      <c r="P290" s="5">
        <v>0</v>
      </c>
      <c r="Q290" s="5">
        <v>0</v>
      </c>
      <c r="R290" s="9">
        <v>0</v>
      </c>
      <c r="S290" s="8">
        <v>0</v>
      </c>
      <c r="T290" s="5">
        <v>0</v>
      </c>
    </row>
    <row r="291" spans="1:20" x14ac:dyDescent="0.2">
      <c r="A291" s="5" t="s">
        <v>19</v>
      </c>
      <c r="B291" s="5" t="s">
        <v>17</v>
      </c>
      <c r="C291" s="17" t="s">
        <v>472</v>
      </c>
      <c r="D291" s="7">
        <f t="shared" si="1"/>
        <v>0.70000000000000018</v>
      </c>
      <c r="E291" s="8">
        <v>21</v>
      </c>
      <c r="F291" s="5">
        <v>12</v>
      </c>
      <c r="G291" s="5">
        <v>150</v>
      </c>
      <c r="H291" s="5">
        <v>0</v>
      </c>
      <c r="I291" s="5">
        <v>2</v>
      </c>
      <c r="J291" s="9">
        <v>0</v>
      </c>
      <c r="K291" s="8">
        <v>3</v>
      </c>
      <c r="L291" s="5">
        <v>7</v>
      </c>
      <c r="M291" s="5">
        <v>0</v>
      </c>
      <c r="N291" s="9">
        <v>0</v>
      </c>
      <c r="O291" s="8">
        <v>0</v>
      </c>
      <c r="P291" s="5">
        <v>0</v>
      </c>
      <c r="Q291" s="5">
        <v>0</v>
      </c>
      <c r="R291" s="9">
        <v>0</v>
      </c>
      <c r="S291" s="8">
        <v>1</v>
      </c>
      <c r="T291" s="5">
        <v>0</v>
      </c>
    </row>
    <row r="292" spans="1:20" x14ac:dyDescent="0.2">
      <c r="A292" s="5" t="s">
        <v>138</v>
      </c>
      <c r="B292" s="5" t="s">
        <v>75</v>
      </c>
      <c r="C292" s="17" t="s">
        <v>467</v>
      </c>
      <c r="D292" s="7">
        <f t="shared" si="1"/>
        <v>0.70000000000000007</v>
      </c>
      <c r="E292" s="8">
        <v>0</v>
      </c>
      <c r="F292" s="5">
        <v>0</v>
      </c>
      <c r="G292" s="5">
        <v>0</v>
      </c>
      <c r="H292" s="5">
        <v>0</v>
      </c>
      <c r="I292" s="5">
        <v>0</v>
      </c>
      <c r="J292" s="9">
        <v>0</v>
      </c>
      <c r="K292" s="8">
        <v>3</v>
      </c>
      <c r="L292" s="5">
        <v>7</v>
      </c>
      <c r="M292" s="5">
        <v>0</v>
      </c>
      <c r="N292" s="9">
        <v>0</v>
      </c>
      <c r="O292" s="8">
        <v>0</v>
      </c>
      <c r="P292" s="5">
        <v>0</v>
      </c>
      <c r="Q292" s="5">
        <v>0</v>
      </c>
      <c r="R292" s="9">
        <v>0</v>
      </c>
      <c r="S292" s="8">
        <v>0</v>
      </c>
      <c r="T292" s="5">
        <v>0</v>
      </c>
    </row>
    <row r="293" spans="1:20" x14ac:dyDescent="0.2">
      <c r="A293" s="5" t="s">
        <v>434</v>
      </c>
      <c r="B293" s="5" t="s">
        <v>75</v>
      </c>
      <c r="C293" s="10" t="s">
        <v>462</v>
      </c>
      <c r="D293" s="7">
        <f t="shared" si="1"/>
        <v>0.70000000000000007</v>
      </c>
      <c r="E293" s="8">
        <v>0</v>
      </c>
      <c r="F293" s="5">
        <v>0</v>
      </c>
      <c r="G293" s="5">
        <v>0</v>
      </c>
      <c r="H293" s="5">
        <v>0</v>
      </c>
      <c r="I293" s="5">
        <v>0</v>
      </c>
      <c r="J293" s="9">
        <v>0</v>
      </c>
      <c r="K293" s="8">
        <v>3</v>
      </c>
      <c r="L293" s="5">
        <v>7</v>
      </c>
      <c r="M293" s="5">
        <v>0</v>
      </c>
      <c r="N293" s="9">
        <v>0</v>
      </c>
      <c r="O293" s="8">
        <v>0</v>
      </c>
      <c r="P293" s="5">
        <v>0</v>
      </c>
      <c r="Q293" s="5">
        <v>0</v>
      </c>
      <c r="R293" s="9">
        <v>0</v>
      </c>
      <c r="S293" s="8">
        <v>0</v>
      </c>
      <c r="T293" s="5">
        <v>0</v>
      </c>
    </row>
    <row r="294" spans="1:20" x14ac:dyDescent="0.2">
      <c r="A294" s="5" t="s">
        <v>395</v>
      </c>
      <c r="B294" s="5" t="s">
        <v>75</v>
      </c>
      <c r="C294" s="17" t="s">
        <v>468</v>
      </c>
      <c r="D294" s="7">
        <f t="shared" si="1"/>
        <v>0.7</v>
      </c>
      <c r="E294" s="8">
        <v>0</v>
      </c>
      <c r="F294" s="5">
        <v>0</v>
      </c>
      <c r="G294" s="5">
        <v>0</v>
      </c>
      <c r="H294" s="5">
        <v>0</v>
      </c>
      <c r="I294" s="5">
        <v>0</v>
      </c>
      <c r="J294" s="9">
        <v>0</v>
      </c>
      <c r="K294" s="8">
        <v>0</v>
      </c>
      <c r="L294" s="5">
        <v>0</v>
      </c>
      <c r="M294" s="5">
        <v>0</v>
      </c>
      <c r="N294" s="9">
        <v>0</v>
      </c>
      <c r="O294" s="8">
        <v>1</v>
      </c>
      <c r="P294" s="5">
        <v>-3</v>
      </c>
      <c r="Q294" s="5">
        <v>0</v>
      </c>
      <c r="R294" s="9">
        <v>0</v>
      </c>
      <c r="S294" s="8">
        <v>0</v>
      </c>
      <c r="T294" s="5">
        <v>0</v>
      </c>
    </row>
    <row r="295" spans="1:20" x14ac:dyDescent="0.2">
      <c r="A295" s="5" t="s">
        <v>72</v>
      </c>
      <c r="B295" s="5" t="s">
        <v>17</v>
      </c>
      <c r="C295" s="10" t="s">
        <v>472</v>
      </c>
      <c r="D295" s="7">
        <f t="shared" si="1"/>
        <v>0.60000000000000009</v>
      </c>
      <c r="E295" s="8">
        <v>2</v>
      </c>
      <c r="F295" s="5">
        <v>2</v>
      </c>
      <c r="G295" s="5">
        <v>20</v>
      </c>
      <c r="H295" s="5">
        <v>0</v>
      </c>
      <c r="I295" s="5">
        <v>0</v>
      </c>
      <c r="J295" s="9">
        <v>0</v>
      </c>
      <c r="K295" s="8">
        <v>3</v>
      </c>
      <c r="L295" s="5">
        <v>-2</v>
      </c>
      <c r="M295" s="5">
        <v>0</v>
      </c>
      <c r="N295" s="9">
        <v>0</v>
      </c>
      <c r="O295" s="8">
        <v>0</v>
      </c>
      <c r="P295" s="5">
        <v>0</v>
      </c>
      <c r="Q295" s="5">
        <v>0</v>
      </c>
      <c r="R295" s="9">
        <v>0</v>
      </c>
      <c r="S295" s="8">
        <v>0</v>
      </c>
      <c r="T295" s="5">
        <v>0</v>
      </c>
    </row>
    <row r="296" spans="1:20" x14ac:dyDescent="0.2">
      <c r="A296" s="5" t="s">
        <v>200</v>
      </c>
      <c r="B296" s="5" t="s">
        <v>162</v>
      </c>
      <c r="C296" s="10" t="s">
        <v>457</v>
      </c>
      <c r="D296" s="7">
        <f t="shared" si="1"/>
        <v>0.60000000000000009</v>
      </c>
      <c r="E296" s="8">
        <v>0</v>
      </c>
      <c r="F296" s="5">
        <v>0</v>
      </c>
      <c r="G296" s="5">
        <v>0</v>
      </c>
      <c r="H296" s="5">
        <v>0</v>
      </c>
      <c r="I296" s="5">
        <v>0</v>
      </c>
      <c r="J296" s="9">
        <v>0</v>
      </c>
      <c r="K296" s="8">
        <v>3</v>
      </c>
      <c r="L296" s="5">
        <v>6</v>
      </c>
      <c r="M296" s="5">
        <v>0</v>
      </c>
      <c r="N296" s="9">
        <v>0</v>
      </c>
      <c r="O296" s="8">
        <v>0</v>
      </c>
      <c r="P296" s="5">
        <v>0</v>
      </c>
      <c r="Q296" s="5">
        <v>0</v>
      </c>
      <c r="R296" s="9">
        <v>0</v>
      </c>
      <c r="S296" s="8">
        <v>0</v>
      </c>
      <c r="T296" s="5">
        <v>0</v>
      </c>
    </row>
    <row r="297" spans="1:20" x14ac:dyDescent="0.2">
      <c r="A297" s="5" t="s">
        <v>121</v>
      </c>
      <c r="B297" s="5" t="s">
        <v>75</v>
      </c>
      <c r="C297" s="10" t="s">
        <v>460</v>
      </c>
      <c r="D297" s="7">
        <f t="shared" si="1"/>
        <v>0.4</v>
      </c>
      <c r="E297" s="8">
        <v>0</v>
      </c>
      <c r="F297" s="5">
        <v>0</v>
      </c>
      <c r="G297" s="5">
        <v>0</v>
      </c>
      <c r="H297" s="5">
        <v>0</v>
      </c>
      <c r="I297" s="5">
        <v>0</v>
      </c>
      <c r="J297" s="9">
        <v>0</v>
      </c>
      <c r="K297" s="8">
        <v>1</v>
      </c>
      <c r="L297" s="5">
        <v>4</v>
      </c>
      <c r="M297" s="5">
        <v>0</v>
      </c>
      <c r="N297" s="9">
        <v>0</v>
      </c>
      <c r="O297" s="8">
        <v>0</v>
      </c>
      <c r="P297" s="5">
        <v>0</v>
      </c>
      <c r="Q297" s="5">
        <v>0</v>
      </c>
      <c r="R297" s="9">
        <v>0</v>
      </c>
      <c r="S297" s="8">
        <v>0</v>
      </c>
      <c r="T297" s="5">
        <v>0</v>
      </c>
    </row>
    <row r="298" spans="1:20" x14ac:dyDescent="0.2">
      <c r="A298" s="5" t="s">
        <v>160</v>
      </c>
      <c r="B298" s="5" t="s">
        <v>75</v>
      </c>
      <c r="C298" s="17" t="s">
        <v>468</v>
      </c>
      <c r="D298" s="7">
        <f t="shared" si="1"/>
        <v>0.4</v>
      </c>
      <c r="E298" s="8">
        <v>0</v>
      </c>
      <c r="F298" s="5">
        <v>0</v>
      </c>
      <c r="G298" s="5">
        <v>0</v>
      </c>
      <c r="H298" s="5">
        <v>0</v>
      </c>
      <c r="I298" s="5">
        <v>0</v>
      </c>
      <c r="J298" s="9">
        <v>0</v>
      </c>
      <c r="K298" s="8">
        <v>1</v>
      </c>
      <c r="L298" s="5">
        <v>4</v>
      </c>
      <c r="M298" s="5">
        <v>0</v>
      </c>
      <c r="N298" s="9">
        <v>0</v>
      </c>
      <c r="O298" s="8">
        <v>0</v>
      </c>
      <c r="P298" s="5">
        <v>0</v>
      </c>
      <c r="Q298" s="5">
        <v>0</v>
      </c>
      <c r="R298" s="9">
        <v>0</v>
      </c>
      <c r="S298" s="8">
        <v>0</v>
      </c>
      <c r="T298" s="5">
        <v>0</v>
      </c>
    </row>
    <row r="299" spans="1:20" x14ac:dyDescent="0.2">
      <c r="A299" s="5" t="s">
        <v>499</v>
      </c>
      <c r="B299" s="5" t="s">
        <v>75</v>
      </c>
      <c r="C299" s="10" t="s">
        <v>469</v>
      </c>
      <c r="D299" s="7">
        <f t="shared" si="1"/>
        <v>0</v>
      </c>
      <c r="E299" s="8">
        <v>0</v>
      </c>
      <c r="F299" s="5">
        <v>0</v>
      </c>
      <c r="G299" s="5">
        <v>0</v>
      </c>
      <c r="H299" s="5">
        <v>0</v>
      </c>
      <c r="I299" s="5">
        <v>0</v>
      </c>
      <c r="J299" s="9">
        <v>0</v>
      </c>
      <c r="K299" s="8">
        <v>1</v>
      </c>
      <c r="L299" s="5">
        <v>5</v>
      </c>
      <c r="M299" s="5">
        <v>0</v>
      </c>
      <c r="N299" s="9">
        <v>0</v>
      </c>
      <c r="O299" s="8">
        <v>1</v>
      </c>
      <c r="P299" s="5">
        <v>5</v>
      </c>
      <c r="Q299" s="5">
        <v>0</v>
      </c>
      <c r="R299" s="9">
        <v>0</v>
      </c>
      <c r="S299" s="8">
        <v>1</v>
      </c>
      <c r="T299" s="5">
        <v>0</v>
      </c>
    </row>
    <row r="300" spans="1:20" x14ac:dyDescent="0.2">
      <c r="A300" s="5" t="s">
        <v>320</v>
      </c>
      <c r="B300" s="5"/>
      <c r="C300" s="10"/>
      <c r="D300" s="10">
        <v>0</v>
      </c>
      <c r="E300" s="8"/>
      <c r="F300" s="5"/>
      <c r="G300" s="5"/>
      <c r="H300" s="5"/>
      <c r="I300" s="5"/>
      <c r="J300" s="9"/>
      <c r="K300" s="8"/>
      <c r="L300" s="5"/>
      <c r="M300" s="5"/>
      <c r="N300" s="9"/>
      <c r="O300" s="8"/>
      <c r="P300" s="5"/>
      <c r="Q300" s="5"/>
      <c r="R300" s="9"/>
      <c r="S300" s="8"/>
      <c r="T300" s="5"/>
    </row>
    <row r="301" spans="1:20" x14ac:dyDescent="0.2">
      <c r="A301" s="5" t="s">
        <v>67</v>
      </c>
      <c r="B301" s="5" t="s">
        <v>17</v>
      </c>
      <c r="C301" s="10" t="s">
        <v>457</v>
      </c>
      <c r="D301" s="7">
        <f t="shared" ref="D301:D304" si="2">0.04*G301+4*H301-2*I301+2*J301+0.1*L301+6*M301+2*N301+1*O301+0.1*P301+6*Q301+2*R301-2*S301</f>
        <v>-0.1</v>
      </c>
      <c r="E301" s="8">
        <v>0</v>
      </c>
      <c r="F301" s="5">
        <v>0</v>
      </c>
      <c r="G301" s="5">
        <v>0</v>
      </c>
      <c r="H301" s="5">
        <v>0</v>
      </c>
      <c r="I301" s="5">
        <v>0</v>
      </c>
      <c r="J301" s="9">
        <v>0</v>
      </c>
      <c r="K301" s="8">
        <v>1</v>
      </c>
      <c r="L301" s="5">
        <v>-1</v>
      </c>
      <c r="M301" s="5">
        <v>0</v>
      </c>
      <c r="N301" s="9">
        <v>0</v>
      </c>
      <c r="O301" s="8">
        <v>0</v>
      </c>
      <c r="P301" s="5">
        <v>0</v>
      </c>
      <c r="Q301" s="5">
        <v>0</v>
      </c>
      <c r="R301" s="9">
        <v>0</v>
      </c>
      <c r="S301" s="8">
        <v>0</v>
      </c>
      <c r="T301" s="5">
        <v>0</v>
      </c>
    </row>
    <row r="302" spans="1:20" x14ac:dyDescent="0.2">
      <c r="A302" s="5" t="s">
        <v>156</v>
      </c>
      <c r="B302" s="5" t="s">
        <v>75</v>
      </c>
      <c r="C302" s="10" t="s">
        <v>471</v>
      </c>
      <c r="D302" s="7">
        <f t="shared" si="2"/>
        <v>-0.2</v>
      </c>
      <c r="E302" s="8">
        <v>0</v>
      </c>
      <c r="F302" s="5">
        <v>0</v>
      </c>
      <c r="G302" s="5">
        <v>0</v>
      </c>
      <c r="H302" s="5">
        <v>0</v>
      </c>
      <c r="I302" s="5">
        <v>0</v>
      </c>
      <c r="J302" s="9">
        <v>0</v>
      </c>
      <c r="K302" s="8">
        <v>1</v>
      </c>
      <c r="L302" s="5">
        <v>-2</v>
      </c>
      <c r="M302" s="5">
        <v>0</v>
      </c>
      <c r="N302" s="9">
        <v>0</v>
      </c>
      <c r="O302" s="8">
        <v>0</v>
      </c>
      <c r="P302" s="5">
        <v>0</v>
      </c>
      <c r="Q302" s="5">
        <v>0</v>
      </c>
      <c r="R302" s="9">
        <v>0</v>
      </c>
      <c r="S302" s="8">
        <v>0</v>
      </c>
      <c r="T302" s="5">
        <v>0</v>
      </c>
    </row>
    <row r="303" spans="1:20" x14ac:dyDescent="0.2">
      <c r="A303" s="5" t="s">
        <v>397</v>
      </c>
      <c r="B303" s="5" t="s">
        <v>17</v>
      </c>
      <c r="C303" s="10" t="s">
        <v>459</v>
      </c>
      <c r="D303" s="7">
        <f t="shared" si="2"/>
        <v>-0.30000000000000004</v>
      </c>
      <c r="E303" s="8">
        <v>0</v>
      </c>
      <c r="F303" s="5">
        <v>0</v>
      </c>
      <c r="G303" s="5">
        <v>0</v>
      </c>
      <c r="H303" s="5">
        <v>0</v>
      </c>
      <c r="I303" s="5">
        <v>0</v>
      </c>
      <c r="J303" s="9">
        <v>0</v>
      </c>
      <c r="K303" s="8">
        <v>3</v>
      </c>
      <c r="L303" s="5">
        <v>-3</v>
      </c>
      <c r="M303" s="5">
        <v>0</v>
      </c>
      <c r="N303" s="9">
        <v>0</v>
      </c>
      <c r="O303" s="8">
        <v>0</v>
      </c>
      <c r="P303" s="5">
        <v>0</v>
      </c>
      <c r="Q303" s="5">
        <v>0</v>
      </c>
      <c r="R303" s="9">
        <v>0</v>
      </c>
      <c r="S303" s="8">
        <v>0</v>
      </c>
      <c r="T303" s="5">
        <v>0</v>
      </c>
    </row>
    <row r="304" spans="1:20" x14ac:dyDescent="0.2">
      <c r="A304" s="5" t="s">
        <v>431</v>
      </c>
      <c r="B304" s="5" t="s">
        <v>17</v>
      </c>
      <c r="C304" s="10" t="s">
        <v>469</v>
      </c>
      <c r="D304" s="7">
        <f t="shared" si="2"/>
        <v>-2</v>
      </c>
      <c r="E304" s="8">
        <v>1</v>
      </c>
      <c r="F304" s="5">
        <v>0</v>
      </c>
      <c r="G304" s="5">
        <v>0</v>
      </c>
      <c r="H304" s="5">
        <v>0</v>
      </c>
      <c r="I304" s="5">
        <v>1</v>
      </c>
      <c r="J304" s="9">
        <v>0</v>
      </c>
      <c r="K304" s="8">
        <v>0</v>
      </c>
      <c r="L304" s="5">
        <v>0</v>
      </c>
      <c r="M304" s="5">
        <v>0</v>
      </c>
      <c r="N304" s="9">
        <v>0</v>
      </c>
      <c r="O304" s="8">
        <v>0</v>
      </c>
      <c r="P304" s="5">
        <v>0</v>
      </c>
      <c r="Q304" s="5">
        <v>0</v>
      </c>
      <c r="R304" s="9">
        <v>0</v>
      </c>
      <c r="S304" s="8">
        <v>0</v>
      </c>
      <c r="T304" s="9">
        <v>0</v>
      </c>
    </row>
    <row r="305" spans="3:19" x14ac:dyDescent="0.2">
      <c r="C305" s="10"/>
      <c r="D305" s="10"/>
      <c r="E305" s="8"/>
      <c r="J305" s="9"/>
      <c r="K305" s="8"/>
      <c r="N305" s="9"/>
      <c r="O305" s="8"/>
      <c r="R305" s="9"/>
      <c r="S305" s="8"/>
    </row>
    <row r="306" spans="3:19" x14ac:dyDescent="0.2">
      <c r="C306" s="10"/>
      <c r="D306" s="10"/>
      <c r="E306" s="8"/>
      <c r="J306" s="9"/>
      <c r="K306" s="8"/>
      <c r="N306" s="9"/>
      <c r="O306" s="8"/>
      <c r="R306" s="9"/>
      <c r="S306" s="8"/>
    </row>
    <row r="307" spans="3:19" x14ac:dyDescent="0.2">
      <c r="C307" s="10"/>
      <c r="D307" s="10"/>
      <c r="E307" s="8"/>
      <c r="J307" s="9"/>
      <c r="K307" s="8"/>
      <c r="N307" s="9"/>
      <c r="O307" s="8"/>
      <c r="R307" s="9"/>
      <c r="S307" s="8"/>
    </row>
    <row r="308" spans="3:19" x14ac:dyDescent="0.2">
      <c r="C308" s="10"/>
      <c r="D308" s="10"/>
      <c r="E308" s="8"/>
      <c r="J308" s="9"/>
      <c r="K308" s="8"/>
      <c r="N308" s="9"/>
      <c r="O308" s="8"/>
      <c r="R308" s="9"/>
      <c r="S308" s="8"/>
    </row>
    <row r="309" spans="3:19" x14ac:dyDescent="0.2">
      <c r="C309" s="10"/>
      <c r="D309" s="10"/>
      <c r="E309" s="8"/>
      <c r="J309" s="9"/>
      <c r="K309" s="8"/>
      <c r="N309" s="9"/>
      <c r="O309" s="8"/>
      <c r="R309" s="9"/>
      <c r="S309" s="8"/>
    </row>
    <row r="310" spans="3:19" x14ac:dyDescent="0.2">
      <c r="C310" s="10"/>
      <c r="D310" s="10"/>
      <c r="E310" s="8"/>
      <c r="J310" s="9"/>
      <c r="K310" s="8"/>
      <c r="N310" s="9"/>
      <c r="O310" s="8"/>
      <c r="R310" s="9"/>
      <c r="S310" s="8"/>
    </row>
  </sheetData>
  <autoFilter ref="A2:T304" xr:uid="{00000000-0009-0000-0000-000003000000}">
    <sortState xmlns:xlrd2="http://schemas.microsoft.com/office/spreadsheetml/2017/richdata2" ref="A2:T304">
      <sortCondition descending="1" ref="D2:D304"/>
    </sortState>
  </autoFilter>
  <mergeCells count="4">
    <mergeCell ref="E1:J1"/>
    <mergeCell ref="K1:N1"/>
    <mergeCell ref="O1:R1"/>
    <mergeCell ref="S1:T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280"/>
  <sheetViews>
    <sheetView workbookViewId="0"/>
  </sheetViews>
  <sheetFormatPr defaultColWidth="12.5703125" defaultRowHeight="15.75" customHeight="1" x14ac:dyDescent="0.2"/>
  <cols>
    <col min="1" max="1" width="19.85546875" customWidth="1"/>
    <col min="2" max="2" width="9.85546875" customWidth="1"/>
    <col min="3" max="3" width="9.1406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3"/>
      <c r="D1" s="3"/>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5" t="s">
        <v>6</v>
      </c>
      <c r="D2" s="15"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206</v>
      </c>
      <c r="B3" s="5" t="s">
        <v>162</v>
      </c>
      <c r="C3" s="6" t="s">
        <v>500</v>
      </c>
      <c r="D3" s="7">
        <f t="shared" ref="D3:D257" si="0">0.04*G3+4*H3-2*I3+2*J3+0.1*L3+6*M3+2*N3+1*O3+0.1*P3+6*Q3+2*R3-2*S3</f>
        <v>52.2</v>
      </c>
      <c r="E3" s="8">
        <v>0</v>
      </c>
      <c r="F3" s="5">
        <v>0</v>
      </c>
      <c r="G3" s="5">
        <v>0</v>
      </c>
      <c r="H3" s="5">
        <v>0</v>
      </c>
      <c r="I3" s="5">
        <v>0</v>
      </c>
      <c r="J3" s="9">
        <v>0</v>
      </c>
      <c r="K3" s="8">
        <v>0</v>
      </c>
      <c r="L3" s="5">
        <v>0</v>
      </c>
      <c r="M3" s="5">
        <v>0</v>
      </c>
      <c r="N3" s="9">
        <v>0</v>
      </c>
      <c r="O3" s="8">
        <v>15</v>
      </c>
      <c r="P3" s="5">
        <v>192</v>
      </c>
      <c r="Q3" s="5">
        <v>3</v>
      </c>
      <c r="R3" s="9">
        <v>0</v>
      </c>
      <c r="S3" s="8">
        <v>0</v>
      </c>
      <c r="T3" s="9">
        <v>0</v>
      </c>
    </row>
    <row r="4" spans="1:20" x14ac:dyDescent="0.2">
      <c r="A4" s="5" t="s">
        <v>235</v>
      </c>
      <c r="B4" s="5" t="s">
        <v>162</v>
      </c>
      <c r="C4" s="6" t="s">
        <v>501</v>
      </c>
      <c r="D4" s="7">
        <f t="shared" si="0"/>
        <v>49</v>
      </c>
      <c r="E4" s="8">
        <v>0</v>
      </c>
      <c r="F4" s="5">
        <v>0</v>
      </c>
      <c r="G4" s="5">
        <v>0</v>
      </c>
      <c r="H4" s="5">
        <v>0</v>
      </c>
      <c r="I4" s="5">
        <v>0</v>
      </c>
      <c r="J4" s="9">
        <v>0</v>
      </c>
      <c r="K4" s="8">
        <v>0</v>
      </c>
      <c r="L4" s="5">
        <v>0</v>
      </c>
      <c r="M4" s="5">
        <v>0</v>
      </c>
      <c r="N4" s="9">
        <v>0</v>
      </c>
      <c r="O4" s="8">
        <v>8</v>
      </c>
      <c r="P4" s="5">
        <v>230</v>
      </c>
      <c r="Q4" s="5">
        <v>3</v>
      </c>
      <c r="R4" s="9">
        <v>0</v>
      </c>
      <c r="S4" s="8">
        <v>0</v>
      </c>
      <c r="T4" s="9">
        <v>0</v>
      </c>
    </row>
    <row r="5" spans="1:20" x14ac:dyDescent="0.2">
      <c r="A5" s="5" t="s">
        <v>80</v>
      </c>
      <c r="B5" s="5" t="s">
        <v>75</v>
      </c>
      <c r="C5" s="6" t="s">
        <v>502</v>
      </c>
      <c r="D5" s="7">
        <f t="shared" si="0"/>
        <v>36.400000000000006</v>
      </c>
      <c r="E5" s="8">
        <v>0</v>
      </c>
      <c r="F5" s="5">
        <v>0</v>
      </c>
      <c r="G5" s="5">
        <v>0</v>
      </c>
      <c r="H5" s="5">
        <v>0</v>
      </c>
      <c r="I5" s="5">
        <v>0</v>
      </c>
      <c r="J5" s="9">
        <v>0</v>
      </c>
      <c r="K5" s="8">
        <v>26</v>
      </c>
      <c r="L5" s="5">
        <v>136</v>
      </c>
      <c r="M5" s="5">
        <v>2</v>
      </c>
      <c r="N5" s="9">
        <v>1</v>
      </c>
      <c r="O5" s="8">
        <v>4</v>
      </c>
      <c r="P5" s="5">
        <v>48</v>
      </c>
      <c r="Q5" s="5">
        <v>0</v>
      </c>
      <c r="R5" s="9">
        <v>0</v>
      </c>
      <c r="S5" s="8">
        <v>0</v>
      </c>
      <c r="T5" s="9">
        <v>0</v>
      </c>
    </row>
    <row r="6" spans="1:20" x14ac:dyDescent="0.2">
      <c r="A6" s="5" t="s">
        <v>337</v>
      </c>
      <c r="B6" s="5" t="s">
        <v>75</v>
      </c>
      <c r="C6" s="8" t="s">
        <v>503</v>
      </c>
      <c r="D6" s="7">
        <f t="shared" si="0"/>
        <v>33.5</v>
      </c>
      <c r="E6" s="8">
        <v>0</v>
      </c>
      <c r="F6" s="5">
        <v>0</v>
      </c>
      <c r="G6" s="5">
        <v>0</v>
      </c>
      <c r="H6" s="5">
        <v>0</v>
      </c>
      <c r="I6" s="5">
        <v>0</v>
      </c>
      <c r="J6" s="9">
        <v>0</v>
      </c>
      <c r="K6" s="8">
        <v>23</v>
      </c>
      <c r="L6" s="5">
        <v>165</v>
      </c>
      <c r="M6" s="5">
        <v>2</v>
      </c>
      <c r="N6" s="9">
        <v>0</v>
      </c>
      <c r="O6" s="8">
        <v>2</v>
      </c>
      <c r="P6" s="5">
        <v>30</v>
      </c>
      <c r="Q6" s="5">
        <v>0</v>
      </c>
      <c r="R6" s="9">
        <v>0</v>
      </c>
      <c r="S6" s="8">
        <v>0</v>
      </c>
      <c r="T6" s="9">
        <v>0</v>
      </c>
    </row>
    <row r="7" spans="1:20" x14ac:dyDescent="0.2">
      <c r="A7" s="5" t="s">
        <v>43</v>
      </c>
      <c r="B7" s="5" t="s">
        <v>17</v>
      </c>
      <c r="C7" s="6" t="s">
        <v>501</v>
      </c>
      <c r="D7" s="7">
        <f t="shared" si="0"/>
        <v>32.980000000000004</v>
      </c>
      <c r="E7" s="8">
        <v>29</v>
      </c>
      <c r="F7" s="5">
        <v>15</v>
      </c>
      <c r="G7" s="5">
        <v>282</v>
      </c>
      <c r="H7" s="5">
        <v>4</v>
      </c>
      <c r="I7" s="5">
        <v>0</v>
      </c>
      <c r="J7" s="9">
        <v>0</v>
      </c>
      <c r="K7" s="8">
        <v>11</v>
      </c>
      <c r="L7" s="5">
        <v>57</v>
      </c>
      <c r="M7" s="5">
        <v>0</v>
      </c>
      <c r="N7" s="9">
        <v>0</v>
      </c>
      <c r="O7" s="8">
        <v>0</v>
      </c>
      <c r="P7" s="5">
        <v>0</v>
      </c>
      <c r="Q7" s="5">
        <v>0</v>
      </c>
      <c r="R7" s="9">
        <v>0</v>
      </c>
      <c r="S7" s="8">
        <v>0</v>
      </c>
      <c r="T7" s="9">
        <v>0</v>
      </c>
    </row>
    <row r="8" spans="1:20" x14ac:dyDescent="0.2">
      <c r="A8" s="5" t="s">
        <v>161</v>
      </c>
      <c r="B8" s="5" t="s">
        <v>162</v>
      </c>
      <c r="C8" s="8" t="s">
        <v>504</v>
      </c>
      <c r="D8" s="7">
        <f t="shared" si="0"/>
        <v>32.1</v>
      </c>
      <c r="E8" s="8">
        <v>0</v>
      </c>
      <c r="F8" s="5">
        <v>0</v>
      </c>
      <c r="G8" s="5">
        <v>0</v>
      </c>
      <c r="H8" s="5">
        <v>0</v>
      </c>
      <c r="I8" s="5">
        <v>0</v>
      </c>
      <c r="J8" s="9">
        <v>0</v>
      </c>
      <c r="K8" s="8">
        <v>0</v>
      </c>
      <c r="L8" s="5">
        <v>0</v>
      </c>
      <c r="M8" s="5">
        <v>0</v>
      </c>
      <c r="N8" s="9">
        <v>0</v>
      </c>
      <c r="O8" s="8">
        <v>8</v>
      </c>
      <c r="P8" s="5">
        <v>181</v>
      </c>
      <c r="Q8" s="5">
        <v>1</v>
      </c>
      <c r="R8" s="9">
        <v>0</v>
      </c>
      <c r="S8" s="8">
        <v>0</v>
      </c>
      <c r="T8" s="9">
        <v>0</v>
      </c>
    </row>
    <row r="9" spans="1:20" x14ac:dyDescent="0.2">
      <c r="A9" s="5" t="s">
        <v>85</v>
      </c>
      <c r="B9" s="5" t="s">
        <v>75</v>
      </c>
      <c r="C9" s="6" t="s">
        <v>505</v>
      </c>
      <c r="D9" s="7">
        <f t="shared" si="0"/>
        <v>28.4</v>
      </c>
      <c r="E9" s="8">
        <v>0</v>
      </c>
      <c r="F9" s="5">
        <v>0</v>
      </c>
      <c r="G9" s="5">
        <v>0</v>
      </c>
      <c r="H9" s="5">
        <v>0</v>
      </c>
      <c r="I9" s="5">
        <v>0</v>
      </c>
      <c r="J9" s="9">
        <v>0</v>
      </c>
      <c r="K9" s="8">
        <v>22</v>
      </c>
      <c r="L9" s="5">
        <v>177</v>
      </c>
      <c r="M9" s="5">
        <v>1</v>
      </c>
      <c r="N9" s="9">
        <v>0</v>
      </c>
      <c r="O9" s="8">
        <v>3</v>
      </c>
      <c r="P9" s="5">
        <v>17</v>
      </c>
      <c r="Q9" s="5">
        <v>0</v>
      </c>
      <c r="R9" s="9">
        <v>0</v>
      </c>
      <c r="S9" s="8">
        <v>0</v>
      </c>
      <c r="T9" s="9">
        <v>0</v>
      </c>
    </row>
    <row r="10" spans="1:20" x14ac:dyDescent="0.2">
      <c r="A10" s="5" t="s">
        <v>48</v>
      </c>
      <c r="B10" s="5" t="s">
        <v>17</v>
      </c>
      <c r="C10" s="8" t="s">
        <v>502</v>
      </c>
      <c r="D10" s="7">
        <f t="shared" si="0"/>
        <v>27.759999999999998</v>
      </c>
      <c r="E10" s="8">
        <v>40</v>
      </c>
      <c r="F10" s="5">
        <v>27</v>
      </c>
      <c r="G10" s="5">
        <v>359</v>
      </c>
      <c r="H10" s="5">
        <v>2</v>
      </c>
      <c r="I10" s="5">
        <v>1</v>
      </c>
      <c r="J10" s="9">
        <v>0</v>
      </c>
      <c r="K10" s="8">
        <v>4</v>
      </c>
      <c r="L10" s="5">
        <v>14</v>
      </c>
      <c r="M10" s="5">
        <v>1</v>
      </c>
      <c r="N10" s="9">
        <v>0</v>
      </c>
      <c r="O10" s="8">
        <v>0</v>
      </c>
      <c r="P10" s="5">
        <v>0</v>
      </c>
      <c r="Q10" s="5">
        <v>0</v>
      </c>
      <c r="R10" s="9">
        <v>0</v>
      </c>
      <c r="S10" s="8">
        <v>0</v>
      </c>
      <c r="T10" s="9">
        <v>0</v>
      </c>
    </row>
    <row r="11" spans="1:20" x14ac:dyDescent="0.2">
      <c r="A11" s="5" t="s">
        <v>246</v>
      </c>
      <c r="B11" s="5" t="s">
        <v>162</v>
      </c>
      <c r="C11" s="6" t="s">
        <v>506</v>
      </c>
      <c r="D11" s="7">
        <f t="shared" si="0"/>
        <v>27.700000000000003</v>
      </c>
      <c r="E11" s="8">
        <v>0</v>
      </c>
      <c r="F11" s="5">
        <v>0</v>
      </c>
      <c r="G11" s="5">
        <v>0</v>
      </c>
      <c r="H11" s="5">
        <v>0</v>
      </c>
      <c r="I11" s="5">
        <v>0</v>
      </c>
      <c r="J11" s="9">
        <v>0</v>
      </c>
      <c r="K11" s="8">
        <v>0</v>
      </c>
      <c r="L11" s="5">
        <v>0</v>
      </c>
      <c r="M11" s="5">
        <v>0</v>
      </c>
      <c r="N11" s="9">
        <v>0</v>
      </c>
      <c r="O11" s="8">
        <v>11</v>
      </c>
      <c r="P11" s="5">
        <v>107</v>
      </c>
      <c r="Q11" s="5">
        <v>1</v>
      </c>
      <c r="R11" s="9">
        <v>0</v>
      </c>
      <c r="S11" s="8">
        <v>0</v>
      </c>
      <c r="T11" s="9">
        <v>0</v>
      </c>
    </row>
    <row r="12" spans="1:20" x14ac:dyDescent="0.2">
      <c r="A12" s="5" t="s">
        <v>298</v>
      </c>
      <c r="B12" s="5" t="s">
        <v>69</v>
      </c>
      <c r="C12" s="8" t="s">
        <v>507</v>
      </c>
      <c r="D12" s="7">
        <f t="shared" si="0"/>
        <v>27.7</v>
      </c>
      <c r="E12" s="8">
        <v>0</v>
      </c>
      <c r="F12" s="5">
        <v>0</v>
      </c>
      <c r="G12" s="5">
        <v>0</v>
      </c>
      <c r="H12" s="5">
        <v>0</v>
      </c>
      <c r="I12" s="5">
        <v>0</v>
      </c>
      <c r="J12" s="9">
        <v>0</v>
      </c>
      <c r="K12" s="8">
        <v>0</v>
      </c>
      <c r="L12" s="5">
        <v>0</v>
      </c>
      <c r="M12" s="5">
        <v>0</v>
      </c>
      <c r="N12" s="9">
        <v>0</v>
      </c>
      <c r="O12" s="8">
        <v>3</v>
      </c>
      <c r="P12" s="5">
        <v>67</v>
      </c>
      <c r="Q12" s="5">
        <v>3</v>
      </c>
      <c r="R12" s="9">
        <v>0</v>
      </c>
      <c r="S12" s="8">
        <v>0</v>
      </c>
      <c r="T12" s="9">
        <v>0</v>
      </c>
    </row>
    <row r="13" spans="1:20" x14ac:dyDescent="0.2">
      <c r="A13" s="5" t="s">
        <v>44</v>
      </c>
      <c r="B13" s="5" t="s">
        <v>17</v>
      </c>
      <c r="C13" s="8" t="s">
        <v>506</v>
      </c>
      <c r="D13" s="7">
        <f t="shared" si="0"/>
        <v>27.439999999999998</v>
      </c>
      <c r="E13" s="8">
        <v>28</v>
      </c>
      <c r="F13" s="5">
        <v>20</v>
      </c>
      <c r="G13" s="5">
        <v>236</v>
      </c>
      <c r="H13" s="5">
        <v>3</v>
      </c>
      <c r="I13" s="5">
        <v>0</v>
      </c>
      <c r="J13" s="9">
        <v>0</v>
      </c>
      <c r="K13" s="8">
        <v>2</v>
      </c>
      <c r="L13" s="5">
        <v>0</v>
      </c>
      <c r="M13" s="5">
        <v>1</v>
      </c>
      <c r="N13" s="9">
        <v>0</v>
      </c>
      <c r="O13" s="8">
        <v>0</v>
      </c>
      <c r="P13" s="5">
        <v>0</v>
      </c>
      <c r="Q13" s="5">
        <v>0</v>
      </c>
      <c r="R13" s="9">
        <v>0</v>
      </c>
      <c r="S13" s="8">
        <v>0</v>
      </c>
      <c r="T13" s="9">
        <v>0</v>
      </c>
    </row>
    <row r="14" spans="1:20" x14ac:dyDescent="0.2">
      <c r="A14" s="5" t="s">
        <v>45</v>
      </c>
      <c r="B14" s="5" t="s">
        <v>17</v>
      </c>
      <c r="C14" s="6" t="s">
        <v>508</v>
      </c>
      <c r="D14" s="7">
        <f t="shared" si="0"/>
        <v>27.32</v>
      </c>
      <c r="E14" s="8">
        <v>38</v>
      </c>
      <c r="F14" s="5">
        <v>25</v>
      </c>
      <c r="G14" s="5">
        <v>303</v>
      </c>
      <c r="H14" s="5">
        <v>1</v>
      </c>
      <c r="I14" s="5">
        <v>1</v>
      </c>
      <c r="J14" s="9">
        <v>0</v>
      </c>
      <c r="K14" s="8">
        <v>15</v>
      </c>
      <c r="L14" s="5">
        <v>72</v>
      </c>
      <c r="M14" s="5">
        <v>1</v>
      </c>
      <c r="N14" s="9">
        <v>0</v>
      </c>
      <c r="O14" s="8">
        <v>0</v>
      </c>
      <c r="P14" s="5">
        <v>0</v>
      </c>
      <c r="Q14" s="5">
        <v>0</v>
      </c>
      <c r="R14" s="9">
        <v>0</v>
      </c>
      <c r="S14" s="8">
        <v>0</v>
      </c>
      <c r="T14" s="9">
        <v>0</v>
      </c>
    </row>
    <row r="15" spans="1:20" x14ac:dyDescent="0.2">
      <c r="A15" s="5" t="s">
        <v>210</v>
      </c>
      <c r="B15" s="5" t="s">
        <v>162</v>
      </c>
      <c r="C15" s="8" t="s">
        <v>509</v>
      </c>
      <c r="D15" s="7">
        <f t="shared" si="0"/>
        <v>26.6</v>
      </c>
      <c r="E15" s="8">
        <v>0</v>
      </c>
      <c r="F15" s="5">
        <v>0</v>
      </c>
      <c r="G15" s="5">
        <v>0</v>
      </c>
      <c r="H15" s="5">
        <v>0</v>
      </c>
      <c r="I15" s="5">
        <v>0</v>
      </c>
      <c r="J15" s="9">
        <v>0</v>
      </c>
      <c r="K15" s="8">
        <v>1</v>
      </c>
      <c r="L15" s="5">
        <v>16</v>
      </c>
      <c r="M15" s="5">
        <v>0</v>
      </c>
      <c r="N15" s="9">
        <v>0</v>
      </c>
      <c r="O15" s="8">
        <v>6</v>
      </c>
      <c r="P15" s="5">
        <v>130</v>
      </c>
      <c r="Q15" s="5">
        <v>1</v>
      </c>
      <c r="R15" s="9">
        <v>0</v>
      </c>
      <c r="S15" s="8">
        <v>0</v>
      </c>
      <c r="T15" s="9">
        <v>0</v>
      </c>
    </row>
    <row r="16" spans="1:20" x14ac:dyDescent="0.2">
      <c r="A16" s="5" t="s">
        <v>51</v>
      </c>
      <c r="B16" s="5" t="s">
        <v>17</v>
      </c>
      <c r="C16" s="8" t="s">
        <v>510</v>
      </c>
      <c r="D16" s="7">
        <f t="shared" si="0"/>
        <v>26.16</v>
      </c>
      <c r="E16" s="8">
        <v>37</v>
      </c>
      <c r="F16" s="5">
        <v>28</v>
      </c>
      <c r="G16" s="5">
        <v>329</v>
      </c>
      <c r="H16" s="5">
        <v>1</v>
      </c>
      <c r="I16" s="5">
        <v>0</v>
      </c>
      <c r="J16" s="9">
        <v>1</v>
      </c>
      <c r="K16" s="8">
        <v>4</v>
      </c>
      <c r="L16" s="5">
        <v>10</v>
      </c>
      <c r="M16" s="5">
        <v>1</v>
      </c>
      <c r="N16" s="9">
        <v>0</v>
      </c>
      <c r="O16" s="8">
        <v>0</v>
      </c>
      <c r="P16" s="5">
        <v>0</v>
      </c>
      <c r="Q16" s="5">
        <v>0</v>
      </c>
      <c r="R16" s="9">
        <v>0</v>
      </c>
      <c r="S16" s="8">
        <v>0</v>
      </c>
      <c r="T16" s="9">
        <v>0</v>
      </c>
    </row>
    <row r="17" spans="1:20" x14ac:dyDescent="0.2">
      <c r="A17" s="5" t="s">
        <v>33</v>
      </c>
      <c r="B17" s="5" t="s">
        <v>17</v>
      </c>
      <c r="C17" s="8" t="s">
        <v>507</v>
      </c>
      <c r="D17" s="7">
        <f t="shared" si="0"/>
        <v>26.08</v>
      </c>
      <c r="E17" s="8">
        <v>24</v>
      </c>
      <c r="F17" s="5">
        <v>17</v>
      </c>
      <c r="G17" s="5">
        <v>252</v>
      </c>
      <c r="H17" s="5">
        <v>4</v>
      </c>
      <c r="I17" s="5">
        <v>0</v>
      </c>
      <c r="J17" s="9">
        <v>0</v>
      </c>
      <c r="K17" s="8">
        <v>0</v>
      </c>
      <c r="L17" s="5">
        <v>0</v>
      </c>
      <c r="M17" s="5">
        <v>0</v>
      </c>
      <c r="N17" s="9">
        <v>0</v>
      </c>
      <c r="O17" s="8">
        <v>0</v>
      </c>
      <c r="P17" s="5">
        <v>0</v>
      </c>
      <c r="Q17" s="5">
        <v>0</v>
      </c>
      <c r="R17" s="9">
        <v>0</v>
      </c>
      <c r="S17" s="8">
        <v>0</v>
      </c>
      <c r="T17" s="9">
        <v>0</v>
      </c>
    </row>
    <row r="18" spans="1:20" x14ac:dyDescent="0.2">
      <c r="A18" s="5" t="s">
        <v>349</v>
      </c>
      <c r="B18" s="5" t="s">
        <v>69</v>
      </c>
      <c r="C18" s="6" t="s">
        <v>508</v>
      </c>
      <c r="D18" s="7">
        <f t="shared" si="0"/>
        <v>25.700000000000003</v>
      </c>
      <c r="E18" s="8">
        <v>0</v>
      </c>
      <c r="F18" s="5">
        <v>0</v>
      </c>
      <c r="G18" s="5">
        <v>0</v>
      </c>
      <c r="H18" s="5">
        <v>0</v>
      </c>
      <c r="I18" s="5">
        <v>0</v>
      </c>
      <c r="J18" s="9">
        <v>0</v>
      </c>
      <c r="K18" s="8">
        <v>0</v>
      </c>
      <c r="L18" s="5">
        <v>0</v>
      </c>
      <c r="M18" s="5">
        <v>0</v>
      </c>
      <c r="N18" s="9">
        <v>0</v>
      </c>
      <c r="O18" s="8">
        <v>8</v>
      </c>
      <c r="P18" s="5">
        <v>117</v>
      </c>
      <c r="Q18" s="5">
        <v>1</v>
      </c>
      <c r="R18" s="9">
        <v>0</v>
      </c>
      <c r="S18" s="8">
        <v>0</v>
      </c>
      <c r="T18" s="9">
        <v>0</v>
      </c>
    </row>
    <row r="19" spans="1:20" x14ac:dyDescent="0.2">
      <c r="A19" s="5" t="s">
        <v>39</v>
      </c>
      <c r="B19" s="5" t="s">
        <v>17</v>
      </c>
      <c r="C19" s="8" t="s">
        <v>501</v>
      </c>
      <c r="D19" s="7">
        <f t="shared" si="0"/>
        <v>25.419999999999998</v>
      </c>
      <c r="E19" s="8">
        <v>51</v>
      </c>
      <c r="F19" s="5">
        <v>37</v>
      </c>
      <c r="G19" s="5">
        <v>388</v>
      </c>
      <c r="H19" s="5">
        <v>2</v>
      </c>
      <c r="I19" s="5">
        <v>1</v>
      </c>
      <c r="J19" s="9">
        <v>0</v>
      </c>
      <c r="K19" s="8">
        <v>4</v>
      </c>
      <c r="L19" s="5">
        <v>19</v>
      </c>
      <c r="M19" s="5">
        <v>0</v>
      </c>
      <c r="N19" s="9">
        <v>1</v>
      </c>
      <c r="O19" s="8">
        <v>0</v>
      </c>
      <c r="P19" s="5">
        <v>0</v>
      </c>
      <c r="Q19" s="5">
        <v>0</v>
      </c>
      <c r="R19" s="9">
        <v>0</v>
      </c>
      <c r="S19" s="8">
        <v>0</v>
      </c>
      <c r="T19" s="9">
        <v>0</v>
      </c>
    </row>
    <row r="20" spans="1:20" x14ac:dyDescent="0.2">
      <c r="A20" s="5" t="s">
        <v>165</v>
      </c>
      <c r="B20" s="5" t="s">
        <v>162</v>
      </c>
      <c r="C20" s="8" t="s">
        <v>502</v>
      </c>
      <c r="D20" s="7">
        <f t="shared" si="0"/>
        <v>24.1</v>
      </c>
      <c r="E20" s="8">
        <v>0</v>
      </c>
      <c r="F20" s="5">
        <v>0</v>
      </c>
      <c r="G20" s="5">
        <v>0</v>
      </c>
      <c r="H20" s="5">
        <v>0</v>
      </c>
      <c r="I20" s="5">
        <v>0</v>
      </c>
      <c r="J20" s="9">
        <v>0</v>
      </c>
      <c r="K20" s="8">
        <v>0</v>
      </c>
      <c r="L20" s="5">
        <v>0</v>
      </c>
      <c r="M20" s="5">
        <v>0</v>
      </c>
      <c r="N20" s="9">
        <v>0</v>
      </c>
      <c r="O20" s="8">
        <v>8</v>
      </c>
      <c r="P20" s="5">
        <v>121</v>
      </c>
      <c r="Q20" s="5">
        <v>1</v>
      </c>
      <c r="R20" s="9">
        <v>0</v>
      </c>
      <c r="S20" s="8">
        <v>1</v>
      </c>
      <c r="T20" s="9">
        <v>0</v>
      </c>
    </row>
    <row r="21" spans="1:20" x14ac:dyDescent="0.2">
      <c r="A21" s="5" t="s">
        <v>62</v>
      </c>
      <c r="B21" s="5" t="s">
        <v>17</v>
      </c>
      <c r="C21" s="6" t="s">
        <v>500</v>
      </c>
      <c r="D21" s="7">
        <f t="shared" si="0"/>
        <v>23.38</v>
      </c>
      <c r="E21" s="8">
        <v>46</v>
      </c>
      <c r="F21" s="5">
        <v>36</v>
      </c>
      <c r="G21" s="5">
        <v>317</v>
      </c>
      <c r="H21" s="5">
        <v>3</v>
      </c>
      <c r="I21" s="5">
        <v>1</v>
      </c>
      <c r="J21" s="9">
        <v>0</v>
      </c>
      <c r="K21" s="8">
        <v>4</v>
      </c>
      <c r="L21" s="5">
        <v>7</v>
      </c>
      <c r="M21" s="5">
        <v>0</v>
      </c>
      <c r="N21" s="9">
        <v>0</v>
      </c>
      <c r="O21" s="8">
        <v>0</v>
      </c>
      <c r="P21" s="5">
        <v>0</v>
      </c>
      <c r="Q21" s="5">
        <v>0</v>
      </c>
      <c r="R21" s="9">
        <v>0</v>
      </c>
      <c r="S21" s="8">
        <v>0</v>
      </c>
      <c r="T21" s="9">
        <v>0</v>
      </c>
    </row>
    <row r="22" spans="1:20" x14ac:dyDescent="0.2">
      <c r="A22" s="5" t="s">
        <v>343</v>
      </c>
      <c r="B22" s="5" t="s">
        <v>69</v>
      </c>
      <c r="C22" s="6" t="s">
        <v>511</v>
      </c>
      <c r="D22" s="7">
        <f t="shared" si="0"/>
        <v>22.7</v>
      </c>
      <c r="E22" s="8">
        <v>0</v>
      </c>
      <c r="F22" s="5">
        <v>0</v>
      </c>
      <c r="G22" s="5">
        <v>0</v>
      </c>
      <c r="H22" s="5">
        <v>0</v>
      </c>
      <c r="I22" s="5">
        <v>0</v>
      </c>
      <c r="J22" s="9">
        <v>0</v>
      </c>
      <c r="K22" s="8">
        <v>0</v>
      </c>
      <c r="L22" s="5">
        <v>0</v>
      </c>
      <c r="M22" s="5">
        <v>0</v>
      </c>
      <c r="N22" s="9">
        <v>0</v>
      </c>
      <c r="O22" s="8">
        <v>10</v>
      </c>
      <c r="P22" s="5">
        <v>67</v>
      </c>
      <c r="Q22" s="5">
        <v>1</v>
      </c>
      <c r="R22" s="9">
        <v>0</v>
      </c>
      <c r="S22" s="8">
        <v>0</v>
      </c>
      <c r="T22" s="9">
        <v>0</v>
      </c>
    </row>
    <row r="23" spans="1:20" x14ac:dyDescent="0.2">
      <c r="A23" s="5" t="s">
        <v>230</v>
      </c>
      <c r="B23" s="5" t="s">
        <v>162</v>
      </c>
      <c r="C23" s="8" t="s">
        <v>502</v>
      </c>
      <c r="D23" s="7">
        <f t="shared" si="0"/>
        <v>22</v>
      </c>
      <c r="E23" s="8">
        <v>0</v>
      </c>
      <c r="F23" s="5">
        <v>0</v>
      </c>
      <c r="G23" s="5">
        <v>0</v>
      </c>
      <c r="H23" s="5">
        <v>0</v>
      </c>
      <c r="I23" s="5">
        <v>0</v>
      </c>
      <c r="J23" s="9">
        <v>0</v>
      </c>
      <c r="K23" s="8">
        <v>0</v>
      </c>
      <c r="L23" s="5">
        <v>0</v>
      </c>
      <c r="M23" s="5">
        <v>0</v>
      </c>
      <c r="N23" s="9">
        <v>0</v>
      </c>
      <c r="O23" s="8">
        <v>6</v>
      </c>
      <c r="P23" s="5">
        <v>100</v>
      </c>
      <c r="Q23" s="5">
        <v>1</v>
      </c>
      <c r="R23" s="9">
        <v>0</v>
      </c>
      <c r="S23" s="8">
        <v>0</v>
      </c>
      <c r="T23" s="9">
        <v>0</v>
      </c>
    </row>
    <row r="24" spans="1:20" x14ac:dyDescent="0.2">
      <c r="A24" s="5" t="s">
        <v>187</v>
      </c>
      <c r="B24" s="5" t="s">
        <v>162</v>
      </c>
      <c r="C24" s="6" t="s">
        <v>503</v>
      </c>
      <c r="D24" s="7">
        <f t="shared" si="0"/>
        <v>22</v>
      </c>
      <c r="E24" s="8">
        <v>0</v>
      </c>
      <c r="F24" s="5">
        <v>0</v>
      </c>
      <c r="G24" s="5">
        <v>0</v>
      </c>
      <c r="H24" s="5">
        <v>0</v>
      </c>
      <c r="I24" s="5">
        <v>0</v>
      </c>
      <c r="J24" s="9">
        <v>0</v>
      </c>
      <c r="K24" s="8">
        <v>0</v>
      </c>
      <c r="L24" s="5">
        <v>0</v>
      </c>
      <c r="M24" s="5">
        <v>0</v>
      </c>
      <c r="N24" s="9">
        <v>0</v>
      </c>
      <c r="O24" s="8">
        <v>8</v>
      </c>
      <c r="P24" s="5">
        <v>140</v>
      </c>
      <c r="Q24" s="5">
        <v>0</v>
      </c>
      <c r="R24" s="9">
        <v>0</v>
      </c>
      <c r="S24" s="8">
        <v>0</v>
      </c>
      <c r="T24" s="9">
        <v>0</v>
      </c>
    </row>
    <row r="25" spans="1:20" x14ac:dyDescent="0.2">
      <c r="A25" s="5" t="s">
        <v>375</v>
      </c>
      <c r="B25" s="5" t="s">
        <v>75</v>
      </c>
      <c r="C25" s="8" t="s">
        <v>504</v>
      </c>
      <c r="D25" s="7">
        <f t="shared" si="0"/>
        <v>21.5</v>
      </c>
      <c r="E25" s="8">
        <v>0</v>
      </c>
      <c r="F25" s="5">
        <v>0</v>
      </c>
      <c r="G25" s="5">
        <v>0</v>
      </c>
      <c r="H25" s="5">
        <v>0</v>
      </c>
      <c r="I25" s="5">
        <v>0</v>
      </c>
      <c r="J25" s="9">
        <v>0</v>
      </c>
      <c r="K25" s="8">
        <v>11</v>
      </c>
      <c r="L25" s="5">
        <v>151</v>
      </c>
      <c r="M25" s="5">
        <v>1</v>
      </c>
      <c r="N25" s="9">
        <v>0</v>
      </c>
      <c r="O25" s="8">
        <v>1</v>
      </c>
      <c r="P25" s="5">
        <v>14</v>
      </c>
      <c r="Q25" s="5">
        <v>0</v>
      </c>
      <c r="R25" s="9">
        <v>0</v>
      </c>
      <c r="S25" s="8">
        <v>1</v>
      </c>
      <c r="T25" s="9">
        <v>0</v>
      </c>
    </row>
    <row r="26" spans="1:20" x14ac:dyDescent="0.2">
      <c r="A26" s="5" t="s">
        <v>90</v>
      </c>
      <c r="B26" s="5" t="s">
        <v>75</v>
      </c>
      <c r="C26" s="8" t="s">
        <v>506</v>
      </c>
      <c r="D26" s="7">
        <f t="shared" si="0"/>
        <v>20.9</v>
      </c>
      <c r="E26" s="8">
        <v>0</v>
      </c>
      <c r="F26" s="5">
        <v>0</v>
      </c>
      <c r="G26" s="5">
        <v>0</v>
      </c>
      <c r="H26" s="5">
        <v>0</v>
      </c>
      <c r="I26" s="5">
        <v>0</v>
      </c>
      <c r="J26" s="9">
        <v>0</v>
      </c>
      <c r="K26" s="8">
        <v>19</v>
      </c>
      <c r="L26" s="5">
        <v>109</v>
      </c>
      <c r="M26" s="5">
        <v>1</v>
      </c>
      <c r="N26" s="9">
        <v>0</v>
      </c>
      <c r="O26" s="8">
        <v>2</v>
      </c>
      <c r="P26" s="5">
        <v>20</v>
      </c>
      <c r="Q26" s="5">
        <v>0</v>
      </c>
      <c r="R26" s="9">
        <v>0</v>
      </c>
      <c r="S26" s="8">
        <v>0</v>
      </c>
      <c r="T26" s="9">
        <v>0</v>
      </c>
    </row>
    <row r="27" spans="1:20" x14ac:dyDescent="0.2">
      <c r="A27" s="5" t="s">
        <v>282</v>
      </c>
      <c r="B27" s="5" t="s">
        <v>69</v>
      </c>
      <c r="C27" s="8" t="s">
        <v>501</v>
      </c>
      <c r="D27" s="7">
        <f t="shared" si="0"/>
        <v>20.7</v>
      </c>
      <c r="E27" s="8">
        <v>0</v>
      </c>
      <c r="F27" s="5">
        <v>0</v>
      </c>
      <c r="G27" s="5">
        <v>0</v>
      </c>
      <c r="H27" s="5">
        <v>0</v>
      </c>
      <c r="I27" s="5">
        <v>0</v>
      </c>
      <c r="J27" s="9">
        <v>0</v>
      </c>
      <c r="K27" s="8">
        <v>0</v>
      </c>
      <c r="L27" s="5">
        <v>0</v>
      </c>
      <c r="M27" s="5">
        <v>0</v>
      </c>
      <c r="N27" s="9">
        <v>0</v>
      </c>
      <c r="O27" s="8">
        <v>9</v>
      </c>
      <c r="P27" s="5">
        <v>77</v>
      </c>
      <c r="Q27" s="5">
        <v>1</v>
      </c>
      <c r="R27" s="9">
        <v>0</v>
      </c>
      <c r="S27" s="8">
        <v>1</v>
      </c>
      <c r="T27" s="9">
        <v>0</v>
      </c>
    </row>
    <row r="28" spans="1:20" x14ac:dyDescent="0.2">
      <c r="A28" s="5" t="s">
        <v>168</v>
      </c>
      <c r="B28" s="5" t="s">
        <v>162</v>
      </c>
      <c r="C28" s="6" t="s">
        <v>502</v>
      </c>
      <c r="D28" s="7">
        <f t="shared" si="0"/>
        <v>20.6</v>
      </c>
      <c r="E28" s="8">
        <v>0</v>
      </c>
      <c r="F28" s="5">
        <v>0</v>
      </c>
      <c r="G28" s="5">
        <v>0</v>
      </c>
      <c r="H28" s="5">
        <v>0</v>
      </c>
      <c r="I28" s="5">
        <v>0</v>
      </c>
      <c r="J28" s="9">
        <v>0</v>
      </c>
      <c r="K28" s="8">
        <v>2</v>
      </c>
      <c r="L28" s="5">
        <v>14</v>
      </c>
      <c r="M28" s="5">
        <v>0</v>
      </c>
      <c r="N28" s="9">
        <v>0</v>
      </c>
      <c r="O28" s="8">
        <v>7</v>
      </c>
      <c r="P28" s="5">
        <v>122</v>
      </c>
      <c r="Q28" s="5">
        <v>0</v>
      </c>
      <c r="R28" s="9">
        <v>0</v>
      </c>
      <c r="S28" s="8">
        <v>0</v>
      </c>
      <c r="T28" s="9">
        <v>0</v>
      </c>
    </row>
    <row r="29" spans="1:20" x14ac:dyDescent="0.2">
      <c r="A29" s="5" t="s">
        <v>164</v>
      </c>
      <c r="B29" s="5" t="s">
        <v>162</v>
      </c>
      <c r="C29" s="8" t="s">
        <v>512</v>
      </c>
      <c r="D29" s="7">
        <f t="shared" si="0"/>
        <v>20.5</v>
      </c>
      <c r="E29" s="8">
        <v>0</v>
      </c>
      <c r="F29" s="5">
        <v>0</v>
      </c>
      <c r="G29" s="5">
        <v>0</v>
      </c>
      <c r="H29" s="5">
        <v>0</v>
      </c>
      <c r="I29" s="5">
        <v>0</v>
      </c>
      <c r="J29" s="9">
        <v>0</v>
      </c>
      <c r="K29" s="8">
        <v>1</v>
      </c>
      <c r="L29" s="5">
        <v>0</v>
      </c>
      <c r="M29" s="5">
        <v>0</v>
      </c>
      <c r="N29" s="9">
        <v>0</v>
      </c>
      <c r="O29" s="8">
        <v>7</v>
      </c>
      <c r="P29" s="5">
        <v>75</v>
      </c>
      <c r="Q29" s="5">
        <v>1</v>
      </c>
      <c r="R29" s="9">
        <v>0</v>
      </c>
      <c r="S29" s="8">
        <v>0</v>
      </c>
      <c r="T29" s="9">
        <v>0</v>
      </c>
    </row>
    <row r="30" spans="1:20" x14ac:dyDescent="0.2">
      <c r="A30" s="5" t="s">
        <v>170</v>
      </c>
      <c r="B30" s="5" t="s">
        <v>162</v>
      </c>
      <c r="C30" s="8" t="s">
        <v>508</v>
      </c>
      <c r="D30" s="7">
        <f t="shared" si="0"/>
        <v>20.100000000000001</v>
      </c>
      <c r="E30" s="8">
        <v>0</v>
      </c>
      <c r="F30" s="5">
        <v>0</v>
      </c>
      <c r="G30" s="5">
        <v>0</v>
      </c>
      <c r="H30" s="5">
        <v>0</v>
      </c>
      <c r="I30" s="5">
        <v>0</v>
      </c>
      <c r="J30" s="9">
        <v>0</v>
      </c>
      <c r="K30" s="8">
        <v>0</v>
      </c>
      <c r="L30" s="5">
        <v>0</v>
      </c>
      <c r="M30" s="5">
        <v>0</v>
      </c>
      <c r="N30" s="9">
        <v>0</v>
      </c>
      <c r="O30" s="8">
        <v>7</v>
      </c>
      <c r="P30" s="5">
        <v>71</v>
      </c>
      <c r="Q30" s="5">
        <v>1</v>
      </c>
      <c r="R30" s="9">
        <v>0</v>
      </c>
      <c r="S30" s="8">
        <v>0</v>
      </c>
      <c r="T30" s="9">
        <v>0</v>
      </c>
    </row>
    <row r="31" spans="1:20" x14ac:dyDescent="0.2">
      <c r="A31" s="5" t="s">
        <v>109</v>
      </c>
      <c r="B31" s="5" t="s">
        <v>75</v>
      </c>
      <c r="C31" s="8" t="s">
        <v>512</v>
      </c>
      <c r="D31" s="7">
        <f t="shared" si="0"/>
        <v>19.899999999999999</v>
      </c>
      <c r="E31" s="8">
        <v>0</v>
      </c>
      <c r="F31" s="5">
        <v>0</v>
      </c>
      <c r="G31" s="5">
        <v>0</v>
      </c>
      <c r="H31" s="5">
        <v>0</v>
      </c>
      <c r="I31" s="5">
        <v>0</v>
      </c>
      <c r="J31" s="9">
        <v>0</v>
      </c>
      <c r="K31" s="8">
        <v>20</v>
      </c>
      <c r="L31" s="5">
        <v>69</v>
      </c>
      <c r="M31" s="5">
        <v>1</v>
      </c>
      <c r="N31" s="9">
        <v>0</v>
      </c>
      <c r="O31" s="8">
        <v>5</v>
      </c>
      <c r="P31" s="5">
        <v>20</v>
      </c>
      <c r="Q31" s="5">
        <v>0</v>
      </c>
      <c r="R31" s="9">
        <v>0</v>
      </c>
      <c r="S31" s="8">
        <v>0</v>
      </c>
      <c r="T31" s="9">
        <v>0</v>
      </c>
    </row>
    <row r="32" spans="1:20" x14ac:dyDescent="0.2">
      <c r="A32" s="5" t="s">
        <v>30</v>
      </c>
      <c r="B32" s="5" t="s">
        <v>17</v>
      </c>
      <c r="C32" s="8" t="s">
        <v>511</v>
      </c>
      <c r="D32" s="7">
        <f t="shared" si="0"/>
        <v>19.86</v>
      </c>
      <c r="E32" s="8">
        <v>47</v>
      </c>
      <c r="F32" s="5">
        <v>29</v>
      </c>
      <c r="G32" s="5">
        <v>284</v>
      </c>
      <c r="H32" s="5">
        <v>2</v>
      </c>
      <c r="I32" s="5">
        <v>0</v>
      </c>
      <c r="J32" s="9">
        <v>0</v>
      </c>
      <c r="K32" s="8">
        <v>3</v>
      </c>
      <c r="L32" s="5">
        <v>5</v>
      </c>
      <c r="M32" s="5">
        <v>0</v>
      </c>
      <c r="N32" s="9">
        <v>0</v>
      </c>
      <c r="O32" s="8">
        <v>0</v>
      </c>
      <c r="P32" s="5">
        <v>0</v>
      </c>
      <c r="Q32" s="5">
        <v>0</v>
      </c>
      <c r="R32" s="9">
        <v>0</v>
      </c>
      <c r="S32" s="8">
        <v>0</v>
      </c>
      <c r="T32" s="9">
        <v>0</v>
      </c>
    </row>
    <row r="33" spans="1:20" x14ac:dyDescent="0.2">
      <c r="A33" s="5" t="s">
        <v>513</v>
      </c>
      <c r="B33" s="5" t="s">
        <v>162</v>
      </c>
      <c r="C33" s="8" t="s">
        <v>508</v>
      </c>
      <c r="D33" s="7">
        <f t="shared" si="0"/>
        <v>19.8</v>
      </c>
      <c r="E33" s="8">
        <v>0</v>
      </c>
      <c r="F33" s="5">
        <v>0</v>
      </c>
      <c r="G33" s="5">
        <v>0</v>
      </c>
      <c r="H33" s="5">
        <v>0</v>
      </c>
      <c r="I33" s="5">
        <v>0</v>
      </c>
      <c r="J33" s="9">
        <v>0</v>
      </c>
      <c r="K33" s="8">
        <v>0</v>
      </c>
      <c r="L33" s="5">
        <v>0</v>
      </c>
      <c r="M33" s="5">
        <v>0</v>
      </c>
      <c r="N33" s="9">
        <v>0</v>
      </c>
      <c r="O33" s="8">
        <v>8</v>
      </c>
      <c r="P33" s="5">
        <v>118</v>
      </c>
      <c r="Q33" s="5">
        <v>0</v>
      </c>
      <c r="R33" s="9">
        <v>0</v>
      </c>
      <c r="S33" s="8">
        <v>0</v>
      </c>
      <c r="T33" s="9">
        <v>0</v>
      </c>
    </row>
    <row r="34" spans="1:20" x14ac:dyDescent="0.2">
      <c r="A34" s="5" t="s">
        <v>280</v>
      </c>
      <c r="B34" s="5" t="s">
        <v>69</v>
      </c>
      <c r="C34" s="8" t="s">
        <v>506</v>
      </c>
      <c r="D34" s="7">
        <f t="shared" si="0"/>
        <v>19.7</v>
      </c>
      <c r="E34" s="8">
        <v>0</v>
      </c>
      <c r="F34" s="5">
        <v>0</v>
      </c>
      <c r="G34" s="5">
        <v>0</v>
      </c>
      <c r="H34" s="5">
        <v>0</v>
      </c>
      <c r="I34" s="5">
        <v>0</v>
      </c>
      <c r="J34" s="9">
        <v>0</v>
      </c>
      <c r="K34" s="8">
        <v>0</v>
      </c>
      <c r="L34" s="5">
        <v>0</v>
      </c>
      <c r="M34" s="5">
        <v>0</v>
      </c>
      <c r="N34" s="9">
        <v>0</v>
      </c>
      <c r="O34" s="8">
        <v>3</v>
      </c>
      <c r="P34" s="5">
        <v>47</v>
      </c>
      <c r="Q34" s="5">
        <v>2</v>
      </c>
      <c r="R34" s="9">
        <v>0</v>
      </c>
      <c r="S34" s="8">
        <v>0</v>
      </c>
      <c r="T34" s="9">
        <v>0</v>
      </c>
    </row>
    <row r="35" spans="1:20" x14ac:dyDescent="0.2">
      <c r="A35" s="5" t="s">
        <v>313</v>
      </c>
      <c r="B35" s="5" t="s">
        <v>69</v>
      </c>
      <c r="C35" s="6" t="s">
        <v>510</v>
      </c>
      <c r="D35" s="7">
        <f t="shared" si="0"/>
        <v>19.5</v>
      </c>
      <c r="E35" s="8">
        <v>0</v>
      </c>
      <c r="F35" s="5">
        <v>0</v>
      </c>
      <c r="G35" s="5">
        <v>0</v>
      </c>
      <c r="H35" s="5">
        <v>0</v>
      </c>
      <c r="I35" s="5">
        <v>0</v>
      </c>
      <c r="J35" s="9">
        <v>0</v>
      </c>
      <c r="K35" s="8">
        <v>0</v>
      </c>
      <c r="L35" s="5">
        <v>0</v>
      </c>
      <c r="M35" s="5">
        <v>0</v>
      </c>
      <c r="N35" s="9">
        <v>0</v>
      </c>
      <c r="O35" s="8">
        <v>7</v>
      </c>
      <c r="P35" s="5">
        <v>65</v>
      </c>
      <c r="Q35" s="5">
        <v>1</v>
      </c>
      <c r="R35" s="9">
        <v>0</v>
      </c>
      <c r="S35" s="8">
        <v>0</v>
      </c>
      <c r="T35" s="9">
        <v>0</v>
      </c>
    </row>
    <row r="36" spans="1:20" x14ac:dyDescent="0.2">
      <c r="A36" s="5" t="s">
        <v>23</v>
      </c>
      <c r="B36" s="5" t="s">
        <v>17</v>
      </c>
      <c r="C36" s="6" t="s">
        <v>511</v>
      </c>
      <c r="D36" s="7">
        <f t="shared" si="0"/>
        <v>19.240000000000002</v>
      </c>
      <c r="E36" s="8">
        <v>41</v>
      </c>
      <c r="F36" s="5">
        <v>31</v>
      </c>
      <c r="G36" s="5">
        <v>281</v>
      </c>
      <c r="H36" s="5">
        <v>2</v>
      </c>
      <c r="I36" s="5">
        <v>0</v>
      </c>
      <c r="J36" s="9">
        <v>0</v>
      </c>
      <c r="K36" s="8">
        <v>0</v>
      </c>
      <c r="L36" s="5">
        <v>0</v>
      </c>
      <c r="M36" s="5">
        <v>0</v>
      </c>
      <c r="N36" s="9">
        <v>0</v>
      </c>
      <c r="O36" s="8">
        <v>0</v>
      </c>
      <c r="P36" s="5">
        <v>0</v>
      </c>
      <c r="Q36" s="5">
        <v>0</v>
      </c>
      <c r="R36" s="9">
        <v>0</v>
      </c>
      <c r="S36" s="8">
        <v>0</v>
      </c>
      <c r="T36" s="9">
        <v>0</v>
      </c>
    </row>
    <row r="37" spans="1:20" x14ac:dyDescent="0.2">
      <c r="A37" s="5" t="s">
        <v>38</v>
      </c>
      <c r="B37" s="5" t="s">
        <v>17</v>
      </c>
      <c r="C37" s="8" t="s">
        <v>505</v>
      </c>
      <c r="D37" s="7">
        <f t="shared" si="0"/>
        <v>18.740000000000002</v>
      </c>
      <c r="E37" s="8">
        <v>31</v>
      </c>
      <c r="F37" s="5">
        <v>20</v>
      </c>
      <c r="G37" s="5">
        <v>196</v>
      </c>
      <c r="H37" s="5">
        <v>2</v>
      </c>
      <c r="I37" s="5">
        <v>0</v>
      </c>
      <c r="J37" s="9">
        <v>0</v>
      </c>
      <c r="K37" s="8">
        <v>7</v>
      </c>
      <c r="L37" s="5">
        <v>49</v>
      </c>
      <c r="M37" s="5">
        <v>0</v>
      </c>
      <c r="N37" s="9">
        <v>0</v>
      </c>
      <c r="O37" s="8">
        <v>0</v>
      </c>
      <c r="P37" s="5">
        <v>0</v>
      </c>
      <c r="Q37" s="5">
        <v>0</v>
      </c>
      <c r="R37" s="9">
        <v>0</v>
      </c>
      <c r="S37" s="8">
        <v>1</v>
      </c>
      <c r="T37" s="9">
        <v>0</v>
      </c>
    </row>
    <row r="38" spans="1:20" x14ac:dyDescent="0.2">
      <c r="A38" s="5" t="s">
        <v>182</v>
      </c>
      <c r="B38" s="5" t="s">
        <v>162</v>
      </c>
      <c r="C38" s="6" t="s">
        <v>508</v>
      </c>
      <c r="D38" s="7">
        <f t="shared" si="0"/>
        <v>18.700000000000003</v>
      </c>
      <c r="E38" s="8">
        <v>0</v>
      </c>
      <c r="F38" s="5">
        <v>0</v>
      </c>
      <c r="G38" s="5">
        <v>0</v>
      </c>
      <c r="H38" s="5">
        <v>0</v>
      </c>
      <c r="I38" s="5">
        <v>0</v>
      </c>
      <c r="J38" s="9">
        <v>0</v>
      </c>
      <c r="K38" s="8">
        <v>0</v>
      </c>
      <c r="L38" s="5">
        <v>0</v>
      </c>
      <c r="M38" s="5">
        <v>0</v>
      </c>
      <c r="N38" s="9">
        <v>0</v>
      </c>
      <c r="O38" s="8">
        <v>6</v>
      </c>
      <c r="P38" s="5">
        <v>127</v>
      </c>
      <c r="Q38" s="5">
        <v>0</v>
      </c>
      <c r="R38" s="9">
        <v>0</v>
      </c>
      <c r="S38" s="8">
        <v>0</v>
      </c>
      <c r="T38" s="9">
        <v>0</v>
      </c>
    </row>
    <row r="39" spans="1:20" x14ac:dyDescent="0.2">
      <c r="A39" s="5" t="s">
        <v>470</v>
      </c>
      <c r="B39" s="5" t="s">
        <v>75</v>
      </c>
      <c r="C39" s="6" t="s">
        <v>514</v>
      </c>
      <c r="D39" s="7">
        <f t="shared" si="0"/>
        <v>18.7</v>
      </c>
      <c r="E39" s="8">
        <v>0</v>
      </c>
      <c r="F39" s="5">
        <v>0</v>
      </c>
      <c r="G39" s="5">
        <v>0</v>
      </c>
      <c r="H39" s="5">
        <v>0</v>
      </c>
      <c r="I39" s="5">
        <v>0</v>
      </c>
      <c r="J39" s="9">
        <v>0</v>
      </c>
      <c r="K39" s="8">
        <v>22</v>
      </c>
      <c r="L39" s="5">
        <v>80</v>
      </c>
      <c r="M39" s="5">
        <v>1</v>
      </c>
      <c r="N39" s="9">
        <v>0</v>
      </c>
      <c r="O39" s="8">
        <v>3</v>
      </c>
      <c r="P39" s="5">
        <v>17</v>
      </c>
      <c r="Q39" s="5">
        <v>0</v>
      </c>
      <c r="R39" s="9">
        <v>0</v>
      </c>
      <c r="S39" s="8">
        <v>0</v>
      </c>
      <c r="T39" s="9">
        <v>0</v>
      </c>
    </row>
    <row r="40" spans="1:20" x14ac:dyDescent="0.2">
      <c r="A40" s="5" t="s">
        <v>199</v>
      </c>
      <c r="B40" s="5" t="s">
        <v>162</v>
      </c>
      <c r="C40" s="8" t="s">
        <v>501</v>
      </c>
      <c r="D40" s="7">
        <f t="shared" si="0"/>
        <v>18.5</v>
      </c>
      <c r="E40" s="8">
        <v>0</v>
      </c>
      <c r="F40" s="5">
        <v>0</v>
      </c>
      <c r="G40" s="5">
        <v>0</v>
      </c>
      <c r="H40" s="5">
        <v>0</v>
      </c>
      <c r="I40" s="5">
        <v>0</v>
      </c>
      <c r="J40" s="9">
        <v>0</v>
      </c>
      <c r="K40" s="8">
        <v>0</v>
      </c>
      <c r="L40" s="5">
        <v>0</v>
      </c>
      <c r="M40" s="5">
        <v>0</v>
      </c>
      <c r="N40" s="9">
        <v>0</v>
      </c>
      <c r="O40" s="8">
        <v>6</v>
      </c>
      <c r="P40" s="5">
        <v>65</v>
      </c>
      <c r="Q40" s="5">
        <v>1</v>
      </c>
      <c r="R40" s="9">
        <v>0</v>
      </c>
      <c r="S40" s="8">
        <v>0</v>
      </c>
      <c r="T40" s="9">
        <v>0</v>
      </c>
    </row>
    <row r="41" spans="1:20" x14ac:dyDescent="0.2">
      <c r="A41" s="5" t="s">
        <v>178</v>
      </c>
      <c r="B41" s="5" t="s">
        <v>162</v>
      </c>
      <c r="C41" s="8" t="s">
        <v>511</v>
      </c>
      <c r="D41" s="7">
        <f t="shared" si="0"/>
        <v>18.399999999999999</v>
      </c>
      <c r="E41" s="8">
        <v>0</v>
      </c>
      <c r="F41" s="5">
        <v>0</v>
      </c>
      <c r="G41" s="5">
        <v>0</v>
      </c>
      <c r="H41" s="5">
        <v>0</v>
      </c>
      <c r="I41" s="5">
        <v>0</v>
      </c>
      <c r="J41" s="9">
        <v>0</v>
      </c>
      <c r="K41" s="8">
        <v>0</v>
      </c>
      <c r="L41" s="5">
        <v>0</v>
      </c>
      <c r="M41" s="5">
        <v>0</v>
      </c>
      <c r="N41" s="9">
        <v>0</v>
      </c>
      <c r="O41" s="8">
        <v>6</v>
      </c>
      <c r="P41" s="5">
        <v>64</v>
      </c>
      <c r="Q41" s="5">
        <v>1</v>
      </c>
      <c r="R41" s="9">
        <v>0</v>
      </c>
      <c r="S41" s="8">
        <v>0</v>
      </c>
      <c r="T41" s="9">
        <v>0</v>
      </c>
    </row>
    <row r="42" spans="1:20" x14ac:dyDescent="0.2">
      <c r="A42" s="5" t="s">
        <v>57</v>
      </c>
      <c r="B42" s="5" t="s">
        <v>17</v>
      </c>
      <c r="C42" s="6" t="s">
        <v>506</v>
      </c>
      <c r="D42" s="7">
        <f t="shared" si="0"/>
        <v>18.28</v>
      </c>
      <c r="E42" s="8">
        <v>41</v>
      </c>
      <c r="F42" s="5">
        <v>25</v>
      </c>
      <c r="G42" s="5">
        <v>247</v>
      </c>
      <c r="H42" s="5">
        <v>3</v>
      </c>
      <c r="I42" s="5">
        <v>2</v>
      </c>
      <c r="J42" s="9">
        <v>0</v>
      </c>
      <c r="K42" s="8">
        <v>1</v>
      </c>
      <c r="L42" s="5">
        <v>4</v>
      </c>
      <c r="M42" s="5">
        <v>0</v>
      </c>
      <c r="N42" s="9">
        <v>0</v>
      </c>
      <c r="O42" s="8">
        <v>0</v>
      </c>
      <c r="P42" s="5">
        <v>0</v>
      </c>
      <c r="Q42" s="5">
        <v>0</v>
      </c>
      <c r="R42" s="9">
        <v>0</v>
      </c>
      <c r="S42" s="8">
        <v>0</v>
      </c>
      <c r="T42" s="9">
        <v>0</v>
      </c>
    </row>
    <row r="43" spans="1:20" x14ac:dyDescent="0.2">
      <c r="A43" s="5" t="s">
        <v>147</v>
      </c>
      <c r="B43" s="5" t="s">
        <v>75</v>
      </c>
      <c r="C43" s="8" t="s">
        <v>505</v>
      </c>
      <c r="D43" s="7">
        <f t="shared" si="0"/>
        <v>17.899999999999999</v>
      </c>
      <c r="E43" s="8">
        <v>0</v>
      </c>
      <c r="F43" s="5">
        <v>0</v>
      </c>
      <c r="G43" s="5">
        <v>0</v>
      </c>
      <c r="H43" s="5">
        <v>0</v>
      </c>
      <c r="I43" s="5">
        <v>0</v>
      </c>
      <c r="J43" s="9">
        <v>0</v>
      </c>
      <c r="K43" s="8">
        <v>9</v>
      </c>
      <c r="L43" s="5">
        <v>68</v>
      </c>
      <c r="M43" s="5">
        <v>0</v>
      </c>
      <c r="N43" s="9">
        <v>0</v>
      </c>
      <c r="O43" s="8">
        <v>3</v>
      </c>
      <c r="P43" s="5">
        <v>21</v>
      </c>
      <c r="Q43" s="5">
        <v>1</v>
      </c>
      <c r="R43" s="9">
        <v>0</v>
      </c>
      <c r="S43" s="8">
        <v>0</v>
      </c>
      <c r="T43" s="9">
        <v>0</v>
      </c>
    </row>
    <row r="44" spans="1:20" x14ac:dyDescent="0.2">
      <c r="A44" s="5" t="s">
        <v>191</v>
      </c>
      <c r="B44" s="5" t="s">
        <v>162</v>
      </c>
      <c r="C44" s="8" t="s">
        <v>506</v>
      </c>
      <c r="D44" s="7">
        <f t="shared" si="0"/>
        <v>17.600000000000001</v>
      </c>
      <c r="E44" s="8">
        <v>0</v>
      </c>
      <c r="F44" s="5">
        <v>0</v>
      </c>
      <c r="G44" s="5">
        <v>0</v>
      </c>
      <c r="H44" s="5">
        <v>0</v>
      </c>
      <c r="I44" s="5">
        <v>0</v>
      </c>
      <c r="J44" s="9">
        <v>0</v>
      </c>
      <c r="K44" s="8">
        <v>0</v>
      </c>
      <c r="L44" s="5">
        <v>0</v>
      </c>
      <c r="M44" s="5">
        <v>0</v>
      </c>
      <c r="N44" s="9">
        <v>0</v>
      </c>
      <c r="O44" s="8">
        <v>4</v>
      </c>
      <c r="P44" s="5">
        <v>76</v>
      </c>
      <c r="Q44" s="5">
        <v>1</v>
      </c>
      <c r="R44" s="9">
        <v>0</v>
      </c>
      <c r="S44" s="8">
        <v>0</v>
      </c>
      <c r="T44" s="9">
        <v>0</v>
      </c>
    </row>
    <row r="45" spans="1:20" x14ac:dyDescent="0.2">
      <c r="A45" s="5" t="s">
        <v>16</v>
      </c>
      <c r="B45" s="5" t="s">
        <v>17</v>
      </c>
      <c r="C45" s="8" t="s">
        <v>504</v>
      </c>
      <c r="D45" s="7">
        <f t="shared" si="0"/>
        <v>16.920000000000002</v>
      </c>
      <c r="E45" s="8">
        <v>30</v>
      </c>
      <c r="F45" s="5">
        <v>22</v>
      </c>
      <c r="G45" s="5">
        <v>308</v>
      </c>
      <c r="H45" s="5">
        <v>2</v>
      </c>
      <c r="I45" s="5">
        <v>2</v>
      </c>
      <c r="J45" s="9">
        <v>0</v>
      </c>
      <c r="K45" s="8">
        <v>2</v>
      </c>
      <c r="L45" s="5">
        <v>6</v>
      </c>
      <c r="M45" s="5">
        <v>0</v>
      </c>
      <c r="N45" s="9">
        <v>0</v>
      </c>
      <c r="O45" s="8">
        <v>0</v>
      </c>
      <c r="P45" s="5">
        <v>0</v>
      </c>
      <c r="Q45" s="5">
        <v>0</v>
      </c>
      <c r="R45" s="9">
        <v>0</v>
      </c>
      <c r="S45" s="8">
        <v>0</v>
      </c>
      <c r="T45" s="9">
        <v>0</v>
      </c>
    </row>
    <row r="46" spans="1:20" x14ac:dyDescent="0.2">
      <c r="A46" s="5" t="s">
        <v>129</v>
      </c>
      <c r="B46" s="5" t="s">
        <v>75</v>
      </c>
      <c r="C46" s="6" t="s">
        <v>503</v>
      </c>
      <c r="D46" s="7">
        <f t="shared" si="0"/>
        <v>16.899999999999999</v>
      </c>
      <c r="E46" s="8">
        <v>0</v>
      </c>
      <c r="F46" s="5">
        <v>0</v>
      </c>
      <c r="G46" s="5">
        <v>0</v>
      </c>
      <c r="H46" s="5">
        <v>0</v>
      </c>
      <c r="I46" s="5">
        <v>0</v>
      </c>
      <c r="J46" s="9">
        <v>0</v>
      </c>
      <c r="K46" s="8">
        <v>7</v>
      </c>
      <c r="L46" s="5">
        <v>34</v>
      </c>
      <c r="M46" s="5">
        <v>1</v>
      </c>
      <c r="N46" s="9">
        <v>0</v>
      </c>
      <c r="O46" s="8">
        <v>4</v>
      </c>
      <c r="P46" s="5">
        <v>35</v>
      </c>
      <c r="Q46" s="5">
        <v>0</v>
      </c>
      <c r="R46" s="9">
        <v>0</v>
      </c>
      <c r="S46" s="8">
        <v>0</v>
      </c>
      <c r="T46" s="9">
        <v>0</v>
      </c>
    </row>
    <row r="47" spans="1:20" x14ac:dyDescent="0.2">
      <c r="A47" s="5" t="s">
        <v>46</v>
      </c>
      <c r="B47" s="5" t="s">
        <v>17</v>
      </c>
      <c r="C47" s="8" t="s">
        <v>508</v>
      </c>
      <c r="D47" s="7">
        <f t="shared" si="0"/>
        <v>16.880000000000003</v>
      </c>
      <c r="E47" s="8">
        <v>37</v>
      </c>
      <c r="F47" s="5">
        <v>21</v>
      </c>
      <c r="G47" s="5">
        <v>222</v>
      </c>
      <c r="H47" s="5">
        <v>2</v>
      </c>
      <c r="I47" s="5">
        <v>0</v>
      </c>
      <c r="J47" s="9">
        <v>0</v>
      </c>
      <c r="K47" s="8">
        <v>0</v>
      </c>
      <c r="L47" s="5">
        <v>0</v>
      </c>
      <c r="M47" s="5">
        <v>0</v>
      </c>
      <c r="N47" s="9">
        <v>0</v>
      </c>
      <c r="O47" s="8">
        <v>0</v>
      </c>
      <c r="P47" s="5">
        <v>0</v>
      </c>
      <c r="Q47" s="5">
        <v>0</v>
      </c>
      <c r="R47" s="9">
        <v>0</v>
      </c>
      <c r="S47" s="8">
        <v>0</v>
      </c>
      <c r="T47" s="9">
        <v>0</v>
      </c>
    </row>
    <row r="48" spans="1:20" x14ac:dyDescent="0.2">
      <c r="A48" s="5" t="s">
        <v>152</v>
      </c>
      <c r="B48" s="5" t="s">
        <v>75</v>
      </c>
      <c r="C48" s="6" t="s">
        <v>508</v>
      </c>
      <c r="D48" s="7">
        <f t="shared" si="0"/>
        <v>16.8</v>
      </c>
      <c r="E48" s="8">
        <v>0</v>
      </c>
      <c r="F48" s="5">
        <v>0</v>
      </c>
      <c r="G48" s="5">
        <v>0</v>
      </c>
      <c r="H48" s="5">
        <v>0</v>
      </c>
      <c r="I48" s="5">
        <v>0</v>
      </c>
      <c r="J48" s="9">
        <v>0</v>
      </c>
      <c r="K48" s="8">
        <v>17</v>
      </c>
      <c r="L48" s="5">
        <v>70</v>
      </c>
      <c r="M48" s="5">
        <v>0</v>
      </c>
      <c r="N48" s="9">
        <v>0</v>
      </c>
      <c r="O48" s="8">
        <v>6</v>
      </c>
      <c r="P48" s="5">
        <v>38</v>
      </c>
      <c r="Q48" s="5">
        <v>0</v>
      </c>
      <c r="R48" s="9">
        <v>0</v>
      </c>
      <c r="S48" s="8">
        <v>0</v>
      </c>
      <c r="T48" s="9">
        <v>0</v>
      </c>
    </row>
    <row r="49" spans="1:20" x14ac:dyDescent="0.2">
      <c r="A49" s="5" t="s">
        <v>294</v>
      </c>
      <c r="B49" s="5" t="s">
        <v>69</v>
      </c>
      <c r="C49" s="6" t="s">
        <v>504</v>
      </c>
      <c r="D49" s="7">
        <f t="shared" si="0"/>
        <v>16.600000000000001</v>
      </c>
      <c r="E49" s="8">
        <v>0</v>
      </c>
      <c r="F49" s="5">
        <v>0</v>
      </c>
      <c r="G49" s="5">
        <v>0</v>
      </c>
      <c r="H49" s="5">
        <v>0</v>
      </c>
      <c r="I49" s="5">
        <v>0</v>
      </c>
      <c r="J49" s="9">
        <v>0</v>
      </c>
      <c r="K49" s="8">
        <v>0</v>
      </c>
      <c r="L49" s="5">
        <v>0</v>
      </c>
      <c r="M49" s="5">
        <v>0</v>
      </c>
      <c r="N49" s="9">
        <v>0</v>
      </c>
      <c r="O49" s="8">
        <v>8</v>
      </c>
      <c r="P49" s="5">
        <v>86</v>
      </c>
      <c r="Q49" s="5">
        <v>0</v>
      </c>
      <c r="R49" s="9">
        <v>0</v>
      </c>
      <c r="S49" s="8">
        <v>0</v>
      </c>
      <c r="T49" s="9">
        <v>0</v>
      </c>
    </row>
    <row r="50" spans="1:20" x14ac:dyDescent="0.2">
      <c r="A50" s="5" t="s">
        <v>213</v>
      </c>
      <c r="B50" s="5" t="s">
        <v>162</v>
      </c>
      <c r="C50" s="8" t="s">
        <v>500</v>
      </c>
      <c r="D50" s="7">
        <f t="shared" si="0"/>
        <v>16.100000000000001</v>
      </c>
      <c r="E50" s="8">
        <v>0</v>
      </c>
      <c r="F50" s="5">
        <v>0</v>
      </c>
      <c r="G50" s="5">
        <v>0</v>
      </c>
      <c r="H50" s="5">
        <v>0</v>
      </c>
      <c r="I50" s="5">
        <v>0</v>
      </c>
      <c r="J50" s="9">
        <v>0</v>
      </c>
      <c r="K50" s="8">
        <v>0</v>
      </c>
      <c r="L50" s="5">
        <v>0</v>
      </c>
      <c r="M50" s="5">
        <v>0</v>
      </c>
      <c r="N50" s="9">
        <v>0</v>
      </c>
      <c r="O50" s="8">
        <v>4</v>
      </c>
      <c r="P50" s="5">
        <v>61</v>
      </c>
      <c r="Q50" s="5">
        <v>1</v>
      </c>
      <c r="R50" s="9">
        <v>0</v>
      </c>
      <c r="S50" s="8">
        <v>0</v>
      </c>
      <c r="T50" s="9">
        <v>0</v>
      </c>
    </row>
    <row r="51" spans="1:20" x14ac:dyDescent="0.2">
      <c r="A51" s="5" t="s">
        <v>92</v>
      </c>
      <c r="B51" s="5" t="s">
        <v>75</v>
      </c>
      <c r="C51" s="8" t="s">
        <v>504</v>
      </c>
      <c r="D51" s="7">
        <f t="shared" si="0"/>
        <v>15.8</v>
      </c>
      <c r="E51" s="8">
        <v>0</v>
      </c>
      <c r="F51" s="5">
        <v>0</v>
      </c>
      <c r="G51" s="5">
        <v>0</v>
      </c>
      <c r="H51" s="5">
        <v>0</v>
      </c>
      <c r="I51" s="5">
        <v>0</v>
      </c>
      <c r="J51" s="9">
        <v>0</v>
      </c>
      <c r="K51" s="8">
        <v>10</v>
      </c>
      <c r="L51" s="5">
        <v>65</v>
      </c>
      <c r="M51" s="5">
        <v>1</v>
      </c>
      <c r="N51" s="9">
        <v>0</v>
      </c>
      <c r="O51" s="8">
        <v>2</v>
      </c>
      <c r="P51" s="5">
        <v>13</v>
      </c>
      <c r="Q51" s="5">
        <v>0</v>
      </c>
      <c r="R51" s="9">
        <v>0</v>
      </c>
      <c r="S51" s="8">
        <v>0</v>
      </c>
      <c r="T51" s="9">
        <v>0</v>
      </c>
    </row>
    <row r="52" spans="1:20" x14ac:dyDescent="0.2">
      <c r="A52" s="5" t="s">
        <v>41</v>
      </c>
      <c r="B52" s="5" t="s">
        <v>17</v>
      </c>
      <c r="C52" s="6" t="s">
        <v>514</v>
      </c>
      <c r="D52" s="7">
        <f t="shared" si="0"/>
        <v>15.72</v>
      </c>
      <c r="E52" s="8">
        <v>26</v>
      </c>
      <c r="F52" s="5">
        <v>18</v>
      </c>
      <c r="G52" s="5">
        <v>183</v>
      </c>
      <c r="H52" s="5">
        <v>2</v>
      </c>
      <c r="I52" s="5">
        <v>0</v>
      </c>
      <c r="J52" s="9">
        <v>0</v>
      </c>
      <c r="K52" s="8">
        <v>2</v>
      </c>
      <c r="L52" s="5">
        <v>4</v>
      </c>
      <c r="M52" s="5">
        <v>0</v>
      </c>
      <c r="N52" s="9">
        <v>0</v>
      </c>
      <c r="O52" s="8">
        <v>0</v>
      </c>
      <c r="P52" s="5">
        <v>0</v>
      </c>
      <c r="Q52" s="5">
        <v>0</v>
      </c>
      <c r="R52" s="9">
        <v>0</v>
      </c>
      <c r="S52" s="8">
        <v>0</v>
      </c>
      <c r="T52" s="9">
        <v>0</v>
      </c>
    </row>
    <row r="53" spans="1:20" x14ac:dyDescent="0.2">
      <c r="A53" s="5" t="s">
        <v>32</v>
      </c>
      <c r="B53" s="5" t="s">
        <v>17</v>
      </c>
      <c r="C53" s="6" t="s">
        <v>502</v>
      </c>
      <c r="D53" s="7">
        <f t="shared" si="0"/>
        <v>15.700000000000003</v>
      </c>
      <c r="E53" s="8">
        <v>37</v>
      </c>
      <c r="F53" s="5">
        <v>25</v>
      </c>
      <c r="G53" s="5">
        <v>315</v>
      </c>
      <c r="H53" s="5">
        <v>1</v>
      </c>
      <c r="I53" s="5">
        <v>0</v>
      </c>
      <c r="J53" s="9">
        <v>0</v>
      </c>
      <c r="K53" s="8">
        <v>7</v>
      </c>
      <c r="L53" s="5">
        <v>31</v>
      </c>
      <c r="M53" s="5">
        <v>0</v>
      </c>
      <c r="N53" s="9">
        <v>0</v>
      </c>
      <c r="O53" s="8">
        <v>0</v>
      </c>
      <c r="P53" s="5">
        <v>0</v>
      </c>
      <c r="Q53" s="5">
        <v>0</v>
      </c>
      <c r="R53" s="9">
        <v>0</v>
      </c>
      <c r="S53" s="8">
        <v>2</v>
      </c>
      <c r="T53" s="9">
        <v>0</v>
      </c>
    </row>
    <row r="54" spans="1:20" x14ac:dyDescent="0.2">
      <c r="A54" s="5" t="s">
        <v>220</v>
      </c>
      <c r="B54" s="5" t="s">
        <v>162</v>
      </c>
      <c r="C54" s="8" t="s">
        <v>503</v>
      </c>
      <c r="D54" s="7">
        <f t="shared" si="0"/>
        <v>15.700000000000001</v>
      </c>
      <c r="E54" s="8">
        <v>0</v>
      </c>
      <c r="F54" s="5">
        <v>0</v>
      </c>
      <c r="G54" s="5">
        <v>0</v>
      </c>
      <c r="H54" s="5">
        <v>0</v>
      </c>
      <c r="I54" s="5">
        <v>0</v>
      </c>
      <c r="J54" s="9">
        <v>0</v>
      </c>
      <c r="K54" s="8">
        <v>0</v>
      </c>
      <c r="L54" s="5">
        <v>0</v>
      </c>
      <c r="M54" s="5">
        <v>0</v>
      </c>
      <c r="N54" s="9">
        <v>0</v>
      </c>
      <c r="O54" s="8">
        <v>6</v>
      </c>
      <c r="P54" s="5">
        <v>97</v>
      </c>
      <c r="Q54" s="5">
        <v>0</v>
      </c>
      <c r="R54" s="9">
        <v>0</v>
      </c>
      <c r="S54" s="8">
        <v>0</v>
      </c>
      <c r="T54" s="9">
        <v>0</v>
      </c>
    </row>
    <row r="55" spans="1:20" x14ac:dyDescent="0.2">
      <c r="A55" s="5" t="s">
        <v>293</v>
      </c>
      <c r="B55" s="5" t="s">
        <v>69</v>
      </c>
      <c r="C55" s="8" t="s">
        <v>510</v>
      </c>
      <c r="D55" s="7">
        <f t="shared" si="0"/>
        <v>15.700000000000001</v>
      </c>
      <c r="E55" s="8">
        <v>0</v>
      </c>
      <c r="F55" s="5">
        <v>0</v>
      </c>
      <c r="G55" s="5">
        <v>0</v>
      </c>
      <c r="H55" s="5">
        <v>0</v>
      </c>
      <c r="I55" s="5">
        <v>0</v>
      </c>
      <c r="J55" s="9">
        <v>0</v>
      </c>
      <c r="K55" s="8">
        <v>0</v>
      </c>
      <c r="L55" s="5">
        <v>0</v>
      </c>
      <c r="M55" s="5">
        <v>0</v>
      </c>
      <c r="N55" s="9">
        <v>0</v>
      </c>
      <c r="O55" s="8">
        <v>7</v>
      </c>
      <c r="P55" s="5">
        <v>87</v>
      </c>
      <c r="Q55" s="5">
        <v>0</v>
      </c>
      <c r="R55" s="9">
        <v>0</v>
      </c>
      <c r="S55" s="8">
        <v>0</v>
      </c>
      <c r="T55" s="9">
        <v>0</v>
      </c>
    </row>
    <row r="56" spans="1:20" x14ac:dyDescent="0.2">
      <c r="A56" s="5" t="s">
        <v>277</v>
      </c>
      <c r="B56" s="5" t="s">
        <v>69</v>
      </c>
      <c r="C56" s="6" t="s">
        <v>501</v>
      </c>
      <c r="D56" s="7">
        <f t="shared" si="0"/>
        <v>15.2</v>
      </c>
      <c r="E56" s="8">
        <v>0</v>
      </c>
      <c r="F56" s="5">
        <v>0</v>
      </c>
      <c r="G56" s="5">
        <v>0</v>
      </c>
      <c r="H56" s="5">
        <v>0</v>
      </c>
      <c r="I56" s="5">
        <v>0</v>
      </c>
      <c r="J56" s="9">
        <v>0</v>
      </c>
      <c r="K56" s="8">
        <v>0</v>
      </c>
      <c r="L56" s="5">
        <v>0</v>
      </c>
      <c r="M56" s="5">
        <v>0</v>
      </c>
      <c r="N56" s="9">
        <v>0</v>
      </c>
      <c r="O56" s="8">
        <v>5</v>
      </c>
      <c r="P56" s="5">
        <v>42</v>
      </c>
      <c r="Q56" s="5">
        <v>1</v>
      </c>
      <c r="R56" s="9">
        <v>0</v>
      </c>
      <c r="S56" s="8">
        <v>0</v>
      </c>
      <c r="T56" s="9">
        <v>0</v>
      </c>
    </row>
    <row r="57" spans="1:20" x14ac:dyDescent="0.2">
      <c r="A57" s="5" t="s">
        <v>339</v>
      </c>
      <c r="B57" s="5" t="s">
        <v>162</v>
      </c>
      <c r="C57" s="8" t="s">
        <v>510</v>
      </c>
      <c r="D57" s="7">
        <f t="shared" si="0"/>
        <v>14.68</v>
      </c>
      <c r="E57" s="8">
        <v>1</v>
      </c>
      <c r="F57" s="5">
        <v>1</v>
      </c>
      <c r="G57" s="5">
        <v>22</v>
      </c>
      <c r="H57" s="5">
        <v>0</v>
      </c>
      <c r="I57" s="5">
        <v>0</v>
      </c>
      <c r="J57" s="9">
        <v>0</v>
      </c>
      <c r="K57" s="8">
        <v>0</v>
      </c>
      <c r="L57" s="5">
        <v>0</v>
      </c>
      <c r="M57" s="5">
        <v>0</v>
      </c>
      <c r="N57" s="9">
        <v>0</v>
      </c>
      <c r="O57" s="8">
        <v>6</v>
      </c>
      <c r="P57" s="5">
        <v>78</v>
      </c>
      <c r="Q57" s="5">
        <v>0</v>
      </c>
      <c r="R57" s="9">
        <v>0</v>
      </c>
      <c r="S57" s="8">
        <v>0</v>
      </c>
      <c r="T57" s="9">
        <v>0</v>
      </c>
    </row>
    <row r="58" spans="1:20" x14ac:dyDescent="0.2">
      <c r="A58" s="5" t="s">
        <v>196</v>
      </c>
      <c r="B58" s="5" t="s">
        <v>162</v>
      </c>
      <c r="C58" s="8" t="s">
        <v>504</v>
      </c>
      <c r="D58" s="7">
        <f t="shared" si="0"/>
        <v>14.5</v>
      </c>
      <c r="E58" s="8">
        <v>0</v>
      </c>
      <c r="F58" s="5">
        <v>0</v>
      </c>
      <c r="G58" s="5">
        <v>0</v>
      </c>
      <c r="H58" s="5">
        <v>0</v>
      </c>
      <c r="I58" s="5">
        <v>0</v>
      </c>
      <c r="J58" s="9">
        <v>0</v>
      </c>
      <c r="K58" s="8">
        <v>0</v>
      </c>
      <c r="L58" s="5">
        <v>0</v>
      </c>
      <c r="M58" s="5">
        <v>0</v>
      </c>
      <c r="N58" s="9">
        <v>0</v>
      </c>
      <c r="O58" s="8">
        <v>5</v>
      </c>
      <c r="P58" s="5">
        <v>35</v>
      </c>
      <c r="Q58" s="5">
        <v>1</v>
      </c>
      <c r="R58" s="9">
        <v>0</v>
      </c>
      <c r="S58" s="8">
        <v>0</v>
      </c>
      <c r="T58" s="9">
        <v>0</v>
      </c>
    </row>
    <row r="59" spans="1:20" x14ac:dyDescent="0.2">
      <c r="A59" s="5" t="s">
        <v>263</v>
      </c>
      <c r="B59" s="5" t="s">
        <v>162</v>
      </c>
      <c r="C59" s="6" t="s">
        <v>502</v>
      </c>
      <c r="D59" s="7">
        <f t="shared" si="0"/>
        <v>14.4</v>
      </c>
      <c r="E59" s="8">
        <v>0</v>
      </c>
      <c r="F59" s="5">
        <v>0</v>
      </c>
      <c r="G59" s="5">
        <v>0</v>
      </c>
      <c r="H59" s="5">
        <v>0</v>
      </c>
      <c r="I59" s="5">
        <v>0</v>
      </c>
      <c r="J59" s="9">
        <v>0</v>
      </c>
      <c r="K59" s="8">
        <v>1</v>
      </c>
      <c r="L59" s="5">
        <v>6</v>
      </c>
      <c r="M59" s="5">
        <v>0</v>
      </c>
      <c r="N59" s="9">
        <v>0</v>
      </c>
      <c r="O59" s="8">
        <v>6</v>
      </c>
      <c r="P59" s="5">
        <v>78</v>
      </c>
      <c r="Q59" s="5">
        <v>0</v>
      </c>
      <c r="R59" s="9">
        <v>0</v>
      </c>
      <c r="S59" s="8">
        <v>0</v>
      </c>
      <c r="T59" s="9">
        <v>0</v>
      </c>
    </row>
    <row r="60" spans="1:20" x14ac:dyDescent="0.2">
      <c r="A60" s="5" t="s">
        <v>53</v>
      </c>
      <c r="B60" s="5" t="s">
        <v>17</v>
      </c>
      <c r="C60" s="6" t="s">
        <v>510</v>
      </c>
      <c r="D60" s="7">
        <f t="shared" si="0"/>
        <v>14.16</v>
      </c>
      <c r="E60" s="8">
        <v>35</v>
      </c>
      <c r="F60" s="5">
        <v>20</v>
      </c>
      <c r="G60" s="5">
        <v>249</v>
      </c>
      <c r="H60" s="5">
        <v>1</v>
      </c>
      <c r="I60" s="5">
        <v>0</v>
      </c>
      <c r="J60" s="9">
        <v>0</v>
      </c>
      <c r="K60" s="8">
        <v>1</v>
      </c>
      <c r="L60" s="5">
        <v>2</v>
      </c>
      <c r="M60" s="5">
        <v>0</v>
      </c>
      <c r="N60" s="9">
        <v>0</v>
      </c>
      <c r="O60" s="8">
        <v>0</v>
      </c>
      <c r="P60" s="5">
        <v>0</v>
      </c>
      <c r="Q60" s="5">
        <v>0</v>
      </c>
      <c r="R60" s="9">
        <v>0</v>
      </c>
      <c r="S60" s="8">
        <v>0</v>
      </c>
      <c r="T60" s="9">
        <v>0</v>
      </c>
    </row>
    <row r="61" spans="1:20" x14ac:dyDescent="0.2">
      <c r="A61" s="5" t="s">
        <v>483</v>
      </c>
      <c r="B61" s="5" t="s">
        <v>162</v>
      </c>
      <c r="C61" s="6" t="s">
        <v>500</v>
      </c>
      <c r="D61" s="7">
        <f t="shared" si="0"/>
        <v>14</v>
      </c>
      <c r="E61" s="8">
        <v>0</v>
      </c>
      <c r="F61" s="5">
        <v>0</v>
      </c>
      <c r="G61" s="5">
        <v>0</v>
      </c>
      <c r="H61" s="5">
        <v>0</v>
      </c>
      <c r="I61" s="5">
        <v>0</v>
      </c>
      <c r="J61" s="9">
        <v>0</v>
      </c>
      <c r="K61" s="8">
        <v>0</v>
      </c>
      <c r="L61" s="5">
        <v>0</v>
      </c>
      <c r="M61" s="5">
        <v>0</v>
      </c>
      <c r="N61" s="9">
        <v>0</v>
      </c>
      <c r="O61" s="8">
        <v>8</v>
      </c>
      <c r="P61" s="5">
        <v>60</v>
      </c>
      <c r="Q61" s="5">
        <v>0</v>
      </c>
      <c r="R61" s="9">
        <v>0</v>
      </c>
      <c r="S61" s="8">
        <v>0</v>
      </c>
      <c r="T61" s="9">
        <v>0</v>
      </c>
    </row>
    <row r="62" spans="1:20" x14ac:dyDescent="0.2">
      <c r="A62" s="5" t="s">
        <v>77</v>
      </c>
      <c r="B62" s="5" t="s">
        <v>75</v>
      </c>
      <c r="C62" s="8" t="s">
        <v>507</v>
      </c>
      <c r="D62" s="7">
        <f t="shared" si="0"/>
        <v>13.8</v>
      </c>
      <c r="E62" s="8">
        <v>0</v>
      </c>
      <c r="F62" s="5">
        <v>0</v>
      </c>
      <c r="G62" s="5">
        <v>0</v>
      </c>
      <c r="H62" s="5">
        <v>0</v>
      </c>
      <c r="I62" s="5">
        <v>0</v>
      </c>
      <c r="J62" s="9">
        <v>0</v>
      </c>
      <c r="K62" s="8">
        <v>19</v>
      </c>
      <c r="L62" s="5">
        <v>51</v>
      </c>
      <c r="M62" s="5">
        <v>1</v>
      </c>
      <c r="N62" s="9">
        <v>0</v>
      </c>
      <c r="O62" s="8">
        <v>2</v>
      </c>
      <c r="P62" s="5">
        <v>27</v>
      </c>
      <c r="Q62" s="5">
        <v>0</v>
      </c>
      <c r="R62" s="9">
        <v>0</v>
      </c>
      <c r="S62" s="8">
        <v>1</v>
      </c>
      <c r="T62" s="9">
        <v>0</v>
      </c>
    </row>
    <row r="63" spans="1:20" x14ac:dyDescent="0.2">
      <c r="A63" s="5" t="s">
        <v>122</v>
      </c>
      <c r="B63" s="5" t="s">
        <v>75</v>
      </c>
      <c r="C63" s="6" t="s">
        <v>512</v>
      </c>
      <c r="D63" s="7">
        <f t="shared" si="0"/>
        <v>13.600000000000001</v>
      </c>
      <c r="E63" s="8">
        <v>0</v>
      </c>
      <c r="F63" s="5">
        <v>0</v>
      </c>
      <c r="G63" s="5">
        <v>0</v>
      </c>
      <c r="H63" s="5">
        <v>0</v>
      </c>
      <c r="I63" s="5">
        <v>0</v>
      </c>
      <c r="J63" s="9">
        <v>0</v>
      </c>
      <c r="K63" s="8">
        <v>20</v>
      </c>
      <c r="L63" s="5">
        <v>76</v>
      </c>
      <c r="M63" s="5">
        <v>1</v>
      </c>
      <c r="N63" s="9">
        <v>0</v>
      </c>
      <c r="O63" s="8">
        <v>0</v>
      </c>
      <c r="P63" s="5">
        <v>0</v>
      </c>
      <c r="Q63" s="5">
        <v>0</v>
      </c>
      <c r="R63" s="9">
        <v>0</v>
      </c>
      <c r="S63" s="8">
        <v>0</v>
      </c>
      <c r="T63" s="9">
        <v>0</v>
      </c>
    </row>
    <row r="64" spans="1:20" x14ac:dyDescent="0.2">
      <c r="A64" s="5" t="s">
        <v>103</v>
      </c>
      <c r="B64" s="5" t="s">
        <v>75</v>
      </c>
      <c r="C64" s="6" t="s">
        <v>500</v>
      </c>
      <c r="D64" s="7">
        <f t="shared" si="0"/>
        <v>13.4</v>
      </c>
      <c r="E64" s="8">
        <v>0</v>
      </c>
      <c r="F64" s="5">
        <v>0</v>
      </c>
      <c r="G64" s="5">
        <v>0</v>
      </c>
      <c r="H64" s="5">
        <v>0</v>
      </c>
      <c r="I64" s="5">
        <v>0</v>
      </c>
      <c r="J64" s="9">
        <v>0</v>
      </c>
      <c r="K64" s="8">
        <v>25</v>
      </c>
      <c r="L64" s="5">
        <v>81</v>
      </c>
      <c r="M64" s="5">
        <v>0</v>
      </c>
      <c r="N64" s="9">
        <v>0</v>
      </c>
      <c r="O64" s="8">
        <v>4</v>
      </c>
      <c r="P64" s="5">
        <v>13</v>
      </c>
      <c r="Q64" s="5">
        <v>0</v>
      </c>
      <c r="R64" s="9">
        <v>0</v>
      </c>
      <c r="S64" s="8">
        <v>0</v>
      </c>
      <c r="T64" s="9">
        <v>0</v>
      </c>
    </row>
    <row r="65" spans="1:20" x14ac:dyDescent="0.2">
      <c r="A65" s="5" t="s">
        <v>104</v>
      </c>
      <c r="B65" s="5" t="s">
        <v>75</v>
      </c>
      <c r="C65" s="6" t="s">
        <v>511</v>
      </c>
      <c r="D65" s="7">
        <f t="shared" si="0"/>
        <v>13.4</v>
      </c>
      <c r="E65" s="8">
        <v>0</v>
      </c>
      <c r="F65" s="5">
        <v>0</v>
      </c>
      <c r="G65" s="5">
        <v>0</v>
      </c>
      <c r="H65" s="5">
        <v>0</v>
      </c>
      <c r="I65" s="5">
        <v>0</v>
      </c>
      <c r="J65" s="9">
        <v>0</v>
      </c>
      <c r="K65" s="8">
        <v>16</v>
      </c>
      <c r="L65" s="5">
        <v>55</v>
      </c>
      <c r="M65" s="5">
        <v>1</v>
      </c>
      <c r="N65" s="9">
        <v>0</v>
      </c>
      <c r="O65" s="8">
        <v>1</v>
      </c>
      <c r="P65" s="5">
        <v>9</v>
      </c>
      <c r="Q65" s="5">
        <v>0</v>
      </c>
      <c r="R65" s="9">
        <v>0</v>
      </c>
      <c r="S65" s="8">
        <v>0</v>
      </c>
      <c r="T65" s="9">
        <v>0</v>
      </c>
    </row>
    <row r="66" spans="1:20" x14ac:dyDescent="0.2">
      <c r="A66" s="5" t="s">
        <v>193</v>
      </c>
      <c r="B66" s="5" t="s">
        <v>162</v>
      </c>
      <c r="C66" s="6" t="s">
        <v>511</v>
      </c>
      <c r="D66" s="7">
        <f t="shared" si="0"/>
        <v>13.3</v>
      </c>
      <c r="E66" s="8">
        <v>0</v>
      </c>
      <c r="F66" s="5">
        <v>0</v>
      </c>
      <c r="G66" s="5">
        <v>0</v>
      </c>
      <c r="H66" s="5">
        <v>0</v>
      </c>
      <c r="I66" s="5">
        <v>0</v>
      </c>
      <c r="J66" s="9">
        <v>0</v>
      </c>
      <c r="K66" s="8">
        <v>0</v>
      </c>
      <c r="L66" s="5">
        <v>0</v>
      </c>
      <c r="M66" s="5">
        <v>0</v>
      </c>
      <c r="N66" s="9">
        <v>0</v>
      </c>
      <c r="O66" s="8">
        <v>4</v>
      </c>
      <c r="P66" s="5">
        <v>33</v>
      </c>
      <c r="Q66" s="5">
        <v>1</v>
      </c>
      <c r="R66" s="9">
        <v>0</v>
      </c>
      <c r="S66" s="8">
        <v>0</v>
      </c>
      <c r="T66" s="9">
        <v>0</v>
      </c>
    </row>
    <row r="67" spans="1:20" x14ac:dyDescent="0.2">
      <c r="A67" s="5" t="s">
        <v>371</v>
      </c>
      <c r="B67" s="5" t="s">
        <v>162</v>
      </c>
      <c r="C67" s="6" t="s">
        <v>506</v>
      </c>
      <c r="D67" s="7">
        <f t="shared" si="0"/>
        <v>13.2</v>
      </c>
      <c r="E67" s="8">
        <v>0</v>
      </c>
      <c r="F67" s="5">
        <v>0</v>
      </c>
      <c r="G67" s="5">
        <v>0</v>
      </c>
      <c r="H67" s="5">
        <v>0</v>
      </c>
      <c r="I67" s="5">
        <v>0</v>
      </c>
      <c r="J67" s="9">
        <v>0</v>
      </c>
      <c r="K67" s="8">
        <v>0</v>
      </c>
      <c r="L67" s="5">
        <v>0</v>
      </c>
      <c r="M67" s="5">
        <v>0</v>
      </c>
      <c r="N67" s="9">
        <v>0</v>
      </c>
      <c r="O67" s="8">
        <v>3</v>
      </c>
      <c r="P67" s="5">
        <v>42</v>
      </c>
      <c r="Q67" s="5">
        <v>1</v>
      </c>
      <c r="R67" s="9">
        <v>0</v>
      </c>
      <c r="S67" s="8">
        <v>0</v>
      </c>
      <c r="T67" s="9">
        <v>0</v>
      </c>
    </row>
    <row r="68" spans="1:20" x14ac:dyDescent="0.2">
      <c r="A68" s="5" t="s">
        <v>430</v>
      </c>
      <c r="B68" s="5" t="s">
        <v>75</v>
      </c>
      <c r="C68" s="6" t="s">
        <v>514</v>
      </c>
      <c r="D68" s="7">
        <f t="shared" si="0"/>
        <v>13</v>
      </c>
      <c r="E68" s="8">
        <v>0</v>
      </c>
      <c r="F68" s="5">
        <v>0</v>
      </c>
      <c r="G68" s="5">
        <v>0</v>
      </c>
      <c r="H68" s="5">
        <v>0</v>
      </c>
      <c r="I68" s="5">
        <v>0</v>
      </c>
      <c r="J68" s="9">
        <v>0</v>
      </c>
      <c r="K68" s="8">
        <v>12</v>
      </c>
      <c r="L68" s="5">
        <v>37</v>
      </c>
      <c r="M68" s="5">
        <v>0</v>
      </c>
      <c r="N68" s="9">
        <v>0</v>
      </c>
      <c r="O68" s="8">
        <v>4</v>
      </c>
      <c r="P68" s="5">
        <v>53</v>
      </c>
      <c r="Q68" s="5">
        <v>0</v>
      </c>
      <c r="R68" s="9">
        <v>0</v>
      </c>
      <c r="S68" s="8">
        <v>0</v>
      </c>
      <c r="T68" s="9">
        <v>0</v>
      </c>
    </row>
    <row r="69" spans="1:20" x14ac:dyDescent="0.2">
      <c r="A69" s="5" t="s">
        <v>451</v>
      </c>
      <c r="B69" s="5" t="s">
        <v>75</v>
      </c>
      <c r="C69" s="8" t="s">
        <v>507</v>
      </c>
      <c r="D69" s="7">
        <f t="shared" si="0"/>
        <v>12.9</v>
      </c>
      <c r="E69" s="8">
        <v>0</v>
      </c>
      <c r="F69" s="5">
        <v>0</v>
      </c>
      <c r="G69" s="5">
        <v>0</v>
      </c>
      <c r="H69" s="5">
        <v>0</v>
      </c>
      <c r="I69" s="5">
        <v>0</v>
      </c>
      <c r="J69" s="9">
        <v>0</v>
      </c>
      <c r="K69" s="8">
        <v>10</v>
      </c>
      <c r="L69" s="5">
        <v>69</v>
      </c>
      <c r="M69" s="5">
        <v>1</v>
      </c>
      <c r="N69" s="9">
        <v>0</v>
      </c>
      <c r="O69" s="8">
        <v>0</v>
      </c>
      <c r="P69" s="5">
        <v>0</v>
      </c>
      <c r="Q69" s="5">
        <v>0</v>
      </c>
      <c r="R69" s="9">
        <v>0</v>
      </c>
      <c r="S69" s="8">
        <v>0</v>
      </c>
      <c r="T69" s="9">
        <v>0</v>
      </c>
    </row>
    <row r="70" spans="1:20" x14ac:dyDescent="0.2">
      <c r="A70" s="5" t="s">
        <v>370</v>
      </c>
      <c r="B70" s="5" t="s">
        <v>75</v>
      </c>
      <c r="C70" s="8" t="s">
        <v>500</v>
      </c>
      <c r="D70" s="7">
        <f t="shared" si="0"/>
        <v>12.7</v>
      </c>
      <c r="E70" s="8">
        <v>0</v>
      </c>
      <c r="F70" s="5">
        <v>0</v>
      </c>
      <c r="G70" s="5">
        <v>0</v>
      </c>
      <c r="H70" s="5">
        <v>0</v>
      </c>
      <c r="I70" s="5">
        <v>0</v>
      </c>
      <c r="J70" s="9">
        <v>0</v>
      </c>
      <c r="K70" s="8">
        <v>10</v>
      </c>
      <c r="L70" s="5">
        <v>45</v>
      </c>
      <c r="M70" s="5">
        <v>1</v>
      </c>
      <c r="N70" s="9">
        <v>0</v>
      </c>
      <c r="O70" s="8">
        <v>1</v>
      </c>
      <c r="P70" s="5">
        <v>12</v>
      </c>
      <c r="Q70" s="5">
        <v>0</v>
      </c>
      <c r="R70" s="9">
        <v>0</v>
      </c>
      <c r="S70" s="8">
        <v>0</v>
      </c>
      <c r="T70" s="9">
        <v>0</v>
      </c>
    </row>
    <row r="71" spans="1:20" x14ac:dyDescent="0.2">
      <c r="A71" s="5" t="s">
        <v>453</v>
      </c>
      <c r="B71" s="5" t="s">
        <v>75</v>
      </c>
      <c r="C71" s="8" t="s">
        <v>507</v>
      </c>
      <c r="D71" s="7">
        <f t="shared" si="0"/>
        <v>12.6</v>
      </c>
      <c r="E71" s="8">
        <v>0</v>
      </c>
      <c r="F71" s="5">
        <v>0</v>
      </c>
      <c r="G71" s="5">
        <v>0</v>
      </c>
      <c r="H71" s="5">
        <v>0</v>
      </c>
      <c r="I71" s="5">
        <v>0</v>
      </c>
      <c r="J71" s="9">
        <v>0</v>
      </c>
      <c r="K71" s="8">
        <v>0</v>
      </c>
      <c r="L71" s="5">
        <v>0</v>
      </c>
      <c r="M71" s="5">
        <v>0</v>
      </c>
      <c r="N71" s="9">
        <v>0</v>
      </c>
      <c r="O71" s="8">
        <v>4</v>
      </c>
      <c r="P71" s="5">
        <v>26</v>
      </c>
      <c r="Q71" s="5">
        <v>1</v>
      </c>
      <c r="R71" s="9">
        <v>0</v>
      </c>
      <c r="S71" s="8">
        <v>0</v>
      </c>
      <c r="T71" s="9">
        <v>0</v>
      </c>
    </row>
    <row r="72" spans="1:20" x14ac:dyDescent="0.2">
      <c r="A72" s="5" t="s">
        <v>89</v>
      </c>
      <c r="B72" s="5" t="s">
        <v>75</v>
      </c>
      <c r="C72" s="8" t="s">
        <v>511</v>
      </c>
      <c r="D72" s="7">
        <f t="shared" si="0"/>
        <v>12.6</v>
      </c>
      <c r="E72" s="8">
        <v>0</v>
      </c>
      <c r="F72" s="5">
        <v>0</v>
      </c>
      <c r="G72" s="5">
        <v>0</v>
      </c>
      <c r="H72" s="5">
        <v>0</v>
      </c>
      <c r="I72" s="5">
        <v>0</v>
      </c>
      <c r="J72" s="9">
        <v>0</v>
      </c>
      <c r="K72" s="8">
        <v>8</v>
      </c>
      <c r="L72" s="5">
        <v>26</v>
      </c>
      <c r="M72" s="5">
        <v>0</v>
      </c>
      <c r="N72" s="9">
        <v>0</v>
      </c>
      <c r="O72" s="8">
        <v>2</v>
      </c>
      <c r="P72" s="5">
        <v>20</v>
      </c>
      <c r="Q72" s="5">
        <v>1</v>
      </c>
      <c r="R72" s="9">
        <v>0</v>
      </c>
      <c r="S72" s="8">
        <v>0</v>
      </c>
      <c r="T72" s="9">
        <v>0</v>
      </c>
    </row>
    <row r="73" spans="1:20" x14ac:dyDescent="0.2">
      <c r="A73" s="5" t="s">
        <v>283</v>
      </c>
      <c r="B73" s="5" t="s">
        <v>69</v>
      </c>
      <c r="C73" s="8" t="s">
        <v>505</v>
      </c>
      <c r="D73" s="7">
        <f t="shared" si="0"/>
        <v>12.6</v>
      </c>
      <c r="E73" s="8">
        <v>0</v>
      </c>
      <c r="F73" s="5">
        <v>0</v>
      </c>
      <c r="G73" s="5">
        <v>0</v>
      </c>
      <c r="H73" s="5">
        <v>0</v>
      </c>
      <c r="I73" s="5">
        <v>0</v>
      </c>
      <c r="J73" s="9">
        <v>0</v>
      </c>
      <c r="K73" s="8">
        <v>0</v>
      </c>
      <c r="L73" s="5">
        <v>0</v>
      </c>
      <c r="M73" s="5">
        <v>0</v>
      </c>
      <c r="N73" s="9">
        <v>0</v>
      </c>
      <c r="O73" s="8">
        <v>4</v>
      </c>
      <c r="P73" s="5">
        <v>26</v>
      </c>
      <c r="Q73" s="5">
        <v>1</v>
      </c>
      <c r="R73" s="9">
        <v>0</v>
      </c>
      <c r="S73" s="8">
        <v>0</v>
      </c>
      <c r="T73" s="9">
        <v>0</v>
      </c>
    </row>
    <row r="74" spans="1:20" x14ac:dyDescent="0.2">
      <c r="A74" s="5" t="s">
        <v>91</v>
      </c>
      <c r="B74" s="5" t="s">
        <v>75</v>
      </c>
      <c r="C74" s="6" t="s">
        <v>509</v>
      </c>
      <c r="D74" s="7">
        <f t="shared" si="0"/>
        <v>12.5</v>
      </c>
      <c r="E74" s="8">
        <v>0</v>
      </c>
      <c r="F74" s="5">
        <v>0</v>
      </c>
      <c r="G74" s="5">
        <v>0</v>
      </c>
      <c r="H74" s="5">
        <v>0</v>
      </c>
      <c r="I74" s="5">
        <v>0</v>
      </c>
      <c r="J74" s="9">
        <v>0</v>
      </c>
      <c r="K74" s="8">
        <v>7</v>
      </c>
      <c r="L74" s="5">
        <v>32</v>
      </c>
      <c r="M74" s="5">
        <v>1</v>
      </c>
      <c r="N74" s="9">
        <v>0</v>
      </c>
      <c r="O74" s="8">
        <v>4</v>
      </c>
      <c r="P74" s="5">
        <v>13</v>
      </c>
      <c r="Q74" s="5">
        <v>0</v>
      </c>
      <c r="R74" s="9">
        <v>0</v>
      </c>
      <c r="S74" s="8">
        <v>1</v>
      </c>
      <c r="T74" s="9">
        <v>0</v>
      </c>
    </row>
    <row r="75" spans="1:20" x14ac:dyDescent="0.2">
      <c r="A75" s="5" t="s">
        <v>341</v>
      </c>
      <c r="B75" s="5" t="s">
        <v>69</v>
      </c>
      <c r="C75" s="6" t="s">
        <v>509</v>
      </c>
      <c r="D75" s="7">
        <f t="shared" si="0"/>
        <v>12.5</v>
      </c>
      <c r="E75" s="8">
        <v>0</v>
      </c>
      <c r="F75" s="5">
        <v>0</v>
      </c>
      <c r="G75" s="5">
        <v>0</v>
      </c>
      <c r="H75" s="5">
        <v>0</v>
      </c>
      <c r="I75" s="5">
        <v>0</v>
      </c>
      <c r="J75" s="9">
        <v>0</v>
      </c>
      <c r="K75" s="8">
        <v>0</v>
      </c>
      <c r="L75" s="5">
        <v>0</v>
      </c>
      <c r="M75" s="5">
        <v>0</v>
      </c>
      <c r="N75" s="9">
        <v>0</v>
      </c>
      <c r="O75" s="8">
        <v>6</v>
      </c>
      <c r="P75" s="5">
        <v>65</v>
      </c>
      <c r="Q75" s="5">
        <v>0</v>
      </c>
      <c r="R75" s="9">
        <v>0</v>
      </c>
      <c r="S75" s="8">
        <v>0</v>
      </c>
      <c r="T75" s="9">
        <v>0</v>
      </c>
    </row>
    <row r="76" spans="1:20" x14ac:dyDescent="0.2">
      <c r="A76" s="5" t="s">
        <v>50</v>
      </c>
      <c r="B76" s="5" t="s">
        <v>17</v>
      </c>
      <c r="C76" s="8" t="s">
        <v>509</v>
      </c>
      <c r="D76" s="7">
        <f t="shared" si="0"/>
        <v>12.360000000000001</v>
      </c>
      <c r="E76" s="8">
        <v>32</v>
      </c>
      <c r="F76" s="5">
        <v>18</v>
      </c>
      <c r="G76" s="5">
        <v>224</v>
      </c>
      <c r="H76" s="5">
        <v>1</v>
      </c>
      <c r="I76" s="5">
        <v>0</v>
      </c>
      <c r="J76" s="9">
        <v>0</v>
      </c>
      <c r="K76" s="8">
        <v>6</v>
      </c>
      <c r="L76" s="5">
        <v>-6</v>
      </c>
      <c r="M76" s="5">
        <v>0</v>
      </c>
      <c r="N76" s="9">
        <v>0</v>
      </c>
      <c r="O76" s="8">
        <v>0</v>
      </c>
      <c r="P76" s="5">
        <v>0</v>
      </c>
      <c r="Q76" s="5">
        <v>0</v>
      </c>
      <c r="R76" s="9">
        <v>0</v>
      </c>
      <c r="S76" s="8">
        <v>0</v>
      </c>
      <c r="T76" s="9">
        <v>0</v>
      </c>
    </row>
    <row r="77" spans="1:20" x14ac:dyDescent="0.2">
      <c r="A77" s="5" t="s">
        <v>179</v>
      </c>
      <c r="B77" s="5" t="s">
        <v>162</v>
      </c>
      <c r="C77" s="6" t="s">
        <v>509</v>
      </c>
      <c r="D77" s="7">
        <f t="shared" si="0"/>
        <v>12.3</v>
      </c>
      <c r="E77" s="8">
        <v>0</v>
      </c>
      <c r="F77" s="5">
        <v>0</v>
      </c>
      <c r="G77" s="5">
        <v>0</v>
      </c>
      <c r="H77" s="5">
        <v>0</v>
      </c>
      <c r="I77" s="5">
        <v>0</v>
      </c>
      <c r="J77" s="9">
        <v>0</v>
      </c>
      <c r="K77" s="8">
        <v>0</v>
      </c>
      <c r="L77" s="5">
        <v>0</v>
      </c>
      <c r="M77" s="5">
        <v>0</v>
      </c>
      <c r="N77" s="9">
        <v>0</v>
      </c>
      <c r="O77" s="8">
        <v>5</v>
      </c>
      <c r="P77" s="5">
        <v>73</v>
      </c>
      <c r="Q77" s="5">
        <v>0</v>
      </c>
      <c r="R77" s="9">
        <v>0</v>
      </c>
      <c r="S77" s="8">
        <v>0</v>
      </c>
      <c r="T77" s="9">
        <v>0</v>
      </c>
    </row>
    <row r="78" spans="1:20" x14ac:dyDescent="0.2">
      <c r="A78" s="5" t="s">
        <v>81</v>
      </c>
      <c r="B78" s="5" t="s">
        <v>75</v>
      </c>
      <c r="C78" s="8" t="s">
        <v>510</v>
      </c>
      <c r="D78" s="7">
        <f t="shared" si="0"/>
        <v>11.8</v>
      </c>
      <c r="E78" s="8">
        <v>0</v>
      </c>
      <c r="F78" s="5">
        <v>0</v>
      </c>
      <c r="G78" s="5">
        <v>0</v>
      </c>
      <c r="H78" s="5">
        <v>0</v>
      </c>
      <c r="I78" s="5">
        <v>0</v>
      </c>
      <c r="J78" s="9">
        <v>0</v>
      </c>
      <c r="K78" s="8">
        <v>14</v>
      </c>
      <c r="L78" s="5">
        <v>46</v>
      </c>
      <c r="M78" s="5">
        <v>0</v>
      </c>
      <c r="N78" s="9">
        <v>0</v>
      </c>
      <c r="O78" s="8">
        <v>2</v>
      </c>
      <c r="P78" s="5">
        <v>12</v>
      </c>
      <c r="Q78" s="5">
        <v>1</v>
      </c>
      <c r="R78" s="9">
        <v>0</v>
      </c>
      <c r="S78" s="8">
        <v>1</v>
      </c>
      <c r="T78" s="9">
        <v>0</v>
      </c>
    </row>
    <row r="79" spans="1:20" x14ac:dyDescent="0.2">
      <c r="A79" s="5" t="s">
        <v>475</v>
      </c>
      <c r="B79" s="5" t="s">
        <v>162</v>
      </c>
      <c r="C79" s="6" t="s">
        <v>512</v>
      </c>
      <c r="D79" s="7">
        <f t="shared" si="0"/>
        <v>11.6</v>
      </c>
      <c r="E79" s="8">
        <v>0</v>
      </c>
      <c r="F79" s="5">
        <v>0</v>
      </c>
      <c r="G79" s="5">
        <v>0</v>
      </c>
      <c r="H79" s="5">
        <v>0</v>
      </c>
      <c r="I79" s="5">
        <v>0</v>
      </c>
      <c r="J79" s="9">
        <v>0</v>
      </c>
      <c r="K79" s="8">
        <v>1</v>
      </c>
      <c r="L79" s="5">
        <v>-5</v>
      </c>
      <c r="M79" s="5">
        <v>0</v>
      </c>
      <c r="N79" s="9">
        <v>0</v>
      </c>
      <c r="O79" s="8">
        <v>3</v>
      </c>
      <c r="P79" s="5">
        <v>91</v>
      </c>
      <c r="Q79" s="5">
        <v>0</v>
      </c>
      <c r="R79" s="9">
        <v>0</v>
      </c>
      <c r="S79" s="8">
        <v>0</v>
      </c>
      <c r="T79" s="9">
        <v>0</v>
      </c>
    </row>
    <row r="80" spans="1:20" x14ac:dyDescent="0.2">
      <c r="A80" s="5" t="s">
        <v>98</v>
      </c>
      <c r="B80" s="5" t="s">
        <v>75</v>
      </c>
      <c r="C80" s="8" t="s">
        <v>505</v>
      </c>
      <c r="D80" s="7">
        <f t="shared" si="0"/>
        <v>11.5</v>
      </c>
      <c r="E80" s="8">
        <v>0</v>
      </c>
      <c r="F80" s="5">
        <v>0</v>
      </c>
      <c r="G80" s="5">
        <v>0</v>
      </c>
      <c r="H80" s="5">
        <v>0</v>
      </c>
      <c r="I80" s="5">
        <v>0</v>
      </c>
      <c r="J80" s="9">
        <v>0</v>
      </c>
      <c r="K80" s="8">
        <v>6</v>
      </c>
      <c r="L80" s="5">
        <v>22</v>
      </c>
      <c r="M80" s="5">
        <v>0</v>
      </c>
      <c r="N80" s="9">
        <v>0</v>
      </c>
      <c r="O80" s="8">
        <v>4</v>
      </c>
      <c r="P80" s="5">
        <v>73</v>
      </c>
      <c r="Q80" s="5">
        <v>0</v>
      </c>
      <c r="R80" s="9">
        <v>0</v>
      </c>
      <c r="S80" s="8">
        <v>1</v>
      </c>
      <c r="T80" s="9">
        <v>0</v>
      </c>
    </row>
    <row r="81" spans="1:20" x14ac:dyDescent="0.2">
      <c r="A81" s="5" t="s">
        <v>200</v>
      </c>
      <c r="B81" s="5" t="s">
        <v>162</v>
      </c>
      <c r="C81" s="8" t="s">
        <v>507</v>
      </c>
      <c r="D81" s="7">
        <f t="shared" si="0"/>
        <v>11.5</v>
      </c>
      <c r="E81" s="8">
        <v>0</v>
      </c>
      <c r="F81" s="5">
        <v>0</v>
      </c>
      <c r="G81" s="5">
        <v>0</v>
      </c>
      <c r="H81" s="5">
        <v>0</v>
      </c>
      <c r="I81" s="5">
        <v>0</v>
      </c>
      <c r="J81" s="9">
        <v>0</v>
      </c>
      <c r="K81" s="8">
        <v>5</v>
      </c>
      <c r="L81" s="5">
        <v>30</v>
      </c>
      <c r="M81" s="5">
        <v>0</v>
      </c>
      <c r="N81" s="9">
        <v>0</v>
      </c>
      <c r="O81" s="8">
        <v>3</v>
      </c>
      <c r="P81" s="5">
        <v>55</v>
      </c>
      <c r="Q81" s="5">
        <v>0</v>
      </c>
      <c r="R81" s="9">
        <v>0</v>
      </c>
      <c r="S81" s="8">
        <v>0</v>
      </c>
      <c r="T81" s="9">
        <v>0</v>
      </c>
    </row>
    <row r="82" spans="1:20" x14ac:dyDescent="0.2">
      <c r="A82" s="5" t="s">
        <v>180</v>
      </c>
      <c r="B82" s="5" t="s">
        <v>162</v>
      </c>
      <c r="C82" s="6" t="s">
        <v>502</v>
      </c>
      <c r="D82" s="7">
        <f t="shared" si="0"/>
        <v>11.3</v>
      </c>
      <c r="E82" s="8">
        <v>0</v>
      </c>
      <c r="F82" s="5">
        <v>0</v>
      </c>
      <c r="G82" s="5">
        <v>0</v>
      </c>
      <c r="H82" s="5">
        <v>0</v>
      </c>
      <c r="I82" s="5">
        <v>0</v>
      </c>
      <c r="J82" s="9">
        <v>0</v>
      </c>
      <c r="K82" s="8">
        <v>0</v>
      </c>
      <c r="L82" s="5">
        <v>0</v>
      </c>
      <c r="M82" s="5">
        <v>0</v>
      </c>
      <c r="N82" s="9">
        <v>0</v>
      </c>
      <c r="O82" s="8">
        <v>3</v>
      </c>
      <c r="P82" s="5">
        <v>23</v>
      </c>
      <c r="Q82" s="5">
        <v>1</v>
      </c>
      <c r="R82" s="9">
        <v>0</v>
      </c>
      <c r="S82" s="8">
        <v>0</v>
      </c>
      <c r="T82" s="9">
        <v>0</v>
      </c>
    </row>
    <row r="83" spans="1:20" x14ac:dyDescent="0.2">
      <c r="A83" s="5" t="s">
        <v>379</v>
      </c>
      <c r="B83" s="5" t="s">
        <v>75</v>
      </c>
      <c r="C83" s="8" t="s">
        <v>506</v>
      </c>
      <c r="D83" s="7">
        <f t="shared" si="0"/>
        <v>11.2</v>
      </c>
      <c r="E83" s="8">
        <v>0</v>
      </c>
      <c r="F83" s="5">
        <v>0</v>
      </c>
      <c r="G83" s="5">
        <v>0</v>
      </c>
      <c r="H83" s="5">
        <v>0</v>
      </c>
      <c r="I83" s="5">
        <v>0</v>
      </c>
      <c r="J83" s="9">
        <v>0</v>
      </c>
      <c r="K83" s="8">
        <v>7</v>
      </c>
      <c r="L83" s="5">
        <v>52</v>
      </c>
      <c r="M83" s="5">
        <v>1</v>
      </c>
      <c r="N83" s="9">
        <v>0</v>
      </c>
      <c r="O83" s="8">
        <v>0</v>
      </c>
      <c r="P83" s="5">
        <v>0</v>
      </c>
      <c r="Q83" s="5">
        <v>0</v>
      </c>
      <c r="R83" s="9">
        <v>0</v>
      </c>
      <c r="S83" s="8">
        <v>0</v>
      </c>
      <c r="T83" s="9">
        <v>0</v>
      </c>
    </row>
    <row r="84" spans="1:20" x14ac:dyDescent="0.2">
      <c r="A84" s="5" t="s">
        <v>360</v>
      </c>
      <c r="B84" s="5" t="s">
        <v>162</v>
      </c>
      <c r="C84" s="8" t="s">
        <v>505</v>
      </c>
      <c r="D84" s="7">
        <f t="shared" si="0"/>
        <v>11</v>
      </c>
      <c r="E84" s="8">
        <v>0</v>
      </c>
      <c r="F84" s="5">
        <v>0</v>
      </c>
      <c r="G84" s="5">
        <v>0</v>
      </c>
      <c r="H84" s="5">
        <v>0</v>
      </c>
      <c r="I84" s="5">
        <v>0</v>
      </c>
      <c r="J84" s="9">
        <v>0</v>
      </c>
      <c r="K84" s="8">
        <v>0</v>
      </c>
      <c r="L84" s="5">
        <v>0</v>
      </c>
      <c r="M84" s="5">
        <v>0</v>
      </c>
      <c r="N84" s="9">
        <v>0</v>
      </c>
      <c r="O84" s="8">
        <v>6</v>
      </c>
      <c r="P84" s="5">
        <v>50</v>
      </c>
      <c r="Q84" s="5">
        <v>0</v>
      </c>
      <c r="R84" s="9">
        <v>0</v>
      </c>
      <c r="S84" s="8">
        <v>0</v>
      </c>
      <c r="T84" s="9">
        <v>0</v>
      </c>
    </row>
    <row r="85" spans="1:20" x14ac:dyDescent="0.2">
      <c r="A85" s="5" t="s">
        <v>113</v>
      </c>
      <c r="B85" s="5" t="s">
        <v>75</v>
      </c>
      <c r="C85" s="8" t="s">
        <v>509</v>
      </c>
      <c r="D85" s="7">
        <f t="shared" si="0"/>
        <v>10.9</v>
      </c>
      <c r="E85" s="8">
        <v>0</v>
      </c>
      <c r="F85" s="5">
        <v>0</v>
      </c>
      <c r="G85" s="5">
        <v>0</v>
      </c>
      <c r="H85" s="5">
        <v>0</v>
      </c>
      <c r="I85" s="5">
        <v>0</v>
      </c>
      <c r="J85" s="9">
        <v>0</v>
      </c>
      <c r="K85" s="8">
        <v>9</v>
      </c>
      <c r="L85" s="5">
        <v>40</v>
      </c>
      <c r="M85" s="5">
        <v>0</v>
      </c>
      <c r="N85" s="9">
        <v>0</v>
      </c>
      <c r="O85" s="8">
        <v>3</v>
      </c>
      <c r="P85" s="5">
        <v>39</v>
      </c>
      <c r="Q85" s="5">
        <v>0</v>
      </c>
      <c r="R85" s="9">
        <v>0</v>
      </c>
      <c r="S85" s="8">
        <v>0</v>
      </c>
      <c r="T85" s="9">
        <v>0</v>
      </c>
    </row>
    <row r="86" spans="1:20" x14ac:dyDescent="0.2">
      <c r="A86" s="5" t="s">
        <v>35</v>
      </c>
      <c r="B86" s="5" t="s">
        <v>17</v>
      </c>
      <c r="C86" s="8" t="s">
        <v>512</v>
      </c>
      <c r="D86" s="7">
        <f t="shared" si="0"/>
        <v>10.72</v>
      </c>
      <c r="E86" s="8">
        <v>31</v>
      </c>
      <c r="F86" s="5">
        <v>22</v>
      </c>
      <c r="G86" s="5">
        <v>208</v>
      </c>
      <c r="H86" s="5">
        <v>1</v>
      </c>
      <c r="I86" s="5">
        <v>1</v>
      </c>
      <c r="J86" s="9">
        <v>0</v>
      </c>
      <c r="K86" s="8">
        <v>4</v>
      </c>
      <c r="L86" s="5">
        <v>4</v>
      </c>
      <c r="M86" s="5">
        <v>0</v>
      </c>
      <c r="N86" s="9">
        <v>0</v>
      </c>
      <c r="O86" s="8">
        <v>0</v>
      </c>
      <c r="P86" s="5">
        <v>0</v>
      </c>
      <c r="Q86" s="5">
        <v>0</v>
      </c>
      <c r="R86" s="9">
        <v>0</v>
      </c>
      <c r="S86" s="8">
        <v>0</v>
      </c>
      <c r="T86" s="9">
        <v>0</v>
      </c>
    </row>
    <row r="87" spans="1:20" x14ac:dyDescent="0.2">
      <c r="A87" s="5" t="s">
        <v>348</v>
      </c>
      <c r="B87" s="5" t="s">
        <v>69</v>
      </c>
      <c r="C87" s="8" t="s">
        <v>510</v>
      </c>
      <c r="D87" s="7">
        <f t="shared" si="0"/>
        <v>10.7</v>
      </c>
      <c r="E87" s="8">
        <v>0</v>
      </c>
      <c r="F87" s="5">
        <v>0</v>
      </c>
      <c r="G87" s="5">
        <v>0</v>
      </c>
      <c r="H87" s="5">
        <v>0</v>
      </c>
      <c r="I87" s="5">
        <v>0</v>
      </c>
      <c r="J87" s="9">
        <v>0</v>
      </c>
      <c r="K87" s="8">
        <v>0</v>
      </c>
      <c r="L87" s="5">
        <v>0</v>
      </c>
      <c r="M87" s="5">
        <v>0</v>
      </c>
      <c r="N87" s="9">
        <v>0</v>
      </c>
      <c r="O87" s="8">
        <v>6</v>
      </c>
      <c r="P87" s="5">
        <v>67</v>
      </c>
      <c r="Q87" s="5">
        <v>0</v>
      </c>
      <c r="R87" s="9">
        <v>0</v>
      </c>
      <c r="S87" s="8">
        <v>1</v>
      </c>
      <c r="T87" s="9">
        <v>0</v>
      </c>
    </row>
    <row r="88" spans="1:20" x14ac:dyDescent="0.2">
      <c r="A88" s="5" t="s">
        <v>316</v>
      </c>
      <c r="B88" s="5" t="s">
        <v>69</v>
      </c>
      <c r="C88" s="6" t="s">
        <v>505</v>
      </c>
      <c r="D88" s="7">
        <f t="shared" si="0"/>
        <v>10.7</v>
      </c>
      <c r="E88" s="8">
        <v>0</v>
      </c>
      <c r="F88" s="5">
        <v>0</v>
      </c>
      <c r="G88" s="5">
        <v>0</v>
      </c>
      <c r="H88" s="5">
        <v>0</v>
      </c>
      <c r="I88" s="5">
        <v>0</v>
      </c>
      <c r="J88" s="9">
        <v>0</v>
      </c>
      <c r="K88" s="8">
        <v>0</v>
      </c>
      <c r="L88" s="5">
        <v>0</v>
      </c>
      <c r="M88" s="5">
        <v>0</v>
      </c>
      <c r="N88" s="9">
        <v>0</v>
      </c>
      <c r="O88" s="8">
        <v>4</v>
      </c>
      <c r="P88" s="5">
        <v>67</v>
      </c>
      <c r="Q88" s="5">
        <v>0</v>
      </c>
      <c r="R88" s="9">
        <v>0</v>
      </c>
      <c r="S88" s="8">
        <v>0</v>
      </c>
      <c r="T88" s="9">
        <v>0</v>
      </c>
    </row>
    <row r="89" spans="1:20" x14ac:dyDescent="0.2">
      <c r="A89" s="5" t="s">
        <v>215</v>
      </c>
      <c r="B89" s="5" t="s">
        <v>162</v>
      </c>
      <c r="C89" s="8" t="s">
        <v>500</v>
      </c>
      <c r="D89" s="7">
        <f t="shared" si="0"/>
        <v>10.6</v>
      </c>
      <c r="E89" s="8">
        <v>0</v>
      </c>
      <c r="F89" s="5">
        <v>0</v>
      </c>
      <c r="G89" s="5">
        <v>0</v>
      </c>
      <c r="H89" s="5">
        <v>0</v>
      </c>
      <c r="I89" s="5">
        <v>0</v>
      </c>
      <c r="J89" s="9">
        <v>0</v>
      </c>
      <c r="K89" s="8">
        <v>3</v>
      </c>
      <c r="L89" s="5">
        <v>50</v>
      </c>
      <c r="M89" s="5">
        <v>0</v>
      </c>
      <c r="N89" s="9">
        <v>0</v>
      </c>
      <c r="O89" s="8">
        <v>3</v>
      </c>
      <c r="P89" s="5">
        <v>26</v>
      </c>
      <c r="Q89" s="5">
        <v>0</v>
      </c>
      <c r="R89" s="9">
        <v>0</v>
      </c>
      <c r="S89" s="8">
        <v>0</v>
      </c>
      <c r="T89" s="9">
        <v>0</v>
      </c>
    </row>
    <row r="90" spans="1:20" x14ac:dyDescent="0.2">
      <c r="A90" s="5" t="s">
        <v>195</v>
      </c>
      <c r="B90" s="5" t="s">
        <v>162</v>
      </c>
      <c r="C90" s="6" t="s">
        <v>514</v>
      </c>
      <c r="D90" s="7">
        <f t="shared" si="0"/>
        <v>10.5</v>
      </c>
      <c r="E90" s="8">
        <v>0</v>
      </c>
      <c r="F90" s="5">
        <v>0</v>
      </c>
      <c r="G90" s="5">
        <v>0</v>
      </c>
      <c r="H90" s="5">
        <v>0</v>
      </c>
      <c r="I90" s="5">
        <v>0</v>
      </c>
      <c r="J90" s="9">
        <v>0</v>
      </c>
      <c r="K90" s="8">
        <v>0</v>
      </c>
      <c r="L90" s="5">
        <v>0</v>
      </c>
      <c r="M90" s="5">
        <v>0</v>
      </c>
      <c r="N90" s="9">
        <v>0</v>
      </c>
      <c r="O90" s="8">
        <v>4</v>
      </c>
      <c r="P90" s="5">
        <v>65</v>
      </c>
      <c r="Q90" s="5">
        <v>0</v>
      </c>
      <c r="R90" s="9">
        <v>0</v>
      </c>
      <c r="S90" s="8">
        <v>0</v>
      </c>
      <c r="T90" s="9">
        <v>0</v>
      </c>
    </row>
    <row r="91" spans="1:20" x14ac:dyDescent="0.2">
      <c r="A91" s="5" t="s">
        <v>145</v>
      </c>
      <c r="B91" s="5" t="s">
        <v>75</v>
      </c>
      <c r="C91" s="8" t="s">
        <v>501</v>
      </c>
      <c r="D91" s="7">
        <f t="shared" si="0"/>
        <v>10.4</v>
      </c>
      <c r="E91" s="8">
        <v>0</v>
      </c>
      <c r="F91" s="5">
        <v>0</v>
      </c>
      <c r="G91" s="5">
        <v>0</v>
      </c>
      <c r="H91" s="5">
        <v>0</v>
      </c>
      <c r="I91" s="5">
        <v>0</v>
      </c>
      <c r="J91" s="9">
        <v>0</v>
      </c>
      <c r="K91" s="8">
        <v>0</v>
      </c>
      <c r="L91" s="5">
        <v>0</v>
      </c>
      <c r="M91" s="5">
        <v>0</v>
      </c>
      <c r="N91" s="9">
        <v>0</v>
      </c>
      <c r="O91" s="8">
        <v>4</v>
      </c>
      <c r="P91" s="5">
        <v>64</v>
      </c>
      <c r="Q91" s="5">
        <v>0</v>
      </c>
      <c r="R91" s="9">
        <v>0</v>
      </c>
      <c r="S91" s="8">
        <v>0</v>
      </c>
      <c r="T91" s="9">
        <v>0</v>
      </c>
    </row>
    <row r="92" spans="1:20" x14ac:dyDescent="0.2">
      <c r="A92" s="5" t="s">
        <v>340</v>
      </c>
      <c r="B92" s="5" t="s">
        <v>162</v>
      </c>
      <c r="C92" s="6" t="s">
        <v>509</v>
      </c>
      <c r="D92" s="7">
        <f t="shared" si="0"/>
        <v>10.4</v>
      </c>
      <c r="E92" s="8">
        <v>0</v>
      </c>
      <c r="F92" s="5">
        <v>0</v>
      </c>
      <c r="G92" s="5">
        <v>0</v>
      </c>
      <c r="H92" s="5">
        <v>0</v>
      </c>
      <c r="I92" s="5">
        <v>0</v>
      </c>
      <c r="J92" s="9">
        <v>0</v>
      </c>
      <c r="K92" s="8">
        <v>0</v>
      </c>
      <c r="L92" s="5">
        <v>0</v>
      </c>
      <c r="M92" s="5">
        <v>0</v>
      </c>
      <c r="N92" s="9">
        <v>0</v>
      </c>
      <c r="O92" s="8">
        <v>4</v>
      </c>
      <c r="P92" s="5">
        <v>64</v>
      </c>
      <c r="Q92" s="5">
        <v>0</v>
      </c>
      <c r="R92" s="9">
        <v>0</v>
      </c>
      <c r="S92" s="8">
        <v>0</v>
      </c>
      <c r="T92" s="9">
        <v>0</v>
      </c>
    </row>
    <row r="93" spans="1:20" x14ac:dyDescent="0.2">
      <c r="A93" s="5" t="s">
        <v>169</v>
      </c>
      <c r="B93" s="5" t="s">
        <v>162</v>
      </c>
      <c r="C93" s="8" t="s">
        <v>503</v>
      </c>
      <c r="D93" s="7">
        <f t="shared" si="0"/>
        <v>10.199999999999999</v>
      </c>
      <c r="E93" s="8">
        <v>0</v>
      </c>
      <c r="F93" s="5">
        <v>0</v>
      </c>
      <c r="G93" s="5">
        <v>0</v>
      </c>
      <c r="H93" s="5">
        <v>0</v>
      </c>
      <c r="I93" s="5">
        <v>0</v>
      </c>
      <c r="J93" s="9">
        <v>0</v>
      </c>
      <c r="K93" s="8">
        <v>0</v>
      </c>
      <c r="L93" s="5">
        <v>0</v>
      </c>
      <c r="M93" s="5">
        <v>0</v>
      </c>
      <c r="N93" s="9">
        <v>0</v>
      </c>
      <c r="O93" s="8">
        <v>5</v>
      </c>
      <c r="P93" s="5">
        <v>52</v>
      </c>
      <c r="Q93" s="5">
        <v>0</v>
      </c>
      <c r="R93" s="9">
        <v>0</v>
      </c>
      <c r="S93" s="8">
        <v>0</v>
      </c>
      <c r="T93" s="9">
        <v>0</v>
      </c>
    </row>
    <row r="94" spans="1:20" x14ac:dyDescent="0.2">
      <c r="A94" s="5" t="s">
        <v>273</v>
      </c>
      <c r="B94" s="5" t="s">
        <v>69</v>
      </c>
      <c r="C94" s="8" t="s">
        <v>511</v>
      </c>
      <c r="D94" s="7">
        <f t="shared" si="0"/>
        <v>10.100000000000001</v>
      </c>
      <c r="E94" s="8">
        <v>0</v>
      </c>
      <c r="F94" s="5">
        <v>0</v>
      </c>
      <c r="G94" s="5">
        <v>0</v>
      </c>
      <c r="H94" s="5">
        <v>0</v>
      </c>
      <c r="I94" s="5">
        <v>0</v>
      </c>
      <c r="J94" s="9">
        <v>0</v>
      </c>
      <c r="K94" s="8">
        <v>0</v>
      </c>
      <c r="L94" s="5">
        <v>0</v>
      </c>
      <c r="M94" s="5">
        <v>0</v>
      </c>
      <c r="N94" s="9">
        <v>0</v>
      </c>
      <c r="O94" s="8">
        <v>5</v>
      </c>
      <c r="P94" s="5">
        <v>51</v>
      </c>
      <c r="Q94" s="5">
        <v>0</v>
      </c>
      <c r="R94" s="9">
        <v>0</v>
      </c>
      <c r="S94" s="8">
        <v>0</v>
      </c>
      <c r="T94" s="9">
        <v>0</v>
      </c>
    </row>
    <row r="95" spans="1:20" x14ac:dyDescent="0.2">
      <c r="A95" s="5" t="s">
        <v>58</v>
      </c>
      <c r="B95" s="5" t="s">
        <v>17</v>
      </c>
      <c r="C95" s="6" t="s">
        <v>509</v>
      </c>
      <c r="D95" s="7">
        <f t="shared" si="0"/>
        <v>9.94</v>
      </c>
      <c r="E95" s="8">
        <v>38</v>
      </c>
      <c r="F95" s="5">
        <v>22</v>
      </c>
      <c r="G95" s="5">
        <v>236</v>
      </c>
      <c r="H95" s="5">
        <v>0</v>
      </c>
      <c r="I95" s="5">
        <v>1</v>
      </c>
      <c r="J95" s="9">
        <v>0</v>
      </c>
      <c r="K95" s="8">
        <v>6</v>
      </c>
      <c r="L95" s="5">
        <v>45</v>
      </c>
      <c r="M95" s="5">
        <v>0</v>
      </c>
      <c r="N95" s="9">
        <v>0</v>
      </c>
      <c r="O95" s="8">
        <v>0</v>
      </c>
      <c r="P95" s="5">
        <v>0</v>
      </c>
      <c r="Q95" s="5">
        <v>0</v>
      </c>
      <c r="R95" s="9">
        <v>0</v>
      </c>
      <c r="S95" s="8">
        <v>1</v>
      </c>
      <c r="T95" s="9">
        <v>0</v>
      </c>
    </row>
    <row r="96" spans="1:20" x14ac:dyDescent="0.2">
      <c r="A96" s="5" t="s">
        <v>238</v>
      </c>
      <c r="B96" s="5" t="s">
        <v>162</v>
      </c>
      <c r="C96" s="6" t="s">
        <v>500</v>
      </c>
      <c r="D96" s="7">
        <f t="shared" si="0"/>
        <v>9.9</v>
      </c>
      <c r="E96" s="8">
        <v>0</v>
      </c>
      <c r="F96" s="5">
        <v>0</v>
      </c>
      <c r="G96" s="5">
        <v>0</v>
      </c>
      <c r="H96" s="5">
        <v>0</v>
      </c>
      <c r="I96" s="5">
        <v>0</v>
      </c>
      <c r="J96" s="9">
        <v>0</v>
      </c>
      <c r="K96" s="8">
        <v>0</v>
      </c>
      <c r="L96" s="5">
        <v>0</v>
      </c>
      <c r="M96" s="5">
        <v>0</v>
      </c>
      <c r="N96" s="9">
        <v>0</v>
      </c>
      <c r="O96" s="8">
        <v>6</v>
      </c>
      <c r="P96" s="5">
        <v>39</v>
      </c>
      <c r="Q96" s="5">
        <v>0</v>
      </c>
      <c r="R96" s="9">
        <v>0</v>
      </c>
      <c r="S96" s="8">
        <v>0</v>
      </c>
      <c r="T96" s="9">
        <v>0</v>
      </c>
    </row>
    <row r="97" spans="1:20" x14ac:dyDescent="0.2">
      <c r="A97" s="5" t="s">
        <v>224</v>
      </c>
      <c r="B97" s="5" t="s">
        <v>162</v>
      </c>
      <c r="C97" s="8" t="s">
        <v>511</v>
      </c>
      <c r="D97" s="7">
        <f t="shared" si="0"/>
        <v>9.9</v>
      </c>
      <c r="E97" s="8">
        <v>0</v>
      </c>
      <c r="F97" s="5">
        <v>0</v>
      </c>
      <c r="G97" s="5">
        <v>0</v>
      </c>
      <c r="H97" s="5">
        <v>0</v>
      </c>
      <c r="I97" s="5">
        <v>0</v>
      </c>
      <c r="J97" s="9">
        <v>0</v>
      </c>
      <c r="K97" s="8">
        <v>0</v>
      </c>
      <c r="L97" s="5">
        <v>0</v>
      </c>
      <c r="M97" s="5">
        <v>0</v>
      </c>
      <c r="N97" s="9">
        <v>0</v>
      </c>
      <c r="O97" s="8">
        <v>5</v>
      </c>
      <c r="P97" s="5">
        <v>49</v>
      </c>
      <c r="Q97" s="5">
        <v>0</v>
      </c>
      <c r="R97" s="9">
        <v>0</v>
      </c>
      <c r="S97" s="8">
        <v>0</v>
      </c>
      <c r="T97" s="9">
        <v>0</v>
      </c>
    </row>
    <row r="98" spans="1:20" x14ac:dyDescent="0.2">
      <c r="A98" s="5" t="s">
        <v>163</v>
      </c>
      <c r="B98" s="5" t="s">
        <v>162</v>
      </c>
      <c r="C98" s="8" t="s">
        <v>507</v>
      </c>
      <c r="D98" s="7">
        <f t="shared" si="0"/>
        <v>9.8000000000000007</v>
      </c>
      <c r="E98" s="8">
        <v>0</v>
      </c>
      <c r="F98" s="5">
        <v>0</v>
      </c>
      <c r="G98" s="5">
        <v>0</v>
      </c>
      <c r="H98" s="5">
        <v>0</v>
      </c>
      <c r="I98" s="5">
        <v>0</v>
      </c>
      <c r="J98" s="9">
        <v>0</v>
      </c>
      <c r="K98" s="8">
        <v>0</v>
      </c>
      <c r="L98" s="5">
        <v>0</v>
      </c>
      <c r="M98" s="5">
        <v>0</v>
      </c>
      <c r="N98" s="9">
        <v>0</v>
      </c>
      <c r="O98" s="8">
        <v>4</v>
      </c>
      <c r="P98" s="5">
        <v>58</v>
      </c>
      <c r="Q98" s="5">
        <v>0</v>
      </c>
      <c r="R98" s="9">
        <v>0</v>
      </c>
      <c r="S98" s="8">
        <v>0</v>
      </c>
      <c r="T98" s="9">
        <v>0</v>
      </c>
    </row>
    <row r="99" spans="1:20" x14ac:dyDescent="0.2">
      <c r="A99" s="5" t="s">
        <v>242</v>
      </c>
      <c r="B99" s="5" t="s">
        <v>162</v>
      </c>
      <c r="C99" s="6" t="s">
        <v>506</v>
      </c>
      <c r="D99" s="7">
        <f t="shared" si="0"/>
        <v>9.8000000000000007</v>
      </c>
      <c r="E99" s="8">
        <v>0</v>
      </c>
      <c r="F99" s="5">
        <v>0</v>
      </c>
      <c r="G99" s="5">
        <v>0</v>
      </c>
      <c r="H99" s="5">
        <v>0</v>
      </c>
      <c r="I99" s="5">
        <v>0</v>
      </c>
      <c r="J99" s="9">
        <v>0</v>
      </c>
      <c r="K99" s="8">
        <v>0</v>
      </c>
      <c r="L99" s="5">
        <v>0</v>
      </c>
      <c r="M99" s="5">
        <v>0</v>
      </c>
      <c r="N99" s="9">
        <v>0</v>
      </c>
      <c r="O99" s="8">
        <v>5</v>
      </c>
      <c r="P99" s="5">
        <v>48</v>
      </c>
      <c r="Q99" s="5">
        <v>0</v>
      </c>
      <c r="R99" s="9">
        <v>0</v>
      </c>
      <c r="S99" s="8">
        <v>0</v>
      </c>
      <c r="T99" s="9">
        <v>0</v>
      </c>
    </row>
    <row r="100" spans="1:20" x14ac:dyDescent="0.2">
      <c r="A100" s="5" t="s">
        <v>64</v>
      </c>
      <c r="B100" s="5" t="s">
        <v>17</v>
      </c>
      <c r="C100" s="6" t="s">
        <v>503</v>
      </c>
      <c r="D100" s="7">
        <f t="shared" si="0"/>
        <v>9.7600000000000016</v>
      </c>
      <c r="E100" s="8">
        <v>34</v>
      </c>
      <c r="F100" s="5">
        <v>23</v>
      </c>
      <c r="G100" s="5">
        <v>264</v>
      </c>
      <c r="H100" s="5">
        <v>0</v>
      </c>
      <c r="I100" s="5">
        <v>1</v>
      </c>
      <c r="J100" s="9">
        <v>0</v>
      </c>
      <c r="K100" s="8">
        <v>2</v>
      </c>
      <c r="L100" s="5">
        <v>12</v>
      </c>
      <c r="M100" s="5">
        <v>0</v>
      </c>
      <c r="N100" s="9">
        <v>0</v>
      </c>
      <c r="O100" s="8">
        <v>0</v>
      </c>
      <c r="P100" s="5">
        <v>0</v>
      </c>
      <c r="Q100" s="5">
        <v>0</v>
      </c>
      <c r="R100" s="9">
        <v>0</v>
      </c>
      <c r="S100" s="8">
        <v>0</v>
      </c>
      <c r="T100" s="9">
        <v>0</v>
      </c>
    </row>
    <row r="101" spans="1:20" x14ac:dyDescent="0.2">
      <c r="A101" s="5" t="s">
        <v>201</v>
      </c>
      <c r="B101" s="5" t="s">
        <v>162</v>
      </c>
      <c r="C101" s="6" t="s">
        <v>507</v>
      </c>
      <c r="D101" s="7">
        <f t="shared" si="0"/>
        <v>9.6</v>
      </c>
      <c r="E101" s="8">
        <v>0</v>
      </c>
      <c r="F101" s="5">
        <v>0</v>
      </c>
      <c r="G101" s="5">
        <v>0</v>
      </c>
      <c r="H101" s="5">
        <v>0</v>
      </c>
      <c r="I101" s="5">
        <v>0</v>
      </c>
      <c r="J101" s="9">
        <v>0</v>
      </c>
      <c r="K101" s="8">
        <v>0</v>
      </c>
      <c r="L101" s="5">
        <v>0</v>
      </c>
      <c r="M101" s="5">
        <v>0</v>
      </c>
      <c r="N101" s="9">
        <v>0</v>
      </c>
      <c r="O101" s="8">
        <v>1</v>
      </c>
      <c r="P101" s="5">
        <v>26</v>
      </c>
      <c r="Q101" s="5">
        <v>1</v>
      </c>
      <c r="R101" s="9">
        <v>0</v>
      </c>
      <c r="S101" s="8">
        <v>0</v>
      </c>
      <c r="T101" s="9">
        <v>0</v>
      </c>
    </row>
    <row r="102" spans="1:20" x14ac:dyDescent="0.2">
      <c r="A102" s="5" t="s">
        <v>281</v>
      </c>
      <c r="B102" s="5" t="s">
        <v>69</v>
      </c>
      <c r="C102" s="6" t="s">
        <v>512</v>
      </c>
      <c r="D102" s="7">
        <f t="shared" si="0"/>
        <v>9.4</v>
      </c>
      <c r="E102" s="8">
        <v>0</v>
      </c>
      <c r="F102" s="5">
        <v>0</v>
      </c>
      <c r="G102" s="5">
        <v>0</v>
      </c>
      <c r="H102" s="5">
        <v>0</v>
      </c>
      <c r="I102" s="5">
        <v>0</v>
      </c>
      <c r="J102" s="9">
        <v>0</v>
      </c>
      <c r="K102" s="8">
        <v>0</v>
      </c>
      <c r="L102" s="5">
        <v>0</v>
      </c>
      <c r="M102" s="5">
        <v>0</v>
      </c>
      <c r="N102" s="9">
        <v>0</v>
      </c>
      <c r="O102" s="8">
        <v>6</v>
      </c>
      <c r="P102" s="5">
        <v>34</v>
      </c>
      <c r="Q102" s="5">
        <v>0</v>
      </c>
      <c r="R102" s="9">
        <v>0</v>
      </c>
      <c r="S102" s="8">
        <v>0</v>
      </c>
      <c r="T102" s="9">
        <v>0</v>
      </c>
    </row>
    <row r="103" spans="1:20" x14ac:dyDescent="0.2">
      <c r="A103" s="5" t="s">
        <v>120</v>
      </c>
      <c r="B103" s="5" t="s">
        <v>75</v>
      </c>
      <c r="C103" s="6" t="s">
        <v>510</v>
      </c>
      <c r="D103" s="7">
        <f t="shared" si="0"/>
        <v>9.2000000000000011</v>
      </c>
      <c r="E103" s="8">
        <v>0</v>
      </c>
      <c r="F103" s="5">
        <v>0</v>
      </c>
      <c r="G103" s="5">
        <v>0</v>
      </c>
      <c r="H103" s="5">
        <v>0</v>
      </c>
      <c r="I103" s="5">
        <v>0</v>
      </c>
      <c r="J103" s="9">
        <v>0</v>
      </c>
      <c r="K103" s="8">
        <v>20</v>
      </c>
      <c r="L103" s="5">
        <v>66</v>
      </c>
      <c r="M103" s="5">
        <v>0</v>
      </c>
      <c r="N103" s="9">
        <v>0</v>
      </c>
      <c r="O103" s="8">
        <v>1</v>
      </c>
      <c r="P103" s="5">
        <v>16</v>
      </c>
      <c r="Q103" s="5">
        <v>0</v>
      </c>
      <c r="R103" s="9">
        <v>0</v>
      </c>
      <c r="S103" s="8">
        <v>0</v>
      </c>
      <c r="T103" s="9">
        <v>0</v>
      </c>
    </row>
    <row r="104" spans="1:20" x14ac:dyDescent="0.2">
      <c r="A104" s="5" t="s">
        <v>88</v>
      </c>
      <c r="B104" s="5" t="s">
        <v>75</v>
      </c>
      <c r="C104" s="6" t="s">
        <v>503</v>
      </c>
      <c r="D104" s="7">
        <f t="shared" si="0"/>
        <v>9.1999999999999993</v>
      </c>
      <c r="E104" s="8">
        <v>1</v>
      </c>
      <c r="F104" s="5">
        <v>0</v>
      </c>
      <c r="G104" s="5">
        <v>0</v>
      </c>
      <c r="H104" s="5">
        <v>0</v>
      </c>
      <c r="I104" s="5">
        <v>0</v>
      </c>
      <c r="J104" s="9">
        <v>0</v>
      </c>
      <c r="K104" s="8">
        <v>13</v>
      </c>
      <c r="L104" s="5">
        <v>43</v>
      </c>
      <c r="M104" s="5">
        <v>0</v>
      </c>
      <c r="N104" s="9">
        <v>0</v>
      </c>
      <c r="O104" s="8">
        <v>3</v>
      </c>
      <c r="P104" s="5">
        <v>19</v>
      </c>
      <c r="Q104" s="5">
        <v>0</v>
      </c>
      <c r="R104" s="9">
        <v>0</v>
      </c>
      <c r="S104" s="8">
        <v>0</v>
      </c>
      <c r="T104" s="9">
        <v>0</v>
      </c>
    </row>
    <row r="105" spans="1:20" x14ac:dyDescent="0.2">
      <c r="A105" s="5" t="s">
        <v>171</v>
      </c>
      <c r="B105" s="5" t="s">
        <v>162</v>
      </c>
      <c r="C105" s="6" t="s">
        <v>514</v>
      </c>
      <c r="D105" s="7">
        <f t="shared" si="0"/>
        <v>9.1999999999999993</v>
      </c>
      <c r="E105" s="8">
        <v>0</v>
      </c>
      <c r="F105" s="5">
        <v>0</v>
      </c>
      <c r="G105" s="5">
        <v>0</v>
      </c>
      <c r="H105" s="5">
        <v>0</v>
      </c>
      <c r="I105" s="5">
        <v>0</v>
      </c>
      <c r="J105" s="9">
        <v>0</v>
      </c>
      <c r="K105" s="8">
        <v>0</v>
      </c>
      <c r="L105" s="5">
        <v>0</v>
      </c>
      <c r="M105" s="5">
        <v>0</v>
      </c>
      <c r="N105" s="9">
        <v>0</v>
      </c>
      <c r="O105" s="8">
        <v>2</v>
      </c>
      <c r="P105" s="5">
        <v>12</v>
      </c>
      <c r="Q105" s="5">
        <v>1</v>
      </c>
      <c r="R105" s="9">
        <v>0</v>
      </c>
      <c r="S105" s="8">
        <v>0</v>
      </c>
      <c r="T105" s="9">
        <v>0</v>
      </c>
    </row>
    <row r="106" spans="1:20" x14ac:dyDescent="0.2">
      <c r="A106" s="5" t="s">
        <v>485</v>
      </c>
      <c r="B106" s="5" t="s">
        <v>162</v>
      </c>
      <c r="C106" s="8" t="s">
        <v>504</v>
      </c>
      <c r="D106" s="7">
        <f t="shared" si="0"/>
        <v>9.1999999999999993</v>
      </c>
      <c r="E106" s="8">
        <v>0</v>
      </c>
      <c r="F106" s="5">
        <v>0</v>
      </c>
      <c r="G106" s="5">
        <v>0</v>
      </c>
      <c r="H106" s="5">
        <v>0</v>
      </c>
      <c r="I106" s="5">
        <v>0</v>
      </c>
      <c r="J106" s="9">
        <v>0</v>
      </c>
      <c r="K106" s="8">
        <v>0</v>
      </c>
      <c r="L106" s="5">
        <v>0</v>
      </c>
      <c r="M106" s="5">
        <v>0</v>
      </c>
      <c r="N106" s="9">
        <v>0</v>
      </c>
      <c r="O106" s="8">
        <v>4</v>
      </c>
      <c r="P106" s="5">
        <v>52</v>
      </c>
      <c r="Q106" s="5">
        <v>0</v>
      </c>
      <c r="R106" s="9">
        <v>0</v>
      </c>
      <c r="S106" s="8">
        <v>0</v>
      </c>
      <c r="T106" s="9">
        <v>0</v>
      </c>
    </row>
    <row r="107" spans="1:20" x14ac:dyDescent="0.2">
      <c r="A107" s="5" t="s">
        <v>400</v>
      </c>
      <c r="B107" s="5" t="s">
        <v>162</v>
      </c>
      <c r="C107" s="8" t="s">
        <v>511</v>
      </c>
      <c r="D107" s="7">
        <f t="shared" si="0"/>
        <v>9.1999999999999993</v>
      </c>
      <c r="E107" s="8">
        <v>0</v>
      </c>
      <c r="F107" s="5">
        <v>0</v>
      </c>
      <c r="G107" s="5">
        <v>0</v>
      </c>
      <c r="H107" s="5">
        <v>0</v>
      </c>
      <c r="I107" s="5">
        <v>0</v>
      </c>
      <c r="J107" s="9">
        <v>0</v>
      </c>
      <c r="K107" s="8">
        <v>1</v>
      </c>
      <c r="L107" s="5">
        <v>9</v>
      </c>
      <c r="M107" s="5">
        <v>0</v>
      </c>
      <c r="N107" s="9">
        <v>0</v>
      </c>
      <c r="O107" s="8">
        <v>4</v>
      </c>
      <c r="P107" s="5">
        <v>43</v>
      </c>
      <c r="Q107" s="5">
        <v>0</v>
      </c>
      <c r="R107" s="9">
        <v>0</v>
      </c>
      <c r="S107" s="8">
        <v>0</v>
      </c>
      <c r="T107" s="9">
        <v>0</v>
      </c>
    </row>
    <row r="108" spans="1:20" x14ac:dyDescent="0.2">
      <c r="A108" s="5" t="s">
        <v>279</v>
      </c>
      <c r="B108" s="5" t="s">
        <v>69</v>
      </c>
      <c r="C108" s="8" t="s">
        <v>500</v>
      </c>
      <c r="D108" s="7">
        <f t="shared" si="0"/>
        <v>9</v>
      </c>
      <c r="E108" s="8">
        <v>0</v>
      </c>
      <c r="F108" s="5">
        <v>0</v>
      </c>
      <c r="G108" s="5">
        <v>0</v>
      </c>
      <c r="H108" s="5">
        <v>0</v>
      </c>
      <c r="I108" s="5">
        <v>0</v>
      </c>
      <c r="J108" s="9">
        <v>0</v>
      </c>
      <c r="K108" s="8">
        <v>0</v>
      </c>
      <c r="L108" s="5">
        <v>0</v>
      </c>
      <c r="M108" s="5">
        <v>0</v>
      </c>
      <c r="N108" s="9">
        <v>0</v>
      </c>
      <c r="O108" s="8">
        <v>2</v>
      </c>
      <c r="P108" s="5">
        <v>10</v>
      </c>
      <c r="Q108" s="5">
        <v>1</v>
      </c>
      <c r="R108" s="9">
        <v>0</v>
      </c>
      <c r="S108" s="8">
        <v>0</v>
      </c>
      <c r="T108" s="9">
        <v>0</v>
      </c>
    </row>
    <row r="109" spans="1:20" x14ac:dyDescent="0.2">
      <c r="A109" s="5" t="s">
        <v>176</v>
      </c>
      <c r="B109" s="5" t="s">
        <v>162</v>
      </c>
      <c r="C109" s="8" t="s">
        <v>508</v>
      </c>
      <c r="D109" s="7">
        <f t="shared" si="0"/>
        <v>8.9</v>
      </c>
      <c r="E109" s="8">
        <v>0</v>
      </c>
      <c r="F109" s="5">
        <v>0</v>
      </c>
      <c r="G109" s="5">
        <v>0</v>
      </c>
      <c r="H109" s="5">
        <v>0</v>
      </c>
      <c r="I109" s="5">
        <v>0</v>
      </c>
      <c r="J109" s="9">
        <v>0</v>
      </c>
      <c r="K109" s="8">
        <v>0</v>
      </c>
      <c r="L109" s="5">
        <v>0</v>
      </c>
      <c r="M109" s="5">
        <v>0</v>
      </c>
      <c r="N109" s="9">
        <v>0</v>
      </c>
      <c r="O109" s="8">
        <v>2</v>
      </c>
      <c r="P109" s="5">
        <v>9</v>
      </c>
      <c r="Q109" s="5">
        <v>1</v>
      </c>
      <c r="R109" s="9">
        <v>0</v>
      </c>
      <c r="S109" s="8">
        <v>0</v>
      </c>
      <c r="T109" s="9">
        <v>0</v>
      </c>
    </row>
    <row r="110" spans="1:20" x14ac:dyDescent="0.2">
      <c r="A110" s="5" t="s">
        <v>192</v>
      </c>
      <c r="B110" s="5" t="s">
        <v>162</v>
      </c>
      <c r="C110" s="6" t="s">
        <v>507</v>
      </c>
      <c r="D110" s="7">
        <f t="shared" si="0"/>
        <v>8.9</v>
      </c>
      <c r="E110" s="8">
        <v>0</v>
      </c>
      <c r="F110" s="5">
        <v>0</v>
      </c>
      <c r="G110" s="5">
        <v>0</v>
      </c>
      <c r="H110" s="5">
        <v>0</v>
      </c>
      <c r="I110" s="5">
        <v>0</v>
      </c>
      <c r="J110" s="9">
        <v>0</v>
      </c>
      <c r="K110" s="8">
        <v>0</v>
      </c>
      <c r="L110" s="5">
        <v>0</v>
      </c>
      <c r="M110" s="5">
        <v>0</v>
      </c>
      <c r="N110" s="9">
        <v>0</v>
      </c>
      <c r="O110" s="8">
        <v>4</v>
      </c>
      <c r="P110" s="5">
        <v>49</v>
      </c>
      <c r="Q110" s="5">
        <v>0</v>
      </c>
      <c r="R110" s="9">
        <v>0</v>
      </c>
      <c r="S110" s="8">
        <v>0</v>
      </c>
      <c r="T110" s="9">
        <v>0</v>
      </c>
    </row>
    <row r="111" spans="1:20" x14ac:dyDescent="0.2">
      <c r="A111" s="5" t="s">
        <v>232</v>
      </c>
      <c r="B111" s="5" t="s">
        <v>162</v>
      </c>
      <c r="C111" s="8" t="s">
        <v>501</v>
      </c>
      <c r="D111" s="7">
        <f t="shared" si="0"/>
        <v>8.9</v>
      </c>
      <c r="E111" s="8">
        <v>0</v>
      </c>
      <c r="F111" s="5">
        <v>0</v>
      </c>
      <c r="G111" s="5">
        <v>0</v>
      </c>
      <c r="H111" s="5">
        <v>0</v>
      </c>
      <c r="I111" s="5">
        <v>0</v>
      </c>
      <c r="J111" s="9">
        <v>0</v>
      </c>
      <c r="K111" s="8">
        <v>0</v>
      </c>
      <c r="L111" s="5">
        <v>0</v>
      </c>
      <c r="M111" s="5">
        <v>0</v>
      </c>
      <c r="N111" s="9">
        <v>0</v>
      </c>
      <c r="O111" s="8">
        <v>4</v>
      </c>
      <c r="P111" s="5">
        <v>49</v>
      </c>
      <c r="Q111" s="5">
        <v>0</v>
      </c>
      <c r="R111" s="9">
        <v>0</v>
      </c>
      <c r="S111" s="8">
        <v>0</v>
      </c>
      <c r="T111" s="9">
        <v>0</v>
      </c>
    </row>
    <row r="112" spans="1:20" x14ac:dyDescent="0.2">
      <c r="A112" s="5" t="s">
        <v>63</v>
      </c>
      <c r="B112" s="5" t="s">
        <v>17</v>
      </c>
      <c r="C112" s="6" t="s">
        <v>500</v>
      </c>
      <c r="D112" s="7">
        <f t="shared" si="0"/>
        <v>8.74</v>
      </c>
      <c r="E112" s="8">
        <v>32</v>
      </c>
      <c r="F112" s="5">
        <v>15</v>
      </c>
      <c r="G112" s="5">
        <v>166</v>
      </c>
      <c r="H112" s="5">
        <v>2</v>
      </c>
      <c r="I112" s="5">
        <v>2</v>
      </c>
      <c r="J112" s="9">
        <v>0</v>
      </c>
      <c r="K112" s="8">
        <v>3</v>
      </c>
      <c r="L112" s="5">
        <v>1</v>
      </c>
      <c r="M112" s="5">
        <v>0</v>
      </c>
      <c r="N112" s="9">
        <v>0</v>
      </c>
      <c r="O112" s="8">
        <v>0</v>
      </c>
      <c r="P112" s="5">
        <v>0</v>
      </c>
      <c r="Q112" s="5">
        <v>0</v>
      </c>
      <c r="R112" s="9">
        <v>0</v>
      </c>
      <c r="S112" s="8">
        <v>1</v>
      </c>
      <c r="T112" s="9">
        <v>0</v>
      </c>
    </row>
    <row r="113" spans="1:20" x14ac:dyDescent="0.2">
      <c r="A113" s="5" t="s">
        <v>56</v>
      </c>
      <c r="B113" s="5" t="s">
        <v>17</v>
      </c>
      <c r="C113" s="6" t="s">
        <v>505</v>
      </c>
      <c r="D113" s="7">
        <f t="shared" si="0"/>
        <v>8.56</v>
      </c>
      <c r="E113" s="8">
        <v>26</v>
      </c>
      <c r="F113" s="5">
        <v>19</v>
      </c>
      <c r="G113" s="5">
        <v>199</v>
      </c>
      <c r="H113" s="5">
        <v>0</v>
      </c>
      <c r="I113" s="5">
        <v>1</v>
      </c>
      <c r="J113" s="9">
        <v>0</v>
      </c>
      <c r="K113" s="8">
        <v>3</v>
      </c>
      <c r="L113" s="5">
        <v>26</v>
      </c>
      <c r="M113" s="5">
        <v>0</v>
      </c>
      <c r="N113" s="9">
        <v>0</v>
      </c>
      <c r="O113" s="8">
        <v>0</v>
      </c>
      <c r="P113" s="5">
        <v>0</v>
      </c>
      <c r="Q113" s="5">
        <v>0</v>
      </c>
      <c r="R113" s="9">
        <v>0</v>
      </c>
      <c r="S113" s="8">
        <v>0</v>
      </c>
      <c r="T113" s="9">
        <v>0</v>
      </c>
    </row>
    <row r="114" spans="1:20" x14ac:dyDescent="0.2">
      <c r="A114" s="5" t="s">
        <v>190</v>
      </c>
      <c r="B114" s="5" t="s">
        <v>162</v>
      </c>
      <c r="C114" s="8" t="s">
        <v>512</v>
      </c>
      <c r="D114" s="7">
        <f t="shared" si="0"/>
        <v>8.5</v>
      </c>
      <c r="E114" s="8">
        <v>0</v>
      </c>
      <c r="F114" s="5">
        <v>0</v>
      </c>
      <c r="G114" s="5">
        <v>0</v>
      </c>
      <c r="H114" s="5">
        <v>0</v>
      </c>
      <c r="I114" s="5">
        <v>0</v>
      </c>
      <c r="J114" s="9">
        <v>0</v>
      </c>
      <c r="K114" s="8">
        <v>0</v>
      </c>
      <c r="L114" s="5">
        <v>0</v>
      </c>
      <c r="M114" s="5">
        <v>0</v>
      </c>
      <c r="N114" s="9">
        <v>0</v>
      </c>
      <c r="O114" s="8">
        <v>4</v>
      </c>
      <c r="P114" s="5">
        <v>45</v>
      </c>
      <c r="Q114" s="5">
        <v>0</v>
      </c>
      <c r="R114" s="9">
        <v>0</v>
      </c>
      <c r="S114" s="8">
        <v>0</v>
      </c>
      <c r="T114" s="9">
        <v>0</v>
      </c>
    </row>
    <row r="115" spans="1:20" x14ac:dyDescent="0.2">
      <c r="A115" s="5" t="s">
        <v>79</v>
      </c>
      <c r="B115" s="5" t="s">
        <v>75</v>
      </c>
      <c r="C115" s="6" t="s">
        <v>507</v>
      </c>
      <c r="D115" s="7">
        <f t="shared" si="0"/>
        <v>8.4</v>
      </c>
      <c r="E115" s="8">
        <v>0</v>
      </c>
      <c r="F115" s="5">
        <v>0</v>
      </c>
      <c r="G115" s="5">
        <v>0</v>
      </c>
      <c r="H115" s="5">
        <v>0</v>
      </c>
      <c r="I115" s="5">
        <v>0</v>
      </c>
      <c r="J115" s="9">
        <v>0</v>
      </c>
      <c r="K115" s="8">
        <v>8</v>
      </c>
      <c r="L115" s="5">
        <v>29</v>
      </c>
      <c r="M115" s="5">
        <v>0</v>
      </c>
      <c r="N115" s="9">
        <v>0</v>
      </c>
      <c r="O115" s="8">
        <v>4</v>
      </c>
      <c r="P115" s="5">
        <v>35</v>
      </c>
      <c r="Q115" s="5">
        <v>0</v>
      </c>
      <c r="R115" s="9">
        <v>0</v>
      </c>
      <c r="S115" s="8">
        <v>1</v>
      </c>
      <c r="T115" s="9">
        <v>0</v>
      </c>
    </row>
    <row r="116" spans="1:20" x14ac:dyDescent="0.2">
      <c r="A116" s="5" t="s">
        <v>184</v>
      </c>
      <c r="B116" s="5" t="s">
        <v>162</v>
      </c>
      <c r="C116" s="6" t="s">
        <v>505</v>
      </c>
      <c r="D116" s="7">
        <f t="shared" si="0"/>
        <v>8.4</v>
      </c>
      <c r="E116" s="8">
        <v>0</v>
      </c>
      <c r="F116" s="5">
        <v>0</v>
      </c>
      <c r="G116" s="5">
        <v>0</v>
      </c>
      <c r="H116" s="5">
        <v>0</v>
      </c>
      <c r="I116" s="5">
        <v>0</v>
      </c>
      <c r="J116" s="9">
        <v>0</v>
      </c>
      <c r="K116" s="8">
        <v>0</v>
      </c>
      <c r="L116" s="5">
        <v>0</v>
      </c>
      <c r="M116" s="5">
        <v>0</v>
      </c>
      <c r="N116" s="9">
        <v>0</v>
      </c>
      <c r="O116" s="8">
        <v>3</v>
      </c>
      <c r="P116" s="5">
        <v>54</v>
      </c>
      <c r="Q116" s="5">
        <v>0</v>
      </c>
      <c r="R116" s="9">
        <v>0</v>
      </c>
      <c r="S116" s="8">
        <v>0</v>
      </c>
      <c r="T116" s="9">
        <v>0</v>
      </c>
    </row>
    <row r="117" spans="1:20" x14ac:dyDescent="0.2">
      <c r="A117" s="5" t="s">
        <v>93</v>
      </c>
      <c r="B117" s="5" t="s">
        <v>75</v>
      </c>
      <c r="C117" s="8" t="s">
        <v>501</v>
      </c>
      <c r="D117" s="7">
        <f t="shared" si="0"/>
        <v>8.3000000000000007</v>
      </c>
      <c r="E117" s="8">
        <v>0</v>
      </c>
      <c r="F117" s="5">
        <v>0</v>
      </c>
      <c r="G117" s="5">
        <v>0</v>
      </c>
      <c r="H117" s="5">
        <v>0</v>
      </c>
      <c r="I117" s="5">
        <v>0</v>
      </c>
      <c r="J117" s="9">
        <v>0</v>
      </c>
      <c r="K117" s="8">
        <v>6</v>
      </c>
      <c r="L117" s="5">
        <v>10</v>
      </c>
      <c r="M117" s="5">
        <v>0</v>
      </c>
      <c r="N117" s="9">
        <v>0</v>
      </c>
      <c r="O117" s="8">
        <v>4</v>
      </c>
      <c r="P117" s="5">
        <v>33</v>
      </c>
      <c r="Q117" s="5">
        <v>0</v>
      </c>
      <c r="R117" s="9">
        <v>0</v>
      </c>
      <c r="S117" s="8">
        <v>0</v>
      </c>
      <c r="T117" s="9">
        <v>0</v>
      </c>
    </row>
    <row r="118" spans="1:20" x14ac:dyDescent="0.2">
      <c r="A118" s="5" t="s">
        <v>219</v>
      </c>
      <c r="B118" s="5" t="s">
        <v>162</v>
      </c>
      <c r="C118" s="6" t="s">
        <v>510</v>
      </c>
      <c r="D118" s="7">
        <f t="shared" si="0"/>
        <v>8.3000000000000007</v>
      </c>
      <c r="E118" s="8">
        <v>0</v>
      </c>
      <c r="F118" s="5">
        <v>0</v>
      </c>
      <c r="G118" s="5">
        <v>0</v>
      </c>
      <c r="H118" s="5">
        <v>0</v>
      </c>
      <c r="I118" s="5">
        <v>0</v>
      </c>
      <c r="J118" s="9">
        <v>0</v>
      </c>
      <c r="K118" s="8">
        <v>2</v>
      </c>
      <c r="L118" s="5">
        <v>-4</v>
      </c>
      <c r="M118" s="5">
        <v>0</v>
      </c>
      <c r="N118" s="9">
        <v>0</v>
      </c>
      <c r="O118" s="8">
        <v>3</v>
      </c>
      <c r="P118" s="5">
        <v>57</v>
      </c>
      <c r="Q118" s="5">
        <v>0</v>
      </c>
      <c r="R118" s="9">
        <v>0</v>
      </c>
      <c r="S118" s="8">
        <v>0</v>
      </c>
      <c r="T118" s="9">
        <v>0</v>
      </c>
    </row>
    <row r="119" spans="1:20" x14ac:dyDescent="0.2">
      <c r="A119" s="5" t="s">
        <v>352</v>
      </c>
      <c r="B119" s="5" t="s">
        <v>69</v>
      </c>
      <c r="C119" s="6" t="s">
        <v>503</v>
      </c>
      <c r="D119" s="7">
        <f t="shared" si="0"/>
        <v>8.3000000000000007</v>
      </c>
      <c r="E119" s="8">
        <v>0</v>
      </c>
      <c r="F119" s="5">
        <v>0</v>
      </c>
      <c r="G119" s="5">
        <v>0</v>
      </c>
      <c r="H119" s="5">
        <v>0</v>
      </c>
      <c r="I119" s="5">
        <v>0</v>
      </c>
      <c r="J119" s="9">
        <v>0</v>
      </c>
      <c r="K119" s="8">
        <v>0</v>
      </c>
      <c r="L119" s="5">
        <v>0</v>
      </c>
      <c r="M119" s="5">
        <v>0</v>
      </c>
      <c r="N119" s="9">
        <v>0</v>
      </c>
      <c r="O119" s="8">
        <v>5</v>
      </c>
      <c r="P119" s="5">
        <v>33</v>
      </c>
      <c r="Q119" s="5">
        <v>0</v>
      </c>
      <c r="R119" s="9">
        <v>0</v>
      </c>
      <c r="S119" s="8">
        <v>0</v>
      </c>
      <c r="T119" s="9">
        <v>0</v>
      </c>
    </row>
    <row r="120" spans="1:20" x14ac:dyDescent="0.2">
      <c r="A120" s="5" t="s">
        <v>240</v>
      </c>
      <c r="B120" s="5" t="s">
        <v>162</v>
      </c>
      <c r="C120" s="8" t="s">
        <v>502</v>
      </c>
      <c r="D120" s="7">
        <f t="shared" si="0"/>
        <v>8.1999999999999993</v>
      </c>
      <c r="E120" s="8">
        <v>0</v>
      </c>
      <c r="F120" s="5">
        <v>0</v>
      </c>
      <c r="G120" s="5">
        <v>0</v>
      </c>
      <c r="H120" s="5">
        <v>0</v>
      </c>
      <c r="I120" s="5">
        <v>0</v>
      </c>
      <c r="J120" s="9">
        <v>0</v>
      </c>
      <c r="K120" s="8">
        <v>0</v>
      </c>
      <c r="L120" s="5">
        <v>0</v>
      </c>
      <c r="M120" s="5">
        <v>0</v>
      </c>
      <c r="N120" s="9">
        <v>0</v>
      </c>
      <c r="O120" s="8">
        <v>2</v>
      </c>
      <c r="P120" s="5">
        <v>62</v>
      </c>
      <c r="Q120" s="5">
        <v>0</v>
      </c>
      <c r="R120" s="9">
        <v>0</v>
      </c>
      <c r="S120" s="8">
        <v>0</v>
      </c>
      <c r="T120" s="9">
        <v>0</v>
      </c>
    </row>
    <row r="121" spans="1:20" x14ac:dyDescent="0.2">
      <c r="A121" s="5" t="s">
        <v>194</v>
      </c>
      <c r="B121" s="5" t="s">
        <v>162</v>
      </c>
      <c r="C121" s="8" t="s">
        <v>509</v>
      </c>
      <c r="D121" s="7">
        <f t="shared" si="0"/>
        <v>7.9</v>
      </c>
      <c r="E121" s="8">
        <v>0</v>
      </c>
      <c r="F121" s="5">
        <v>0</v>
      </c>
      <c r="G121" s="5">
        <v>0</v>
      </c>
      <c r="H121" s="5">
        <v>0</v>
      </c>
      <c r="I121" s="5">
        <v>0</v>
      </c>
      <c r="J121" s="9">
        <v>0</v>
      </c>
      <c r="K121" s="8">
        <v>0</v>
      </c>
      <c r="L121" s="5">
        <v>0</v>
      </c>
      <c r="M121" s="5">
        <v>0</v>
      </c>
      <c r="N121" s="9">
        <v>0</v>
      </c>
      <c r="O121" s="8">
        <v>5</v>
      </c>
      <c r="P121" s="5">
        <v>29</v>
      </c>
      <c r="Q121" s="5">
        <v>0</v>
      </c>
      <c r="R121" s="9">
        <v>0</v>
      </c>
      <c r="S121" s="8">
        <v>0</v>
      </c>
      <c r="T121" s="9">
        <v>0</v>
      </c>
    </row>
    <row r="122" spans="1:20" x14ac:dyDescent="0.2">
      <c r="A122" s="5" t="s">
        <v>110</v>
      </c>
      <c r="B122" s="5" t="s">
        <v>75</v>
      </c>
      <c r="C122" s="8" t="s">
        <v>514</v>
      </c>
      <c r="D122" s="7">
        <f t="shared" si="0"/>
        <v>7.8</v>
      </c>
      <c r="E122" s="8">
        <v>0</v>
      </c>
      <c r="F122" s="5">
        <v>0</v>
      </c>
      <c r="G122" s="5">
        <v>0</v>
      </c>
      <c r="H122" s="5">
        <v>0</v>
      </c>
      <c r="I122" s="5">
        <v>0</v>
      </c>
      <c r="J122" s="9">
        <v>0</v>
      </c>
      <c r="K122" s="8">
        <v>8</v>
      </c>
      <c r="L122" s="5">
        <v>21</v>
      </c>
      <c r="M122" s="5">
        <v>0</v>
      </c>
      <c r="N122" s="9">
        <v>0</v>
      </c>
      <c r="O122" s="8">
        <v>4</v>
      </c>
      <c r="P122" s="5">
        <v>17</v>
      </c>
      <c r="Q122" s="5">
        <v>0</v>
      </c>
      <c r="R122" s="9">
        <v>0</v>
      </c>
      <c r="S122" s="8">
        <v>0</v>
      </c>
      <c r="T122" s="9">
        <v>0</v>
      </c>
    </row>
    <row r="123" spans="1:20" x14ac:dyDescent="0.2">
      <c r="A123" s="5" t="s">
        <v>83</v>
      </c>
      <c r="B123" s="5" t="s">
        <v>75</v>
      </c>
      <c r="C123" s="8" t="s">
        <v>508</v>
      </c>
      <c r="D123" s="7">
        <f t="shared" si="0"/>
        <v>7.7000000000000011</v>
      </c>
      <c r="E123" s="8">
        <v>0</v>
      </c>
      <c r="F123" s="5">
        <v>0</v>
      </c>
      <c r="G123" s="5">
        <v>0</v>
      </c>
      <c r="H123" s="5">
        <v>0</v>
      </c>
      <c r="I123" s="5">
        <v>0</v>
      </c>
      <c r="J123" s="9">
        <v>0</v>
      </c>
      <c r="K123" s="8">
        <v>13</v>
      </c>
      <c r="L123" s="5">
        <v>53</v>
      </c>
      <c r="M123" s="5">
        <v>0</v>
      </c>
      <c r="N123" s="9">
        <v>0</v>
      </c>
      <c r="O123" s="8">
        <v>2</v>
      </c>
      <c r="P123" s="5">
        <v>4</v>
      </c>
      <c r="Q123" s="5">
        <v>0</v>
      </c>
      <c r="R123" s="9">
        <v>0</v>
      </c>
      <c r="S123" s="8">
        <v>0</v>
      </c>
      <c r="T123" s="9">
        <v>0</v>
      </c>
    </row>
    <row r="124" spans="1:20" x14ac:dyDescent="0.2">
      <c r="A124" s="5" t="s">
        <v>267</v>
      </c>
      <c r="B124" s="5" t="s">
        <v>162</v>
      </c>
      <c r="C124" s="6" t="s">
        <v>511</v>
      </c>
      <c r="D124" s="7">
        <f t="shared" si="0"/>
        <v>7.6999999999999993</v>
      </c>
      <c r="E124" s="8">
        <v>0</v>
      </c>
      <c r="F124" s="5">
        <v>0</v>
      </c>
      <c r="G124" s="5">
        <v>0</v>
      </c>
      <c r="H124" s="5">
        <v>0</v>
      </c>
      <c r="I124" s="5">
        <v>0</v>
      </c>
      <c r="J124" s="9">
        <v>0</v>
      </c>
      <c r="K124" s="8">
        <v>1</v>
      </c>
      <c r="L124" s="5">
        <v>1</v>
      </c>
      <c r="M124" s="5">
        <v>0</v>
      </c>
      <c r="N124" s="9">
        <v>0</v>
      </c>
      <c r="O124" s="8">
        <v>5</v>
      </c>
      <c r="P124" s="5">
        <v>26</v>
      </c>
      <c r="Q124" s="5">
        <v>0</v>
      </c>
      <c r="R124" s="9">
        <v>0</v>
      </c>
      <c r="S124" s="8">
        <v>0</v>
      </c>
      <c r="T124" s="9">
        <v>0</v>
      </c>
    </row>
    <row r="125" spans="1:20" x14ac:dyDescent="0.2">
      <c r="A125" s="5" t="s">
        <v>99</v>
      </c>
      <c r="B125" s="5" t="s">
        <v>75</v>
      </c>
      <c r="C125" s="6" t="s">
        <v>501</v>
      </c>
      <c r="D125" s="7">
        <f t="shared" si="0"/>
        <v>7.6000000000000005</v>
      </c>
      <c r="E125" s="8">
        <v>0</v>
      </c>
      <c r="F125" s="5">
        <v>0</v>
      </c>
      <c r="G125" s="5">
        <v>0</v>
      </c>
      <c r="H125" s="5">
        <v>0</v>
      </c>
      <c r="I125" s="5">
        <v>0</v>
      </c>
      <c r="J125" s="9">
        <v>0</v>
      </c>
      <c r="K125" s="8">
        <v>10</v>
      </c>
      <c r="L125" s="5">
        <v>76</v>
      </c>
      <c r="M125" s="5">
        <v>0</v>
      </c>
      <c r="N125" s="9">
        <v>0</v>
      </c>
      <c r="O125" s="8">
        <v>0</v>
      </c>
      <c r="P125" s="5">
        <v>0</v>
      </c>
      <c r="Q125" s="5">
        <v>0</v>
      </c>
      <c r="R125" s="9">
        <v>0</v>
      </c>
      <c r="S125" s="8">
        <v>0</v>
      </c>
      <c r="T125" s="9">
        <v>0</v>
      </c>
    </row>
    <row r="126" spans="1:20" x14ac:dyDescent="0.2">
      <c r="A126" s="5" t="s">
        <v>227</v>
      </c>
      <c r="B126" s="5" t="s">
        <v>162</v>
      </c>
      <c r="C126" s="6" t="s">
        <v>511</v>
      </c>
      <c r="D126" s="7">
        <f t="shared" si="0"/>
        <v>7.6000000000000005</v>
      </c>
      <c r="E126" s="8">
        <v>0</v>
      </c>
      <c r="F126" s="5">
        <v>0</v>
      </c>
      <c r="G126" s="5">
        <v>0</v>
      </c>
      <c r="H126" s="5">
        <v>0</v>
      </c>
      <c r="I126" s="5">
        <v>0</v>
      </c>
      <c r="J126" s="9">
        <v>0</v>
      </c>
      <c r="K126" s="8">
        <v>0</v>
      </c>
      <c r="L126" s="5">
        <v>0</v>
      </c>
      <c r="M126" s="5">
        <v>0</v>
      </c>
      <c r="N126" s="9">
        <v>0</v>
      </c>
      <c r="O126" s="8">
        <v>2</v>
      </c>
      <c r="P126" s="5">
        <v>56</v>
      </c>
      <c r="Q126" s="5">
        <v>0</v>
      </c>
      <c r="R126" s="9">
        <v>0</v>
      </c>
      <c r="S126" s="8">
        <v>0</v>
      </c>
      <c r="T126" s="9">
        <v>0</v>
      </c>
    </row>
    <row r="127" spans="1:20" x14ac:dyDescent="0.2">
      <c r="A127" s="5" t="s">
        <v>363</v>
      </c>
      <c r="B127" s="5" t="s">
        <v>69</v>
      </c>
      <c r="C127" s="6" t="s">
        <v>514</v>
      </c>
      <c r="D127" s="7">
        <f t="shared" si="0"/>
        <v>7.6</v>
      </c>
      <c r="E127" s="8">
        <v>0</v>
      </c>
      <c r="F127" s="5">
        <v>0</v>
      </c>
      <c r="G127" s="5">
        <v>0</v>
      </c>
      <c r="H127" s="5">
        <v>0</v>
      </c>
      <c r="I127" s="5">
        <v>0</v>
      </c>
      <c r="J127" s="9">
        <v>0</v>
      </c>
      <c r="K127" s="8">
        <v>0</v>
      </c>
      <c r="L127" s="5">
        <v>0</v>
      </c>
      <c r="M127" s="5">
        <v>0</v>
      </c>
      <c r="N127" s="9">
        <v>0</v>
      </c>
      <c r="O127" s="8">
        <v>1</v>
      </c>
      <c r="P127" s="5">
        <v>6</v>
      </c>
      <c r="Q127" s="5">
        <v>1</v>
      </c>
      <c r="R127" s="9">
        <v>0</v>
      </c>
      <c r="S127" s="8">
        <v>0</v>
      </c>
      <c r="T127" s="9">
        <v>0</v>
      </c>
    </row>
    <row r="128" spans="1:20" x14ac:dyDescent="0.2">
      <c r="A128" s="5" t="s">
        <v>243</v>
      </c>
      <c r="B128" s="5" t="s">
        <v>162</v>
      </c>
      <c r="C128" s="8" t="s">
        <v>506</v>
      </c>
      <c r="D128" s="7">
        <f t="shared" si="0"/>
        <v>7.5</v>
      </c>
      <c r="E128" s="8">
        <v>0</v>
      </c>
      <c r="F128" s="5">
        <v>0</v>
      </c>
      <c r="G128" s="5">
        <v>0</v>
      </c>
      <c r="H128" s="5">
        <v>0</v>
      </c>
      <c r="I128" s="5">
        <v>0</v>
      </c>
      <c r="J128" s="9">
        <v>0</v>
      </c>
      <c r="K128" s="8">
        <v>0</v>
      </c>
      <c r="L128" s="5">
        <v>0</v>
      </c>
      <c r="M128" s="5">
        <v>0</v>
      </c>
      <c r="N128" s="9">
        <v>0</v>
      </c>
      <c r="O128" s="8">
        <v>3</v>
      </c>
      <c r="P128" s="5">
        <v>45</v>
      </c>
      <c r="Q128" s="5">
        <v>0</v>
      </c>
      <c r="R128" s="9">
        <v>0</v>
      </c>
      <c r="S128" s="8">
        <v>0</v>
      </c>
      <c r="T128" s="9">
        <v>0</v>
      </c>
    </row>
    <row r="129" spans="1:20" x14ac:dyDescent="0.2">
      <c r="A129" s="5" t="s">
        <v>61</v>
      </c>
      <c r="B129" s="5" t="s">
        <v>17</v>
      </c>
      <c r="C129" s="6" t="s">
        <v>504</v>
      </c>
      <c r="D129" s="7">
        <f t="shared" si="0"/>
        <v>7.16</v>
      </c>
      <c r="E129" s="8">
        <v>20</v>
      </c>
      <c r="F129" s="5">
        <v>14</v>
      </c>
      <c r="G129" s="5">
        <v>119</v>
      </c>
      <c r="H129" s="5">
        <v>0</v>
      </c>
      <c r="I129" s="5">
        <v>0</v>
      </c>
      <c r="J129" s="9">
        <v>0</v>
      </c>
      <c r="K129" s="8">
        <v>4</v>
      </c>
      <c r="L129" s="5">
        <v>24</v>
      </c>
      <c r="M129" s="5">
        <v>0</v>
      </c>
      <c r="N129" s="9">
        <v>0</v>
      </c>
      <c r="O129" s="8">
        <v>0</v>
      </c>
      <c r="P129" s="5">
        <v>0</v>
      </c>
      <c r="Q129" s="5">
        <v>0</v>
      </c>
      <c r="R129" s="9">
        <v>0</v>
      </c>
      <c r="S129" s="8">
        <v>0</v>
      </c>
      <c r="T129" s="9">
        <v>0</v>
      </c>
    </row>
    <row r="130" spans="1:20" x14ac:dyDescent="0.2">
      <c r="A130" s="5" t="s">
        <v>440</v>
      </c>
      <c r="B130" s="5" t="s">
        <v>69</v>
      </c>
      <c r="C130" s="6" t="s">
        <v>506</v>
      </c>
      <c r="D130" s="7">
        <f t="shared" si="0"/>
        <v>7.1</v>
      </c>
      <c r="E130" s="8">
        <v>0</v>
      </c>
      <c r="F130" s="5">
        <v>0</v>
      </c>
      <c r="G130" s="5">
        <v>0</v>
      </c>
      <c r="H130" s="5">
        <v>0</v>
      </c>
      <c r="I130" s="5">
        <v>0</v>
      </c>
      <c r="J130" s="9">
        <v>0</v>
      </c>
      <c r="K130" s="8">
        <v>0</v>
      </c>
      <c r="L130" s="5">
        <v>0</v>
      </c>
      <c r="M130" s="5">
        <v>0</v>
      </c>
      <c r="N130" s="9">
        <v>0</v>
      </c>
      <c r="O130" s="8">
        <v>1</v>
      </c>
      <c r="P130" s="5">
        <v>1</v>
      </c>
      <c r="Q130" s="5">
        <v>1</v>
      </c>
      <c r="R130" s="9">
        <v>0</v>
      </c>
      <c r="S130" s="8">
        <v>0</v>
      </c>
      <c r="T130" s="9">
        <v>0</v>
      </c>
    </row>
    <row r="131" spans="1:20" x14ac:dyDescent="0.2">
      <c r="A131" s="5" t="s">
        <v>183</v>
      </c>
      <c r="B131" s="5" t="s">
        <v>162</v>
      </c>
      <c r="C131" s="6" t="s">
        <v>510</v>
      </c>
      <c r="D131" s="7">
        <f t="shared" si="0"/>
        <v>6.9</v>
      </c>
      <c r="E131" s="8">
        <v>0</v>
      </c>
      <c r="F131" s="5">
        <v>0</v>
      </c>
      <c r="G131" s="5">
        <v>0</v>
      </c>
      <c r="H131" s="5">
        <v>0</v>
      </c>
      <c r="I131" s="5">
        <v>0</v>
      </c>
      <c r="J131" s="9">
        <v>0</v>
      </c>
      <c r="K131" s="8">
        <v>0</v>
      </c>
      <c r="L131" s="5">
        <v>0</v>
      </c>
      <c r="M131" s="5">
        <v>0</v>
      </c>
      <c r="N131" s="9">
        <v>0</v>
      </c>
      <c r="O131" s="8">
        <v>3</v>
      </c>
      <c r="P131" s="5">
        <v>39</v>
      </c>
      <c r="Q131" s="5">
        <v>0</v>
      </c>
      <c r="R131" s="9">
        <v>0</v>
      </c>
      <c r="S131" s="8">
        <v>0</v>
      </c>
      <c r="T131" s="9">
        <v>0</v>
      </c>
    </row>
    <row r="132" spans="1:20" x14ac:dyDescent="0.2">
      <c r="A132" s="5" t="s">
        <v>427</v>
      </c>
      <c r="B132" s="5" t="s">
        <v>162</v>
      </c>
      <c r="C132" s="6" t="s">
        <v>504</v>
      </c>
      <c r="D132" s="7">
        <f t="shared" si="0"/>
        <v>6.8999999999999995</v>
      </c>
      <c r="E132" s="8">
        <v>0</v>
      </c>
      <c r="F132" s="5">
        <v>0</v>
      </c>
      <c r="G132" s="5">
        <v>0</v>
      </c>
      <c r="H132" s="5">
        <v>0</v>
      </c>
      <c r="I132" s="5">
        <v>0</v>
      </c>
      <c r="J132" s="9">
        <v>0</v>
      </c>
      <c r="K132" s="8">
        <v>1</v>
      </c>
      <c r="L132" s="5">
        <v>1</v>
      </c>
      <c r="M132" s="5">
        <v>0</v>
      </c>
      <c r="N132" s="9">
        <v>0</v>
      </c>
      <c r="O132" s="8">
        <v>5</v>
      </c>
      <c r="P132" s="5">
        <v>18</v>
      </c>
      <c r="Q132" s="5">
        <v>0</v>
      </c>
      <c r="R132" s="9">
        <v>0</v>
      </c>
      <c r="S132" s="8">
        <v>0</v>
      </c>
      <c r="T132" s="9">
        <v>0</v>
      </c>
    </row>
    <row r="133" spans="1:20" x14ac:dyDescent="0.2">
      <c r="A133" s="5" t="s">
        <v>276</v>
      </c>
      <c r="B133" s="5" t="s">
        <v>69</v>
      </c>
      <c r="C133" s="6" t="s">
        <v>502</v>
      </c>
      <c r="D133" s="7">
        <f t="shared" si="0"/>
        <v>6.8000000000000007</v>
      </c>
      <c r="E133" s="8">
        <v>0</v>
      </c>
      <c r="F133" s="5">
        <v>0</v>
      </c>
      <c r="G133" s="5">
        <v>0</v>
      </c>
      <c r="H133" s="5">
        <v>0</v>
      </c>
      <c r="I133" s="5">
        <v>0</v>
      </c>
      <c r="J133" s="9">
        <v>0</v>
      </c>
      <c r="K133" s="8">
        <v>0</v>
      </c>
      <c r="L133" s="5">
        <v>0</v>
      </c>
      <c r="M133" s="5">
        <v>0</v>
      </c>
      <c r="N133" s="9">
        <v>0</v>
      </c>
      <c r="O133" s="8">
        <v>4</v>
      </c>
      <c r="P133" s="5">
        <v>28</v>
      </c>
      <c r="Q133" s="5">
        <v>0</v>
      </c>
      <c r="R133" s="9">
        <v>0</v>
      </c>
      <c r="S133" s="8">
        <v>0</v>
      </c>
      <c r="T133" s="9">
        <v>0</v>
      </c>
    </row>
    <row r="134" spans="1:20" x14ac:dyDescent="0.2">
      <c r="A134" s="5" t="s">
        <v>223</v>
      </c>
      <c r="B134" s="5" t="s">
        <v>162</v>
      </c>
      <c r="C134" s="6" t="s">
        <v>505</v>
      </c>
      <c r="D134" s="7">
        <f t="shared" si="0"/>
        <v>6.3000000000000007</v>
      </c>
      <c r="E134" s="8">
        <v>0</v>
      </c>
      <c r="F134" s="5">
        <v>0</v>
      </c>
      <c r="G134" s="5">
        <v>0</v>
      </c>
      <c r="H134" s="5">
        <v>0</v>
      </c>
      <c r="I134" s="5">
        <v>0</v>
      </c>
      <c r="J134" s="9">
        <v>0</v>
      </c>
      <c r="K134" s="8">
        <v>0</v>
      </c>
      <c r="L134" s="5">
        <v>0</v>
      </c>
      <c r="M134" s="5">
        <v>0</v>
      </c>
      <c r="N134" s="9">
        <v>0</v>
      </c>
      <c r="O134" s="8">
        <v>3</v>
      </c>
      <c r="P134" s="5">
        <v>33</v>
      </c>
      <c r="Q134" s="5">
        <v>0</v>
      </c>
      <c r="R134" s="9">
        <v>0</v>
      </c>
      <c r="S134" s="8">
        <v>0</v>
      </c>
      <c r="T134" s="9">
        <v>0</v>
      </c>
    </row>
    <row r="135" spans="1:20" x14ac:dyDescent="0.2">
      <c r="A135" s="5" t="s">
        <v>70</v>
      </c>
      <c r="B135" s="5" t="s">
        <v>17</v>
      </c>
      <c r="C135" s="8" t="s">
        <v>503</v>
      </c>
      <c r="D135" s="7">
        <f t="shared" si="0"/>
        <v>6.3</v>
      </c>
      <c r="E135" s="8">
        <v>14</v>
      </c>
      <c r="F135" s="5">
        <v>11</v>
      </c>
      <c r="G135" s="5">
        <v>155</v>
      </c>
      <c r="H135" s="5">
        <v>0</v>
      </c>
      <c r="I135" s="5">
        <v>0</v>
      </c>
      <c r="J135" s="9">
        <v>0</v>
      </c>
      <c r="K135" s="8">
        <v>2</v>
      </c>
      <c r="L135" s="5">
        <v>1</v>
      </c>
      <c r="M135" s="5">
        <v>0</v>
      </c>
      <c r="N135" s="9">
        <v>0</v>
      </c>
      <c r="O135" s="8">
        <v>0</v>
      </c>
      <c r="P135" s="5">
        <v>0</v>
      </c>
      <c r="Q135" s="5">
        <v>0</v>
      </c>
      <c r="R135" s="9">
        <v>0</v>
      </c>
      <c r="S135" s="8">
        <v>0</v>
      </c>
      <c r="T135" s="9">
        <v>0</v>
      </c>
    </row>
    <row r="136" spans="1:20" x14ac:dyDescent="0.2">
      <c r="A136" s="5" t="s">
        <v>166</v>
      </c>
      <c r="B136" s="5" t="s">
        <v>162</v>
      </c>
      <c r="C136" s="8" t="s">
        <v>514</v>
      </c>
      <c r="D136" s="7">
        <f t="shared" si="0"/>
        <v>6.3</v>
      </c>
      <c r="E136" s="8">
        <v>0</v>
      </c>
      <c r="F136" s="5">
        <v>0</v>
      </c>
      <c r="G136" s="5">
        <v>0</v>
      </c>
      <c r="H136" s="5">
        <v>0</v>
      </c>
      <c r="I136" s="5">
        <v>0</v>
      </c>
      <c r="J136" s="9">
        <v>0</v>
      </c>
      <c r="K136" s="8">
        <v>0</v>
      </c>
      <c r="L136" s="5">
        <v>0</v>
      </c>
      <c r="M136" s="5">
        <v>0</v>
      </c>
      <c r="N136" s="9">
        <v>0</v>
      </c>
      <c r="O136" s="8">
        <v>2</v>
      </c>
      <c r="P136" s="5">
        <v>43</v>
      </c>
      <c r="Q136" s="5">
        <v>0</v>
      </c>
      <c r="R136" s="9">
        <v>0</v>
      </c>
      <c r="S136" s="8">
        <v>0</v>
      </c>
      <c r="T136" s="9">
        <v>0</v>
      </c>
    </row>
    <row r="137" spans="1:20" x14ac:dyDescent="0.2">
      <c r="A137" s="5" t="s">
        <v>78</v>
      </c>
      <c r="B137" s="5" t="s">
        <v>75</v>
      </c>
      <c r="C137" s="8" t="s">
        <v>510</v>
      </c>
      <c r="D137" s="7">
        <f t="shared" si="0"/>
        <v>6</v>
      </c>
      <c r="E137" s="8">
        <v>0</v>
      </c>
      <c r="F137" s="5">
        <v>0</v>
      </c>
      <c r="G137" s="5">
        <v>0</v>
      </c>
      <c r="H137" s="5">
        <v>0</v>
      </c>
      <c r="I137" s="5">
        <v>0</v>
      </c>
      <c r="J137" s="9">
        <v>0</v>
      </c>
      <c r="K137" s="8">
        <v>17</v>
      </c>
      <c r="L137" s="5">
        <v>40</v>
      </c>
      <c r="M137" s="5">
        <v>0</v>
      </c>
      <c r="N137" s="9">
        <v>0</v>
      </c>
      <c r="O137" s="8">
        <v>0</v>
      </c>
      <c r="P137" s="5">
        <v>0</v>
      </c>
      <c r="Q137" s="5">
        <v>0</v>
      </c>
      <c r="R137" s="9">
        <v>1</v>
      </c>
      <c r="S137" s="8">
        <v>0</v>
      </c>
      <c r="T137" s="9">
        <v>0</v>
      </c>
    </row>
    <row r="138" spans="1:20" x14ac:dyDescent="0.2">
      <c r="A138" s="5" t="s">
        <v>203</v>
      </c>
      <c r="B138" s="5" t="s">
        <v>162</v>
      </c>
      <c r="C138" s="8" t="s">
        <v>501</v>
      </c>
      <c r="D138" s="7">
        <f t="shared" si="0"/>
        <v>6</v>
      </c>
      <c r="E138" s="8">
        <v>0</v>
      </c>
      <c r="F138" s="5">
        <v>0</v>
      </c>
      <c r="G138" s="5">
        <v>0</v>
      </c>
      <c r="H138" s="5">
        <v>0</v>
      </c>
      <c r="I138" s="5">
        <v>0</v>
      </c>
      <c r="J138" s="9">
        <v>0</v>
      </c>
      <c r="K138" s="8">
        <v>0</v>
      </c>
      <c r="L138" s="5">
        <v>0</v>
      </c>
      <c r="M138" s="5">
        <v>0</v>
      </c>
      <c r="N138" s="9">
        <v>0</v>
      </c>
      <c r="O138" s="8">
        <v>3</v>
      </c>
      <c r="P138" s="5">
        <v>30</v>
      </c>
      <c r="Q138" s="5">
        <v>0</v>
      </c>
      <c r="R138" s="9">
        <v>0</v>
      </c>
      <c r="S138" s="8">
        <v>0</v>
      </c>
      <c r="T138" s="9">
        <v>0</v>
      </c>
    </row>
    <row r="139" spans="1:20" x14ac:dyDescent="0.2">
      <c r="A139" s="5" t="s">
        <v>197</v>
      </c>
      <c r="B139" s="5" t="s">
        <v>162</v>
      </c>
      <c r="C139" s="6" t="s">
        <v>510</v>
      </c>
      <c r="D139" s="7">
        <f t="shared" si="0"/>
        <v>6</v>
      </c>
      <c r="E139" s="8">
        <v>0</v>
      </c>
      <c r="F139" s="5">
        <v>0</v>
      </c>
      <c r="G139" s="5">
        <v>0</v>
      </c>
      <c r="H139" s="5">
        <v>0</v>
      </c>
      <c r="I139" s="5">
        <v>0</v>
      </c>
      <c r="J139" s="9">
        <v>0</v>
      </c>
      <c r="K139" s="8">
        <v>0</v>
      </c>
      <c r="L139" s="5">
        <v>0</v>
      </c>
      <c r="M139" s="5">
        <v>0</v>
      </c>
      <c r="N139" s="9">
        <v>0</v>
      </c>
      <c r="O139" s="8">
        <v>3</v>
      </c>
      <c r="P139" s="5">
        <v>30</v>
      </c>
      <c r="Q139" s="5">
        <v>0</v>
      </c>
      <c r="R139" s="9">
        <v>0</v>
      </c>
      <c r="S139" s="8">
        <v>0</v>
      </c>
      <c r="T139" s="9">
        <v>0</v>
      </c>
    </row>
    <row r="140" spans="1:20" x14ac:dyDescent="0.2">
      <c r="A140" s="5" t="s">
        <v>389</v>
      </c>
      <c r="B140" s="5" t="s">
        <v>69</v>
      </c>
      <c r="C140" s="8" t="s">
        <v>512</v>
      </c>
      <c r="D140" s="7">
        <f t="shared" si="0"/>
        <v>5.9</v>
      </c>
      <c r="E140" s="8">
        <v>0</v>
      </c>
      <c r="F140" s="5">
        <v>0</v>
      </c>
      <c r="G140" s="5">
        <v>0</v>
      </c>
      <c r="H140" s="5">
        <v>0</v>
      </c>
      <c r="I140" s="5">
        <v>0</v>
      </c>
      <c r="J140" s="9">
        <v>0</v>
      </c>
      <c r="K140" s="8">
        <v>0</v>
      </c>
      <c r="L140" s="5">
        <v>0</v>
      </c>
      <c r="M140" s="5">
        <v>0</v>
      </c>
      <c r="N140" s="9">
        <v>0</v>
      </c>
      <c r="O140" s="8">
        <v>2</v>
      </c>
      <c r="P140" s="5">
        <v>39</v>
      </c>
      <c r="Q140" s="5">
        <v>0</v>
      </c>
      <c r="R140" s="9">
        <v>0</v>
      </c>
      <c r="S140" s="8">
        <v>0</v>
      </c>
      <c r="T140" s="9">
        <v>0</v>
      </c>
    </row>
    <row r="141" spans="1:20" x14ac:dyDescent="0.2">
      <c r="A141" s="5" t="s">
        <v>167</v>
      </c>
      <c r="B141" s="5" t="s">
        <v>162</v>
      </c>
      <c r="C141" s="8" t="s">
        <v>511</v>
      </c>
      <c r="D141" s="7">
        <f t="shared" si="0"/>
        <v>5.8000000000000007</v>
      </c>
      <c r="E141" s="8">
        <v>0</v>
      </c>
      <c r="F141" s="5">
        <v>0</v>
      </c>
      <c r="G141" s="5">
        <v>0</v>
      </c>
      <c r="H141" s="5">
        <v>0</v>
      </c>
      <c r="I141" s="5">
        <v>0</v>
      </c>
      <c r="J141" s="9">
        <v>0</v>
      </c>
      <c r="K141" s="8">
        <v>0</v>
      </c>
      <c r="L141" s="5">
        <v>0</v>
      </c>
      <c r="M141" s="5">
        <v>0</v>
      </c>
      <c r="N141" s="9">
        <v>0</v>
      </c>
      <c r="O141" s="8">
        <v>3</v>
      </c>
      <c r="P141" s="5">
        <v>28</v>
      </c>
      <c r="Q141" s="5">
        <v>0</v>
      </c>
      <c r="R141" s="9">
        <v>0</v>
      </c>
      <c r="S141" s="8">
        <v>0</v>
      </c>
      <c r="T141" s="9">
        <v>0</v>
      </c>
    </row>
    <row r="142" spans="1:20" x14ac:dyDescent="0.2">
      <c r="A142" s="5" t="s">
        <v>304</v>
      </c>
      <c r="B142" s="5" t="s">
        <v>69</v>
      </c>
      <c r="C142" s="6" t="s">
        <v>507</v>
      </c>
      <c r="D142" s="7">
        <f t="shared" si="0"/>
        <v>5.8000000000000007</v>
      </c>
      <c r="E142" s="8">
        <v>0</v>
      </c>
      <c r="F142" s="5">
        <v>0</v>
      </c>
      <c r="G142" s="5">
        <v>0</v>
      </c>
      <c r="H142" s="5">
        <v>0</v>
      </c>
      <c r="I142" s="5">
        <v>0</v>
      </c>
      <c r="J142" s="9">
        <v>0</v>
      </c>
      <c r="K142" s="8">
        <v>0</v>
      </c>
      <c r="L142" s="5">
        <v>0</v>
      </c>
      <c r="M142" s="5">
        <v>0</v>
      </c>
      <c r="N142" s="9">
        <v>0</v>
      </c>
      <c r="O142" s="8">
        <v>3</v>
      </c>
      <c r="P142" s="5">
        <v>28</v>
      </c>
      <c r="Q142" s="5">
        <v>0</v>
      </c>
      <c r="R142" s="9">
        <v>0</v>
      </c>
      <c r="S142" s="8">
        <v>0</v>
      </c>
      <c r="T142" s="9">
        <v>0</v>
      </c>
    </row>
    <row r="143" spans="1:20" x14ac:dyDescent="0.2">
      <c r="A143" s="5" t="s">
        <v>236</v>
      </c>
      <c r="B143" s="5" t="s">
        <v>162</v>
      </c>
      <c r="C143" s="6" t="s">
        <v>504</v>
      </c>
      <c r="D143" s="7">
        <f t="shared" si="0"/>
        <v>5.5</v>
      </c>
      <c r="E143" s="8">
        <v>0</v>
      </c>
      <c r="F143" s="5">
        <v>0</v>
      </c>
      <c r="G143" s="5">
        <v>0</v>
      </c>
      <c r="H143" s="5">
        <v>0</v>
      </c>
      <c r="I143" s="5">
        <v>0</v>
      </c>
      <c r="J143" s="9">
        <v>0</v>
      </c>
      <c r="K143" s="8">
        <v>0</v>
      </c>
      <c r="L143" s="5">
        <v>0</v>
      </c>
      <c r="M143" s="5">
        <v>0</v>
      </c>
      <c r="N143" s="9">
        <v>0</v>
      </c>
      <c r="O143" s="8">
        <v>2</v>
      </c>
      <c r="P143" s="5">
        <v>35</v>
      </c>
      <c r="Q143" s="5">
        <v>0</v>
      </c>
      <c r="R143" s="9">
        <v>0</v>
      </c>
      <c r="S143" s="8">
        <v>0</v>
      </c>
      <c r="T143" s="9">
        <v>0</v>
      </c>
    </row>
    <row r="144" spans="1:20" x14ac:dyDescent="0.2">
      <c r="A144" s="5" t="s">
        <v>305</v>
      </c>
      <c r="B144" s="5" t="s">
        <v>69</v>
      </c>
      <c r="C144" s="8" t="s">
        <v>509</v>
      </c>
      <c r="D144" s="7">
        <f t="shared" si="0"/>
        <v>5.3000000000000007</v>
      </c>
      <c r="E144" s="8">
        <v>0</v>
      </c>
      <c r="F144" s="5">
        <v>0</v>
      </c>
      <c r="G144" s="5">
        <v>0</v>
      </c>
      <c r="H144" s="5">
        <v>0</v>
      </c>
      <c r="I144" s="5">
        <v>0</v>
      </c>
      <c r="J144" s="9">
        <v>0</v>
      </c>
      <c r="K144" s="8">
        <v>0</v>
      </c>
      <c r="L144" s="5">
        <v>0</v>
      </c>
      <c r="M144" s="5">
        <v>0</v>
      </c>
      <c r="N144" s="9">
        <v>0</v>
      </c>
      <c r="O144" s="8">
        <v>3</v>
      </c>
      <c r="P144" s="5">
        <v>23</v>
      </c>
      <c r="Q144" s="5">
        <v>0</v>
      </c>
      <c r="R144" s="9">
        <v>0</v>
      </c>
      <c r="S144" s="8">
        <v>0</v>
      </c>
      <c r="T144" s="9">
        <v>0</v>
      </c>
    </row>
    <row r="145" spans="1:20" x14ac:dyDescent="0.2">
      <c r="A145" s="5" t="s">
        <v>123</v>
      </c>
      <c r="B145" s="5" t="s">
        <v>75</v>
      </c>
      <c r="C145" s="6" t="s">
        <v>505</v>
      </c>
      <c r="D145" s="7">
        <f t="shared" si="0"/>
        <v>5.2</v>
      </c>
      <c r="E145" s="8">
        <v>0</v>
      </c>
      <c r="F145" s="5">
        <v>0</v>
      </c>
      <c r="G145" s="5">
        <v>0</v>
      </c>
      <c r="H145" s="5">
        <v>0</v>
      </c>
      <c r="I145" s="5">
        <v>0</v>
      </c>
      <c r="J145" s="9">
        <v>0</v>
      </c>
      <c r="K145" s="8">
        <v>1</v>
      </c>
      <c r="L145" s="5">
        <v>8</v>
      </c>
      <c r="M145" s="5">
        <v>0</v>
      </c>
      <c r="N145" s="9">
        <v>0</v>
      </c>
      <c r="O145" s="8">
        <v>3</v>
      </c>
      <c r="P145" s="5">
        <v>14</v>
      </c>
      <c r="Q145" s="5">
        <v>0</v>
      </c>
      <c r="R145" s="9">
        <v>0</v>
      </c>
      <c r="S145" s="8">
        <v>0</v>
      </c>
      <c r="T145" s="9">
        <v>0</v>
      </c>
    </row>
    <row r="146" spans="1:20" x14ac:dyDescent="0.2">
      <c r="A146" s="5" t="s">
        <v>102</v>
      </c>
      <c r="B146" s="5" t="s">
        <v>75</v>
      </c>
      <c r="C146" s="8" t="s">
        <v>502</v>
      </c>
      <c r="D146" s="7">
        <f t="shared" si="0"/>
        <v>5.0999999999999996</v>
      </c>
      <c r="E146" s="8">
        <v>0</v>
      </c>
      <c r="F146" s="5">
        <v>0</v>
      </c>
      <c r="G146" s="5">
        <v>0</v>
      </c>
      <c r="H146" s="5">
        <v>0</v>
      </c>
      <c r="I146" s="5">
        <v>0</v>
      </c>
      <c r="J146" s="9">
        <v>0</v>
      </c>
      <c r="K146" s="8">
        <v>5</v>
      </c>
      <c r="L146" s="5">
        <v>-4</v>
      </c>
      <c r="M146" s="5">
        <v>0</v>
      </c>
      <c r="N146" s="9">
        <v>0</v>
      </c>
      <c r="O146" s="8">
        <v>3</v>
      </c>
      <c r="P146" s="5">
        <v>25</v>
      </c>
      <c r="Q146" s="5">
        <v>0</v>
      </c>
      <c r="R146" s="9">
        <v>0</v>
      </c>
      <c r="S146" s="8">
        <v>0</v>
      </c>
      <c r="T146" s="9">
        <v>0</v>
      </c>
    </row>
    <row r="147" spans="1:20" x14ac:dyDescent="0.2">
      <c r="A147" s="5" t="s">
        <v>272</v>
      </c>
      <c r="B147" s="5" t="s">
        <v>69</v>
      </c>
      <c r="C147" s="6" t="s">
        <v>506</v>
      </c>
      <c r="D147" s="7">
        <f t="shared" si="0"/>
        <v>5.0999999999999996</v>
      </c>
      <c r="E147" s="8">
        <v>0</v>
      </c>
      <c r="F147" s="5">
        <v>0</v>
      </c>
      <c r="G147" s="5">
        <v>0</v>
      </c>
      <c r="H147" s="5">
        <v>0</v>
      </c>
      <c r="I147" s="5">
        <v>0</v>
      </c>
      <c r="J147" s="9">
        <v>0</v>
      </c>
      <c r="K147" s="8">
        <v>0</v>
      </c>
      <c r="L147" s="5">
        <v>0</v>
      </c>
      <c r="M147" s="5">
        <v>0</v>
      </c>
      <c r="N147" s="9">
        <v>0</v>
      </c>
      <c r="O147" s="8">
        <v>3</v>
      </c>
      <c r="P147" s="5">
        <v>21</v>
      </c>
      <c r="Q147" s="5">
        <v>0</v>
      </c>
      <c r="R147" s="9">
        <v>0</v>
      </c>
      <c r="S147" s="8">
        <v>0</v>
      </c>
      <c r="T147" s="9">
        <v>0</v>
      </c>
    </row>
    <row r="148" spans="1:20" x14ac:dyDescent="0.2">
      <c r="A148" s="5" t="s">
        <v>117</v>
      </c>
      <c r="B148" s="5" t="s">
        <v>75</v>
      </c>
      <c r="C148" s="8" t="s">
        <v>509</v>
      </c>
      <c r="D148" s="7">
        <f t="shared" si="0"/>
        <v>5</v>
      </c>
      <c r="E148" s="8">
        <v>0</v>
      </c>
      <c r="F148" s="5">
        <v>0</v>
      </c>
      <c r="G148" s="5">
        <v>0</v>
      </c>
      <c r="H148" s="5">
        <v>0</v>
      </c>
      <c r="I148" s="5">
        <v>0</v>
      </c>
      <c r="J148" s="9">
        <v>0</v>
      </c>
      <c r="K148" s="8">
        <v>14</v>
      </c>
      <c r="L148" s="5">
        <v>37</v>
      </c>
      <c r="M148" s="5">
        <v>0</v>
      </c>
      <c r="N148" s="9">
        <v>0</v>
      </c>
      <c r="O148" s="8">
        <v>1</v>
      </c>
      <c r="P148" s="5">
        <v>3</v>
      </c>
      <c r="Q148" s="5">
        <v>0</v>
      </c>
      <c r="R148" s="9">
        <v>0</v>
      </c>
      <c r="S148" s="8">
        <v>0</v>
      </c>
      <c r="T148" s="9">
        <v>0</v>
      </c>
    </row>
    <row r="149" spans="1:20" x14ac:dyDescent="0.2">
      <c r="A149" s="5" t="s">
        <v>21</v>
      </c>
      <c r="B149" s="5" t="s">
        <v>17</v>
      </c>
      <c r="C149" s="6" t="s">
        <v>512</v>
      </c>
      <c r="D149" s="7">
        <f t="shared" si="0"/>
        <v>4.9800000000000004</v>
      </c>
      <c r="E149" s="8">
        <v>30</v>
      </c>
      <c r="F149" s="5">
        <v>16</v>
      </c>
      <c r="G149" s="5">
        <v>182</v>
      </c>
      <c r="H149" s="5">
        <v>0</v>
      </c>
      <c r="I149" s="5">
        <v>3</v>
      </c>
      <c r="J149" s="9">
        <v>0</v>
      </c>
      <c r="K149" s="8">
        <v>2</v>
      </c>
      <c r="L149" s="5">
        <v>37</v>
      </c>
      <c r="M149" s="5">
        <v>0</v>
      </c>
      <c r="N149" s="9">
        <v>0</v>
      </c>
      <c r="O149" s="8">
        <v>0</v>
      </c>
      <c r="P149" s="5">
        <v>0</v>
      </c>
      <c r="Q149" s="5">
        <v>0</v>
      </c>
      <c r="R149" s="9">
        <v>0</v>
      </c>
      <c r="S149" s="8">
        <v>0</v>
      </c>
      <c r="T149" s="9">
        <v>0</v>
      </c>
    </row>
    <row r="150" spans="1:20" x14ac:dyDescent="0.2">
      <c r="A150" s="5" t="s">
        <v>221</v>
      </c>
      <c r="B150" s="5" t="s">
        <v>162</v>
      </c>
      <c r="C150" s="8" t="s">
        <v>510</v>
      </c>
      <c r="D150" s="7">
        <f t="shared" si="0"/>
        <v>4.9000000000000004</v>
      </c>
      <c r="E150" s="8">
        <v>0</v>
      </c>
      <c r="F150" s="5">
        <v>0</v>
      </c>
      <c r="G150" s="5">
        <v>0</v>
      </c>
      <c r="H150" s="5">
        <v>0</v>
      </c>
      <c r="I150" s="5">
        <v>0</v>
      </c>
      <c r="J150" s="9">
        <v>0</v>
      </c>
      <c r="K150" s="8">
        <v>0</v>
      </c>
      <c r="L150" s="5">
        <v>0</v>
      </c>
      <c r="M150" s="5">
        <v>0</v>
      </c>
      <c r="N150" s="9">
        <v>0</v>
      </c>
      <c r="O150" s="8">
        <v>2</v>
      </c>
      <c r="P150" s="5">
        <v>29</v>
      </c>
      <c r="Q150" s="5">
        <v>0</v>
      </c>
      <c r="R150" s="9">
        <v>0</v>
      </c>
      <c r="S150" s="8">
        <v>0</v>
      </c>
      <c r="T150" s="9">
        <v>0</v>
      </c>
    </row>
    <row r="151" spans="1:20" x14ac:dyDescent="0.2">
      <c r="A151" s="5" t="s">
        <v>73</v>
      </c>
      <c r="B151" s="5" t="s">
        <v>17</v>
      </c>
      <c r="C151" s="6" t="s">
        <v>504</v>
      </c>
      <c r="D151" s="7">
        <f t="shared" si="0"/>
        <v>4.84</v>
      </c>
      <c r="E151" s="8">
        <v>12</v>
      </c>
      <c r="F151" s="5">
        <v>9</v>
      </c>
      <c r="G151" s="5">
        <v>86</v>
      </c>
      <c r="H151" s="5">
        <v>0</v>
      </c>
      <c r="I151" s="5">
        <v>0</v>
      </c>
      <c r="J151" s="9">
        <v>0</v>
      </c>
      <c r="K151" s="8">
        <v>3</v>
      </c>
      <c r="L151" s="5">
        <v>14</v>
      </c>
      <c r="M151" s="5">
        <v>0</v>
      </c>
      <c r="N151" s="9">
        <v>0</v>
      </c>
      <c r="O151" s="8">
        <v>0</v>
      </c>
      <c r="P151" s="5">
        <v>0</v>
      </c>
      <c r="Q151" s="5">
        <v>0</v>
      </c>
      <c r="R151" s="9">
        <v>0</v>
      </c>
      <c r="S151" s="8">
        <v>0</v>
      </c>
      <c r="T151" s="9">
        <v>0</v>
      </c>
    </row>
    <row r="152" spans="1:20" x14ac:dyDescent="0.2">
      <c r="A152" s="5" t="s">
        <v>116</v>
      </c>
      <c r="B152" s="5" t="s">
        <v>75</v>
      </c>
      <c r="C152" s="6" t="s">
        <v>509</v>
      </c>
      <c r="D152" s="7">
        <f t="shared" si="0"/>
        <v>4.8000000000000007</v>
      </c>
      <c r="E152" s="8">
        <v>0</v>
      </c>
      <c r="F152" s="5">
        <v>0</v>
      </c>
      <c r="G152" s="5">
        <v>0</v>
      </c>
      <c r="H152" s="5">
        <v>0</v>
      </c>
      <c r="I152" s="5">
        <v>0</v>
      </c>
      <c r="J152" s="9">
        <v>0</v>
      </c>
      <c r="K152" s="8">
        <v>12</v>
      </c>
      <c r="L152" s="5">
        <v>48</v>
      </c>
      <c r="M152" s="5">
        <v>0</v>
      </c>
      <c r="N152" s="9">
        <v>0</v>
      </c>
      <c r="O152" s="8">
        <v>0</v>
      </c>
      <c r="P152" s="5">
        <v>0</v>
      </c>
      <c r="Q152" s="5">
        <v>0</v>
      </c>
      <c r="R152" s="9">
        <v>0</v>
      </c>
      <c r="S152" s="8">
        <v>0</v>
      </c>
      <c r="T152" s="9">
        <v>0</v>
      </c>
    </row>
    <row r="153" spans="1:20" x14ac:dyDescent="0.2">
      <c r="A153" s="5" t="s">
        <v>266</v>
      </c>
      <c r="B153" s="5" t="s">
        <v>162</v>
      </c>
      <c r="C153" s="6" t="s">
        <v>511</v>
      </c>
      <c r="D153" s="7">
        <f t="shared" si="0"/>
        <v>4.8000000000000007</v>
      </c>
      <c r="E153" s="8">
        <v>0</v>
      </c>
      <c r="F153" s="5">
        <v>0</v>
      </c>
      <c r="G153" s="5">
        <v>0</v>
      </c>
      <c r="H153" s="5">
        <v>0</v>
      </c>
      <c r="I153" s="5">
        <v>0</v>
      </c>
      <c r="J153" s="9">
        <v>0</v>
      </c>
      <c r="K153" s="8">
        <v>0</v>
      </c>
      <c r="L153" s="5">
        <v>0</v>
      </c>
      <c r="M153" s="5">
        <v>0</v>
      </c>
      <c r="N153" s="9">
        <v>0</v>
      </c>
      <c r="O153" s="8">
        <v>2</v>
      </c>
      <c r="P153" s="5">
        <v>28</v>
      </c>
      <c r="Q153" s="5">
        <v>0</v>
      </c>
      <c r="R153" s="9">
        <v>0</v>
      </c>
      <c r="S153" s="8">
        <v>0</v>
      </c>
      <c r="T153" s="9">
        <v>0</v>
      </c>
    </row>
    <row r="154" spans="1:20" x14ac:dyDescent="0.2">
      <c r="A154" s="5" t="s">
        <v>172</v>
      </c>
      <c r="B154" s="5" t="s">
        <v>162</v>
      </c>
      <c r="C154" s="6" t="s">
        <v>514</v>
      </c>
      <c r="D154" s="7">
        <f t="shared" si="0"/>
        <v>4.8000000000000007</v>
      </c>
      <c r="E154" s="8">
        <v>0</v>
      </c>
      <c r="F154" s="5">
        <v>0</v>
      </c>
      <c r="G154" s="5">
        <v>0</v>
      </c>
      <c r="H154" s="5">
        <v>0</v>
      </c>
      <c r="I154" s="5">
        <v>0</v>
      </c>
      <c r="J154" s="9">
        <v>0</v>
      </c>
      <c r="K154" s="8">
        <v>0</v>
      </c>
      <c r="L154" s="5">
        <v>0</v>
      </c>
      <c r="M154" s="5">
        <v>0</v>
      </c>
      <c r="N154" s="9">
        <v>0</v>
      </c>
      <c r="O154" s="8">
        <v>2</v>
      </c>
      <c r="P154" s="5">
        <v>28</v>
      </c>
      <c r="Q154" s="5">
        <v>0</v>
      </c>
      <c r="R154" s="9">
        <v>0</v>
      </c>
      <c r="S154" s="8">
        <v>0</v>
      </c>
      <c r="T154" s="9">
        <v>0</v>
      </c>
    </row>
    <row r="155" spans="1:20" x14ac:dyDescent="0.2">
      <c r="A155" s="5" t="s">
        <v>295</v>
      </c>
      <c r="B155" s="5" t="s">
        <v>69</v>
      </c>
      <c r="C155" s="8" t="s">
        <v>502</v>
      </c>
      <c r="D155" s="7">
        <f t="shared" si="0"/>
        <v>4.7</v>
      </c>
      <c r="E155" s="8">
        <v>0</v>
      </c>
      <c r="F155" s="5">
        <v>0</v>
      </c>
      <c r="G155" s="5">
        <v>0</v>
      </c>
      <c r="H155" s="5">
        <v>0</v>
      </c>
      <c r="I155" s="5">
        <v>0</v>
      </c>
      <c r="J155" s="9">
        <v>0</v>
      </c>
      <c r="K155" s="8">
        <v>0</v>
      </c>
      <c r="L155" s="5">
        <v>0</v>
      </c>
      <c r="M155" s="5">
        <v>0</v>
      </c>
      <c r="N155" s="9">
        <v>0</v>
      </c>
      <c r="O155" s="8">
        <v>3</v>
      </c>
      <c r="P155" s="5">
        <v>17</v>
      </c>
      <c r="Q155" s="5">
        <v>0</v>
      </c>
      <c r="R155" s="9">
        <v>0</v>
      </c>
      <c r="S155" s="8">
        <v>0</v>
      </c>
      <c r="T155" s="9">
        <v>0</v>
      </c>
    </row>
    <row r="156" spans="1:20" x14ac:dyDescent="0.2">
      <c r="A156" s="5" t="s">
        <v>95</v>
      </c>
      <c r="B156" s="5" t="s">
        <v>75</v>
      </c>
      <c r="C156" s="8" t="s">
        <v>500</v>
      </c>
      <c r="D156" s="7">
        <f t="shared" si="0"/>
        <v>4.6000000000000005</v>
      </c>
      <c r="E156" s="8">
        <v>0</v>
      </c>
      <c r="F156" s="5">
        <v>0</v>
      </c>
      <c r="G156" s="5">
        <v>0</v>
      </c>
      <c r="H156" s="5">
        <v>0</v>
      </c>
      <c r="I156" s="5">
        <v>0</v>
      </c>
      <c r="J156" s="9">
        <v>0</v>
      </c>
      <c r="K156" s="8">
        <v>6</v>
      </c>
      <c r="L156" s="5">
        <v>46</v>
      </c>
      <c r="M156" s="5">
        <v>0</v>
      </c>
      <c r="N156" s="9">
        <v>0</v>
      </c>
      <c r="O156" s="8">
        <v>0</v>
      </c>
      <c r="P156" s="5">
        <v>0</v>
      </c>
      <c r="Q156" s="5">
        <v>0</v>
      </c>
      <c r="R156" s="9">
        <v>0</v>
      </c>
      <c r="S156" s="8">
        <v>0</v>
      </c>
      <c r="T156" s="9">
        <v>0</v>
      </c>
    </row>
    <row r="157" spans="1:20" x14ac:dyDescent="0.2">
      <c r="A157" s="5" t="s">
        <v>310</v>
      </c>
      <c r="B157" s="5" t="s">
        <v>69</v>
      </c>
      <c r="C157" s="8" t="s">
        <v>506</v>
      </c>
      <c r="D157" s="7">
        <f t="shared" si="0"/>
        <v>4.5999999999999996</v>
      </c>
      <c r="E157" s="8">
        <v>0</v>
      </c>
      <c r="F157" s="5">
        <v>0</v>
      </c>
      <c r="G157" s="5">
        <v>0</v>
      </c>
      <c r="H157" s="5">
        <v>0</v>
      </c>
      <c r="I157" s="5">
        <v>0</v>
      </c>
      <c r="J157" s="9">
        <v>0</v>
      </c>
      <c r="K157" s="8">
        <v>0</v>
      </c>
      <c r="L157" s="5">
        <v>0</v>
      </c>
      <c r="M157" s="5">
        <v>0</v>
      </c>
      <c r="N157" s="9">
        <v>0</v>
      </c>
      <c r="O157" s="8">
        <v>3</v>
      </c>
      <c r="P157" s="5">
        <v>16</v>
      </c>
      <c r="Q157" s="5">
        <v>0</v>
      </c>
      <c r="R157" s="9">
        <v>0</v>
      </c>
      <c r="S157" s="8">
        <v>0</v>
      </c>
      <c r="T157" s="9">
        <v>0</v>
      </c>
    </row>
    <row r="158" spans="1:20" x14ac:dyDescent="0.2">
      <c r="A158" s="5" t="s">
        <v>108</v>
      </c>
      <c r="B158" s="5" t="s">
        <v>75</v>
      </c>
      <c r="C158" s="6" t="s">
        <v>506</v>
      </c>
      <c r="D158" s="7">
        <f t="shared" si="0"/>
        <v>4.5</v>
      </c>
      <c r="E158" s="8">
        <v>0</v>
      </c>
      <c r="F158" s="5">
        <v>0</v>
      </c>
      <c r="G158" s="5">
        <v>0</v>
      </c>
      <c r="H158" s="5">
        <v>0</v>
      </c>
      <c r="I158" s="5">
        <v>0</v>
      </c>
      <c r="J158" s="9">
        <v>0</v>
      </c>
      <c r="K158" s="8">
        <v>9</v>
      </c>
      <c r="L158" s="5">
        <v>35</v>
      </c>
      <c r="M158" s="5">
        <v>0</v>
      </c>
      <c r="N158" s="9">
        <v>0</v>
      </c>
      <c r="O158" s="8">
        <v>1</v>
      </c>
      <c r="P158" s="5">
        <v>0</v>
      </c>
      <c r="Q158" s="5">
        <v>0</v>
      </c>
      <c r="R158" s="9">
        <v>0</v>
      </c>
      <c r="S158" s="8">
        <v>0</v>
      </c>
      <c r="T158" s="9">
        <v>0</v>
      </c>
    </row>
    <row r="159" spans="1:20" x14ac:dyDescent="0.2">
      <c r="A159" s="5" t="s">
        <v>138</v>
      </c>
      <c r="B159" s="5" t="s">
        <v>75</v>
      </c>
      <c r="C159" s="6" t="s">
        <v>511</v>
      </c>
      <c r="D159" s="7">
        <f t="shared" si="0"/>
        <v>4.5</v>
      </c>
      <c r="E159" s="8">
        <v>0</v>
      </c>
      <c r="F159" s="5">
        <v>0</v>
      </c>
      <c r="G159" s="5">
        <v>0</v>
      </c>
      <c r="H159" s="5">
        <v>0</v>
      </c>
      <c r="I159" s="5">
        <v>0</v>
      </c>
      <c r="J159" s="9">
        <v>0</v>
      </c>
      <c r="K159" s="8">
        <v>1</v>
      </c>
      <c r="L159" s="5">
        <v>7</v>
      </c>
      <c r="M159" s="5">
        <v>0</v>
      </c>
      <c r="N159" s="9">
        <v>0</v>
      </c>
      <c r="O159" s="8">
        <v>2</v>
      </c>
      <c r="P159" s="5">
        <v>18</v>
      </c>
      <c r="Q159" s="5">
        <v>0</v>
      </c>
      <c r="R159" s="9">
        <v>0</v>
      </c>
      <c r="S159" s="8">
        <v>0</v>
      </c>
      <c r="T159" s="9">
        <v>0</v>
      </c>
    </row>
    <row r="160" spans="1:20" x14ac:dyDescent="0.2">
      <c r="A160" s="5" t="s">
        <v>26</v>
      </c>
      <c r="B160" s="5" t="s">
        <v>17</v>
      </c>
      <c r="C160" s="8" t="s">
        <v>503</v>
      </c>
      <c r="D160" s="7">
        <f t="shared" si="0"/>
        <v>4.42</v>
      </c>
      <c r="E160" s="8">
        <v>12</v>
      </c>
      <c r="F160" s="5">
        <v>9</v>
      </c>
      <c r="G160" s="5">
        <v>98</v>
      </c>
      <c r="H160" s="5">
        <v>0</v>
      </c>
      <c r="I160" s="5">
        <v>0</v>
      </c>
      <c r="J160" s="9">
        <v>0</v>
      </c>
      <c r="K160" s="8">
        <v>2</v>
      </c>
      <c r="L160" s="5">
        <v>5</v>
      </c>
      <c r="M160" s="5">
        <v>0</v>
      </c>
      <c r="N160" s="9">
        <v>0</v>
      </c>
      <c r="O160" s="8">
        <v>0</v>
      </c>
      <c r="P160" s="5">
        <v>0</v>
      </c>
      <c r="Q160" s="5">
        <v>0</v>
      </c>
      <c r="R160" s="9">
        <v>0</v>
      </c>
      <c r="S160" s="8">
        <v>0</v>
      </c>
      <c r="T160" s="9">
        <v>0</v>
      </c>
    </row>
    <row r="161" spans="1:20" x14ac:dyDescent="0.2">
      <c r="A161" s="5" t="s">
        <v>515</v>
      </c>
      <c r="B161" s="5" t="s">
        <v>75</v>
      </c>
      <c r="C161" s="8" t="s">
        <v>503</v>
      </c>
      <c r="D161" s="7">
        <f t="shared" si="0"/>
        <v>4.4000000000000004</v>
      </c>
      <c r="E161" s="8">
        <v>0</v>
      </c>
      <c r="F161" s="5">
        <v>0</v>
      </c>
      <c r="G161" s="5">
        <v>0</v>
      </c>
      <c r="H161" s="5">
        <v>0</v>
      </c>
      <c r="I161" s="5">
        <v>0</v>
      </c>
      <c r="J161" s="9">
        <v>0</v>
      </c>
      <c r="K161" s="8">
        <v>6</v>
      </c>
      <c r="L161" s="5">
        <v>18</v>
      </c>
      <c r="M161" s="5">
        <v>0</v>
      </c>
      <c r="N161" s="9">
        <v>0</v>
      </c>
      <c r="O161" s="8">
        <v>1</v>
      </c>
      <c r="P161" s="5">
        <v>16</v>
      </c>
      <c r="Q161" s="5">
        <v>0</v>
      </c>
      <c r="R161" s="9">
        <v>0</v>
      </c>
      <c r="S161" s="8">
        <v>0</v>
      </c>
      <c r="T161" s="9">
        <v>0</v>
      </c>
    </row>
    <row r="162" spans="1:20" x14ac:dyDescent="0.2">
      <c r="A162" s="5" t="s">
        <v>59</v>
      </c>
      <c r="B162" s="5" t="s">
        <v>17</v>
      </c>
      <c r="C162" s="6" t="s">
        <v>507</v>
      </c>
      <c r="D162" s="7">
        <f t="shared" si="0"/>
        <v>4.3200000000000012</v>
      </c>
      <c r="E162" s="8">
        <v>24</v>
      </c>
      <c r="F162" s="5">
        <v>14</v>
      </c>
      <c r="G162" s="5">
        <v>153</v>
      </c>
      <c r="H162" s="5">
        <v>1</v>
      </c>
      <c r="I162" s="5">
        <v>3</v>
      </c>
      <c r="J162" s="9">
        <v>0</v>
      </c>
      <c r="K162" s="8">
        <v>1</v>
      </c>
      <c r="L162" s="5">
        <v>2</v>
      </c>
      <c r="M162" s="5">
        <v>0</v>
      </c>
      <c r="N162" s="9">
        <v>0</v>
      </c>
      <c r="O162" s="8">
        <v>0</v>
      </c>
      <c r="P162" s="5">
        <v>0</v>
      </c>
      <c r="Q162" s="5">
        <v>0</v>
      </c>
      <c r="R162" s="9">
        <v>0</v>
      </c>
      <c r="S162" s="8">
        <v>0</v>
      </c>
      <c r="T162" s="9">
        <v>0</v>
      </c>
    </row>
    <row r="163" spans="1:20" x14ac:dyDescent="0.2">
      <c r="A163" s="5" t="s">
        <v>256</v>
      </c>
      <c r="B163" s="5" t="s">
        <v>162</v>
      </c>
      <c r="C163" s="6" t="s">
        <v>504</v>
      </c>
      <c r="D163" s="7">
        <f t="shared" si="0"/>
        <v>4.3000000000000007</v>
      </c>
      <c r="E163" s="8">
        <v>0</v>
      </c>
      <c r="F163" s="5">
        <v>0</v>
      </c>
      <c r="G163" s="5">
        <v>0</v>
      </c>
      <c r="H163" s="5">
        <v>0</v>
      </c>
      <c r="I163" s="5">
        <v>0</v>
      </c>
      <c r="J163" s="9">
        <v>0</v>
      </c>
      <c r="K163" s="8">
        <v>0</v>
      </c>
      <c r="L163" s="5">
        <v>0</v>
      </c>
      <c r="M163" s="5">
        <v>0</v>
      </c>
      <c r="N163" s="9">
        <v>0</v>
      </c>
      <c r="O163" s="8">
        <v>2</v>
      </c>
      <c r="P163" s="5">
        <v>23</v>
      </c>
      <c r="Q163" s="5">
        <v>0</v>
      </c>
      <c r="R163" s="9">
        <v>0</v>
      </c>
      <c r="S163" s="8">
        <v>0</v>
      </c>
      <c r="T163" s="9">
        <v>0</v>
      </c>
    </row>
    <row r="164" spans="1:20" x14ac:dyDescent="0.2">
      <c r="A164" s="5" t="s">
        <v>262</v>
      </c>
      <c r="B164" s="5" t="s">
        <v>162</v>
      </c>
      <c r="C164" s="8" t="s">
        <v>506</v>
      </c>
      <c r="D164" s="7">
        <f t="shared" si="0"/>
        <v>4.2</v>
      </c>
      <c r="E164" s="8">
        <v>0</v>
      </c>
      <c r="F164" s="5">
        <v>0</v>
      </c>
      <c r="G164" s="5">
        <v>0</v>
      </c>
      <c r="H164" s="5">
        <v>0</v>
      </c>
      <c r="I164" s="5">
        <v>0</v>
      </c>
      <c r="J164" s="9">
        <v>0</v>
      </c>
      <c r="K164" s="8">
        <v>0</v>
      </c>
      <c r="L164" s="5">
        <v>0</v>
      </c>
      <c r="M164" s="5">
        <v>0</v>
      </c>
      <c r="N164" s="9">
        <v>0</v>
      </c>
      <c r="O164" s="8">
        <v>2</v>
      </c>
      <c r="P164" s="5">
        <v>22</v>
      </c>
      <c r="Q164" s="5">
        <v>0</v>
      </c>
      <c r="R164" s="9">
        <v>0</v>
      </c>
      <c r="S164" s="8">
        <v>0</v>
      </c>
      <c r="T164" s="9">
        <v>0</v>
      </c>
    </row>
    <row r="165" spans="1:20" x14ac:dyDescent="0.2">
      <c r="A165" s="5" t="s">
        <v>516</v>
      </c>
      <c r="B165" s="5" t="s">
        <v>69</v>
      </c>
      <c r="C165" s="8" t="s">
        <v>500</v>
      </c>
      <c r="D165" s="7">
        <f t="shared" si="0"/>
        <v>4.2</v>
      </c>
      <c r="E165" s="8">
        <v>0</v>
      </c>
      <c r="F165" s="5">
        <v>0</v>
      </c>
      <c r="G165" s="5">
        <v>0</v>
      </c>
      <c r="H165" s="5">
        <v>0</v>
      </c>
      <c r="I165" s="5">
        <v>0</v>
      </c>
      <c r="J165" s="9">
        <v>0</v>
      </c>
      <c r="K165" s="8">
        <v>0</v>
      </c>
      <c r="L165" s="5">
        <v>0</v>
      </c>
      <c r="M165" s="5">
        <v>0</v>
      </c>
      <c r="N165" s="9">
        <v>0</v>
      </c>
      <c r="O165" s="8">
        <v>2</v>
      </c>
      <c r="P165" s="5">
        <v>22</v>
      </c>
      <c r="Q165" s="5">
        <v>0</v>
      </c>
      <c r="R165" s="9">
        <v>0</v>
      </c>
      <c r="S165" s="8">
        <v>0</v>
      </c>
      <c r="T165" s="9">
        <v>0</v>
      </c>
    </row>
    <row r="166" spans="1:20" x14ac:dyDescent="0.2">
      <c r="A166" s="5" t="s">
        <v>517</v>
      </c>
      <c r="B166" s="5" t="s">
        <v>162</v>
      </c>
      <c r="C166" s="8" t="s">
        <v>501</v>
      </c>
      <c r="D166" s="7">
        <f t="shared" si="0"/>
        <v>4.0999999999999996</v>
      </c>
      <c r="E166" s="8">
        <v>0</v>
      </c>
      <c r="F166" s="5">
        <v>0</v>
      </c>
      <c r="G166" s="5">
        <v>0</v>
      </c>
      <c r="H166" s="5">
        <v>0</v>
      </c>
      <c r="I166" s="5">
        <v>0</v>
      </c>
      <c r="J166" s="9">
        <v>0</v>
      </c>
      <c r="K166" s="8">
        <v>0</v>
      </c>
      <c r="L166" s="5">
        <v>0</v>
      </c>
      <c r="M166" s="5">
        <v>0</v>
      </c>
      <c r="N166" s="9">
        <v>0</v>
      </c>
      <c r="O166" s="8">
        <v>2</v>
      </c>
      <c r="P166" s="5">
        <v>21</v>
      </c>
      <c r="Q166" s="5">
        <v>0</v>
      </c>
      <c r="R166" s="9">
        <v>0</v>
      </c>
      <c r="S166" s="8">
        <v>0</v>
      </c>
      <c r="T166" s="9">
        <v>0</v>
      </c>
    </row>
    <row r="167" spans="1:20" x14ac:dyDescent="0.2">
      <c r="A167" s="5" t="s">
        <v>289</v>
      </c>
      <c r="B167" s="5" t="s">
        <v>69</v>
      </c>
      <c r="C167" s="6" t="s">
        <v>511</v>
      </c>
      <c r="D167" s="7">
        <f t="shared" si="0"/>
        <v>4.0999999999999996</v>
      </c>
      <c r="E167" s="8">
        <v>0</v>
      </c>
      <c r="F167" s="5">
        <v>0</v>
      </c>
      <c r="G167" s="5">
        <v>0</v>
      </c>
      <c r="H167" s="5">
        <v>0</v>
      </c>
      <c r="I167" s="5">
        <v>0</v>
      </c>
      <c r="J167" s="9">
        <v>0</v>
      </c>
      <c r="K167" s="8">
        <v>0</v>
      </c>
      <c r="L167" s="5">
        <v>0</v>
      </c>
      <c r="M167" s="5">
        <v>0</v>
      </c>
      <c r="N167" s="9">
        <v>0</v>
      </c>
      <c r="O167" s="8">
        <v>2</v>
      </c>
      <c r="P167" s="5">
        <v>21</v>
      </c>
      <c r="Q167" s="5">
        <v>0</v>
      </c>
      <c r="R167" s="9">
        <v>0</v>
      </c>
      <c r="S167" s="8">
        <v>0</v>
      </c>
      <c r="T167" s="9">
        <v>0</v>
      </c>
    </row>
    <row r="168" spans="1:20" x14ac:dyDescent="0.2">
      <c r="A168" s="5" t="s">
        <v>369</v>
      </c>
      <c r="B168" s="5" t="s">
        <v>162</v>
      </c>
      <c r="C168" s="6" t="s">
        <v>510</v>
      </c>
      <c r="D168" s="7">
        <f t="shared" si="0"/>
        <v>4</v>
      </c>
      <c r="E168" s="8">
        <v>0</v>
      </c>
      <c r="F168" s="5">
        <v>0</v>
      </c>
      <c r="G168" s="5">
        <v>0</v>
      </c>
      <c r="H168" s="5">
        <v>0</v>
      </c>
      <c r="I168" s="5">
        <v>0</v>
      </c>
      <c r="J168" s="9">
        <v>0</v>
      </c>
      <c r="K168" s="8">
        <v>0</v>
      </c>
      <c r="L168" s="5">
        <v>0</v>
      </c>
      <c r="M168" s="5">
        <v>0</v>
      </c>
      <c r="N168" s="9">
        <v>0</v>
      </c>
      <c r="O168" s="8">
        <v>2</v>
      </c>
      <c r="P168" s="5">
        <v>20</v>
      </c>
      <c r="Q168" s="5">
        <v>0</v>
      </c>
      <c r="R168" s="9">
        <v>0</v>
      </c>
      <c r="S168" s="8">
        <v>0</v>
      </c>
      <c r="T168" s="9">
        <v>0</v>
      </c>
    </row>
    <row r="169" spans="1:20" x14ac:dyDescent="0.2">
      <c r="A169" s="5" t="s">
        <v>345</v>
      </c>
      <c r="B169" s="5" t="s">
        <v>162</v>
      </c>
      <c r="C169" s="8" t="s">
        <v>514</v>
      </c>
      <c r="D169" s="7">
        <f t="shared" si="0"/>
        <v>4</v>
      </c>
      <c r="E169" s="8">
        <v>0</v>
      </c>
      <c r="F169" s="5">
        <v>0</v>
      </c>
      <c r="G169" s="5">
        <v>0</v>
      </c>
      <c r="H169" s="5">
        <v>0</v>
      </c>
      <c r="I169" s="5">
        <v>0</v>
      </c>
      <c r="J169" s="9">
        <v>0</v>
      </c>
      <c r="K169" s="8">
        <v>0</v>
      </c>
      <c r="L169" s="5">
        <v>0</v>
      </c>
      <c r="M169" s="5">
        <v>0</v>
      </c>
      <c r="N169" s="9">
        <v>0</v>
      </c>
      <c r="O169" s="8">
        <v>2</v>
      </c>
      <c r="P169" s="5">
        <v>20</v>
      </c>
      <c r="Q169" s="5">
        <v>0</v>
      </c>
      <c r="R169" s="9">
        <v>0</v>
      </c>
      <c r="S169" s="8">
        <v>0</v>
      </c>
      <c r="T169" s="9">
        <v>0</v>
      </c>
    </row>
    <row r="170" spans="1:20" x14ac:dyDescent="0.2">
      <c r="A170" s="5" t="s">
        <v>286</v>
      </c>
      <c r="B170" s="5" t="s">
        <v>69</v>
      </c>
      <c r="C170" s="8" t="s">
        <v>508</v>
      </c>
      <c r="D170" s="7">
        <f t="shared" si="0"/>
        <v>4</v>
      </c>
      <c r="E170" s="8">
        <v>0</v>
      </c>
      <c r="F170" s="5">
        <v>0</v>
      </c>
      <c r="G170" s="5">
        <v>0</v>
      </c>
      <c r="H170" s="5">
        <v>0</v>
      </c>
      <c r="I170" s="5">
        <v>0</v>
      </c>
      <c r="J170" s="9">
        <v>0</v>
      </c>
      <c r="K170" s="8">
        <v>0</v>
      </c>
      <c r="L170" s="5">
        <v>0</v>
      </c>
      <c r="M170" s="5">
        <v>0</v>
      </c>
      <c r="N170" s="9">
        <v>0</v>
      </c>
      <c r="O170" s="8">
        <v>2</v>
      </c>
      <c r="P170" s="5">
        <v>20</v>
      </c>
      <c r="Q170" s="5">
        <v>0</v>
      </c>
      <c r="R170" s="9">
        <v>0</v>
      </c>
      <c r="S170" s="8">
        <v>0</v>
      </c>
      <c r="T170" s="9">
        <v>0</v>
      </c>
    </row>
    <row r="171" spans="1:20" x14ac:dyDescent="0.2">
      <c r="A171" s="5" t="s">
        <v>252</v>
      </c>
      <c r="B171" s="5" t="s">
        <v>162</v>
      </c>
      <c r="C171" s="6" t="s">
        <v>504</v>
      </c>
      <c r="D171" s="7">
        <f t="shared" si="0"/>
        <v>3.9000000000000004</v>
      </c>
      <c r="E171" s="8">
        <v>0</v>
      </c>
      <c r="F171" s="5">
        <v>0</v>
      </c>
      <c r="G171" s="5">
        <v>0</v>
      </c>
      <c r="H171" s="5">
        <v>0</v>
      </c>
      <c r="I171" s="5">
        <v>0</v>
      </c>
      <c r="J171" s="9">
        <v>0</v>
      </c>
      <c r="K171" s="8">
        <v>0</v>
      </c>
      <c r="L171" s="5">
        <v>0</v>
      </c>
      <c r="M171" s="5">
        <v>0</v>
      </c>
      <c r="N171" s="9">
        <v>0</v>
      </c>
      <c r="O171" s="8">
        <v>2</v>
      </c>
      <c r="P171" s="5">
        <v>19</v>
      </c>
      <c r="Q171" s="5">
        <v>0</v>
      </c>
      <c r="R171" s="9">
        <v>0</v>
      </c>
      <c r="S171" s="8">
        <v>0</v>
      </c>
      <c r="T171" s="9">
        <v>0</v>
      </c>
    </row>
    <row r="172" spans="1:20" x14ac:dyDescent="0.2">
      <c r="A172" s="5" t="s">
        <v>351</v>
      </c>
      <c r="B172" s="5" t="s">
        <v>69</v>
      </c>
      <c r="C172" s="8" t="s">
        <v>501</v>
      </c>
      <c r="D172" s="7">
        <f t="shared" si="0"/>
        <v>3.9000000000000004</v>
      </c>
      <c r="E172" s="8">
        <v>0</v>
      </c>
      <c r="F172" s="5">
        <v>0</v>
      </c>
      <c r="G172" s="5">
        <v>0</v>
      </c>
      <c r="H172" s="5">
        <v>0</v>
      </c>
      <c r="I172" s="5">
        <v>0</v>
      </c>
      <c r="J172" s="9">
        <v>0</v>
      </c>
      <c r="K172" s="8">
        <v>0</v>
      </c>
      <c r="L172" s="5">
        <v>0</v>
      </c>
      <c r="M172" s="5">
        <v>0</v>
      </c>
      <c r="N172" s="9">
        <v>0</v>
      </c>
      <c r="O172" s="8">
        <v>2</v>
      </c>
      <c r="P172" s="5">
        <v>19</v>
      </c>
      <c r="Q172" s="5">
        <v>0</v>
      </c>
      <c r="R172" s="9">
        <v>0</v>
      </c>
      <c r="S172" s="8">
        <v>0</v>
      </c>
      <c r="T172" s="9">
        <v>0</v>
      </c>
    </row>
    <row r="173" spans="1:20" x14ac:dyDescent="0.2">
      <c r="A173" s="5" t="s">
        <v>291</v>
      </c>
      <c r="B173" s="5" t="s">
        <v>69</v>
      </c>
      <c r="C173" s="8" t="s">
        <v>502</v>
      </c>
      <c r="D173" s="7">
        <f t="shared" si="0"/>
        <v>3.9000000000000004</v>
      </c>
      <c r="E173" s="8">
        <v>0</v>
      </c>
      <c r="F173" s="5">
        <v>0</v>
      </c>
      <c r="G173" s="5">
        <v>0</v>
      </c>
      <c r="H173" s="5">
        <v>0</v>
      </c>
      <c r="I173" s="5">
        <v>0</v>
      </c>
      <c r="J173" s="9">
        <v>0</v>
      </c>
      <c r="K173" s="8">
        <v>0</v>
      </c>
      <c r="L173" s="5">
        <v>0</v>
      </c>
      <c r="M173" s="5">
        <v>0</v>
      </c>
      <c r="N173" s="9">
        <v>0</v>
      </c>
      <c r="O173" s="8">
        <v>2</v>
      </c>
      <c r="P173" s="5">
        <v>19</v>
      </c>
      <c r="Q173" s="5">
        <v>0</v>
      </c>
      <c r="R173" s="9">
        <v>0</v>
      </c>
      <c r="S173" s="8">
        <v>0</v>
      </c>
      <c r="T173" s="9">
        <v>0</v>
      </c>
    </row>
    <row r="174" spans="1:20" x14ac:dyDescent="0.2">
      <c r="A174" s="5" t="s">
        <v>518</v>
      </c>
      <c r="B174" s="5" t="s">
        <v>75</v>
      </c>
      <c r="C174" s="8" t="s">
        <v>510</v>
      </c>
      <c r="D174" s="7">
        <f t="shared" si="0"/>
        <v>3.8000000000000003</v>
      </c>
      <c r="E174" s="8">
        <v>0</v>
      </c>
      <c r="F174" s="5">
        <v>0</v>
      </c>
      <c r="G174" s="5">
        <v>0</v>
      </c>
      <c r="H174" s="5">
        <v>0</v>
      </c>
      <c r="I174" s="5">
        <v>0</v>
      </c>
      <c r="J174" s="9">
        <v>0</v>
      </c>
      <c r="K174" s="8">
        <v>0</v>
      </c>
      <c r="L174" s="5">
        <v>0</v>
      </c>
      <c r="M174" s="5">
        <v>0</v>
      </c>
      <c r="N174" s="9">
        <v>0</v>
      </c>
      <c r="O174" s="8">
        <v>1</v>
      </c>
      <c r="P174" s="5">
        <v>28</v>
      </c>
      <c r="Q174" s="5">
        <v>0</v>
      </c>
      <c r="R174" s="9">
        <v>0</v>
      </c>
      <c r="S174" s="8">
        <v>0</v>
      </c>
      <c r="T174" s="9">
        <v>0</v>
      </c>
    </row>
    <row r="175" spans="1:20" x14ac:dyDescent="0.2">
      <c r="A175" s="5" t="s">
        <v>445</v>
      </c>
      <c r="B175" s="5" t="s">
        <v>69</v>
      </c>
      <c r="C175" s="6" t="s">
        <v>506</v>
      </c>
      <c r="D175" s="7">
        <f t="shared" si="0"/>
        <v>3.8000000000000003</v>
      </c>
      <c r="E175" s="8">
        <v>0</v>
      </c>
      <c r="F175" s="5">
        <v>0</v>
      </c>
      <c r="G175" s="5">
        <v>0</v>
      </c>
      <c r="H175" s="5">
        <v>0</v>
      </c>
      <c r="I175" s="5">
        <v>0</v>
      </c>
      <c r="J175" s="9">
        <v>0</v>
      </c>
      <c r="K175" s="8">
        <v>0</v>
      </c>
      <c r="L175" s="5">
        <v>0</v>
      </c>
      <c r="M175" s="5">
        <v>0</v>
      </c>
      <c r="N175" s="9">
        <v>0</v>
      </c>
      <c r="O175" s="8">
        <v>1</v>
      </c>
      <c r="P175" s="5">
        <v>28</v>
      </c>
      <c r="Q175" s="5">
        <v>0</v>
      </c>
      <c r="R175" s="9">
        <v>0</v>
      </c>
      <c r="S175" s="8">
        <v>0</v>
      </c>
      <c r="T175" s="9">
        <v>0</v>
      </c>
    </row>
    <row r="176" spans="1:20" x14ac:dyDescent="0.2">
      <c r="A176" s="5" t="s">
        <v>106</v>
      </c>
      <c r="B176" s="5" t="s">
        <v>75</v>
      </c>
      <c r="C176" s="8" t="s">
        <v>511</v>
      </c>
      <c r="D176" s="7">
        <f t="shared" si="0"/>
        <v>3.8</v>
      </c>
      <c r="E176" s="8">
        <v>0</v>
      </c>
      <c r="F176" s="5">
        <v>0</v>
      </c>
      <c r="G176" s="5">
        <v>0</v>
      </c>
      <c r="H176" s="5">
        <v>0</v>
      </c>
      <c r="I176" s="5">
        <v>0</v>
      </c>
      <c r="J176" s="9">
        <v>0</v>
      </c>
      <c r="K176" s="8">
        <v>5</v>
      </c>
      <c r="L176" s="5">
        <v>15</v>
      </c>
      <c r="M176" s="5">
        <v>0</v>
      </c>
      <c r="N176" s="9">
        <v>0</v>
      </c>
      <c r="O176" s="8">
        <v>2</v>
      </c>
      <c r="P176" s="5">
        <v>3</v>
      </c>
      <c r="Q176" s="5">
        <v>0</v>
      </c>
      <c r="R176" s="9">
        <v>0</v>
      </c>
      <c r="S176" s="8">
        <v>0</v>
      </c>
      <c r="T176" s="9">
        <v>0</v>
      </c>
    </row>
    <row r="177" spans="1:20" x14ac:dyDescent="0.2">
      <c r="A177" s="5" t="s">
        <v>288</v>
      </c>
      <c r="B177" s="5" t="s">
        <v>69</v>
      </c>
      <c r="C177" s="8" t="s">
        <v>514</v>
      </c>
      <c r="D177" s="7">
        <f t="shared" si="0"/>
        <v>3.7</v>
      </c>
      <c r="E177" s="8">
        <v>0</v>
      </c>
      <c r="F177" s="5">
        <v>0</v>
      </c>
      <c r="G177" s="5">
        <v>0</v>
      </c>
      <c r="H177" s="5">
        <v>0</v>
      </c>
      <c r="I177" s="5">
        <v>0</v>
      </c>
      <c r="J177" s="9">
        <v>0</v>
      </c>
      <c r="K177" s="8">
        <v>0</v>
      </c>
      <c r="L177" s="5">
        <v>0</v>
      </c>
      <c r="M177" s="5">
        <v>0</v>
      </c>
      <c r="N177" s="9">
        <v>0</v>
      </c>
      <c r="O177" s="8">
        <v>2</v>
      </c>
      <c r="P177" s="5">
        <v>17</v>
      </c>
      <c r="Q177" s="5">
        <v>0</v>
      </c>
      <c r="R177" s="9">
        <v>0</v>
      </c>
      <c r="S177" s="8">
        <v>0</v>
      </c>
      <c r="T177" s="9">
        <v>0</v>
      </c>
    </row>
    <row r="178" spans="1:20" x14ac:dyDescent="0.2">
      <c r="A178" s="5" t="s">
        <v>299</v>
      </c>
      <c r="B178" s="5" t="s">
        <v>69</v>
      </c>
      <c r="C178" s="8" t="s">
        <v>500</v>
      </c>
      <c r="D178" s="7">
        <f t="shared" si="0"/>
        <v>3.7</v>
      </c>
      <c r="E178" s="8">
        <v>0</v>
      </c>
      <c r="F178" s="5">
        <v>0</v>
      </c>
      <c r="G178" s="5">
        <v>0</v>
      </c>
      <c r="H178" s="5">
        <v>0</v>
      </c>
      <c r="I178" s="5">
        <v>0</v>
      </c>
      <c r="J178" s="9">
        <v>0</v>
      </c>
      <c r="K178" s="8">
        <v>0</v>
      </c>
      <c r="L178" s="5">
        <v>0</v>
      </c>
      <c r="M178" s="5">
        <v>0</v>
      </c>
      <c r="N178" s="9">
        <v>0</v>
      </c>
      <c r="O178" s="8">
        <v>2</v>
      </c>
      <c r="P178" s="5">
        <v>17</v>
      </c>
      <c r="Q178" s="5">
        <v>0</v>
      </c>
      <c r="R178" s="9">
        <v>0</v>
      </c>
      <c r="S178" s="8">
        <v>0</v>
      </c>
      <c r="T178" s="9">
        <v>0</v>
      </c>
    </row>
    <row r="179" spans="1:20" x14ac:dyDescent="0.2">
      <c r="A179" s="5" t="s">
        <v>519</v>
      </c>
      <c r="B179" s="5" t="s">
        <v>75</v>
      </c>
      <c r="C179" s="6" t="s">
        <v>504</v>
      </c>
      <c r="D179" s="7">
        <f t="shared" si="0"/>
        <v>3.6</v>
      </c>
      <c r="E179" s="8">
        <v>0</v>
      </c>
      <c r="F179" s="5">
        <v>0</v>
      </c>
      <c r="G179" s="5">
        <v>0</v>
      </c>
      <c r="H179" s="5">
        <v>0</v>
      </c>
      <c r="I179" s="5">
        <v>0</v>
      </c>
      <c r="J179" s="9">
        <v>0</v>
      </c>
      <c r="K179" s="8">
        <v>12</v>
      </c>
      <c r="L179" s="5">
        <v>25</v>
      </c>
      <c r="M179" s="5">
        <v>0</v>
      </c>
      <c r="N179" s="9">
        <v>0</v>
      </c>
      <c r="O179" s="8">
        <v>1</v>
      </c>
      <c r="P179" s="5">
        <v>1</v>
      </c>
      <c r="Q179" s="5">
        <v>0</v>
      </c>
      <c r="R179" s="9">
        <v>0</v>
      </c>
      <c r="S179" s="8">
        <v>0</v>
      </c>
      <c r="T179" s="9">
        <v>0</v>
      </c>
    </row>
    <row r="180" spans="1:20" x14ac:dyDescent="0.2">
      <c r="A180" s="5" t="s">
        <v>216</v>
      </c>
      <c r="B180" s="5" t="s">
        <v>162</v>
      </c>
      <c r="C180" s="8" t="s">
        <v>514</v>
      </c>
      <c r="D180" s="7">
        <f t="shared" si="0"/>
        <v>3.6</v>
      </c>
      <c r="E180" s="8">
        <v>0</v>
      </c>
      <c r="F180" s="5">
        <v>0</v>
      </c>
      <c r="G180" s="5">
        <v>0</v>
      </c>
      <c r="H180" s="5">
        <v>0</v>
      </c>
      <c r="I180" s="5">
        <v>0</v>
      </c>
      <c r="J180" s="9">
        <v>0</v>
      </c>
      <c r="K180" s="8">
        <v>0</v>
      </c>
      <c r="L180" s="5">
        <v>0</v>
      </c>
      <c r="M180" s="5">
        <v>0</v>
      </c>
      <c r="N180" s="9">
        <v>0</v>
      </c>
      <c r="O180" s="8">
        <v>3</v>
      </c>
      <c r="P180" s="5">
        <v>6</v>
      </c>
      <c r="Q180" s="5">
        <v>0</v>
      </c>
      <c r="R180" s="9">
        <v>0</v>
      </c>
      <c r="S180" s="8">
        <v>0</v>
      </c>
      <c r="T180" s="9">
        <v>0</v>
      </c>
    </row>
    <row r="181" spans="1:20" x14ac:dyDescent="0.2">
      <c r="A181" s="5" t="s">
        <v>308</v>
      </c>
      <c r="B181" s="5" t="s">
        <v>69</v>
      </c>
      <c r="C181" s="8" t="s">
        <v>503</v>
      </c>
      <c r="D181" s="7">
        <f t="shared" si="0"/>
        <v>3.6</v>
      </c>
      <c r="E181" s="8">
        <v>0</v>
      </c>
      <c r="F181" s="5">
        <v>0</v>
      </c>
      <c r="G181" s="5">
        <v>0</v>
      </c>
      <c r="H181" s="5">
        <v>0</v>
      </c>
      <c r="I181" s="5">
        <v>0</v>
      </c>
      <c r="J181" s="9">
        <v>0</v>
      </c>
      <c r="K181" s="8">
        <v>0</v>
      </c>
      <c r="L181" s="5">
        <v>0</v>
      </c>
      <c r="M181" s="5">
        <v>0</v>
      </c>
      <c r="N181" s="9">
        <v>0</v>
      </c>
      <c r="O181" s="8">
        <v>2</v>
      </c>
      <c r="P181" s="5">
        <v>16</v>
      </c>
      <c r="Q181" s="5">
        <v>0</v>
      </c>
      <c r="R181" s="9">
        <v>0</v>
      </c>
      <c r="S181" s="8">
        <v>0</v>
      </c>
      <c r="T181" s="9">
        <v>0</v>
      </c>
    </row>
    <row r="182" spans="1:20" x14ac:dyDescent="0.2">
      <c r="A182" s="5" t="s">
        <v>251</v>
      </c>
      <c r="B182" s="5" t="s">
        <v>162</v>
      </c>
      <c r="C182" s="6" t="s">
        <v>507</v>
      </c>
      <c r="D182" s="7">
        <f t="shared" si="0"/>
        <v>3.5</v>
      </c>
      <c r="E182" s="8">
        <v>0</v>
      </c>
      <c r="F182" s="5">
        <v>0</v>
      </c>
      <c r="G182" s="5">
        <v>0</v>
      </c>
      <c r="H182" s="5">
        <v>0</v>
      </c>
      <c r="I182" s="5">
        <v>0</v>
      </c>
      <c r="J182" s="9">
        <v>0</v>
      </c>
      <c r="K182" s="8">
        <v>0</v>
      </c>
      <c r="L182" s="5">
        <v>0</v>
      </c>
      <c r="M182" s="5">
        <v>0</v>
      </c>
      <c r="N182" s="9">
        <v>0</v>
      </c>
      <c r="O182" s="8">
        <v>2</v>
      </c>
      <c r="P182" s="5">
        <v>15</v>
      </c>
      <c r="Q182" s="5">
        <v>0</v>
      </c>
      <c r="R182" s="9">
        <v>0</v>
      </c>
      <c r="S182" s="8">
        <v>0</v>
      </c>
      <c r="T182" s="9">
        <v>0</v>
      </c>
    </row>
    <row r="183" spans="1:20" x14ac:dyDescent="0.2">
      <c r="A183" s="5" t="s">
        <v>285</v>
      </c>
      <c r="B183" s="5" t="s">
        <v>69</v>
      </c>
      <c r="C183" s="8" t="s">
        <v>503</v>
      </c>
      <c r="D183" s="7">
        <f t="shared" si="0"/>
        <v>3.5</v>
      </c>
      <c r="E183" s="8">
        <v>0</v>
      </c>
      <c r="F183" s="5">
        <v>0</v>
      </c>
      <c r="G183" s="5">
        <v>0</v>
      </c>
      <c r="H183" s="5">
        <v>0</v>
      </c>
      <c r="I183" s="5">
        <v>0</v>
      </c>
      <c r="J183" s="9">
        <v>0</v>
      </c>
      <c r="K183" s="8">
        <v>0</v>
      </c>
      <c r="L183" s="5">
        <v>0</v>
      </c>
      <c r="M183" s="5">
        <v>0</v>
      </c>
      <c r="N183" s="9">
        <v>0</v>
      </c>
      <c r="O183" s="8">
        <v>2</v>
      </c>
      <c r="P183" s="5">
        <v>15</v>
      </c>
      <c r="Q183" s="5">
        <v>0</v>
      </c>
      <c r="R183" s="9">
        <v>0</v>
      </c>
      <c r="S183" s="8">
        <v>0</v>
      </c>
      <c r="T183" s="9">
        <v>0</v>
      </c>
    </row>
    <row r="184" spans="1:20" x14ac:dyDescent="0.2">
      <c r="A184" s="5" t="s">
        <v>142</v>
      </c>
      <c r="B184" s="5" t="s">
        <v>75</v>
      </c>
      <c r="C184" s="6" t="s">
        <v>504</v>
      </c>
      <c r="D184" s="7">
        <f t="shared" si="0"/>
        <v>3.4000000000000004</v>
      </c>
      <c r="E184" s="8">
        <v>0</v>
      </c>
      <c r="F184" s="5">
        <v>0</v>
      </c>
      <c r="G184" s="5">
        <v>0</v>
      </c>
      <c r="H184" s="5">
        <v>0</v>
      </c>
      <c r="I184" s="5">
        <v>0</v>
      </c>
      <c r="J184" s="9">
        <v>0</v>
      </c>
      <c r="K184" s="8">
        <v>9</v>
      </c>
      <c r="L184" s="5">
        <v>21</v>
      </c>
      <c r="M184" s="5">
        <v>0</v>
      </c>
      <c r="N184" s="9">
        <v>0</v>
      </c>
      <c r="O184" s="8">
        <v>1</v>
      </c>
      <c r="P184" s="5">
        <v>3</v>
      </c>
      <c r="Q184" s="5">
        <v>0</v>
      </c>
      <c r="R184" s="9">
        <v>0</v>
      </c>
      <c r="S184" s="8">
        <v>0</v>
      </c>
      <c r="T184" s="9">
        <v>0</v>
      </c>
    </row>
    <row r="185" spans="1:20" x14ac:dyDescent="0.2">
      <c r="A185" s="5" t="s">
        <v>97</v>
      </c>
      <c r="B185" s="5" t="s">
        <v>75</v>
      </c>
      <c r="C185" s="6" t="s">
        <v>508</v>
      </c>
      <c r="D185" s="7">
        <f t="shared" si="0"/>
        <v>3.4000000000000004</v>
      </c>
      <c r="E185" s="8">
        <v>0</v>
      </c>
      <c r="F185" s="5">
        <v>0</v>
      </c>
      <c r="G185" s="5">
        <v>0</v>
      </c>
      <c r="H185" s="5">
        <v>0</v>
      </c>
      <c r="I185" s="5">
        <v>0</v>
      </c>
      <c r="J185" s="9">
        <v>0</v>
      </c>
      <c r="K185" s="8">
        <v>7</v>
      </c>
      <c r="L185" s="5">
        <v>17</v>
      </c>
      <c r="M185" s="5">
        <v>0</v>
      </c>
      <c r="N185" s="9">
        <v>0</v>
      </c>
      <c r="O185" s="8">
        <v>1</v>
      </c>
      <c r="P185" s="5">
        <v>7</v>
      </c>
      <c r="Q185" s="5">
        <v>0</v>
      </c>
      <c r="R185" s="9">
        <v>0</v>
      </c>
      <c r="S185" s="8">
        <v>0</v>
      </c>
      <c r="T185" s="9">
        <v>0</v>
      </c>
    </row>
    <row r="186" spans="1:20" x14ac:dyDescent="0.2">
      <c r="A186" s="5" t="s">
        <v>207</v>
      </c>
      <c r="B186" s="5" t="s">
        <v>162</v>
      </c>
      <c r="C186" s="8" t="s">
        <v>514</v>
      </c>
      <c r="D186" s="7">
        <f t="shared" si="0"/>
        <v>3.4000000000000004</v>
      </c>
      <c r="E186" s="8">
        <v>0</v>
      </c>
      <c r="F186" s="5">
        <v>0</v>
      </c>
      <c r="G186" s="5">
        <v>0</v>
      </c>
      <c r="H186" s="5">
        <v>0</v>
      </c>
      <c r="I186" s="5">
        <v>0</v>
      </c>
      <c r="J186" s="9">
        <v>0</v>
      </c>
      <c r="K186" s="8">
        <v>0</v>
      </c>
      <c r="L186" s="5">
        <v>0</v>
      </c>
      <c r="M186" s="5">
        <v>0</v>
      </c>
      <c r="N186" s="9">
        <v>0</v>
      </c>
      <c r="O186" s="8">
        <v>1</v>
      </c>
      <c r="P186" s="5">
        <v>24</v>
      </c>
      <c r="Q186" s="5">
        <v>0</v>
      </c>
      <c r="R186" s="9">
        <v>0</v>
      </c>
      <c r="S186" s="8">
        <v>0</v>
      </c>
      <c r="T186" s="9">
        <v>0</v>
      </c>
    </row>
    <row r="187" spans="1:20" x14ac:dyDescent="0.2">
      <c r="A187" s="5" t="s">
        <v>228</v>
      </c>
      <c r="B187" s="5" t="s">
        <v>162</v>
      </c>
      <c r="C187" s="6" t="s">
        <v>509</v>
      </c>
      <c r="D187" s="7">
        <f t="shared" si="0"/>
        <v>3.3</v>
      </c>
      <c r="E187" s="8">
        <v>0</v>
      </c>
      <c r="F187" s="5">
        <v>0</v>
      </c>
      <c r="G187" s="5">
        <v>0</v>
      </c>
      <c r="H187" s="5">
        <v>0</v>
      </c>
      <c r="I187" s="5">
        <v>0</v>
      </c>
      <c r="J187" s="9">
        <v>0</v>
      </c>
      <c r="K187" s="8">
        <v>0</v>
      </c>
      <c r="L187" s="5">
        <v>0</v>
      </c>
      <c r="M187" s="5">
        <v>0</v>
      </c>
      <c r="N187" s="9">
        <v>0</v>
      </c>
      <c r="O187" s="8">
        <v>2</v>
      </c>
      <c r="P187" s="5">
        <v>13</v>
      </c>
      <c r="Q187" s="5">
        <v>0</v>
      </c>
      <c r="R187" s="9">
        <v>0</v>
      </c>
      <c r="S187" s="8">
        <v>0</v>
      </c>
      <c r="T187" s="9">
        <v>0</v>
      </c>
    </row>
    <row r="188" spans="1:20" x14ac:dyDescent="0.2">
      <c r="A188" s="5" t="s">
        <v>212</v>
      </c>
      <c r="B188" s="5" t="s">
        <v>162</v>
      </c>
      <c r="C188" s="8" t="s">
        <v>504</v>
      </c>
      <c r="D188" s="7">
        <f t="shared" si="0"/>
        <v>3.3</v>
      </c>
      <c r="E188" s="8">
        <v>0</v>
      </c>
      <c r="F188" s="5">
        <v>0</v>
      </c>
      <c r="G188" s="5">
        <v>0</v>
      </c>
      <c r="H188" s="5">
        <v>0</v>
      </c>
      <c r="I188" s="5">
        <v>0</v>
      </c>
      <c r="J188" s="9">
        <v>0</v>
      </c>
      <c r="K188" s="8">
        <v>0</v>
      </c>
      <c r="L188" s="5">
        <v>0</v>
      </c>
      <c r="M188" s="5">
        <v>0</v>
      </c>
      <c r="N188" s="9">
        <v>0</v>
      </c>
      <c r="O188" s="8">
        <v>2</v>
      </c>
      <c r="P188" s="5">
        <v>13</v>
      </c>
      <c r="Q188" s="5">
        <v>0</v>
      </c>
      <c r="R188" s="9">
        <v>0</v>
      </c>
      <c r="S188" s="8">
        <v>0</v>
      </c>
      <c r="T188" s="9">
        <v>0</v>
      </c>
    </row>
    <row r="189" spans="1:20" x14ac:dyDescent="0.2">
      <c r="A189" s="5" t="s">
        <v>443</v>
      </c>
      <c r="B189" s="5" t="s">
        <v>69</v>
      </c>
      <c r="C189" s="8" t="s">
        <v>510</v>
      </c>
      <c r="D189" s="7">
        <f t="shared" si="0"/>
        <v>3.2</v>
      </c>
      <c r="E189" s="8">
        <v>0</v>
      </c>
      <c r="F189" s="5">
        <v>0</v>
      </c>
      <c r="G189" s="5">
        <v>0</v>
      </c>
      <c r="H189" s="5">
        <v>0</v>
      </c>
      <c r="I189" s="5">
        <v>0</v>
      </c>
      <c r="J189" s="9">
        <v>0</v>
      </c>
      <c r="K189" s="8">
        <v>0</v>
      </c>
      <c r="L189" s="5">
        <v>0</v>
      </c>
      <c r="M189" s="5">
        <v>0</v>
      </c>
      <c r="N189" s="9">
        <v>0</v>
      </c>
      <c r="O189" s="8">
        <v>1</v>
      </c>
      <c r="P189" s="5">
        <v>22</v>
      </c>
      <c r="Q189" s="5">
        <v>0</v>
      </c>
      <c r="R189" s="9">
        <v>0</v>
      </c>
      <c r="S189" s="8">
        <v>0</v>
      </c>
      <c r="T189" s="9">
        <v>0</v>
      </c>
    </row>
    <row r="190" spans="1:20" x14ac:dyDescent="0.2">
      <c r="A190" s="5" t="s">
        <v>312</v>
      </c>
      <c r="B190" s="5" t="s">
        <v>69</v>
      </c>
      <c r="C190" s="6" t="s">
        <v>510</v>
      </c>
      <c r="D190" s="7">
        <f t="shared" si="0"/>
        <v>3.2</v>
      </c>
      <c r="E190" s="8">
        <v>0</v>
      </c>
      <c r="F190" s="5">
        <v>0</v>
      </c>
      <c r="G190" s="5">
        <v>0</v>
      </c>
      <c r="H190" s="5">
        <v>0</v>
      </c>
      <c r="I190" s="5">
        <v>0</v>
      </c>
      <c r="J190" s="9">
        <v>0</v>
      </c>
      <c r="K190" s="8">
        <v>0</v>
      </c>
      <c r="L190" s="5">
        <v>0</v>
      </c>
      <c r="M190" s="5">
        <v>0</v>
      </c>
      <c r="N190" s="9">
        <v>0</v>
      </c>
      <c r="O190" s="8">
        <v>1</v>
      </c>
      <c r="P190" s="5">
        <v>22</v>
      </c>
      <c r="Q190" s="5">
        <v>0</v>
      </c>
      <c r="R190" s="9">
        <v>0</v>
      </c>
      <c r="S190" s="8">
        <v>0</v>
      </c>
      <c r="T190" s="9">
        <v>0</v>
      </c>
    </row>
    <row r="191" spans="1:20" x14ac:dyDescent="0.2">
      <c r="A191" s="5" t="s">
        <v>444</v>
      </c>
      <c r="B191" s="5" t="s">
        <v>69</v>
      </c>
      <c r="C191" s="6" t="s">
        <v>505</v>
      </c>
      <c r="D191" s="7">
        <f t="shared" si="0"/>
        <v>3.2</v>
      </c>
      <c r="E191" s="8">
        <v>0</v>
      </c>
      <c r="F191" s="5">
        <v>0</v>
      </c>
      <c r="G191" s="5">
        <v>0</v>
      </c>
      <c r="H191" s="5">
        <v>0</v>
      </c>
      <c r="I191" s="5">
        <v>0</v>
      </c>
      <c r="J191" s="9">
        <v>0</v>
      </c>
      <c r="K191" s="8">
        <v>0</v>
      </c>
      <c r="L191" s="5">
        <v>0</v>
      </c>
      <c r="M191" s="5">
        <v>0</v>
      </c>
      <c r="N191" s="9">
        <v>0</v>
      </c>
      <c r="O191" s="8">
        <v>2</v>
      </c>
      <c r="P191" s="5">
        <v>12</v>
      </c>
      <c r="Q191" s="5">
        <v>0</v>
      </c>
      <c r="R191" s="9">
        <v>0</v>
      </c>
      <c r="S191" s="8">
        <v>0</v>
      </c>
      <c r="T191" s="9">
        <v>0</v>
      </c>
    </row>
    <row r="192" spans="1:20" x14ac:dyDescent="0.2">
      <c r="A192" s="5" t="s">
        <v>270</v>
      </c>
      <c r="B192" s="5" t="s">
        <v>162</v>
      </c>
      <c r="C192" s="6" t="s">
        <v>511</v>
      </c>
      <c r="D192" s="7">
        <f t="shared" si="0"/>
        <v>3.1</v>
      </c>
      <c r="E192" s="8">
        <v>0</v>
      </c>
      <c r="F192" s="5">
        <v>0</v>
      </c>
      <c r="G192" s="5">
        <v>0</v>
      </c>
      <c r="H192" s="5">
        <v>0</v>
      </c>
      <c r="I192" s="5">
        <v>0</v>
      </c>
      <c r="J192" s="9">
        <v>0</v>
      </c>
      <c r="K192" s="8">
        <v>0</v>
      </c>
      <c r="L192" s="5">
        <v>0</v>
      </c>
      <c r="M192" s="5">
        <v>0</v>
      </c>
      <c r="N192" s="9">
        <v>0</v>
      </c>
      <c r="O192" s="8">
        <v>2</v>
      </c>
      <c r="P192" s="5">
        <v>11</v>
      </c>
      <c r="Q192" s="5">
        <v>0</v>
      </c>
      <c r="R192" s="9">
        <v>0</v>
      </c>
      <c r="S192" s="8">
        <v>0</v>
      </c>
      <c r="T192" s="9">
        <v>0</v>
      </c>
    </row>
    <row r="193" spans="1:20" x14ac:dyDescent="0.2">
      <c r="A193" s="5" t="s">
        <v>306</v>
      </c>
      <c r="B193" s="5" t="s">
        <v>69</v>
      </c>
      <c r="C193" s="8" t="s">
        <v>512</v>
      </c>
      <c r="D193" s="7">
        <f t="shared" si="0"/>
        <v>3.1</v>
      </c>
      <c r="E193" s="8">
        <v>0</v>
      </c>
      <c r="F193" s="5">
        <v>0</v>
      </c>
      <c r="G193" s="5">
        <v>0</v>
      </c>
      <c r="H193" s="5">
        <v>0</v>
      </c>
      <c r="I193" s="5">
        <v>0</v>
      </c>
      <c r="J193" s="9">
        <v>0</v>
      </c>
      <c r="K193" s="8">
        <v>0</v>
      </c>
      <c r="L193" s="5">
        <v>0</v>
      </c>
      <c r="M193" s="5">
        <v>0</v>
      </c>
      <c r="N193" s="9">
        <v>0</v>
      </c>
      <c r="O193" s="8">
        <v>2</v>
      </c>
      <c r="P193" s="5">
        <v>11</v>
      </c>
      <c r="Q193" s="5">
        <v>0</v>
      </c>
      <c r="R193" s="9">
        <v>0</v>
      </c>
      <c r="S193" s="8">
        <v>0</v>
      </c>
      <c r="T193" s="9">
        <v>0</v>
      </c>
    </row>
    <row r="194" spans="1:20" x14ac:dyDescent="0.2">
      <c r="A194" s="5" t="s">
        <v>520</v>
      </c>
      <c r="B194" s="5" t="s">
        <v>69</v>
      </c>
      <c r="C194" s="6" t="s">
        <v>503</v>
      </c>
      <c r="D194" s="7">
        <f t="shared" si="0"/>
        <v>3.1</v>
      </c>
      <c r="E194" s="8">
        <v>0</v>
      </c>
      <c r="F194" s="5">
        <v>0</v>
      </c>
      <c r="G194" s="5">
        <v>0</v>
      </c>
      <c r="H194" s="5">
        <v>0</v>
      </c>
      <c r="I194" s="5">
        <v>0</v>
      </c>
      <c r="J194" s="9">
        <v>0</v>
      </c>
      <c r="K194" s="8">
        <v>0</v>
      </c>
      <c r="L194" s="5">
        <v>0</v>
      </c>
      <c r="M194" s="5">
        <v>0</v>
      </c>
      <c r="N194" s="9">
        <v>0</v>
      </c>
      <c r="O194" s="8">
        <v>1</v>
      </c>
      <c r="P194" s="5">
        <v>21</v>
      </c>
      <c r="Q194" s="5">
        <v>0</v>
      </c>
      <c r="R194" s="9">
        <v>0</v>
      </c>
      <c r="S194" s="8">
        <v>0</v>
      </c>
      <c r="T194" s="9">
        <v>0</v>
      </c>
    </row>
    <row r="195" spans="1:20" x14ac:dyDescent="0.2">
      <c r="A195" s="5" t="s">
        <v>68</v>
      </c>
      <c r="B195" s="5" t="s">
        <v>69</v>
      </c>
      <c r="C195" s="6" t="s">
        <v>514</v>
      </c>
      <c r="D195" s="7">
        <f t="shared" si="0"/>
        <v>3.0000000000000004</v>
      </c>
      <c r="E195" s="8">
        <v>0</v>
      </c>
      <c r="F195" s="5">
        <v>0</v>
      </c>
      <c r="G195" s="5">
        <v>0</v>
      </c>
      <c r="H195" s="5">
        <v>0</v>
      </c>
      <c r="I195" s="5">
        <v>0</v>
      </c>
      <c r="J195" s="9">
        <v>0</v>
      </c>
      <c r="K195" s="8">
        <v>3</v>
      </c>
      <c r="L195" s="5">
        <v>19</v>
      </c>
      <c r="M195" s="5">
        <v>0</v>
      </c>
      <c r="N195" s="9">
        <v>0</v>
      </c>
      <c r="O195" s="8">
        <v>1</v>
      </c>
      <c r="P195" s="5">
        <v>1</v>
      </c>
      <c r="Q195" s="5">
        <v>0</v>
      </c>
      <c r="R195" s="9">
        <v>0</v>
      </c>
      <c r="S195" s="8">
        <v>0</v>
      </c>
      <c r="T195" s="9">
        <v>0</v>
      </c>
    </row>
    <row r="196" spans="1:20" x14ac:dyDescent="0.2">
      <c r="A196" s="5" t="s">
        <v>521</v>
      </c>
      <c r="B196" s="5" t="s">
        <v>162</v>
      </c>
      <c r="C196" s="8" t="s">
        <v>510</v>
      </c>
      <c r="D196" s="7">
        <f t="shared" si="0"/>
        <v>3</v>
      </c>
      <c r="E196" s="8">
        <v>0</v>
      </c>
      <c r="F196" s="5">
        <v>0</v>
      </c>
      <c r="G196" s="5">
        <v>0</v>
      </c>
      <c r="H196" s="5">
        <v>0</v>
      </c>
      <c r="I196" s="5">
        <v>0</v>
      </c>
      <c r="J196" s="9">
        <v>0</v>
      </c>
      <c r="K196" s="8">
        <v>0</v>
      </c>
      <c r="L196" s="5">
        <v>0</v>
      </c>
      <c r="M196" s="5">
        <v>0</v>
      </c>
      <c r="N196" s="9">
        <v>0</v>
      </c>
      <c r="O196" s="8">
        <v>2</v>
      </c>
      <c r="P196" s="5">
        <v>10</v>
      </c>
      <c r="Q196" s="5">
        <v>0</v>
      </c>
      <c r="R196" s="9">
        <v>0</v>
      </c>
      <c r="S196" s="8">
        <v>0</v>
      </c>
      <c r="T196" s="9">
        <v>0</v>
      </c>
    </row>
    <row r="197" spans="1:20" x14ac:dyDescent="0.2">
      <c r="A197" s="5" t="s">
        <v>479</v>
      </c>
      <c r="B197" s="5" t="s">
        <v>69</v>
      </c>
      <c r="C197" s="6" t="s">
        <v>501</v>
      </c>
      <c r="D197" s="7">
        <f t="shared" si="0"/>
        <v>3</v>
      </c>
      <c r="E197" s="8">
        <v>0</v>
      </c>
      <c r="F197" s="5">
        <v>0</v>
      </c>
      <c r="G197" s="5">
        <v>0</v>
      </c>
      <c r="H197" s="5">
        <v>0</v>
      </c>
      <c r="I197" s="5">
        <v>0</v>
      </c>
      <c r="J197" s="9">
        <v>0</v>
      </c>
      <c r="K197" s="8">
        <v>0</v>
      </c>
      <c r="L197" s="5">
        <v>0</v>
      </c>
      <c r="M197" s="5">
        <v>0</v>
      </c>
      <c r="N197" s="9">
        <v>0</v>
      </c>
      <c r="O197" s="8">
        <v>2</v>
      </c>
      <c r="P197" s="5">
        <v>10</v>
      </c>
      <c r="Q197" s="5">
        <v>0</v>
      </c>
      <c r="R197" s="9">
        <v>0</v>
      </c>
      <c r="S197" s="8">
        <v>0</v>
      </c>
      <c r="T197" s="9">
        <v>0</v>
      </c>
    </row>
    <row r="198" spans="1:20" x14ac:dyDescent="0.2">
      <c r="A198" s="5" t="s">
        <v>353</v>
      </c>
      <c r="B198" s="5" t="s">
        <v>162</v>
      </c>
      <c r="C198" s="8" t="s">
        <v>507</v>
      </c>
      <c r="D198" s="7">
        <f t="shared" si="0"/>
        <v>2.9000000000000004</v>
      </c>
      <c r="E198" s="8">
        <v>0</v>
      </c>
      <c r="F198" s="5">
        <v>0</v>
      </c>
      <c r="G198" s="5">
        <v>0</v>
      </c>
      <c r="H198" s="5">
        <v>0</v>
      </c>
      <c r="I198" s="5">
        <v>0</v>
      </c>
      <c r="J198" s="9">
        <v>0</v>
      </c>
      <c r="K198" s="8">
        <v>0</v>
      </c>
      <c r="L198" s="5">
        <v>0</v>
      </c>
      <c r="M198" s="5">
        <v>0</v>
      </c>
      <c r="N198" s="9">
        <v>0</v>
      </c>
      <c r="O198" s="8">
        <v>1</v>
      </c>
      <c r="P198" s="5">
        <v>19</v>
      </c>
      <c r="Q198" s="5">
        <v>0</v>
      </c>
      <c r="R198" s="9">
        <v>0</v>
      </c>
      <c r="S198" s="8">
        <v>0</v>
      </c>
      <c r="T198" s="9">
        <v>0</v>
      </c>
    </row>
    <row r="199" spans="1:20" x14ac:dyDescent="0.2">
      <c r="A199" s="5" t="s">
        <v>373</v>
      </c>
      <c r="B199" s="5" t="s">
        <v>69</v>
      </c>
      <c r="C199" s="6" t="s">
        <v>512</v>
      </c>
      <c r="D199" s="7">
        <f t="shared" si="0"/>
        <v>2.9000000000000004</v>
      </c>
      <c r="E199" s="8">
        <v>0</v>
      </c>
      <c r="F199" s="5">
        <v>0</v>
      </c>
      <c r="G199" s="5">
        <v>0</v>
      </c>
      <c r="H199" s="5">
        <v>0</v>
      </c>
      <c r="I199" s="5">
        <v>0</v>
      </c>
      <c r="J199" s="9">
        <v>0</v>
      </c>
      <c r="K199" s="8">
        <v>0</v>
      </c>
      <c r="L199" s="5">
        <v>0</v>
      </c>
      <c r="M199" s="5">
        <v>0</v>
      </c>
      <c r="N199" s="9">
        <v>0</v>
      </c>
      <c r="O199" s="8">
        <v>1</v>
      </c>
      <c r="P199" s="5">
        <v>19</v>
      </c>
      <c r="Q199" s="5">
        <v>0</v>
      </c>
      <c r="R199" s="9">
        <v>0</v>
      </c>
      <c r="S199" s="8">
        <v>0</v>
      </c>
      <c r="T199" s="9">
        <v>0</v>
      </c>
    </row>
    <row r="200" spans="1:20" x14ac:dyDescent="0.2">
      <c r="A200" s="5" t="s">
        <v>250</v>
      </c>
      <c r="B200" s="5" t="s">
        <v>162</v>
      </c>
      <c r="C200" s="8" t="s">
        <v>500</v>
      </c>
      <c r="D200" s="7">
        <f t="shared" si="0"/>
        <v>2.8</v>
      </c>
      <c r="E200" s="8">
        <v>0</v>
      </c>
      <c r="F200" s="5">
        <v>0</v>
      </c>
      <c r="G200" s="5">
        <v>0</v>
      </c>
      <c r="H200" s="5">
        <v>0</v>
      </c>
      <c r="I200" s="5">
        <v>0</v>
      </c>
      <c r="J200" s="9">
        <v>0</v>
      </c>
      <c r="K200" s="8">
        <v>0</v>
      </c>
      <c r="L200" s="5">
        <v>0</v>
      </c>
      <c r="M200" s="5">
        <v>0</v>
      </c>
      <c r="N200" s="9">
        <v>0</v>
      </c>
      <c r="O200" s="8">
        <v>1</v>
      </c>
      <c r="P200" s="5">
        <v>18</v>
      </c>
      <c r="Q200" s="5">
        <v>0</v>
      </c>
      <c r="R200" s="9">
        <v>0</v>
      </c>
      <c r="S200" s="8">
        <v>0</v>
      </c>
      <c r="T200" s="9">
        <v>0</v>
      </c>
    </row>
    <row r="201" spans="1:20" x14ac:dyDescent="0.2">
      <c r="A201" s="5" t="s">
        <v>140</v>
      </c>
      <c r="B201" s="5" t="s">
        <v>75</v>
      </c>
      <c r="C201" s="6" t="s">
        <v>512</v>
      </c>
      <c r="D201" s="7">
        <f t="shared" si="0"/>
        <v>2.7</v>
      </c>
      <c r="E201" s="8">
        <v>0</v>
      </c>
      <c r="F201" s="5">
        <v>0</v>
      </c>
      <c r="G201" s="5">
        <v>0</v>
      </c>
      <c r="H201" s="5">
        <v>0</v>
      </c>
      <c r="I201" s="5">
        <v>0</v>
      </c>
      <c r="J201" s="9">
        <v>0</v>
      </c>
      <c r="K201" s="8">
        <v>2</v>
      </c>
      <c r="L201" s="5">
        <v>2</v>
      </c>
      <c r="M201" s="5">
        <v>0</v>
      </c>
      <c r="N201" s="9">
        <v>0</v>
      </c>
      <c r="O201" s="8">
        <v>2</v>
      </c>
      <c r="P201" s="5">
        <v>5</v>
      </c>
      <c r="Q201" s="5">
        <v>0</v>
      </c>
      <c r="R201" s="9">
        <v>0</v>
      </c>
      <c r="S201" s="8">
        <v>0</v>
      </c>
      <c r="T201" s="9">
        <v>0</v>
      </c>
    </row>
    <row r="202" spans="1:20" x14ac:dyDescent="0.2">
      <c r="A202" s="5" t="s">
        <v>245</v>
      </c>
      <c r="B202" s="5" t="s">
        <v>162</v>
      </c>
      <c r="C202" s="6" t="s">
        <v>506</v>
      </c>
      <c r="D202" s="7">
        <f t="shared" si="0"/>
        <v>2.7</v>
      </c>
      <c r="E202" s="8">
        <v>0</v>
      </c>
      <c r="F202" s="5">
        <v>0</v>
      </c>
      <c r="G202" s="5">
        <v>0</v>
      </c>
      <c r="H202" s="5">
        <v>0</v>
      </c>
      <c r="I202" s="5">
        <v>0</v>
      </c>
      <c r="J202" s="9">
        <v>0</v>
      </c>
      <c r="K202" s="8">
        <v>5</v>
      </c>
      <c r="L202" s="5">
        <v>27</v>
      </c>
      <c r="M202" s="5">
        <v>0</v>
      </c>
      <c r="N202" s="9">
        <v>0</v>
      </c>
      <c r="O202" s="8">
        <v>0</v>
      </c>
      <c r="P202" s="5">
        <v>0</v>
      </c>
      <c r="Q202" s="5">
        <v>0</v>
      </c>
      <c r="R202" s="9">
        <v>0</v>
      </c>
      <c r="S202" s="8">
        <v>0</v>
      </c>
      <c r="T202" s="9">
        <v>0</v>
      </c>
    </row>
    <row r="203" spans="1:20" x14ac:dyDescent="0.2">
      <c r="A203" s="5" t="s">
        <v>372</v>
      </c>
      <c r="B203" s="5" t="s">
        <v>69</v>
      </c>
      <c r="C203" s="8" t="s">
        <v>503</v>
      </c>
      <c r="D203" s="7">
        <f t="shared" si="0"/>
        <v>2.7</v>
      </c>
      <c r="E203" s="8">
        <v>0</v>
      </c>
      <c r="F203" s="5">
        <v>0</v>
      </c>
      <c r="G203" s="5">
        <v>0</v>
      </c>
      <c r="H203" s="5">
        <v>0</v>
      </c>
      <c r="I203" s="5">
        <v>0</v>
      </c>
      <c r="J203" s="9">
        <v>0</v>
      </c>
      <c r="K203" s="8">
        <v>0</v>
      </c>
      <c r="L203" s="5">
        <v>0</v>
      </c>
      <c r="M203" s="5">
        <v>0</v>
      </c>
      <c r="N203" s="9">
        <v>0</v>
      </c>
      <c r="O203" s="8">
        <v>1</v>
      </c>
      <c r="P203" s="5">
        <v>17</v>
      </c>
      <c r="Q203" s="5">
        <v>0</v>
      </c>
      <c r="R203" s="9">
        <v>0</v>
      </c>
      <c r="S203" s="8">
        <v>0</v>
      </c>
      <c r="T203" s="9">
        <v>0</v>
      </c>
    </row>
    <row r="204" spans="1:20" x14ac:dyDescent="0.2">
      <c r="A204" s="5" t="s">
        <v>522</v>
      </c>
      <c r="B204" s="5" t="s">
        <v>75</v>
      </c>
      <c r="C204" s="6" t="s">
        <v>501</v>
      </c>
      <c r="D204" s="7">
        <f t="shared" si="0"/>
        <v>2.6</v>
      </c>
      <c r="E204" s="8">
        <v>0</v>
      </c>
      <c r="F204" s="5">
        <v>0</v>
      </c>
      <c r="G204" s="5">
        <v>0</v>
      </c>
      <c r="H204" s="5">
        <v>0</v>
      </c>
      <c r="I204" s="5">
        <v>0</v>
      </c>
      <c r="J204" s="9">
        <v>0</v>
      </c>
      <c r="K204" s="8">
        <v>8</v>
      </c>
      <c r="L204" s="5">
        <v>26</v>
      </c>
      <c r="M204" s="5">
        <v>0</v>
      </c>
      <c r="N204" s="9">
        <v>0</v>
      </c>
      <c r="O204" s="8">
        <v>0</v>
      </c>
      <c r="P204" s="5">
        <v>0</v>
      </c>
      <c r="Q204" s="5">
        <v>0</v>
      </c>
      <c r="R204" s="9">
        <v>0</v>
      </c>
      <c r="S204" s="8">
        <v>0</v>
      </c>
      <c r="T204" s="9">
        <v>0</v>
      </c>
    </row>
    <row r="205" spans="1:20" x14ac:dyDescent="0.2">
      <c r="A205" s="5" t="s">
        <v>449</v>
      </c>
      <c r="B205" s="5" t="s">
        <v>69</v>
      </c>
      <c r="C205" s="6" t="s">
        <v>502</v>
      </c>
      <c r="D205" s="7">
        <f t="shared" si="0"/>
        <v>2.6</v>
      </c>
      <c r="E205" s="8">
        <v>0</v>
      </c>
      <c r="F205" s="5">
        <v>0</v>
      </c>
      <c r="G205" s="5">
        <v>0</v>
      </c>
      <c r="H205" s="5">
        <v>0</v>
      </c>
      <c r="I205" s="5">
        <v>0</v>
      </c>
      <c r="J205" s="9">
        <v>0</v>
      </c>
      <c r="K205" s="8">
        <v>0</v>
      </c>
      <c r="L205" s="5">
        <v>0</v>
      </c>
      <c r="M205" s="5">
        <v>0</v>
      </c>
      <c r="N205" s="9">
        <v>0</v>
      </c>
      <c r="O205" s="8">
        <v>1</v>
      </c>
      <c r="P205" s="5">
        <v>16</v>
      </c>
      <c r="Q205" s="5">
        <v>0</v>
      </c>
      <c r="R205" s="9">
        <v>0</v>
      </c>
      <c r="S205" s="8">
        <v>0</v>
      </c>
      <c r="T205" s="9">
        <v>0</v>
      </c>
    </row>
    <row r="206" spans="1:20" x14ac:dyDescent="0.2">
      <c r="A206" s="5" t="s">
        <v>380</v>
      </c>
      <c r="B206" s="5" t="s">
        <v>75</v>
      </c>
      <c r="C206" s="8" t="s">
        <v>512</v>
      </c>
      <c r="D206" s="7">
        <f t="shared" si="0"/>
        <v>2.5</v>
      </c>
      <c r="E206" s="8">
        <v>0</v>
      </c>
      <c r="F206" s="5">
        <v>0</v>
      </c>
      <c r="G206" s="5">
        <v>0</v>
      </c>
      <c r="H206" s="5">
        <v>0</v>
      </c>
      <c r="I206" s="5">
        <v>0</v>
      </c>
      <c r="J206" s="9">
        <v>0</v>
      </c>
      <c r="K206" s="8">
        <v>1</v>
      </c>
      <c r="L206" s="5">
        <v>4</v>
      </c>
      <c r="M206" s="5">
        <v>0</v>
      </c>
      <c r="N206" s="9">
        <v>0</v>
      </c>
      <c r="O206" s="8">
        <v>1</v>
      </c>
      <c r="P206" s="5">
        <v>11</v>
      </c>
      <c r="Q206" s="5">
        <v>0</v>
      </c>
      <c r="R206" s="9">
        <v>0</v>
      </c>
      <c r="S206" s="8">
        <v>0</v>
      </c>
      <c r="T206" s="9">
        <v>0</v>
      </c>
    </row>
    <row r="207" spans="1:20" x14ac:dyDescent="0.2">
      <c r="A207" s="5" t="s">
        <v>87</v>
      </c>
      <c r="B207" s="5" t="s">
        <v>75</v>
      </c>
      <c r="C207" s="8" t="s">
        <v>514</v>
      </c>
      <c r="D207" s="7">
        <f t="shared" si="0"/>
        <v>2.4000000000000004</v>
      </c>
      <c r="E207" s="8">
        <v>0</v>
      </c>
      <c r="F207" s="5">
        <v>0</v>
      </c>
      <c r="G207" s="5">
        <v>0</v>
      </c>
      <c r="H207" s="5">
        <v>0</v>
      </c>
      <c r="I207" s="5">
        <v>0</v>
      </c>
      <c r="J207" s="9">
        <v>0</v>
      </c>
      <c r="K207" s="8">
        <v>8</v>
      </c>
      <c r="L207" s="5">
        <v>24</v>
      </c>
      <c r="M207" s="5">
        <v>0</v>
      </c>
      <c r="N207" s="9">
        <v>0</v>
      </c>
      <c r="O207" s="8">
        <v>0</v>
      </c>
      <c r="P207" s="5">
        <v>0</v>
      </c>
      <c r="Q207" s="5">
        <v>0</v>
      </c>
      <c r="R207" s="9">
        <v>0</v>
      </c>
      <c r="S207" s="8">
        <v>0</v>
      </c>
      <c r="T207" s="9">
        <v>0</v>
      </c>
    </row>
    <row r="208" spans="1:20" x14ac:dyDescent="0.2">
      <c r="A208" s="5" t="s">
        <v>249</v>
      </c>
      <c r="B208" s="5" t="s">
        <v>162</v>
      </c>
      <c r="C208" s="6" t="s">
        <v>508</v>
      </c>
      <c r="D208" s="7">
        <f t="shared" si="0"/>
        <v>2.4</v>
      </c>
      <c r="E208" s="8">
        <v>0</v>
      </c>
      <c r="F208" s="5">
        <v>0</v>
      </c>
      <c r="G208" s="5">
        <v>0</v>
      </c>
      <c r="H208" s="5">
        <v>0</v>
      </c>
      <c r="I208" s="5">
        <v>0</v>
      </c>
      <c r="J208" s="9">
        <v>0</v>
      </c>
      <c r="K208" s="8">
        <v>0</v>
      </c>
      <c r="L208" s="5">
        <v>0</v>
      </c>
      <c r="M208" s="5">
        <v>0</v>
      </c>
      <c r="N208" s="9">
        <v>0</v>
      </c>
      <c r="O208" s="8">
        <v>2</v>
      </c>
      <c r="P208" s="5">
        <v>4</v>
      </c>
      <c r="Q208" s="5">
        <v>0</v>
      </c>
      <c r="R208" s="9">
        <v>0</v>
      </c>
      <c r="S208" s="8">
        <v>0</v>
      </c>
      <c r="T208" s="9">
        <v>0</v>
      </c>
    </row>
    <row r="209" spans="1:20" x14ac:dyDescent="0.2">
      <c r="A209" s="5" t="s">
        <v>107</v>
      </c>
      <c r="B209" s="5" t="s">
        <v>75</v>
      </c>
      <c r="C209" s="6" t="s">
        <v>505</v>
      </c>
      <c r="D209" s="7">
        <f t="shared" si="0"/>
        <v>2.3000000000000003</v>
      </c>
      <c r="E209" s="8">
        <v>0</v>
      </c>
      <c r="F209" s="5">
        <v>0</v>
      </c>
      <c r="G209" s="5">
        <v>0</v>
      </c>
      <c r="H209" s="5">
        <v>0</v>
      </c>
      <c r="I209" s="5">
        <v>0</v>
      </c>
      <c r="J209" s="9">
        <v>0</v>
      </c>
      <c r="K209" s="8">
        <v>6</v>
      </c>
      <c r="L209" s="5">
        <v>23</v>
      </c>
      <c r="M209" s="5">
        <v>0</v>
      </c>
      <c r="N209" s="9">
        <v>0</v>
      </c>
      <c r="O209" s="8">
        <v>0</v>
      </c>
      <c r="P209" s="5">
        <v>0</v>
      </c>
      <c r="Q209" s="5">
        <v>0</v>
      </c>
      <c r="R209" s="9">
        <v>0</v>
      </c>
      <c r="S209" s="8">
        <v>0</v>
      </c>
      <c r="T209" s="9">
        <v>0</v>
      </c>
    </row>
    <row r="210" spans="1:20" x14ac:dyDescent="0.2">
      <c r="A210" s="5" t="s">
        <v>233</v>
      </c>
      <c r="B210" s="5" t="s">
        <v>162</v>
      </c>
      <c r="C210" s="6" t="s">
        <v>507</v>
      </c>
      <c r="D210" s="7">
        <f t="shared" si="0"/>
        <v>2.3000000000000003</v>
      </c>
      <c r="E210" s="8">
        <v>0</v>
      </c>
      <c r="F210" s="5">
        <v>0</v>
      </c>
      <c r="G210" s="5">
        <v>0</v>
      </c>
      <c r="H210" s="5">
        <v>0</v>
      </c>
      <c r="I210" s="5">
        <v>0</v>
      </c>
      <c r="J210" s="9">
        <v>0</v>
      </c>
      <c r="K210" s="8">
        <v>1</v>
      </c>
      <c r="L210" s="5">
        <v>6</v>
      </c>
      <c r="M210" s="5">
        <v>0</v>
      </c>
      <c r="N210" s="9">
        <v>0</v>
      </c>
      <c r="O210" s="8">
        <v>1</v>
      </c>
      <c r="P210" s="5">
        <v>7</v>
      </c>
      <c r="Q210" s="5">
        <v>0</v>
      </c>
      <c r="R210" s="9">
        <v>0</v>
      </c>
      <c r="S210" s="8">
        <v>0</v>
      </c>
      <c r="T210" s="9">
        <v>0</v>
      </c>
    </row>
    <row r="211" spans="1:20" x14ac:dyDescent="0.2">
      <c r="A211" s="5" t="s">
        <v>385</v>
      </c>
      <c r="B211" s="5" t="s">
        <v>162</v>
      </c>
      <c r="C211" s="6" t="s">
        <v>504</v>
      </c>
      <c r="D211" s="7">
        <f t="shared" si="0"/>
        <v>2.2999999999999998</v>
      </c>
      <c r="E211" s="8">
        <v>0</v>
      </c>
      <c r="F211" s="5">
        <v>0</v>
      </c>
      <c r="G211" s="5">
        <v>0</v>
      </c>
      <c r="H211" s="5">
        <v>0</v>
      </c>
      <c r="I211" s="5">
        <v>0</v>
      </c>
      <c r="J211" s="9">
        <v>0</v>
      </c>
      <c r="K211" s="8">
        <v>0</v>
      </c>
      <c r="L211" s="5">
        <v>0</v>
      </c>
      <c r="M211" s="5">
        <v>0</v>
      </c>
      <c r="N211" s="9">
        <v>0</v>
      </c>
      <c r="O211" s="8">
        <v>1</v>
      </c>
      <c r="P211" s="5">
        <v>13</v>
      </c>
      <c r="Q211" s="5">
        <v>0</v>
      </c>
      <c r="R211" s="9">
        <v>0</v>
      </c>
      <c r="S211" s="8">
        <v>0</v>
      </c>
      <c r="T211" s="9">
        <v>0</v>
      </c>
    </row>
    <row r="212" spans="1:20" x14ac:dyDescent="0.2">
      <c r="A212" s="5" t="s">
        <v>189</v>
      </c>
      <c r="B212" s="5" t="s">
        <v>162</v>
      </c>
      <c r="C212" s="8" t="s">
        <v>505</v>
      </c>
      <c r="D212" s="7">
        <f t="shared" si="0"/>
        <v>2.2999999999999998</v>
      </c>
      <c r="E212" s="8">
        <v>0</v>
      </c>
      <c r="F212" s="5">
        <v>0</v>
      </c>
      <c r="G212" s="5">
        <v>0</v>
      </c>
      <c r="H212" s="5">
        <v>0</v>
      </c>
      <c r="I212" s="5">
        <v>0</v>
      </c>
      <c r="J212" s="9">
        <v>0</v>
      </c>
      <c r="K212" s="8">
        <v>0</v>
      </c>
      <c r="L212" s="5">
        <v>0</v>
      </c>
      <c r="M212" s="5">
        <v>0</v>
      </c>
      <c r="N212" s="9">
        <v>0</v>
      </c>
      <c r="O212" s="8">
        <v>1</v>
      </c>
      <c r="P212" s="5">
        <v>13</v>
      </c>
      <c r="Q212" s="5">
        <v>0</v>
      </c>
      <c r="R212" s="9">
        <v>0</v>
      </c>
      <c r="S212" s="8">
        <v>0</v>
      </c>
      <c r="T212" s="9">
        <v>0</v>
      </c>
    </row>
    <row r="213" spans="1:20" x14ac:dyDescent="0.2">
      <c r="A213" s="5" t="s">
        <v>226</v>
      </c>
      <c r="B213" s="5" t="s">
        <v>162</v>
      </c>
      <c r="C213" s="6" t="s">
        <v>511</v>
      </c>
      <c r="D213" s="7">
        <f t="shared" si="0"/>
        <v>2.2000000000000002</v>
      </c>
      <c r="E213" s="8">
        <v>0</v>
      </c>
      <c r="F213" s="5">
        <v>0</v>
      </c>
      <c r="G213" s="5">
        <v>0</v>
      </c>
      <c r="H213" s="5">
        <v>0</v>
      </c>
      <c r="I213" s="5">
        <v>0</v>
      </c>
      <c r="J213" s="9">
        <v>0</v>
      </c>
      <c r="K213" s="8">
        <v>0</v>
      </c>
      <c r="L213" s="5">
        <v>0</v>
      </c>
      <c r="M213" s="5">
        <v>0</v>
      </c>
      <c r="N213" s="9">
        <v>0</v>
      </c>
      <c r="O213" s="8">
        <v>1</v>
      </c>
      <c r="P213" s="5">
        <v>12</v>
      </c>
      <c r="Q213" s="5">
        <v>0</v>
      </c>
      <c r="R213" s="9">
        <v>0</v>
      </c>
      <c r="S213" s="8">
        <v>0</v>
      </c>
      <c r="T213" s="9">
        <v>0</v>
      </c>
    </row>
    <row r="214" spans="1:20" x14ac:dyDescent="0.2">
      <c r="A214" s="5" t="s">
        <v>523</v>
      </c>
      <c r="B214" s="5" t="s">
        <v>162</v>
      </c>
      <c r="C214" s="8" t="s">
        <v>506</v>
      </c>
      <c r="D214" s="7">
        <f t="shared" si="0"/>
        <v>2.2000000000000002</v>
      </c>
      <c r="E214" s="8">
        <v>0</v>
      </c>
      <c r="F214" s="5">
        <v>0</v>
      </c>
      <c r="G214" s="5">
        <v>0</v>
      </c>
      <c r="H214" s="5">
        <v>0</v>
      </c>
      <c r="I214" s="5">
        <v>0</v>
      </c>
      <c r="J214" s="9">
        <v>0</v>
      </c>
      <c r="K214" s="8">
        <v>0</v>
      </c>
      <c r="L214" s="5">
        <v>0</v>
      </c>
      <c r="M214" s="5">
        <v>0</v>
      </c>
      <c r="N214" s="9">
        <v>0</v>
      </c>
      <c r="O214" s="8">
        <v>2</v>
      </c>
      <c r="P214" s="5">
        <v>2</v>
      </c>
      <c r="Q214" s="5">
        <v>0</v>
      </c>
      <c r="R214" s="9">
        <v>0</v>
      </c>
      <c r="S214" s="8">
        <v>0</v>
      </c>
      <c r="T214" s="9">
        <v>0</v>
      </c>
    </row>
    <row r="215" spans="1:20" x14ac:dyDescent="0.2">
      <c r="A215" s="5" t="s">
        <v>524</v>
      </c>
      <c r="B215" s="5" t="s">
        <v>69</v>
      </c>
      <c r="C215" s="6" t="s">
        <v>512</v>
      </c>
      <c r="D215" s="7">
        <f t="shared" si="0"/>
        <v>2.2000000000000002</v>
      </c>
      <c r="E215" s="8">
        <v>0</v>
      </c>
      <c r="F215" s="5">
        <v>0</v>
      </c>
      <c r="G215" s="5">
        <v>0</v>
      </c>
      <c r="H215" s="5">
        <v>0</v>
      </c>
      <c r="I215" s="5">
        <v>0</v>
      </c>
      <c r="J215" s="9">
        <v>0</v>
      </c>
      <c r="K215" s="8">
        <v>0</v>
      </c>
      <c r="L215" s="5">
        <v>0</v>
      </c>
      <c r="M215" s="5">
        <v>0</v>
      </c>
      <c r="N215" s="9">
        <v>0</v>
      </c>
      <c r="O215" s="8">
        <v>1</v>
      </c>
      <c r="P215" s="5">
        <v>12</v>
      </c>
      <c r="Q215" s="5">
        <v>0</v>
      </c>
      <c r="R215" s="9">
        <v>0</v>
      </c>
      <c r="S215" s="8">
        <v>0</v>
      </c>
      <c r="T215" s="9">
        <v>0</v>
      </c>
    </row>
    <row r="216" spans="1:20" x14ac:dyDescent="0.2">
      <c r="A216" s="5" t="s">
        <v>525</v>
      </c>
      <c r="B216" s="5" t="s">
        <v>75</v>
      </c>
      <c r="C216" s="8" t="s">
        <v>507</v>
      </c>
      <c r="D216" s="7">
        <f t="shared" si="0"/>
        <v>2.1</v>
      </c>
      <c r="E216" s="8">
        <v>0</v>
      </c>
      <c r="F216" s="5">
        <v>0</v>
      </c>
      <c r="G216" s="5">
        <v>0</v>
      </c>
      <c r="H216" s="5">
        <v>0</v>
      </c>
      <c r="I216" s="5">
        <v>0</v>
      </c>
      <c r="J216" s="9">
        <v>0</v>
      </c>
      <c r="K216" s="8">
        <v>6</v>
      </c>
      <c r="L216" s="5">
        <v>21</v>
      </c>
      <c r="M216" s="5">
        <v>0</v>
      </c>
      <c r="N216" s="9">
        <v>0</v>
      </c>
      <c r="O216" s="8">
        <v>0</v>
      </c>
      <c r="P216" s="5">
        <v>0</v>
      </c>
      <c r="Q216" s="5">
        <v>0</v>
      </c>
      <c r="R216" s="9">
        <v>0</v>
      </c>
      <c r="S216" s="8">
        <v>0</v>
      </c>
      <c r="T216" s="9">
        <v>0</v>
      </c>
    </row>
    <row r="217" spans="1:20" x14ac:dyDescent="0.2">
      <c r="A217" s="5" t="s">
        <v>359</v>
      </c>
      <c r="B217" s="5" t="s">
        <v>162</v>
      </c>
      <c r="C217" s="8" t="s">
        <v>501</v>
      </c>
      <c r="D217" s="7">
        <f t="shared" si="0"/>
        <v>2.1</v>
      </c>
      <c r="E217" s="8">
        <v>0</v>
      </c>
      <c r="F217" s="5">
        <v>0</v>
      </c>
      <c r="G217" s="5">
        <v>0</v>
      </c>
      <c r="H217" s="5">
        <v>0</v>
      </c>
      <c r="I217" s="5">
        <v>0</v>
      </c>
      <c r="J217" s="9">
        <v>0</v>
      </c>
      <c r="K217" s="8">
        <v>0</v>
      </c>
      <c r="L217" s="5">
        <v>0</v>
      </c>
      <c r="M217" s="5">
        <v>0</v>
      </c>
      <c r="N217" s="9">
        <v>0</v>
      </c>
      <c r="O217" s="8">
        <v>1</v>
      </c>
      <c r="P217" s="5">
        <v>11</v>
      </c>
      <c r="Q217" s="5">
        <v>0</v>
      </c>
      <c r="R217" s="9">
        <v>0</v>
      </c>
      <c r="S217" s="8">
        <v>0</v>
      </c>
      <c r="T217" s="9">
        <v>0</v>
      </c>
    </row>
    <row r="218" spans="1:20" x14ac:dyDescent="0.2">
      <c r="A218" s="5" t="s">
        <v>439</v>
      </c>
      <c r="B218" s="5" t="s">
        <v>162</v>
      </c>
      <c r="C218" s="8" t="s">
        <v>510</v>
      </c>
      <c r="D218" s="7">
        <f t="shared" si="0"/>
        <v>2.1</v>
      </c>
      <c r="E218" s="8">
        <v>0</v>
      </c>
      <c r="F218" s="5">
        <v>0</v>
      </c>
      <c r="G218" s="5">
        <v>0</v>
      </c>
      <c r="H218" s="5">
        <v>0</v>
      </c>
      <c r="I218" s="5">
        <v>0</v>
      </c>
      <c r="J218" s="9">
        <v>0</v>
      </c>
      <c r="K218" s="8">
        <v>1</v>
      </c>
      <c r="L218" s="5">
        <v>0</v>
      </c>
      <c r="M218" s="5">
        <v>0</v>
      </c>
      <c r="N218" s="9">
        <v>0</v>
      </c>
      <c r="O218" s="8">
        <v>1</v>
      </c>
      <c r="P218" s="5">
        <v>11</v>
      </c>
      <c r="Q218" s="5">
        <v>0</v>
      </c>
      <c r="R218" s="9">
        <v>0</v>
      </c>
      <c r="S218" s="8">
        <v>0</v>
      </c>
      <c r="T218" s="9">
        <v>0</v>
      </c>
    </row>
    <row r="219" spans="1:20" x14ac:dyDescent="0.2">
      <c r="A219" s="5" t="s">
        <v>350</v>
      </c>
      <c r="B219" s="5" t="s">
        <v>162</v>
      </c>
      <c r="C219" s="8" t="s">
        <v>502</v>
      </c>
      <c r="D219" s="7">
        <f t="shared" si="0"/>
        <v>2.1</v>
      </c>
      <c r="E219" s="8">
        <v>0</v>
      </c>
      <c r="F219" s="5">
        <v>0</v>
      </c>
      <c r="G219" s="5">
        <v>0</v>
      </c>
      <c r="H219" s="5">
        <v>0</v>
      </c>
      <c r="I219" s="5">
        <v>0</v>
      </c>
      <c r="J219" s="9">
        <v>0</v>
      </c>
      <c r="K219" s="8">
        <v>0</v>
      </c>
      <c r="L219" s="5">
        <v>0</v>
      </c>
      <c r="M219" s="5">
        <v>0</v>
      </c>
      <c r="N219" s="9">
        <v>0</v>
      </c>
      <c r="O219" s="8">
        <v>1</v>
      </c>
      <c r="P219" s="5">
        <v>11</v>
      </c>
      <c r="Q219" s="5">
        <v>0</v>
      </c>
      <c r="R219" s="9">
        <v>0</v>
      </c>
      <c r="S219" s="8">
        <v>0</v>
      </c>
      <c r="T219" s="9">
        <v>0</v>
      </c>
    </row>
    <row r="220" spans="1:20" x14ac:dyDescent="0.2">
      <c r="A220" s="5" t="s">
        <v>526</v>
      </c>
      <c r="B220" s="5" t="s">
        <v>69</v>
      </c>
      <c r="C220" s="8" t="s">
        <v>511</v>
      </c>
      <c r="D220" s="7">
        <f t="shared" si="0"/>
        <v>2.1</v>
      </c>
      <c r="E220" s="8">
        <v>0</v>
      </c>
      <c r="F220" s="5">
        <v>0</v>
      </c>
      <c r="G220" s="5">
        <v>0</v>
      </c>
      <c r="H220" s="5">
        <v>0</v>
      </c>
      <c r="I220" s="5">
        <v>0</v>
      </c>
      <c r="J220" s="9">
        <v>0</v>
      </c>
      <c r="K220" s="8">
        <v>0</v>
      </c>
      <c r="L220" s="5">
        <v>0</v>
      </c>
      <c r="M220" s="5">
        <v>0</v>
      </c>
      <c r="N220" s="9">
        <v>0</v>
      </c>
      <c r="O220" s="8">
        <v>1</v>
      </c>
      <c r="P220" s="5">
        <v>11</v>
      </c>
      <c r="Q220" s="5">
        <v>0</v>
      </c>
      <c r="R220" s="9">
        <v>0</v>
      </c>
      <c r="S220" s="8">
        <v>0</v>
      </c>
      <c r="T220" s="9">
        <v>0</v>
      </c>
    </row>
    <row r="221" spans="1:20" x14ac:dyDescent="0.2">
      <c r="A221" s="5" t="s">
        <v>143</v>
      </c>
      <c r="B221" s="5" t="s">
        <v>75</v>
      </c>
      <c r="C221" s="8" t="s">
        <v>505</v>
      </c>
      <c r="D221" s="7">
        <f t="shared" si="0"/>
        <v>2</v>
      </c>
      <c r="E221" s="8">
        <v>0</v>
      </c>
      <c r="F221" s="5">
        <v>0</v>
      </c>
      <c r="G221" s="5">
        <v>0</v>
      </c>
      <c r="H221" s="5">
        <v>0</v>
      </c>
      <c r="I221" s="5">
        <v>0</v>
      </c>
      <c r="J221" s="9">
        <v>0</v>
      </c>
      <c r="K221" s="8">
        <v>0</v>
      </c>
      <c r="L221" s="5">
        <v>0</v>
      </c>
      <c r="M221" s="5">
        <v>0</v>
      </c>
      <c r="N221" s="9">
        <v>1</v>
      </c>
      <c r="O221" s="8">
        <v>0</v>
      </c>
      <c r="P221" s="5">
        <v>0</v>
      </c>
      <c r="Q221" s="5">
        <v>0</v>
      </c>
      <c r="R221" s="9">
        <v>0</v>
      </c>
      <c r="S221" s="8">
        <v>0</v>
      </c>
      <c r="T221" s="9">
        <v>0</v>
      </c>
    </row>
    <row r="222" spans="1:20" x14ac:dyDescent="0.2">
      <c r="A222" s="5" t="s">
        <v>265</v>
      </c>
      <c r="B222" s="5" t="s">
        <v>162</v>
      </c>
      <c r="C222" s="8" t="s">
        <v>503</v>
      </c>
      <c r="D222" s="7">
        <f t="shared" si="0"/>
        <v>2</v>
      </c>
      <c r="E222" s="8">
        <v>0</v>
      </c>
      <c r="F222" s="5">
        <v>0</v>
      </c>
      <c r="G222" s="5">
        <v>0</v>
      </c>
      <c r="H222" s="5">
        <v>0</v>
      </c>
      <c r="I222" s="5">
        <v>0</v>
      </c>
      <c r="J222" s="9">
        <v>0</v>
      </c>
      <c r="K222" s="8">
        <v>0</v>
      </c>
      <c r="L222" s="5">
        <v>0</v>
      </c>
      <c r="M222" s="5">
        <v>0</v>
      </c>
      <c r="N222" s="9">
        <v>0</v>
      </c>
      <c r="O222" s="8">
        <v>1</v>
      </c>
      <c r="P222" s="5">
        <v>10</v>
      </c>
      <c r="Q222" s="5">
        <v>0</v>
      </c>
      <c r="R222" s="9">
        <v>0</v>
      </c>
      <c r="S222" s="8">
        <v>0</v>
      </c>
      <c r="T222" s="9">
        <v>0</v>
      </c>
    </row>
    <row r="223" spans="1:20" x14ac:dyDescent="0.2">
      <c r="A223" s="5" t="s">
        <v>384</v>
      </c>
      <c r="B223" s="5" t="s">
        <v>162</v>
      </c>
      <c r="C223" s="8" t="s">
        <v>501</v>
      </c>
      <c r="D223" s="7">
        <f t="shared" si="0"/>
        <v>2</v>
      </c>
      <c r="E223" s="8">
        <v>0</v>
      </c>
      <c r="F223" s="5">
        <v>0</v>
      </c>
      <c r="G223" s="5">
        <v>0</v>
      </c>
      <c r="H223" s="5">
        <v>0</v>
      </c>
      <c r="I223" s="5">
        <v>0</v>
      </c>
      <c r="J223" s="9">
        <v>0</v>
      </c>
      <c r="K223" s="8">
        <v>0</v>
      </c>
      <c r="L223" s="5">
        <v>0</v>
      </c>
      <c r="M223" s="5">
        <v>0</v>
      </c>
      <c r="N223" s="9">
        <v>0</v>
      </c>
      <c r="O223" s="8">
        <v>1</v>
      </c>
      <c r="P223" s="5">
        <v>10</v>
      </c>
      <c r="Q223" s="5">
        <v>0</v>
      </c>
      <c r="R223" s="9">
        <v>0</v>
      </c>
      <c r="S223" s="8">
        <v>0</v>
      </c>
      <c r="T223" s="9">
        <v>0</v>
      </c>
    </row>
    <row r="224" spans="1:20" x14ac:dyDescent="0.2">
      <c r="A224" s="5" t="s">
        <v>344</v>
      </c>
      <c r="B224" s="5" t="s">
        <v>162</v>
      </c>
      <c r="C224" s="6" t="s">
        <v>512</v>
      </c>
      <c r="D224" s="7">
        <f t="shared" si="0"/>
        <v>2</v>
      </c>
      <c r="E224" s="8">
        <v>0</v>
      </c>
      <c r="F224" s="5">
        <v>0</v>
      </c>
      <c r="G224" s="5">
        <v>0</v>
      </c>
      <c r="H224" s="5">
        <v>0</v>
      </c>
      <c r="I224" s="5">
        <v>0</v>
      </c>
      <c r="J224" s="9">
        <v>0</v>
      </c>
      <c r="K224" s="8">
        <v>0</v>
      </c>
      <c r="L224" s="5">
        <v>0</v>
      </c>
      <c r="M224" s="5">
        <v>0</v>
      </c>
      <c r="N224" s="9">
        <v>0</v>
      </c>
      <c r="O224" s="8">
        <v>1</v>
      </c>
      <c r="P224" s="5">
        <v>10</v>
      </c>
      <c r="Q224" s="5">
        <v>0</v>
      </c>
      <c r="R224" s="9">
        <v>0</v>
      </c>
      <c r="S224" s="8">
        <v>0</v>
      </c>
      <c r="T224" s="9">
        <v>0</v>
      </c>
    </row>
    <row r="225" spans="1:20" x14ac:dyDescent="0.2">
      <c r="A225" s="5" t="s">
        <v>82</v>
      </c>
      <c r="B225" s="5" t="s">
        <v>75</v>
      </c>
      <c r="C225" s="6" t="s">
        <v>501</v>
      </c>
      <c r="D225" s="7">
        <f t="shared" si="0"/>
        <v>1.9000000000000001</v>
      </c>
      <c r="E225" s="8">
        <v>0</v>
      </c>
      <c r="F225" s="5">
        <v>0</v>
      </c>
      <c r="G225" s="5">
        <v>0</v>
      </c>
      <c r="H225" s="5">
        <v>0</v>
      </c>
      <c r="I225" s="5">
        <v>0</v>
      </c>
      <c r="J225" s="9">
        <v>0</v>
      </c>
      <c r="K225" s="8">
        <v>3</v>
      </c>
      <c r="L225" s="5">
        <v>19</v>
      </c>
      <c r="M225" s="5">
        <v>0</v>
      </c>
      <c r="N225" s="9">
        <v>0</v>
      </c>
      <c r="O225" s="8">
        <v>0</v>
      </c>
      <c r="P225" s="5">
        <v>0</v>
      </c>
      <c r="Q225" s="5">
        <v>0</v>
      </c>
      <c r="R225" s="9">
        <v>0</v>
      </c>
      <c r="S225" s="8">
        <v>0</v>
      </c>
      <c r="T225" s="9">
        <v>0</v>
      </c>
    </row>
    <row r="226" spans="1:20" x14ac:dyDescent="0.2">
      <c r="A226" s="5" t="s">
        <v>527</v>
      </c>
      <c r="B226" s="5" t="s">
        <v>162</v>
      </c>
      <c r="C226" s="6" t="s">
        <v>500</v>
      </c>
      <c r="D226" s="7">
        <f t="shared" si="0"/>
        <v>1.9</v>
      </c>
      <c r="E226" s="8">
        <v>0</v>
      </c>
      <c r="F226" s="5">
        <v>0</v>
      </c>
      <c r="G226" s="5">
        <v>0</v>
      </c>
      <c r="H226" s="5">
        <v>0</v>
      </c>
      <c r="I226" s="5">
        <v>0</v>
      </c>
      <c r="J226" s="9">
        <v>0</v>
      </c>
      <c r="K226" s="8">
        <v>0</v>
      </c>
      <c r="L226" s="5">
        <v>0</v>
      </c>
      <c r="M226" s="5">
        <v>0</v>
      </c>
      <c r="N226" s="9">
        <v>0</v>
      </c>
      <c r="O226" s="8">
        <v>1</v>
      </c>
      <c r="P226" s="5">
        <v>9</v>
      </c>
      <c r="Q226" s="5">
        <v>0</v>
      </c>
      <c r="R226" s="9">
        <v>0</v>
      </c>
      <c r="S226" s="8">
        <v>0</v>
      </c>
      <c r="T226" s="9">
        <v>0</v>
      </c>
    </row>
    <row r="227" spans="1:20" x14ac:dyDescent="0.2">
      <c r="A227" s="5" t="s">
        <v>231</v>
      </c>
      <c r="B227" s="5" t="s">
        <v>162</v>
      </c>
      <c r="C227" s="8" t="s">
        <v>505</v>
      </c>
      <c r="D227" s="7">
        <f t="shared" si="0"/>
        <v>1.9</v>
      </c>
      <c r="E227" s="8">
        <v>0</v>
      </c>
      <c r="F227" s="5">
        <v>0</v>
      </c>
      <c r="G227" s="5">
        <v>0</v>
      </c>
      <c r="H227" s="5">
        <v>0</v>
      </c>
      <c r="I227" s="5">
        <v>0</v>
      </c>
      <c r="J227" s="9">
        <v>0</v>
      </c>
      <c r="K227" s="8">
        <v>0</v>
      </c>
      <c r="L227" s="5">
        <v>0</v>
      </c>
      <c r="M227" s="5">
        <v>0</v>
      </c>
      <c r="N227" s="9">
        <v>0</v>
      </c>
      <c r="O227" s="8">
        <v>1</v>
      </c>
      <c r="P227" s="5">
        <v>9</v>
      </c>
      <c r="Q227" s="5">
        <v>0</v>
      </c>
      <c r="R227" s="9">
        <v>0</v>
      </c>
      <c r="S227" s="8">
        <v>0</v>
      </c>
      <c r="T227" s="9">
        <v>0</v>
      </c>
    </row>
    <row r="228" spans="1:20" x14ac:dyDescent="0.2">
      <c r="A228" s="5" t="s">
        <v>205</v>
      </c>
      <c r="B228" s="5" t="s">
        <v>162</v>
      </c>
      <c r="C228" s="6" t="s">
        <v>503</v>
      </c>
      <c r="D228" s="7">
        <f t="shared" si="0"/>
        <v>1.9</v>
      </c>
      <c r="E228" s="8">
        <v>0</v>
      </c>
      <c r="F228" s="5">
        <v>0</v>
      </c>
      <c r="G228" s="5">
        <v>0</v>
      </c>
      <c r="H228" s="5">
        <v>0</v>
      </c>
      <c r="I228" s="5">
        <v>0</v>
      </c>
      <c r="J228" s="9">
        <v>0</v>
      </c>
      <c r="K228" s="8">
        <v>0</v>
      </c>
      <c r="L228" s="5">
        <v>0</v>
      </c>
      <c r="M228" s="5">
        <v>0</v>
      </c>
      <c r="N228" s="9">
        <v>0</v>
      </c>
      <c r="O228" s="8">
        <v>1</v>
      </c>
      <c r="P228" s="5">
        <v>9</v>
      </c>
      <c r="Q228" s="5">
        <v>0</v>
      </c>
      <c r="R228" s="9">
        <v>0</v>
      </c>
      <c r="S228" s="8">
        <v>0</v>
      </c>
      <c r="T228" s="9">
        <v>0</v>
      </c>
    </row>
    <row r="229" spans="1:20" x14ac:dyDescent="0.2">
      <c r="A229" s="5" t="s">
        <v>314</v>
      </c>
      <c r="B229" s="5" t="s">
        <v>69</v>
      </c>
      <c r="C229" s="8" t="s">
        <v>501</v>
      </c>
      <c r="D229" s="7">
        <f t="shared" si="0"/>
        <v>1.9</v>
      </c>
      <c r="E229" s="8">
        <v>0</v>
      </c>
      <c r="F229" s="5">
        <v>0</v>
      </c>
      <c r="G229" s="5">
        <v>0</v>
      </c>
      <c r="H229" s="5">
        <v>0</v>
      </c>
      <c r="I229" s="5">
        <v>0</v>
      </c>
      <c r="J229" s="9">
        <v>0</v>
      </c>
      <c r="K229" s="8">
        <v>0</v>
      </c>
      <c r="L229" s="5">
        <v>0</v>
      </c>
      <c r="M229" s="5">
        <v>0</v>
      </c>
      <c r="N229" s="9">
        <v>0</v>
      </c>
      <c r="O229" s="8">
        <v>1</v>
      </c>
      <c r="P229" s="5">
        <v>9</v>
      </c>
      <c r="Q229" s="5">
        <v>0</v>
      </c>
      <c r="R229" s="9">
        <v>0</v>
      </c>
      <c r="S229" s="8">
        <v>0</v>
      </c>
      <c r="T229" s="9">
        <v>0</v>
      </c>
    </row>
    <row r="230" spans="1:20" x14ac:dyDescent="0.2">
      <c r="A230" s="5" t="s">
        <v>159</v>
      </c>
      <c r="B230" s="5" t="s">
        <v>75</v>
      </c>
      <c r="C230" s="6" t="s">
        <v>507</v>
      </c>
      <c r="D230" s="7">
        <f t="shared" si="0"/>
        <v>1.8000000000000003</v>
      </c>
      <c r="E230" s="8">
        <v>0</v>
      </c>
      <c r="F230" s="5">
        <v>0</v>
      </c>
      <c r="G230" s="5">
        <v>0</v>
      </c>
      <c r="H230" s="5">
        <v>0</v>
      </c>
      <c r="I230" s="5">
        <v>0</v>
      </c>
      <c r="J230" s="9">
        <v>0</v>
      </c>
      <c r="K230" s="8">
        <v>3</v>
      </c>
      <c r="L230" s="5">
        <v>7</v>
      </c>
      <c r="M230" s="5">
        <v>0</v>
      </c>
      <c r="N230" s="9">
        <v>0</v>
      </c>
      <c r="O230" s="8">
        <v>1</v>
      </c>
      <c r="P230" s="5">
        <v>1</v>
      </c>
      <c r="Q230" s="5">
        <v>0</v>
      </c>
      <c r="R230" s="9">
        <v>0</v>
      </c>
      <c r="S230" s="8">
        <v>0</v>
      </c>
      <c r="T230" s="9">
        <v>0</v>
      </c>
    </row>
    <row r="231" spans="1:20" x14ac:dyDescent="0.2">
      <c r="A231" s="5" t="s">
        <v>450</v>
      </c>
      <c r="B231" s="5" t="s">
        <v>75</v>
      </c>
      <c r="C231" s="8" t="s">
        <v>506</v>
      </c>
      <c r="D231" s="7">
        <f t="shared" si="0"/>
        <v>1.8</v>
      </c>
      <c r="E231" s="8">
        <v>0</v>
      </c>
      <c r="F231" s="5">
        <v>0</v>
      </c>
      <c r="G231" s="5">
        <v>0</v>
      </c>
      <c r="H231" s="5">
        <v>0</v>
      </c>
      <c r="I231" s="5">
        <v>0</v>
      </c>
      <c r="J231" s="9">
        <v>0</v>
      </c>
      <c r="K231" s="8">
        <v>0</v>
      </c>
      <c r="L231" s="5">
        <v>0</v>
      </c>
      <c r="M231" s="5">
        <v>0</v>
      </c>
      <c r="N231" s="9">
        <v>0</v>
      </c>
      <c r="O231" s="8">
        <v>1</v>
      </c>
      <c r="P231" s="5">
        <v>8</v>
      </c>
      <c r="Q231" s="5">
        <v>0</v>
      </c>
      <c r="R231" s="9">
        <v>0</v>
      </c>
      <c r="S231" s="8">
        <v>0</v>
      </c>
      <c r="T231" s="9">
        <v>0</v>
      </c>
    </row>
    <row r="232" spans="1:20" x14ac:dyDescent="0.2">
      <c r="A232" s="5" t="s">
        <v>217</v>
      </c>
      <c r="B232" s="5" t="s">
        <v>162</v>
      </c>
      <c r="C232" s="6" t="s">
        <v>509</v>
      </c>
      <c r="D232" s="7">
        <f t="shared" si="0"/>
        <v>1.8</v>
      </c>
      <c r="E232" s="8">
        <v>0</v>
      </c>
      <c r="F232" s="5">
        <v>0</v>
      </c>
      <c r="G232" s="5">
        <v>0</v>
      </c>
      <c r="H232" s="5">
        <v>0</v>
      </c>
      <c r="I232" s="5">
        <v>0</v>
      </c>
      <c r="J232" s="9">
        <v>0</v>
      </c>
      <c r="K232" s="8">
        <v>0</v>
      </c>
      <c r="L232" s="5">
        <v>0</v>
      </c>
      <c r="M232" s="5">
        <v>0</v>
      </c>
      <c r="N232" s="9">
        <v>0</v>
      </c>
      <c r="O232" s="8">
        <v>1</v>
      </c>
      <c r="P232" s="5">
        <v>8</v>
      </c>
      <c r="Q232" s="5">
        <v>0</v>
      </c>
      <c r="R232" s="9">
        <v>0</v>
      </c>
      <c r="S232" s="8">
        <v>0</v>
      </c>
      <c r="T232" s="9">
        <v>0</v>
      </c>
    </row>
    <row r="233" spans="1:20" x14ac:dyDescent="0.2">
      <c r="A233" s="5" t="s">
        <v>149</v>
      </c>
      <c r="B233" s="5" t="s">
        <v>75</v>
      </c>
      <c r="C233" s="8" t="s">
        <v>502</v>
      </c>
      <c r="D233" s="7">
        <f t="shared" si="0"/>
        <v>1.7000000000000002</v>
      </c>
      <c r="E233" s="8">
        <v>0</v>
      </c>
      <c r="F233" s="5">
        <v>0</v>
      </c>
      <c r="G233" s="5">
        <v>0</v>
      </c>
      <c r="H233" s="5">
        <v>0</v>
      </c>
      <c r="I233" s="5">
        <v>0</v>
      </c>
      <c r="J233" s="9">
        <v>0</v>
      </c>
      <c r="K233" s="8">
        <v>2</v>
      </c>
      <c r="L233" s="5">
        <v>6</v>
      </c>
      <c r="M233" s="5">
        <v>0</v>
      </c>
      <c r="N233" s="9">
        <v>0</v>
      </c>
      <c r="O233" s="8">
        <v>1</v>
      </c>
      <c r="P233" s="5">
        <v>1</v>
      </c>
      <c r="Q233" s="5">
        <v>0</v>
      </c>
      <c r="R233" s="9">
        <v>0</v>
      </c>
      <c r="S233" s="8">
        <v>0</v>
      </c>
      <c r="T233" s="9">
        <v>0</v>
      </c>
    </row>
    <row r="234" spans="1:20" x14ac:dyDescent="0.2">
      <c r="A234" s="5" t="s">
        <v>528</v>
      </c>
      <c r="B234" s="5" t="s">
        <v>75</v>
      </c>
      <c r="C234" s="8" t="s">
        <v>510</v>
      </c>
      <c r="D234" s="7">
        <f t="shared" si="0"/>
        <v>1.7000000000000002</v>
      </c>
      <c r="E234" s="8">
        <v>0</v>
      </c>
      <c r="F234" s="5">
        <v>0</v>
      </c>
      <c r="G234" s="5">
        <v>0</v>
      </c>
      <c r="H234" s="5">
        <v>0</v>
      </c>
      <c r="I234" s="5">
        <v>0</v>
      </c>
      <c r="J234" s="9">
        <v>0</v>
      </c>
      <c r="K234" s="8">
        <v>0</v>
      </c>
      <c r="L234" s="5">
        <v>0</v>
      </c>
      <c r="M234" s="5">
        <v>0</v>
      </c>
      <c r="N234" s="9">
        <v>0</v>
      </c>
      <c r="O234" s="8">
        <v>1</v>
      </c>
      <c r="P234" s="5">
        <v>7</v>
      </c>
      <c r="Q234" s="5">
        <v>0</v>
      </c>
      <c r="R234" s="9">
        <v>0</v>
      </c>
      <c r="S234" s="8">
        <v>0</v>
      </c>
      <c r="T234" s="9">
        <v>0</v>
      </c>
    </row>
    <row r="235" spans="1:20" x14ac:dyDescent="0.2">
      <c r="A235" s="5" t="s">
        <v>225</v>
      </c>
      <c r="B235" s="5" t="s">
        <v>162</v>
      </c>
      <c r="C235" s="6" t="s">
        <v>512</v>
      </c>
      <c r="D235" s="7">
        <f t="shared" si="0"/>
        <v>1.7000000000000002</v>
      </c>
      <c r="E235" s="8">
        <v>0</v>
      </c>
      <c r="F235" s="5">
        <v>0</v>
      </c>
      <c r="G235" s="5">
        <v>0</v>
      </c>
      <c r="H235" s="5">
        <v>0</v>
      </c>
      <c r="I235" s="5">
        <v>0</v>
      </c>
      <c r="J235" s="9">
        <v>0</v>
      </c>
      <c r="K235" s="8">
        <v>0</v>
      </c>
      <c r="L235" s="5">
        <v>0</v>
      </c>
      <c r="M235" s="5">
        <v>0</v>
      </c>
      <c r="N235" s="9">
        <v>0</v>
      </c>
      <c r="O235" s="8">
        <v>1</v>
      </c>
      <c r="P235" s="5">
        <v>7</v>
      </c>
      <c r="Q235" s="5">
        <v>0</v>
      </c>
      <c r="R235" s="9">
        <v>0</v>
      </c>
      <c r="S235" s="8">
        <v>0</v>
      </c>
      <c r="T235" s="9">
        <v>0</v>
      </c>
    </row>
    <row r="236" spans="1:20" x14ac:dyDescent="0.2">
      <c r="A236" s="5" t="s">
        <v>367</v>
      </c>
      <c r="B236" s="5" t="s">
        <v>162</v>
      </c>
      <c r="C236" s="8" t="s">
        <v>512</v>
      </c>
      <c r="D236" s="7">
        <f t="shared" si="0"/>
        <v>1.7000000000000002</v>
      </c>
      <c r="E236" s="8">
        <v>0</v>
      </c>
      <c r="F236" s="5">
        <v>0</v>
      </c>
      <c r="G236" s="5">
        <v>0</v>
      </c>
      <c r="H236" s="5">
        <v>0</v>
      </c>
      <c r="I236" s="5">
        <v>0</v>
      </c>
      <c r="J236" s="9">
        <v>0</v>
      </c>
      <c r="K236" s="8">
        <v>0</v>
      </c>
      <c r="L236" s="5">
        <v>0</v>
      </c>
      <c r="M236" s="5">
        <v>0</v>
      </c>
      <c r="N236" s="9">
        <v>0</v>
      </c>
      <c r="O236" s="8">
        <v>1</v>
      </c>
      <c r="P236" s="5">
        <v>7</v>
      </c>
      <c r="Q236" s="5">
        <v>0</v>
      </c>
      <c r="R236" s="9">
        <v>0</v>
      </c>
      <c r="S236" s="8">
        <v>0</v>
      </c>
      <c r="T236" s="9">
        <v>0</v>
      </c>
    </row>
    <row r="237" spans="1:20" x14ac:dyDescent="0.2">
      <c r="A237" s="5" t="s">
        <v>315</v>
      </c>
      <c r="B237" s="5" t="s">
        <v>69</v>
      </c>
      <c r="C237" s="6" t="s">
        <v>504</v>
      </c>
      <c r="D237" s="7">
        <f t="shared" si="0"/>
        <v>1.7000000000000002</v>
      </c>
      <c r="E237" s="8">
        <v>0</v>
      </c>
      <c r="F237" s="5">
        <v>0</v>
      </c>
      <c r="G237" s="5">
        <v>0</v>
      </c>
      <c r="H237" s="5">
        <v>0</v>
      </c>
      <c r="I237" s="5">
        <v>0</v>
      </c>
      <c r="J237" s="9">
        <v>0</v>
      </c>
      <c r="K237" s="8">
        <v>0</v>
      </c>
      <c r="L237" s="5">
        <v>0</v>
      </c>
      <c r="M237" s="5">
        <v>0</v>
      </c>
      <c r="N237" s="9">
        <v>0</v>
      </c>
      <c r="O237" s="8">
        <v>1</v>
      </c>
      <c r="P237" s="5">
        <v>7</v>
      </c>
      <c r="Q237" s="5">
        <v>0</v>
      </c>
      <c r="R237" s="9">
        <v>0</v>
      </c>
      <c r="S237" s="8">
        <v>0</v>
      </c>
      <c r="T237" s="9">
        <v>0</v>
      </c>
    </row>
    <row r="238" spans="1:20" x14ac:dyDescent="0.2">
      <c r="A238" s="5" t="s">
        <v>474</v>
      </c>
      <c r="B238" s="5" t="s">
        <v>69</v>
      </c>
      <c r="C238" s="6" t="s">
        <v>503</v>
      </c>
      <c r="D238" s="7">
        <f t="shared" si="0"/>
        <v>1.7000000000000002</v>
      </c>
      <c r="E238" s="8">
        <v>0</v>
      </c>
      <c r="F238" s="5">
        <v>0</v>
      </c>
      <c r="G238" s="5">
        <v>0</v>
      </c>
      <c r="H238" s="5">
        <v>0</v>
      </c>
      <c r="I238" s="5">
        <v>0</v>
      </c>
      <c r="J238" s="9">
        <v>0</v>
      </c>
      <c r="K238" s="8">
        <v>0</v>
      </c>
      <c r="L238" s="5">
        <v>0</v>
      </c>
      <c r="M238" s="5">
        <v>0</v>
      </c>
      <c r="N238" s="9">
        <v>0</v>
      </c>
      <c r="O238" s="8">
        <v>1</v>
      </c>
      <c r="P238" s="5">
        <v>7</v>
      </c>
      <c r="Q238" s="5">
        <v>0</v>
      </c>
      <c r="R238" s="9">
        <v>0</v>
      </c>
      <c r="S238" s="8">
        <v>0</v>
      </c>
      <c r="T238" s="9">
        <v>0</v>
      </c>
    </row>
    <row r="239" spans="1:20" x14ac:dyDescent="0.2">
      <c r="A239" s="5" t="s">
        <v>177</v>
      </c>
      <c r="B239" s="5" t="s">
        <v>162</v>
      </c>
      <c r="C239" s="6" t="s">
        <v>508</v>
      </c>
      <c r="D239" s="7">
        <f t="shared" si="0"/>
        <v>1.6</v>
      </c>
      <c r="E239" s="8">
        <v>0</v>
      </c>
      <c r="F239" s="5">
        <v>0</v>
      </c>
      <c r="G239" s="5">
        <v>0</v>
      </c>
      <c r="H239" s="5">
        <v>0</v>
      </c>
      <c r="I239" s="5">
        <v>0</v>
      </c>
      <c r="J239" s="9">
        <v>0</v>
      </c>
      <c r="K239" s="8">
        <v>0</v>
      </c>
      <c r="L239" s="5">
        <v>0</v>
      </c>
      <c r="M239" s="5">
        <v>0</v>
      </c>
      <c r="N239" s="9">
        <v>0</v>
      </c>
      <c r="O239" s="8">
        <v>1</v>
      </c>
      <c r="P239" s="5">
        <v>6</v>
      </c>
      <c r="Q239" s="5">
        <v>0</v>
      </c>
      <c r="R239" s="9">
        <v>0</v>
      </c>
      <c r="S239" s="8">
        <v>0</v>
      </c>
      <c r="T239" s="9">
        <v>0</v>
      </c>
    </row>
    <row r="240" spans="1:20" x14ac:dyDescent="0.2">
      <c r="A240" s="5" t="s">
        <v>365</v>
      </c>
      <c r="B240" s="5" t="s">
        <v>162</v>
      </c>
      <c r="C240" s="8" t="s">
        <v>512</v>
      </c>
      <c r="D240" s="7">
        <f t="shared" si="0"/>
        <v>1.6</v>
      </c>
      <c r="E240" s="8">
        <v>0</v>
      </c>
      <c r="F240" s="5">
        <v>0</v>
      </c>
      <c r="G240" s="5">
        <v>0</v>
      </c>
      <c r="H240" s="5">
        <v>0</v>
      </c>
      <c r="I240" s="5">
        <v>0</v>
      </c>
      <c r="J240" s="9">
        <v>0</v>
      </c>
      <c r="K240" s="8">
        <v>1</v>
      </c>
      <c r="L240" s="5">
        <v>16</v>
      </c>
      <c r="M240" s="5">
        <v>0</v>
      </c>
      <c r="N240" s="9">
        <v>0</v>
      </c>
      <c r="O240" s="8">
        <v>0</v>
      </c>
      <c r="P240" s="5">
        <v>0</v>
      </c>
      <c r="Q240" s="5">
        <v>0</v>
      </c>
      <c r="R240" s="9">
        <v>0</v>
      </c>
      <c r="S240" s="8">
        <v>0</v>
      </c>
      <c r="T240" s="9">
        <v>0</v>
      </c>
    </row>
    <row r="241" spans="1:20" x14ac:dyDescent="0.2">
      <c r="A241" s="5" t="s">
        <v>132</v>
      </c>
      <c r="B241" s="5" t="s">
        <v>75</v>
      </c>
      <c r="C241" s="8" t="s">
        <v>511</v>
      </c>
      <c r="D241" s="7">
        <f t="shared" si="0"/>
        <v>1.5</v>
      </c>
      <c r="E241" s="8">
        <v>0</v>
      </c>
      <c r="F241" s="5">
        <v>0</v>
      </c>
      <c r="G241" s="5">
        <v>0</v>
      </c>
      <c r="H241" s="5">
        <v>0</v>
      </c>
      <c r="I241" s="5">
        <v>0</v>
      </c>
      <c r="J241" s="9">
        <v>0</v>
      </c>
      <c r="K241" s="8">
        <v>1</v>
      </c>
      <c r="L241" s="5">
        <v>15</v>
      </c>
      <c r="M241" s="5">
        <v>0</v>
      </c>
      <c r="N241" s="9">
        <v>0</v>
      </c>
      <c r="O241" s="8">
        <v>0</v>
      </c>
      <c r="P241" s="5">
        <v>0</v>
      </c>
      <c r="Q241" s="5">
        <v>0</v>
      </c>
      <c r="R241" s="9">
        <v>0</v>
      </c>
      <c r="S241" s="8">
        <v>0</v>
      </c>
      <c r="T241" s="9">
        <v>0</v>
      </c>
    </row>
    <row r="242" spans="1:20" x14ac:dyDescent="0.2">
      <c r="A242" s="5" t="s">
        <v>134</v>
      </c>
      <c r="B242" s="5" t="s">
        <v>75</v>
      </c>
      <c r="C242" s="6" t="s">
        <v>507</v>
      </c>
      <c r="D242" s="7">
        <f t="shared" si="0"/>
        <v>1.5</v>
      </c>
      <c r="E242" s="8">
        <v>0</v>
      </c>
      <c r="F242" s="5">
        <v>0</v>
      </c>
      <c r="G242" s="5">
        <v>0</v>
      </c>
      <c r="H242" s="5">
        <v>0</v>
      </c>
      <c r="I242" s="5">
        <v>0</v>
      </c>
      <c r="J242" s="9">
        <v>0</v>
      </c>
      <c r="K242" s="8">
        <v>5</v>
      </c>
      <c r="L242" s="5">
        <v>15</v>
      </c>
      <c r="M242" s="5">
        <v>0</v>
      </c>
      <c r="N242" s="9">
        <v>0</v>
      </c>
      <c r="O242" s="8">
        <v>0</v>
      </c>
      <c r="P242" s="5">
        <v>0</v>
      </c>
      <c r="Q242" s="5">
        <v>0</v>
      </c>
      <c r="R242" s="9">
        <v>0</v>
      </c>
      <c r="S242" s="8">
        <v>0</v>
      </c>
      <c r="T242" s="9">
        <v>0</v>
      </c>
    </row>
    <row r="243" spans="1:20" x14ac:dyDescent="0.2">
      <c r="A243" s="5" t="s">
        <v>139</v>
      </c>
      <c r="B243" s="5" t="s">
        <v>75</v>
      </c>
      <c r="C243" s="8" t="s">
        <v>514</v>
      </c>
      <c r="D243" s="7">
        <f t="shared" si="0"/>
        <v>1.5</v>
      </c>
      <c r="E243" s="8">
        <v>0</v>
      </c>
      <c r="F243" s="5">
        <v>0</v>
      </c>
      <c r="G243" s="5">
        <v>0</v>
      </c>
      <c r="H243" s="5">
        <v>0</v>
      </c>
      <c r="I243" s="5">
        <v>0</v>
      </c>
      <c r="J243" s="9">
        <v>0</v>
      </c>
      <c r="K243" s="8">
        <v>1</v>
      </c>
      <c r="L243" s="5">
        <v>0</v>
      </c>
      <c r="M243" s="5">
        <v>0</v>
      </c>
      <c r="N243" s="9">
        <v>0</v>
      </c>
      <c r="O243" s="8">
        <v>1</v>
      </c>
      <c r="P243" s="5">
        <v>5</v>
      </c>
      <c r="Q243" s="5">
        <v>0</v>
      </c>
      <c r="R243" s="9">
        <v>0</v>
      </c>
      <c r="S243" s="8">
        <v>0</v>
      </c>
      <c r="T243" s="9">
        <v>0</v>
      </c>
    </row>
    <row r="244" spans="1:20" x14ac:dyDescent="0.2">
      <c r="A244" s="5" t="s">
        <v>174</v>
      </c>
      <c r="B244" s="5" t="s">
        <v>162</v>
      </c>
      <c r="C244" s="6" t="s">
        <v>512</v>
      </c>
      <c r="D244" s="7">
        <f t="shared" si="0"/>
        <v>1.4</v>
      </c>
      <c r="E244" s="8">
        <v>0</v>
      </c>
      <c r="F244" s="5">
        <v>0</v>
      </c>
      <c r="G244" s="5">
        <v>0</v>
      </c>
      <c r="H244" s="5">
        <v>0</v>
      </c>
      <c r="I244" s="5">
        <v>0</v>
      </c>
      <c r="J244" s="9">
        <v>0</v>
      </c>
      <c r="K244" s="8">
        <v>0</v>
      </c>
      <c r="L244" s="5">
        <v>0</v>
      </c>
      <c r="M244" s="5">
        <v>0</v>
      </c>
      <c r="N244" s="9">
        <v>0</v>
      </c>
      <c r="O244" s="8">
        <v>1</v>
      </c>
      <c r="P244" s="5">
        <v>4</v>
      </c>
      <c r="Q244" s="5">
        <v>0</v>
      </c>
      <c r="R244" s="9">
        <v>0</v>
      </c>
      <c r="S244" s="8">
        <v>0</v>
      </c>
      <c r="T244" s="9">
        <v>0</v>
      </c>
    </row>
    <row r="245" spans="1:20" x14ac:dyDescent="0.2">
      <c r="A245" s="5" t="s">
        <v>448</v>
      </c>
      <c r="B245" s="5" t="s">
        <v>69</v>
      </c>
      <c r="C245" s="6" t="s">
        <v>508</v>
      </c>
      <c r="D245" s="7">
        <f t="shared" si="0"/>
        <v>1.4</v>
      </c>
      <c r="E245" s="8">
        <v>0</v>
      </c>
      <c r="F245" s="5">
        <v>0</v>
      </c>
      <c r="G245" s="5">
        <v>0</v>
      </c>
      <c r="H245" s="5">
        <v>0</v>
      </c>
      <c r="I245" s="5">
        <v>0</v>
      </c>
      <c r="J245" s="9">
        <v>0</v>
      </c>
      <c r="K245" s="8">
        <v>0</v>
      </c>
      <c r="L245" s="5">
        <v>0</v>
      </c>
      <c r="M245" s="5">
        <v>0</v>
      </c>
      <c r="N245" s="9">
        <v>0</v>
      </c>
      <c r="O245" s="8">
        <v>1</v>
      </c>
      <c r="P245" s="5">
        <v>4</v>
      </c>
      <c r="Q245" s="5">
        <v>0</v>
      </c>
      <c r="R245" s="9">
        <v>0</v>
      </c>
      <c r="S245" s="8">
        <v>0</v>
      </c>
      <c r="T245" s="9">
        <v>0</v>
      </c>
    </row>
    <row r="246" spans="1:20" x14ac:dyDescent="0.2">
      <c r="A246" s="5" t="s">
        <v>127</v>
      </c>
      <c r="B246" s="5" t="s">
        <v>75</v>
      </c>
      <c r="C246" s="8" t="s">
        <v>502</v>
      </c>
      <c r="D246" s="7">
        <f t="shared" si="0"/>
        <v>1.3</v>
      </c>
      <c r="E246" s="8">
        <v>0</v>
      </c>
      <c r="F246" s="5">
        <v>0</v>
      </c>
      <c r="G246" s="5">
        <v>0</v>
      </c>
      <c r="H246" s="5">
        <v>0</v>
      </c>
      <c r="I246" s="5">
        <v>0</v>
      </c>
      <c r="J246" s="9">
        <v>0</v>
      </c>
      <c r="K246" s="8">
        <v>3</v>
      </c>
      <c r="L246" s="5">
        <v>13</v>
      </c>
      <c r="M246" s="5">
        <v>0</v>
      </c>
      <c r="N246" s="9">
        <v>0</v>
      </c>
      <c r="O246" s="8">
        <v>0</v>
      </c>
      <c r="P246" s="5">
        <v>0</v>
      </c>
      <c r="Q246" s="5">
        <v>0</v>
      </c>
      <c r="R246" s="9">
        <v>0</v>
      </c>
      <c r="S246" s="8">
        <v>0</v>
      </c>
      <c r="T246" s="9">
        <v>0</v>
      </c>
    </row>
    <row r="247" spans="1:20" x14ac:dyDescent="0.2">
      <c r="A247" s="5" t="s">
        <v>432</v>
      </c>
      <c r="B247" s="5" t="s">
        <v>162</v>
      </c>
      <c r="C247" s="8" t="s">
        <v>502</v>
      </c>
      <c r="D247" s="7">
        <f t="shared" si="0"/>
        <v>1.3</v>
      </c>
      <c r="E247" s="8">
        <v>0</v>
      </c>
      <c r="F247" s="5">
        <v>0</v>
      </c>
      <c r="G247" s="5">
        <v>0</v>
      </c>
      <c r="H247" s="5">
        <v>0</v>
      </c>
      <c r="I247" s="5">
        <v>0</v>
      </c>
      <c r="J247" s="9">
        <v>0</v>
      </c>
      <c r="K247" s="8">
        <v>0</v>
      </c>
      <c r="L247" s="5">
        <v>0</v>
      </c>
      <c r="M247" s="5">
        <v>0</v>
      </c>
      <c r="N247" s="9">
        <v>0</v>
      </c>
      <c r="O247" s="8">
        <v>1</v>
      </c>
      <c r="P247" s="5">
        <v>3</v>
      </c>
      <c r="Q247" s="5">
        <v>0</v>
      </c>
      <c r="R247" s="9">
        <v>0</v>
      </c>
      <c r="S247" s="8">
        <v>0</v>
      </c>
      <c r="T247" s="9">
        <v>0</v>
      </c>
    </row>
    <row r="248" spans="1:20" x14ac:dyDescent="0.2">
      <c r="A248" s="5" t="s">
        <v>94</v>
      </c>
      <c r="B248" s="5" t="s">
        <v>75</v>
      </c>
      <c r="C248" s="6" t="s">
        <v>506</v>
      </c>
      <c r="D248" s="7">
        <f t="shared" si="0"/>
        <v>1.2000000000000002</v>
      </c>
      <c r="E248" s="8">
        <v>0</v>
      </c>
      <c r="F248" s="5">
        <v>0</v>
      </c>
      <c r="G248" s="5">
        <v>0</v>
      </c>
      <c r="H248" s="5">
        <v>0</v>
      </c>
      <c r="I248" s="5">
        <v>0</v>
      </c>
      <c r="J248" s="9">
        <v>0</v>
      </c>
      <c r="K248" s="8">
        <v>7</v>
      </c>
      <c r="L248" s="5">
        <v>32</v>
      </c>
      <c r="M248" s="5">
        <v>0</v>
      </c>
      <c r="N248" s="9">
        <v>0</v>
      </c>
      <c r="O248" s="8">
        <v>0</v>
      </c>
      <c r="P248" s="5">
        <v>0</v>
      </c>
      <c r="Q248" s="5">
        <v>0</v>
      </c>
      <c r="R248" s="9">
        <v>0</v>
      </c>
      <c r="S248" s="8">
        <v>1</v>
      </c>
      <c r="T248" s="9">
        <v>0</v>
      </c>
    </row>
    <row r="249" spans="1:20" x14ac:dyDescent="0.2">
      <c r="A249" s="5" t="s">
        <v>395</v>
      </c>
      <c r="B249" s="5" t="s">
        <v>75</v>
      </c>
      <c r="C249" s="6" t="s">
        <v>500</v>
      </c>
      <c r="D249" s="7">
        <f t="shared" si="0"/>
        <v>1.2</v>
      </c>
      <c r="E249" s="8">
        <v>0</v>
      </c>
      <c r="F249" s="5">
        <v>0</v>
      </c>
      <c r="G249" s="5">
        <v>0</v>
      </c>
      <c r="H249" s="5">
        <v>0</v>
      </c>
      <c r="I249" s="5">
        <v>0</v>
      </c>
      <c r="J249" s="9">
        <v>0</v>
      </c>
      <c r="K249" s="8">
        <v>0</v>
      </c>
      <c r="L249" s="5">
        <v>0</v>
      </c>
      <c r="M249" s="5">
        <v>0</v>
      </c>
      <c r="N249" s="9">
        <v>0</v>
      </c>
      <c r="O249" s="8">
        <v>1</v>
      </c>
      <c r="P249" s="5">
        <v>2</v>
      </c>
      <c r="Q249" s="5">
        <v>0</v>
      </c>
      <c r="R249" s="9">
        <v>0</v>
      </c>
      <c r="S249" s="8">
        <v>0</v>
      </c>
      <c r="T249" s="9">
        <v>0</v>
      </c>
    </row>
    <row r="250" spans="1:20" x14ac:dyDescent="0.2">
      <c r="A250" s="5" t="s">
        <v>529</v>
      </c>
      <c r="B250" s="5" t="s">
        <v>162</v>
      </c>
      <c r="C250" s="6" t="s">
        <v>500</v>
      </c>
      <c r="D250" s="7">
        <f t="shared" si="0"/>
        <v>1.2</v>
      </c>
      <c r="E250" s="8">
        <v>0</v>
      </c>
      <c r="F250" s="5">
        <v>0</v>
      </c>
      <c r="G250" s="5">
        <v>0</v>
      </c>
      <c r="H250" s="5">
        <v>0</v>
      </c>
      <c r="I250" s="5">
        <v>0</v>
      </c>
      <c r="J250" s="9">
        <v>0</v>
      </c>
      <c r="K250" s="8">
        <v>0</v>
      </c>
      <c r="L250" s="5">
        <v>0</v>
      </c>
      <c r="M250" s="5">
        <v>0</v>
      </c>
      <c r="N250" s="9">
        <v>0</v>
      </c>
      <c r="O250" s="8">
        <v>1</v>
      </c>
      <c r="P250" s="5">
        <v>2</v>
      </c>
      <c r="Q250" s="5">
        <v>0</v>
      </c>
      <c r="R250" s="9">
        <v>0</v>
      </c>
      <c r="S250" s="8">
        <v>0</v>
      </c>
      <c r="T250" s="9">
        <v>0</v>
      </c>
    </row>
    <row r="251" spans="1:20" x14ac:dyDescent="0.2">
      <c r="A251" s="5" t="s">
        <v>477</v>
      </c>
      <c r="B251" s="5" t="s">
        <v>69</v>
      </c>
      <c r="C251" s="6" t="s">
        <v>505</v>
      </c>
      <c r="D251" s="7">
        <f t="shared" si="0"/>
        <v>1.2</v>
      </c>
      <c r="E251" s="8">
        <v>0</v>
      </c>
      <c r="F251" s="5">
        <v>0</v>
      </c>
      <c r="G251" s="5">
        <v>0</v>
      </c>
      <c r="H251" s="5">
        <v>0</v>
      </c>
      <c r="I251" s="5">
        <v>0</v>
      </c>
      <c r="J251" s="9">
        <v>0</v>
      </c>
      <c r="K251" s="8">
        <v>0</v>
      </c>
      <c r="L251" s="5">
        <v>0</v>
      </c>
      <c r="M251" s="5">
        <v>0</v>
      </c>
      <c r="N251" s="9">
        <v>0</v>
      </c>
      <c r="O251" s="8">
        <v>1</v>
      </c>
      <c r="P251" s="5">
        <v>2</v>
      </c>
      <c r="Q251" s="5">
        <v>0</v>
      </c>
      <c r="R251" s="9">
        <v>0</v>
      </c>
      <c r="S251" s="8">
        <v>0</v>
      </c>
      <c r="T251" s="9">
        <v>0</v>
      </c>
    </row>
    <row r="252" spans="1:20" x14ac:dyDescent="0.2">
      <c r="A252" s="5" t="s">
        <v>530</v>
      </c>
      <c r="B252" s="5" t="s">
        <v>162</v>
      </c>
      <c r="C252" s="6" t="s">
        <v>514</v>
      </c>
      <c r="D252" s="7">
        <f t="shared" si="0"/>
        <v>1.1000000000000001</v>
      </c>
      <c r="E252" s="8">
        <v>0</v>
      </c>
      <c r="F252" s="5">
        <v>0</v>
      </c>
      <c r="G252" s="5">
        <v>0</v>
      </c>
      <c r="H252" s="5">
        <v>0</v>
      </c>
      <c r="I252" s="5">
        <v>0</v>
      </c>
      <c r="J252" s="9">
        <v>0</v>
      </c>
      <c r="K252" s="8">
        <v>0</v>
      </c>
      <c r="L252" s="5">
        <v>0</v>
      </c>
      <c r="M252" s="5">
        <v>0</v>
      </c>
      <c r="N252" s="9">
        <v>0</v>
      </c>
      <c r="O252" s="8">
        <v>1</v>
      </c>
      <c r="P252" s="5">
        <v>1</v>
      </c>
      <c r="Q252" s="5">
        <v>0</v>
      </c>
      <c r="R252" s="9">
        <v>0</v>
      </c>
      <c r="S252" s="8">
        <v>0</v>
      </c>
      <c r="T252" s="9">
        <v>0</v>
      </c>
    </row>
    <row r="253" spans="1:20" x14ac:dyDescent="0.2">
      <c r="A253" s="5" t="s">
        <v>478</v>
      </c>
      <c r="B253" s="5" t="s">
        <v>162</v>
      </c>
      <c r="C253" s="8" t="s">
        <v>507</v>
      </c>
      <c r="D253" s="7">
        <f t="shared" si="0"/>
        <v>1.1000000000000001</v>
      </c>
      <c r="E253" s="8">
        <v>0</v>
      </c>
      <c r="F253" s="5">
        <v>0</v>
      </c>
      <c r="G253" s="5">
        <v>0</v>
      </c>
      <c r="H253" s="5">
        <v>0</v>
      </c>
      <c r="I253" s="5">
        <v>0</v>
      </c>
      <c r="J253" s="9">
        <v>0</v>
      </c>
      <c r="K253" s="8">
        <v>0</v>
      </c>
      <c r="L253" s="5">
        <v>0</v>
      </c>
      <c r="M253" s="5">
        <v>0</v>
      </c>
      <c r="N253" s="9">
        <v>0</v>
      </c>
      <c r="O253" s="8">
        <v>1</v>
      </c>
      <c r="P253" s="5">
        <v>1</v>
      </c>
      <c r="Q253" s="5">
        <v>0</v>
      </c>
      <c r="R253" s="9">
        <v>0</v>
      </c>
      <c r="S253" s="8">
        <v>0</v>
      </c>
      <c r="T253" s="9">
        <v>0</v>
      </c>
    </row>
    <row r="254" spans="1:20" x14ac:dyDescent="0.2">
      <c r="A254" s="5" t="s">
        <v>488</v>
      </c>
      <c r="B254" s="5" t="s">
        <v>17</v>
      </c>
      <c r="C254" s="8" t="s">
        <v>514</v>
      </c>
      <c r="D254" s="7">
        <f t="shared" si="0"/>
        <v>0.88</v>
      </c>
      <c r="E254" s="8">
        <v>9</v>
      </c>
      <c r="F254" s="5">
        <v>3</v>
      </c>
      <c r="G254" s="5">
        <v>22</v>
      </c>
      <c r="H254" s="5">
        <v>0</v>
      </c>
      <c r="I254" s="5">
        <v>0</v>
      </c>
      <c r="J254" s="9">
        <v>0</v>
      </c>
      <c r="K254" s="8">
        <v>0</v>
      </c>
      <c r="L254" s="5">
        <v>0</v>
      </c>
      <c r="M254" s="5">
        <v>0</v>
      </c>
      <c r="N254" s="9">
        <v>0</v>
      </c>
      <c r="O254" s="8">
        <v>0</v>
      </c>
      <c r="P254" s="5">
        <v>0</v>
      </c>
      <c r="Q254" s="5">
        <v>0</v>
      </c>
      <c r="R254" s="9">
        <v>0</v>
      </c>
      <c r="S254" s="8">
        <v>0</v>
      </c>
      <c r="T254" s="9">
        <v>0</v>
      </c>
    </row>
    <row r="255" spans="1:20" x14ac:dyDescent="0.2">
      <c r="A255" s="5" t="s">
        <v>112</v>
      </c>
      <c r="B255" s="5" t="s">
        <v>75</v>
      </c>
      <c r="C255" s="6" t="s">
        <v>502</v>
      </c>
      <c r="D255" s="7">
        <f t="shared" si="0"/>
        <v>0.8</v>
      </c>
      <c r="E255" s="8">
        <v>0</v>
      </c>
      <c r="F255" s="5">
        <v>0</v>
      </c>
      <c r="G255" s="5">
        <v>0</v>
      </c>
      <c r="H255" s="5">
        <v>0</v>
      </c>
      <c r="I255" s="5">
        <v>0</v>
      </c>
      <c r="J255" s="9">
        <v>0</v>
      </c>
      <c r="K255" s="8">
        <v>3</v>
      </c>
      <c r="L255" s="5">
        <v>8</v>
      </c>
      <c r="M255" s="5">
        <v>0</v>
      </c>
      <c r="N255" s="9">
        <v>0</v>
      </c>
      <c r="O255" s="8">
        <v>0</v>
      </c>
      <c r="P255" s="5">
        <v>0</v>
      </c>
      <c r="Q255" s="5">
        <v>0</v>
      </c>
      <c r="R255" s="9">
        <v>0</v>
      </c>
      <c r="S255" s="8">
        <v>0</v>
      </c>
      <c r="T255" s="9">
        <v>0</v>
      </c>
    </row>
    <row r="256" spans="1:20" x14ac:dyDescent="0.2">
      <c r="A256" s="5" t="s">
        <v>160</v>
      </c>
      <c r="B256" s="5" t="s">
        <v>75</v>
      </c>
      <c r="C256" s="6" t="s">
        <v>500</v>
      </c>
      <c r="D256" s="7">
        <f t="shared" si="0"/>
        <v>0.5</v>
      </c>
      <c r="E256" s="8">
        <v>0</v>
      </c>
      <c r="F256" s="5">
        <v>0</v>
      </c>
      <c r="G256" s="5">
        <v>0</v>
      </c>
      <c r="H256" s="5">
        <v>0</v>
      </c>
      <c r="I256" s="5">
        <v>0</v>
      </c>
      <c r="J256" s="9">
        <v>0</v>
      </c>
      <c r="K256" s="8">
        <v>1</v>
      </c>
      <c r="L256" s="5">
        <v>5</v>
      </c>
      <c r="M256" s="5">
        <v>0</v>
      </c>
      <c r="N256" s="9">
        <v>0</v>
      </c>
      <c r="O256" s="8">
        <v>0</v>
      </c>
      <c r="P256" s="5">
        <v>0</v>
      </c>
      <c r="Q256" s="5">
        <v>0</v>
      </c>
      <c r="R256" s="9">
        <v>0</v>
      </c>
      <c r="S256" s="8">
        <v>0</v>
      </c>
      <c r="T256" s="9">
        <v>0</v>
      </c>
    </row>
    <row r="257" spans="1:20" x14ac:dyDescent="0.2">
      <c r="A257" s="5" t="s">
        <v>292</v>
      </c>
      <c r="B257" s="5" t="s">
        <v>69</v>
      </c>
      <c r="C257" s="8" t="s">
        <v>511</v>
      </c>
      <c r="D257" s="7">
        <f t="shared" si="0"/>
        <v>0.5</v>
      </c>
      <c r="E257" s="8">
        <v>0</v>
      </c>
      <c r="F257" s="5">
        <v>0</v>
      </c>
      <c r="G257" s="5">
        <v>0</v>
      </c>
      <c r="H257" s="5">
        <v>0</v>
      </c>
      <c r="I257" s="5">
        <v>0</v>
      </c>
      <c r="J257" s="9">
        <v>0</v>
      </c>
      <c r="K257" s="8">
        <v>0</v>
      </c>
      <c r="L257" s="5">
        <v>0</v>
      </c>
      <c r="M257" s="5">
        <v>0</v>
      </c>
      <c r="N257" s="9">
        <v>0</v>
      </c>
      <c r="O257" s="8">
        <v>1</v>
      </c>
      <c r="P257" s="5">
        <v>15</v>
      </c>
      <c r="Q257" s="5">
        <v>0</v>
      </c>
      <c r="R257" s="9">
        <v>0</v>
      </c>
      <c r="S257" s="8">
        <v>1</v>
      </c>
      <c r="T257" s="9">
        <v>0</v>
      </c>
    </row>
    <row r="258" spans="1:20" x14ac:dyDescent="0.2">
      <c r="A258" s="5" t="s">
        <v>124</v>
      </c>
      <c r="B258" s="5" t="s">
        <v>75</v>
      </c>
      <c r="C258" s="6" t="s">
        <v>511</v>
      </c>
      <c r="D258" s="7">
        <f t="shared" ref="D258:D264" si="1">0.04*G258+4*H258-2*I258+2*J258+0.1*L258+6*M258+2*N258+1*O258+0.1*P258+6*Q258+2*R258-2*S258</f>
        <v>0.4</v>
      </c>
      <c r="E258" s="8">
        <v>0</v>
      </c>
      <c r="F258" s="5">
        <v>0</v>
      </c>
      <c r="G258" s="5">
        <v>0</v>
      </c>
      <c r="H258" s="5">
        <v>0</v>
      </c>
      <c r="I258" s="5">
        <v>0</v>
      </c>
      <c r="J258" s="9">
        <v>0</v>
      </c>
      <c r="K258" s="8">
        <v>3</v>
      </c>
      <c r="L258" s="5">
        <v>4</v>
      </c>
      <c r="M258" s="5">
        <v>0</v>
      </c>
      <c r="N258" s="9">
        <v>0</v>
      </c>
      <c r="O258" s="8">
        <v>0</v>
      </c>
      <c r="P258" s="5">
        <v>0</v>
      </c>
      <c r="Q258" s="5">
        <v>0</v>
      </c>
      <c r="R258" s="9">
        <v>0</v>
      </c>
      <c r="S258" s="8">
        <v>0</v>
      </c>
      <c r="T258" s="9">
        <v>0</v>
      </c>
    </row>
    <row r="259" spans="1:20" x14ac:dyDescent="0.2">
      <c r="A259" s="5" t="s">
        <v>377</v>
      </c>
      <c r="B259" s="5" t="s">
        <v>162</v>
      </c>
      <c r="C259" s="8" t="s">
        <v>503</v>
      </c>
      <c r="D259" s="7">
        <f t="shared" si="1"/>
        <v>0.4</v>
      </c>
      <c r="E259" s="8">
        <v>0</v>
      </c>
      <c r="F259" s="5">
        <v>0</v>
      </c>
      <c r="G259" s="5">
        <v>0</v>
      </c>
      <c r="H259" s="5">
        <v>0</v>
      </c>
      <c r="I259" s="5">
        <v>0</v>
      </c>
      <c r="J259" s="9">
        <v>0</v>
      </c>
      <c r="K259" s="8">
        <v>1</v>
      </c>
      <c r="L259" s="5">
        <v>4</v>
      </c>
      <c r="M259" s="5">
        <v>0</v>
      </c>
      <c r="N259" s="9">
        <v>0</v>
      </c>
      <c r="O259" s="8">
        <v>0</v>
      </c>
      <c r="P259" s="5">
        <v>0</v>
      </c>
      <c r="Q259" s="5">
        <v>0</v>
      </c>
      <c r="R259" s="9">
        <v>0</v>
      </c>
      <c r="S259" s="8">
        <v>0</v>
      </c>
      <c r="T259" s="9">
        <v>0</v>
      </c>
    </row>
    <row r="260" spans="1:20" x14ac:dyDescent="0.2">
      <c r="A260" s="5" t="s">
        <v>257</v>
      </c>
      <c r="B260" s="5" t="s">
        <v>162</v>
      </c>
      <c r="C260" s="8" t="s">
        <v>512</v>
      </c>
      <c r="D260" s="7">
        <f t="shared" si="1"/>
        <v>0.30000000000000004</v>
      </c>
      <c r="E260" s="8">
        <v>0</v>
      </c>
      <c r="F260" s="5">
        <v>0</v>
      </c>
      <c r="G260" s="5">
        <v>0</v>
      </c>
      <c r="H260" s="5">
        <v>0</v>
      </c>
      <c r="I260" s="5">
        <v>0</v>
      </c>
      <c r="J260" s="9">
        <v>0</v>
      </c>
      <c r="K260" s="8">
        <v>2</v>
      </c>
      <c r="L260" s="5">
        <v>3</v>
      </c>
      <c r="M260" s="5">
        <v>0</v>
      </c>
      <c r="N260" s="9">
        <v>0</v>
      </c>
      <c r="O260" s="8">
        <v>0</v>
      </c>
      <c r="P260" s="5">
        <v>0</v>
      </c>
      <c r="Q260" s="5">
        <v>0</v>
      </c>
      <c r="R260" s="9">
        <v>0</v>
      </c>
      <c r="S260" s="8">
        <v>0</v>
      </c>
      <c r="T260" s="9">
        <v>0</v>
      </c>
    </row>
    <row r="261" spans="1:20" x14ac:dyDescent="0.2">
      <c r="A261" s="5" t="s">
        <v>72</v>
      </c>
      <c r="B261" s="5" t="s">
        <v>17</v>
      </c>
      <c r="C261" s="6" t="s">
        <v>507</v>
      </c>
      <c r="D261" s="7">
        <f t="shared" si="1"/>
        <v>0.12</v>
      </c>
      <c r="E261" s="8">
        <v>2</v>
      </c>
      <c r="F261" s="5">
        <v>2</v>
      </c>
      <c r="G261" s="5">
        <v>8</v>
      </c>
      <c r="H261" s="5">
        <v>0</v>
      </c>
      <c r="I261" s="5">
        <v>0</v>
      </c>
      <c r="J261" s="9">
        <v>0</v>
      </c>
      <c r="K261" s="8">
        <v>1</v>
      </c>
      <c r="L261" s="5">
        <v>-2</v>
      </c>
      <c r="M261" s="5">
        <v>0</v>
      </c>
      <c r="N261" s="9">
        <v>0</v>
      </c>
      <c r="O261" s="8">
        <v>0</v>
      </c>
      <c r="P261" s="5">
        <v>0</v>
      </c>
      <c r="Q261" s="5">
        <v>0</v>
      </c>
      <c r="R261" s="9">
        <v>0</v>
      </c>
      <c r="S261" s="8">
        <v>0</v>
      </c>
      <c r="T261" s="9">
        <v>0</v>
      </c>
    </row>
    <row r="262" spans="1:20" x14ac:dyDescent="0.2">
      <c r="A262" s="5" t="s">
        <v>412</v>
      </c>
      <c r="B262" s="5" t="s">
        <v>17</v>
      </c>
      <c r="C262" s="6" t="s">
        <v>506</v>
      </c>
      <c r="D262" s="7">
        <f t="shared" si="1"/>
        <v>0.1</v>
      </c>
      <c r="E262" s="8">
        <v>0</v>
      </c>
      <c r="F262" s="5">
        <v>0</v>
      </c>
      <c r="G262" s="5">
        <v>0</v>
      </c>
      <c r="H262" s="5">
        <v>0</v>
      </c>
      <c r="I262" s="5">
        <v>0</v>
      </c>
      <c r="J262" s="9">
        <v>0</v>
      </c>
      <c r="K262" s="8">
        <v>1</v>
      </c>
      <c r="L262" s="5">
        <v>1</v>
      </c>
      <c r="M262" s="5">
        <v>0</v>
      </c>
      <c r="N262" s="9">
        <v>0</v>
      </c>
      <c r="O262" s="8">
        <v>0</v>
      </c>
      <c r="P262" s="5">
        <v>0</v>
      </c>
      <c r="Q262" s="5">
        <v>0</v>
      </c>
      <c r="R262" s="9">
        <v>0</v>
      </c>
      <c r="S262" s="8">
        <v>0</v>
      </c>
      <c r="T262" s="9">
        <v>0</v>
      </c>
    </row>
    <row r="263" spans="1:20" x14ac:dyDescent="0.2">
      <c r="A263" s="5" t="s">
        <v>383</v>
      </c>
      <c r="B263" s="5" t="s">
        <v>75</v>
      </c>
      <c r="C263" s="8" t="s">
        <v>508</v>
      </c>
      <c r="D263" s="7">
        <f t="shared" si="1"/>
        <v>0.1</v>
      </c>
      <c r="E263" s="8">
        <v>0</v>
      </c>
      <c r="F263" s="5">
        <v>0</v>
      </c>
      <c r="G263" s="5">
        <v>0</v>
      </c>
      <c r="H263" s="5">
        <v>0</v>
      </c>
      <c r="I263" s="5">
        <v>0</v>
      </c>
      <c r="J263" s="9">
        <v>0</v>
      </c>
      <c r="K263" s="8">
        <v>1</v>
      </c>
      <c r="L263" s="5">
        <v>1</v>
      </c>
      <c r="M263" s="5">
        <v>0</v>
      </c>
      <c r="N263" s="9">
        <v>0</v>
      </c>
      <c r="O263" s="8">
        <v>0</v>
      </c>
      <c r="P263" s="5">
        <v>0</v>
      </c>
      <c r="Q263" s="5">
        <v>0</v>
      </c>
      <c r="R263" s="9">
        <v>0</v>
      </c>
      <c r="S263" s="8">
        <v>0</v>
      </c>
      <c r="T263" s="9">
        <v>0</v>
      </c>
    </row>
    <row r="264" spans="1:20" x14ac:dyDescent="0.2">
      <c r="A264" s="5" t="s">
        <v>268</v>
      </c>
      <c r="B264" s="5" t="s">
        <v>162</v>
      </c>
      <c r="C264" s="6" t="s">
        <v>502</v>
      </c>
      <c r="D264" s="7">
        <f t="shared" si="1"/>
        <v>0.1</v>
      </c>
      <c r="E264" s="8">
        <v>0</v>
      </c>
      <c r="F264" s="5">
        <v>0</v>
      </c>
      <c r="G264" s="5">
        <v>0</v>
      </c>
      <c r="H264" s="5">
        <v>0</v>
      </c>
      <c r="I264" s="5">
        <v>0</v>
      </c>
      <c r="J264" s="9">
        <v>0</v>
      </c>
      <c r="K264" s="8">
        <v>1</v>
      </c>
      <c r="L264" s="5">
        <v>1</v>
      </c>
      <c r="M264" s="5">
        <v>0</v>
      </c>
      <c r="N264" s="9">
        <v>0</v>
      </c>
      <c r="O264" s="8">
        <v>0</v>
      </c>
      <c r="P264" s="5">
        <v>0</v>
      </c>
      <c r="Q264" s="5">
        <v>0</v>
      </c>
      <c r="R264" s="9">
        <v>0</v>
      </c>
      <c r="S264" s="8">
        <v>0</v>
      </c>
      <c r="T264" s="9">
        <v>0</v>
      </c>
    </row>
    <row r="265" spans="1:20" x14ac:dyDescent="0.2">
      <c r="A265" s="5" t="s">
        <v>320</v>
      </c>
      <c r="B265" s="5"/>
      <c r="C265" s="8"/>
      <c r="D265" s="10">
        <v>0</v>
      </c>
      <c r="E265" s="8"/>
      <c r="F265" s="5"/>
      <c r="G265" s="5"/>
      <c r="H265" s="5"/>
      <c r="I265" s="5"/>
      <c r="J265" s="9"/>
      <c r="K265" s="8"/>
      <c r="L265" s="5"/>
      <c r="M265" s="5"/>
      <c r="N265" s="9"/>
      <c r="O265" s="8"/>
      <c r="P265" s="5"/>
      <c r="Q265" s="5"/>
      <c r="R265" s="9"/>
      <c r="S265" s="8"/>
      <c r="T265" s="9"/>
    </row>
    <row r="266" spans="1:20" x14ac:dyDescent="0.2">
      <c r="A266" s="5" t="s">
        <v>67</v>
      </c>
      <c r="B266" s="5" t="s">
        <v>17</v>
      </c>
      <c r="C266" s="8" t="s">
        <v>507</v>
      </c>
      <c r="D266" s="7">
        <f t="shared" ref="D266:D272" si="2">0.04*G266+4*H266-2*I266+2*J266+0.1*L266+6*M266+2*N266+1*O266+0.1*P266+6*Q266+2*R266-2*S266</f>
        <v>-6.0000000000000005E-2</v>
      </c>
      <c r="E266" s="8">
        <v>1</v>
      </c>
      <c r="F266" s="5">
        <v>1</v>
      </c>
      <c r="G266" s="5">
        <v>1</v>
      </c>
      <c r="H266" s="5">
        <v>0</v>
      </c>
      <c r="I266" s="5">
        <v>0</v>
      </c>
      <c r="J266" s="9">
        <v>0</v>
      </c>
      <c r="K266" s="8">
        <v>1</v>
      </c>
      <c r="L266" s="5">
        <v>-1</v>
      </c>
      <c r="M266" s="5">
        <v>0</v>
      </c>
      <c r="N266" s="9">
        <v>0</v>
      </c>
      <c r="O266" s="8">
        <v>0</v>
      </c>
      <c r="P266" s="5">
        <v>0</v>
      </c>
      <c r="Q266" s="5">
        <v>0</v>
      </c>
      <c r="R266" s="9">
        <v>0</v>
      </c>
      <c r="S266" s="8">
        <v>0</v>
      </c>
      <c r="T266" s="9">
        <v>0</v>
      </c>
    </row>
    <row r="267" spans="1:20" x14ac:dyDescent="0.2">
      <c r="A267" s="5" t="s">
        <v>531</v>
      </c>
      <c r="B267" s="5" t="s">
        <v>17</v>
      </c>
      <c r="C267" s="8" t="s">
        <v>506</v>
      </c>
      <c r="D267" s="7">
        <f t="shared" si="2"/>
        <v>-0.2</v>
      </c>
      <c r="E267" s="8">
        <v>0</v>
      </c>
      <c r="F267" s="5">
        <v>0</v>
      </c>
      <c r="G267" s="5">
        <v>0</v>
      </c>
      <c r="H267" s="5">
        <v>0</v>
      </c>
      <c r="I267" s="5">
        <v>0</v>
      </c>
      <c r="J267" s="9">
        <v>0</v>
      </c>
      <c r="K267" s="8">
        <v>2</v>
      </c>
      <c r="L267" s="5">
        <v>-2</v>
      </c>
      <c r="M267" s="5">
        <v>0</v>
      </c>
      <c r="N267" s="9">
        <v>0</v>
      </c>
      <c r="O267" s="8">
        <v>0</v>
      </c>
      <c r="P267" s="5">
        <v>0</v>
      </c>
      <c r="Q267" s="5">
        <v>0</v>
      </c>
      <c r="R267" s="9">
        <v>0</v>
      </c>
      <c r="S267" s="8">
        <v>0</v>
      </c>
      <c r="T267" s="9">
        <v>0</v>
      </c>
    </row>
    <row r="268" spans="1:20" x14ac:dyDescent="0.2">
      <c r="A268" s="5" t="s">
        <v>431</v>
      </c>
      <c r="B268" s="5" t="s">
        <v>17</v>
      </c>
      <c r="C268" s="6" t="s">
        <v>514</v>
      </c>
      <c r="D268" s="7">
        <f t="shared" si="2"/>
        <v>-0.4</v>
      </c>
      <c r="E268" s="8">
        <v>0</v>
      </c>
      <c r="F268" s="5">
        <v>0</v>
      </c>
      <c r="G268" s="5">
        <v>0</v>
      </c>
      <c r="H268" s="5">
        <v>0</v>
      </c>
      <c r="I268" s="5">
        <v>0</v>
      </c>
      <c r="J268" s="9">
        <v>0</v>
      </c>
      <c r="K268" s="8">
        <v>3</v>
      </c>
      <c r="L268" s="5">
        <v>-4</v>
      </c>
      <c r="M268" s="5">
        <v>0</v>
      </c>
      <c r="N268" s="9">
        <v>0</v>
      </c>
      <c r="O268" s="8">
        <v>0</v>
      </c>
      <c r="P268" s="5">
        <v>0</v>
      </c>
      <c r="Q268" s="5">
        <v>0</v>
      </c>
      <c r="R268" s="9">
        <v>0</v>
      </c>
      <c r="S268" s="8">
        <v>0</v>
      </c>
      <c r="T268" s="9">
        <v>0</v>
      </c>
    </row>
    <row r="269" spans="1:20" x14ac:dyDescent="0.2">
      <c r="A269" s="5" t="s">
        <v>254</v>
      </c>
      <c r="B269" s="5" t="s">
        <v>162</v>
      </c>
      <c r="C269" s="8" t="s">
        <v>505</v>
      </c>
      <c r="D269" s="7">
        <f t="shared" si="2"/>
        <v>-0.60000000000000009</v>
      </c>
      <c r="E269" s="8">
        <v>0</v>
      </c>
      <c r="F269" s="5">
        <v>0</v>
      </c>
      <c r="G269" s="5">
        <v>0</v>
      </c>
      <c r="H269" s="5">
        <v>0</v>
      </c>
      <c r="I269" s="5">
        <v>0</v>
      </c>
      <c r="J269" s="9">
        <v>0</v>
      </c>
      <c r="K269" s="8">
        <v>0</v>
      </c>
      <c r="L269" s="5">
        <v>0</v>
      </c>
      <c r="M269" s="5">
        <v>0</v>
      </c>
      <c r="N269" s="9">
        <v>0</v>
      </c>
      <c r="O269" s="8">
        <v>1</v>
      </c>
      <c r="P269" s="5">
        <v>4</v>
      </c>
      <c r="Q269" s="5">
        <v>0</v>
      </c>
      <c r="R269" s="9">
        <v>0</v>
      </c>
      <c r="S269" s="8">
        <v>1</v>
      </c>
      <c r="T269" s="9">
        <v>0</v>
      </c>
    </row>
    <row r="270" spans="1:20" x14ac:dyDescent="0.2">
      <c r="A270" s="5" t="s">
        <v>19</v>
      </c>
      <c r="B270" s="5" t="s">
        <v>17</v>
      </c>
      <c r="C270" s="8" t="s">
        <v>514</v>
      </c>
      <c r="D270" s="7">
        <f t="shared" si="2"/>
        <v>-1.5999999999999996</v>
      </c>
      <c r="E270" s="8">
        <v>22</v>
      </c>
      <c r="F270" s="5">
        <v>12</v>
      </c>
      <c r="G270" s="5">
        <v>110</v>
      </c>
      <c r="H270" s="5">
        <v>0</v>
      </c>
      <c r="I270" s="5">
        <v>2</v>
      </c>
      <c r="J270" s="9">
        <v>0</v>
      </c>
      <c r="K270" s="8">
        <v>1</v>
      </c>
      <c r="L270" s="5">
        <v>0</v>
      </c>
      <c r="M270" s="5">
        <v>0</v>
      </c>
      <c r="N270" s="9">
        <v>0</v>
      </c>
      <c r="O270" s="8">
        <v>0</v>
      </c>
      <c r="P270" s="5">
        <v>0</v>
      </c>
      <c r="Q270" s="5">
        <v>0</v>
      </c>
      <c r="R270" s="9">
        <v>0</v>
      </c>
      <c r="S270" s="8">
        <v>1</v>
      </c>
      <c r="T270" s="9">
        <v>0</v>
      </c>
    </row>
    <row r="271" spans="1:20" x14ac:dyDescent="0.2">
      <c r="A271" s="5" t="s">
        <v>484</v>
      </c>
      <c r="B271" s="5" t="s">
        <v>162</v>
      </c>
      <c r="C271" s="6" t="s">
        <v>505</v>
      </c>
      <c r="D271" s="7">
        <f t="shared" si="2"/>
        <v>-2</v>
      </c>
      <c r="E271" s="8">
        <v>0</v>
      </c>
      <c r="F271" s="5">
        <v>0</v>
      </c>
      <c r="G271" s="5">
        <v>0</v>
      </c>
      <c r="H271" s="5">
        <v>0</v>
      </c>
      <c r="I271" s="5">
        <v>0</v>
      </c>
      <c r="J271" s="9">
        <v>0</v>
      </c>
      <c r="K271" s="8">
        <v>0</v>
      </c>
      <c r="L271" s="5">
        <v>0</v>
      </c>
      <c r="M271" s="5">
        <v>0</v>
      </c>
      <c r="N271" s="9">
        <v>0</v>
      </c>
      <c r="O271" s="8">
        <v>0</v>
      </c>
      <c r="P271" s="5">
        <v>0</v>
      </c>
      <c r="Q271" s="5">
        <v>0</v>
      </c>
      <c r="R271" s="9">
        <v>0</v>
      </c>
      <c r="S271" s="8">
        <v>1</v>
      </c>
      <c r="T271" s="9">
        <v>0</v>
      </c>
    </row>
    <row r="272" spans="1:20" x14ac:dyDescent="0.2">
      <c r="A272" s="5" t="s">
        <v>399</v>
      </c>
      <c r="B272" s="5" t="s">
        <v>162</v>
      </c>
      <c r="C272" s="17" t="s">
        <v>509</v>
      </c>
      <c r="D272" s="7">
        <f t="shared" si="2"/>
        <v>-2</v>
      </c>
      <c r="E272" s="8">
        <v>0</v>
      </c>
      <c r="F272" s="5">
        <v>0</v>
      </c>
      <c r="G272" s="5">
        <v>0</v>
      </c>
      <c r="H272" s="5">
        <v>0</v>
      </c>
      <c r="I272" s="5">
        <v>0</v>
      </c>
      <c r="J272" s="9">
        <v>0</v>
      </c>
      <c r="K272" s="8">
        <v>0</v>
      </c>
      <c r="L272" s="5">
        <v>0</v>
      </c>
      <c r="M272" s="5">
        <v>0</v>
      </c>
      <c r="N272" s="9">
        <v>0</v>
      </c>
      <c r="O272" s="8">
        <v>0</v>
      </c>
      <c r="P272" s="5">
        <v>0</v>
      </c>
      <c r="Q272" s="5">
        <v>0</v>
      </c>
      <c r="R272" s="9">
        <v>0</v>
      </c>
      <c r="S272" s="8">
        <v>1</v>
      </c>
      <c r="T272" s="5">
        <v>0</v>
      </c>
    </row>
    <row r="273" spans="3:20" x14ac:dyDescent="0.2">
      <c r="C273" s="8"/>
      <c r="D273" s="8"/>
      <c r="E273" s="8"/>
      <c r="J273" s="9"/>
      <c r="K273" s="8"/>
      <c r="N273" s="9"/>
      <c r="O273" s="8"/>
      <c r="R273" s="9"/>
      <c r="S273" s="8"/>
      <c r="T273" s="9"/>
    </row>
    <row r="274" spans="3:20" x14ac:dyDescent="0.2">
      <c r="C274" s="8"/>
      <c r="D274" s="8"/>
      <c r="E274" s="8"/>
      <c r="J274" s="9"/>
      <c r="K274" s="8"/>
      <c r="N274" s="9"/>
      <c r="O274" s="8"/>
      <c r="R274" s="9"/>
      <c r="S274" s="8"/>
      <c r="T274" s="9"/>
    </row>
    <row r="275" spans="3:20" x14ac:dyDescent="0.2">
      <c r="C275" s="8"/>
      <c r="D275" s="8"/>
      <c r="E275" s="8"/>
      <c r="J275" s="9"/>
      <c r="K275" s="8"/>
      <c r="N275" s="9"/>
      <c r="O275" s="8"/>
      <c r="R275" s="9"/>
      <c r="S275" s="8"/>
      <c r="T275" s="9"/>
    </row>
    <row r="276" spans="3:20" x14ac:dyDescent="0.2">
      <c r="C276" s="8"/>
      <c r="D276" s="8"/>
      <c r="E276" s="8"/>
      <c r="J276" s="9"/>
      <c r="K276" s="8"/>
      <c r="N276" s="9"/>
      <c r="O276" s="8"/>
      <c r="R276" s="9"/>
      <c r="S276" s="8"/>
      <c r="T276" s="9"/>
    </row>
    <row r="277" spans="3:20" x14ac:dyDescent="0.2">
      <c r="C277" s="8"/>
      <c r="D277" s="8"/>
      <c r="E277" s="8"/>
      <c r="J277" s="9"/>
      <c r="K277" s="8"/>
      <c r="N277" s="9"/>
      <c r="O277" s="8"/>
      <c r="R277" s="9"/>
      <c r="S277" s="8"/>
      <c r="T277" s="9"/>
    </row>
    <row r="278" spans="3:20" x14ac:dyDescent="0.2">
      <c r="C278" s="8"/>
      <c r="D278" s="8"/>
      <c r="E278" s="8"/>
      <c r="J278" s="9"/>
      <c r="K278" s="8"/>
      <c r="N278" s="9"/>
      <c r="O278" s="8"/>
      <c r="R278" s="9"/>
      <c r="S278" s="8"/>
      <c r="T278" s="9"/>
    </row>
    <row r="279" spans="3:20" x14ac:dyDescent="0.2">
      <c r="C279" s="8"/>
      <c r="D279" s="8"/>
      <c r="E279" s="8"/>
      <c r="J279" s="9"/>
      <c r="K279" s="8"/>
      <c r="N279" s="9"/>
      <c r="O279" s="8"/>
      <c r="R279" s="9"/>
      <c r="S279" s="8"/>
      <c r="T279" s="9"/>
    </row>
    <row r="280" spans="3:20" x14ac:dyDescent="0.2">
      <c r="C280" s="8"/>
      <c r="D280" s="8"/>
      <c r="E280" s="8"/>
      <c r="J280" s="9"/>
      <c r="K280" s="8"/>
      <c r="N280" s="9"/>
      <c r="O280" s="8"/>
      <c r="R280" s="9"/>
      <c r="S280" s="8"/>
      <c r="T280" s="9"/>
    </row>
  </sheetData>
  <autoFilter ref="A2:T272" xr:uid="{00000000-0009-0000-0000-000004000000}">
    <sortState xmlns:xlrd2="http://schemas.microsoft.com/office/spreadsheetml/2017/richdata2" ref="A2:T272">
      <sortCondition descending="1" ref="D2:D272"/>
    </sortState>
  </autoFilter>
  <mergeCells count="4">
    <mergeCell ref="E1:J1"/>
    <mergeCell ref="K1:N1"/>
    <mergeCell ref="O1:R1"/>
    <mergeCell ref="S1:T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280"/>
  <sheetViews>
    <sheetView workbookViewId="0"/>
  </sheetViews>
  <sheetFormatPr defaultColWidth="12.5703125" defaultRowHeight="15.75" customHeight="1" x14ac:dyDescent="0.2"/>
  <cols>
    <col min="1" max="1" width="17.4257812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92</v>
      </c>
      <c r="B3" s="5" t="s">
        <v>75</v>
      </c>
      <c r="C3" s="10" t="s">
        <v>532</v>
      </c>
      <c r="D3" s="7">
        <f t="shared" ref="D3:D257" si="0">0.04*G3+4*H3-2*I3+2*J3+0.1*L3+6*M3+2*N3+1*O3+0.1*P3+6*Q3+2*R3-2*S3</f>
        <v>34.200000000000003</v>
      </c>
      <c r="E3" s="8">
        <v>0</v>
      </c>
      <c r="F3" s="5">
        <v>0</v>
      </c>
      <c r="G3" s="5">
        <v>0</v>
      </c>
      <c r="H3" s="5">
        <v>0</v>
      </c>
      <c r="I3" s="5">
        <v>0</v>
      </c>
      <c r="J3" s="9">
        <v>0</v>
      </c>
      <c r="K3" s="8">
        <v>17</v>
      </c>
      <c r="L3" s="5">
        <v>115</v>
      </c>
      <c r="M3" s="5">
        <v>2</v>
      </c>
      <c r="N3" s="9">
        <v>0</v>
      </c>
      <c r="O3" s="8">
        <v>3</v>
      </c>
      <c r="P3" s="5">
        <v>17</v>
      </c>
      <c r="Q3" s="5">
        <v>1</v>
      </c>
      <c r="R3" s="9">
        <v>0</v>
      </c>
      <c r="S3" s="8">
        <v>0</v>
      </c>
      <c r="T3" s="5">
        <v>0</v>
      </c>
    </row>
    <row r="4" spans="1:20" x14ac:dyDescent="0.2">
      <c r="A4" s="5" t="s">
        <v>173</v>
      </c>
      <c r="B4" s="5" t="s">
        <v>162</v>
      </c>
      <c r="C4" s="17" t="s">
        <v>533</v>
      </c>
      <c r="D4" s="7">
        <f t="shared" si="0"/>
        <v>30.4</v>
      </c>
      <c r="E4" s="8">
        <v>0</v>
      </c>
      <c r="F4" s="5">
        <v>0</v>
      </c>
      <c r="G4" s="5">
        <v>0</v>
      </c>
      <c r="H4" s="5">
        <v>0</v>
      </c>
      <c r="I4" s="5">
        <v>0</v>
      </c>
      <c r="J4" s="9">
        <v>0</v>
      </c>
      <c r="K4" s="8">
        <v>0</v>
      </c>
      <c r="L4" s="5">
        <v>0</v>
      </c>
      <c r="M4" s="5">
        <v>0</v>
      </c>
      <c r="N4" s="9">
        <v>0</v>
      </c>
      <c r="O4" s="8">
        <v>12</v>
      </c>
      <c r="P4" s="5">
        <v>124</v>
      </c>
      <c r="Q4" s="5">
        <v>1</v>
      </c>
      <c r="R4" s="9">
        <v>0</v>
      </c>
      <c r="S4" s="8">
        <v>0</v>
      </c>
      <c r="T4" s="5">
        <v>0</v>
      </c>
    </row>
    <row r="5" spans="1:20" x14ac:dyDescent="0.2">
      <c r="A5" s="5" t="s">
        <v>246</v>
      </c>
      <c r="B5" s="5" t="s">
        <v>162</v>
      </c>
      <c r="C5" s="17" t="s">
        <v>532</v>
      </c>
      <c r="D5" s="7">
        <f t="shared" si="0"/>
        <v>28.5</v>
      </c>
      <c r="E5" s="8">
        <v>0</v>
      </c>
      <c r="F5" s="5">
        <v>0</v>
      </c>
      <c r="G5" s="5">
        <v>0</v>
      </c>
      <c r="H5" s="5">
        <v>0</v>
      </c>
      <c r="I5" s="5">
        <v>0</v>
      </c>
      <c r="J5" s="9">
        <v>0</v>
      </c>
      <c r="K5" s="8">
        <v>0</v>
      </c>
      <c r="L5" s="5">
        <v>0</v>
      </c>
      <c r="M5" s="5">
        <v>0</v>
      </c>
      <c r="N5" s="9">
        <v>0</v>
      </c>
      <c r="O5" s="8">
        <v>11</v>
      </c>
      <c r="P5" s="5">
        <v>115</v>
      </c>
      <c r="Q5" s="5">
        <v>1</v>
      </c>
      <c r="R5" s="9">
        <v>0</v>
      </c>
      <c r="S5" s="8">
        <v>0</v>
      </c>
      <c r="T5" s="5">
        <v>0</v>
      </c>
    </row>
    <row r="6" spans="1:20" x14ac:dyDescent="0.2">
      <c r="A6" s="5" t="s">
        <v>161</v>
      </c>
      <c r="B6" s="5" t="s">
        <v>162</v>
      </c>
      <c r="C6" s="10" t="s">
        <v>532</v>
      </c>
      <c r="D6" s="7">
        <f t="shared" si="0"/>
        <v>28.3</v>
      </c>
      <c r="E6" s="8">
        <v>0</v>
      </c>
      <c r="F6" s="5">
        <v>0</v>
      </c>
      <c r="G6" s="5">
        <v>0</v>
      </c>
      <c r="H6" s="5">
        <v>0</v>
      </c>
      <c r="I6" s="5">
        <v>0</v>
      </c>
      <c r="J6" s="9">
        <v>0</v>
      </c>
      <c r="K6" s="8">
        <v>0</v>
      </c>
      <c r="L6" s="5">
        <v>0</v>
      </c>
      <c r="M6" s="5">
        <v>0</v>
      </c>
      <c r="N6" s="9">
        <v>0</v>
      </c>
      <c r="O6" s="8">
        <v>6</v>
      </c>
      <c r="P6" s="5">
        <v>163</v>
      </c>
      <c r="Q6" s="5">
        <v>1</v>
      </c>
      <c r="R6" s="9">
        <v>0</v>
      </c>
      <c r="S6" s="8">
        <v>0</v>
      </c>
      <c r="T6" s="5">
        <v>0</v>
      </c>
    </row>
    <row r="7" spans="1:20" x14ac:dyDescent="0.2">
      <c r="A7" s="5" t="s">
        <v>513</v>
      </c>
      <c r="B7" s="5" t="s">
        <v>162</v>
      </c>
      <c r="C7" s="10" t="s">
        <v>534</v>
      </c>
      <c r="D7" s="7">
        <f t="shared" si="0"/>
        <v>27.8</v>
      </c>
      <c r="E7" s="8">
        <v>0</v>
      </c>
      <c r="F7" s="5">
        <v>0</v>
      </c>
      <c r="G7" s="5">
        <v>0</v>
      </c>
      <c r="H7" s="5">
        <v>0</v>
      </c>
      <c r="I7" s="5">
        <v>0</v>
      </c>
      <c r="J7" s="9">
        <v>0</v>
      </c>
      <c r="K7" s="8">
        <v>0</v>
      </c>
      <c r="L7" s="5">
        <v>0</v>
      </c>
      <c r="M7" s="5">
        <v>0</v>
      </c>
      <c r="N7" s="9">
        <v>0</v>
      </c>
      <c r="O7" s="8">
        <v>7</v>
      </c>
      <c r="P7" s="5">
        <v>148</v>
      </c>
      <c r="Q7" s="5">
        <v>1</v>
      </c>
      <c r="R7" s="9">
        <v>0</v>
      </c>
      <c r="S7" s="8">
        <v>0</v>
      </c>
      <c r="T7" s="5">
        <v>0</v>
      </c>
    </row>
    <row r="8" spans="1:20" x14ac:dyDescent="0.2">
      <c r="A8" s="5" t="s">
        <v>59</v>
      </c>
      <c r="B8" s="5" t="s">
        <v>17</v>
      </c>
      <c r="C8" s="17" t="s">
        <v>535</v>
      </c>
      <c r="D8" s="7">
        <f t="shared" si="0"/>
        <v>24.880000000000003</v>
      </c>
      <c r="E8" s="8">
        <v>30</v>
      </c>
      <c r="F8" s="5">
        <v>21</v>
      </c>
      <c r="G8" s="5">
        <v>272</v>
      </c>
      <c r="H8" s="5">
        <v>1</v>
      </c>
      <c r="I8" s="5">
        <v>0</v>
      </c>
      <c r="J8" s="9">
        <v>0</v>
      </c>
      <c r="K8" s="8">
        <v>7</v>
      </c>
      <c r="L8" s="5">
        <v>40</v>
      </c>
      <c r="M8" s="5">
        <v>1</v>
      </c>
      <c r="N8" s="9">
        <v>0</v>
      </c>
      <c r="O8" s="8">
        <v>0</v>
      </c>
      <c r="P8" s="5">
        <v>0</v>
      </c>
      <c r="Q8" s="5">
        <v>0</v>
      </c>
      <c r="R8" s="9">
        <v>0</v>
      </c>
      <c r="S8" s="8">
        <v>0</v>
      </c>
      <c r="T8" s="5">
        <v>0</v>
      </c>
    </row>
    <row r="9" spans="1:20" x14ac:dyDescent="0.2">
      <c r="A9" s="5" t="s">
        <v>80</v>
      </c>
      <c r="B9" s="5" t="s">
        <v>75</v>
      </c>
      <c r="C9" s="10" t="s">
        <v>536</v>
      </c>
      <c r="D9" s="7">
        <f t="shared" si="0"/>
        <v>23.3</v>
      </c>
      <c r="E9" s="8">
        <v>0</v>
      </c>
      <c r="F9" s="5">
        <v>0</v>
      </c>
      <c r="G9" s="5">
        <v>0</v>
      </c>
      <c r="H9" s="5">
        <v>0</v>
      </c>
      <c r="I9" s="5">
        <v>0</v>
      </c>
      <c r="J9" s="9">
        <v>0</v>
      </c>
      <c r="K9" s="8">
        <v>18</v>
      </c>
      <c r="L9" s="5">
        <v>55</v>
      </c>
      <c r="M9" s="5">
        <v>2</v>
      </c>
      <c r="N9" s="9">
        <v>0</v>
      </c>
      <c r="O9" s="8">
        <v>3</v>
      </c>
      <c r="P9" s="5">
        <v>28</v>
      </c>
      <c r="Q9" s="5">
        <v>0</v>
      </c>
      <c r="R9" s="9">
        <v>0</v>
      </c>
      <c r="S9" s="8">
        <v>0</v>
      </c>
      <c r="T9" s="5">
        <v>0</v>
      </c>
    </row>
    <row r="10" spans="1:20" x14ac:dyDescent="0.2">
      <c r="A10" s="5" t="s">
        <v>16</v>
      </c>
      <c r="B10" s="5" t="s">
        <v>17</v>
      </c>
      <c r="C10" s="10" t="s">
        <v>532</v>
      </c>
      <c r="D10" s="7">
        <f t="shared" si="0"/>
        <v>22.48</v>
      </c>
      <c r="E10" s="8">
        <v>31</v>
      </c>
      <c r="F10" s="5">
        <v>21</v>
      </c>
      <c r="G10" s="5">
        <v>262</v>
      </c>
      <c r="H10" s="5">
        <v>3</v>
      </c>
      <c r="I10" s="5">
        <v>0</v>
      </c>
      <c r="J10" s="9">
        <v>0</v>
      </c>
      <c r="K10" s="8">
        <v>1</v>
      </c>
      <c r="L10" s="5">
        <v>0</v>
      </c>
      <c r="M10" s="5">
        <v>0</v>
      </c>
      <c r="N10" s="9">
        <v>0</v>
      </c>
      <c r="O10" s="8">
        <v>0</v>
      </c>
      <c r="P10" s="5">
        <v>0</v>
      </c>
      <c r="Q10" s="5">
        <v>0</v>
      </c>
      <c r="R10" s="9">
        <v>0</v>
      </c>
      <c r="S10" s="8">
        <v>0</v>
      </c>
      <c r="T10" s="5">
        <v>0</v>
      </c>
    </row>
    <row r="11" spans="1:20" x14ac:dyDescent="0.2">
      <c r="A11" s="5" t="s">
        <v>44</v>
      </c>
      <c r="B11" s="5" t="s">
        <v>17</v>
      </c>
      <c r="C11" s="17" t="s">
        <v>533</v>
      </c>
      <c r="D11" s="7">
        <f t="shared" si="0"/>
        <v>22.42</v>
      </c>
      <c r="E11" s="8">
        <v>44</v>
      </c>
      <c r="F11" s="5">
        <v>30</v>
      </c>
      <c r="G11" s="5">
        <v>353</v>
      </c>
      <c r="H11" s="5">
        <v>2</v>
      </c>
      <c r="I11" s="5">
        <v>0</v>
      </c>
      <c r="J11" s="9">
        <v>0</v>
      </c>
      <c r="K11" s="8">
        <v>2</v>
      </c>
      <c r="L11" s="5">
        <v>3</v>
      </c>
      <c r="M11" s="5">
        <v>0</v>
      </c>
      <c r="N11" s="9">
        <v>0</v>
      </c>
      <c r="O11" s="8">
        <v>0</v>
      </c>
      <c r="P11" s="5">
        <v>0</v>
      </c>
      <c r="Q11" s="5">
        <v>0</v>
      </c>
      <c r="R11" s="9">
        <v>0</v>
      </c>
      <c r="S11" s="8">
        <v>0</v>
      </c>
      <c r="T11" s="5">
        <v>0</v>
      </c>
    </row>
    <row r="12" spans="1:20" x14ac:dyDescent="0.2">
      <c r="A12" s="5" t="s">
        <v>83</v>
      </c>
      <c r="B12" s="5" t="s">
        <v>75</v>
      </c>
      <c r="C12" s="10" t="s">
        <v>534</v>
      </c>
      <c r="D12" s="7">
        <f t="shared" si="0"/>
        <v>21.8</v>
      </c>
      <c r="E12" s="8">
        <v>0</v>
      </c>
      <c r="F12" s="5">
        <v>0</v>
      </c>
      <c r="G12" s="5">
        <v>0</v>
      </c>
      <c r="H12" s="5">
        <v>0</v>
      </c>
      <c r="I12" s="5">
        <v>0</v>
      </c>
      <c r="J12" s="9">
        <v>0</v>
      </c>
      <c r="K12" s="8">
        <v>20</v>
      </c>
      <c r="L12" s="5">
        <v>158</v>
      </c>
      <c r="M12" s="5">
        <v>1</v>
      </c>
      <c r="N12" s="9">
        <v>0</v>
      </c>
      <c r="O12" s="8">
        <v>0</v>
      </c>
      <c r="P12" s="5">
        <v>0</v>
      </c>
      <c r="Q12" s="5">
        <v>0</v>
      </c>
      <c r="R12" s="9">
        <v>0</v>
      </c>
      <c r="S12" s="8">
        <v>0</v>
      </c>
      <c r="T12" s="5">
        <v>0</v>
      </c>
    </row>
    <row r="13" spans="1:20" x14ac:dyDescent="0.2">
      <c r="A13" s="5" t="s">
        <v>185</v>
      </c>
      <c r="B13" s="5" t="s">
        <v>162</v>
      </c>
      <c r="C13" s="10" t="s">
        <v>535</v>
      </c>
      <c r="D13" s="7">
        <f t="shared" si="0"/>
        <v>21.5</v>
      </c>
      <c r="E13" s="8">
        <v>0</v>
      </c>
      <c r="F13" s="5">
        <v>0</v>
      </c>
      <c r="G13" s="5">
        <v>0</v>
      </c>
      <c r="H13" s="5">
        <v>0</v>
      </c>
      <c r="I13" s="5">
        <v>0</v>
      </c>
      <c r="J13" s="9">
        <v>0</v>
      </c>
      <c r="K13" s="8">
        <v>0</v>
      </c>
      <c r="L13" s="5">
        <v>0</v>
      </c>
      <c r="M13" s="5">
        <v>0</v>
      </c>
      <c r="N13" s="9">
        <v>0</v>
      </c>
      <c r="O13" s="8">
        <v>7</v>
      </c>
      <c r="P13" s="5">
        <v>85</v>
      </c>
      <c r="Q13" s="5">
        <v>1</v>
      </c>
      <c r="R13" s="9">
        <v>0</v>
      </c>
      <c r="S13" s="8">
        <v>0</v>
      </c>
      <c r="T13" s="5">
        <v>0</v>
      </c>
    </row>
    <row r="14" spans="1:20" x14ac:dyDescent="0.2">
      <c r="A14" s="5" t="s">
        <v>339</v>
      </c>
      <c r="B14" s="5" t="s">
        <v>162</v>
      </c>
      <c r="C14" s="10" t="s">
        <v>537</v>
      </c>
      <c r="D14" s="7">
        <f t="shared" si="0"/>
        <v>21.5</v>
      </c>
      <c r="E14" s="8">
        <v>0</v>
      </c>
      <c r="F14" s="5">
        <v>0</v>
      </c>
      <c r="G14" s="5">
        <v>0</v>
      </c>
      <c r="H14" s="5">
        <v>0</v>
      </c>
      <c r="I14" s="5">
        <v>0</v>
      </c>
      <c r="J14" s="9">
        <v>0</v>
      </c>
      <c r="K14" s="8">
        <v>0</v>
      </c>
      <c r="L14" s="5">
        <v>0</v>
      </c>
      <c r="M14" s="5">
        <v>0</v>
      </c>
      <c r="N14" s="9">
        <v>0</v>
      </c>
      <c r="O14" s="8">
        <v>9</v>
      </c>
      <c r="P14" s="5">
        <v>125</v>
      </c>
      <c r="Q14" s="5">
        <v>0</v>
      </c>
      <c r="R14" s="9">
        <v>0</v>
      </c>
      <c r="S14" s="8">
        <v>0</v>
      </c>
      <c r="T14" s="5">
        <v>0</v>
      </c>
    </row>
    <row r="15" spans="1:20" x14ac:dyDescent="0.2">
      <c r="A15" s="5" t="s">
        <v>343</v>
      </c>
      <c r="B15" s="5" t="s">
        <v>69</v>
      </c>
      <c r="C15" s="10" t="s">
        <v>538</v>
      </c>
      <c r="D15" s="7">
        <f t="shared" si="0"/>
        <v>21.4</v>
      </c>
      <c r="E15" s="8">
        <v>0</v>
      </c>
      <c r="F15" s="5">
        <v>0</v>
      </c>
      <c r="G15" s="5">
        <v>0</v>
      </c>
      <c r="H15" s="5">
        <v>0</v>
      </c>
      <c r="I15" s="5">
        <v>0</v>
      </c>
      <c r="J15" s="9">
        <v>0</v>
      </c>
      <c r="K15" s="8">
        <v>0</v>
      </c>
      <c r="L15" s="5">
        <v>0</v>
      </c>
      <c r="M15" s="5">
        <v>0</v>
      </c>
      <c r="N15" s="9">
        <v>0</v>
      </c>
      <c r="O15" s="8">
        <v>9</v>
      </c>
      <c r="P15" s="5">
        <v>124</v>
      </c>
      <c r="Q15" s="5">
        <v>0</v>
      </c>
      <c r="R15" s="9">
        <v>0</v>
      </c>
      <c r="S15" s="8">
        <v>0</v>
      </c>
      <c r="T15" s="5">
        <v>0</v>
      </c>
    </row>
    <row r="16" spans="1:20" x14ac:dyDescent="0.2">
      <c r="A16" s="5" t="s">
        <v>85</v>
      </c>
      <c r="B16" s="5" t="s">
        <v>75</v>
      </c>
      <c r="C16" s="10" t="s">
        <v>539</v>
      </c>
      <c r="D16" s="7">
        <f t="shared" si="0"/>
        <v>20.3</v>
      </c>
      <c r="E16" s="8">
        <v>0</v>
      </c>
      <c r="F16" s="5">
        <v>0</v>
      </c>
      <c r="G16" s="5">
        <v>0</v>
      </c>
      <c r="H16" s="5">
        <v>0</v>
      </c>
      <c r="I16" s="5">
        <v>0</v>
      </c>
      <c r="J16" s="9">
        <v>0</v>
      </c>
      <c r="K16" s="8">
        <v>12</v>
      </c>
      <c r="L16" s="5">
        <v>39</v>
      </c>
      <c r="M16" s="5">
        <v>1</v>
      </c>
      <c r="N16" s="9">
        <v>0</v>
      </c>
      <c r="O16" s="8">
        <v>5</v>
      </c>
      <c r="P16" s="5">
        <v>54</v>
      </c>
      <c r="Q16" s="5">
        <v>0</v>
      </c>
      <c r="R16" s="9">
        <v>0</v>
      </c>
      <c r="S16" s="8">
        <v>0</v>
      </c>
      <c r="T16" s="5">
        <v>0</v>
      </c>
    </row>
    <row r="17" spans="1:20" x14ac:dyDescent="0.2">
      <c r="A17" s="5" t="s">
        <v>182</v>
      </c>
      <c r="B17" s="5" t="s">
        <v>162</v>
      </c>
      <c r="C17" s="17" t="s">
        <v>539</v>
      </c>
      <c r="D17" s="7">
        <f t="shared" si="0"/>
        <v>20.100000000000001</v>
      </c>
      <c r="E17" s="8">
        <v>0</v>
      </c>
      <c r="F17" s="5">
        <v>0</v>
      </c>
      <c r="G17" s="5">
        <v>0</v>
      </c>
      <c r="H17" s="5">
        <v>0</v>
      </c>
      <c r="I17" s="5">
        <v>0</v>
      </c>
      <c r="J17" s="9">
        <v>0</v>
      </c>
      <c r="K17" s="8">
        <v>0</v>
      </c>
      <c r="L17" s="5">
        <v>0</v>
      </c>
      <c r="M17" s="5">
        <v>0</v>
      </c>
      <c r="N17" s="9">
        <v>0</v>
      </c>
      <c r="O17" s="8">
        <v>7</v>
      </c>
      <c r="P17" s="5">
        <v>131</v>
      </c>
      <c r="Q17" s="5">
        <v>0</v>
      </c>
      <c r="R17" s="9">
        <v>0</v>
      </c>
      <c r="S17" s="8">
        <v>0</v>
      </c>
      <c r="T17" s="5">
        <v>0</v>
      </c>
    </row>
    <row r="18" spans="1:20" x14ac:dyDescent="0.2">
      <c r="A18" s="5" t="s">
        <v>165</v>
      </c>
      <c r="B18" s="5" t="s">
        <v>162</v>
      </c>
      <c r="C18" s="10" t="s">
        <v>540</v>
      </c>
      <c r="D18" s="7">
        <f t="shared" si="0"/>
        <v>20</v>
      </c>
      <c r="E18" s="8">
        <v>0</v>
      </c>
      <c r="F18" s="5">
        <v>0</v>
      </c>
      <c r="G18" s="5">
        <v>0</v>
      </c>
      <c r="H18" s="5">
        <v>0</v>
      </c>
      <c r="I18" s="5">
        <v>0</v>
      </c>
      <c r="J18" s="9">
        <v>0</v>
      </c>
      <c r="K18" s="8">
        <v>0</v>
      </c>
      <c r="L18" s="5">
        <v>0</v>
      </c>
      <c r="M18" s="5">
        <v>0</v>
      </c>
      <c r="N18" s="9">
        <v>0</v>
      </c>
      <c r="O18" s="8">
        <v>10</v>
      </c>
      <c r="P18" s="5">
        <v>100</v>
      </c>
      <c r="Q18" s="5">
        <v>0</v>
      </c>
      <c r="R18" s="9">
        <v>0</v>
      </c>
      <c r="S18" s="8">
        <v>0</v>
      </c>
      <c r="T18" s="5">
        <v>0</v>
      </c>
    </row>
    <row r="19" spans="1:20" x14ac:dyDescent="0.2">
      <c r="A19" s="5" t="s">
        <v>45</v>
      </c>
      <c r="B19" s="5" t="s">
        <v>17</v>
      </c>
      <c r="C19" s="17" t="s">
        <v>539</v>
      </c>
      <c r="D19" s="7">
        <f t="shared" si="0"/>
        <v>19.900000000000002</v>
      </c>
      <c r="E19" s="8">
        <v>45</v>
      </c>
      <c r="F19" s="5">
        <v>28</v>
      </c>
      <c r="G19" s="5">
        <v>280</v>
      </c>
      <c r="H19" s="5">
        <v>1</v>
      </c>
      <c r="I19" s="5">
        <v>3</v>
      </c>
      <c r="J19" s="9">
        <v>0</v>
      </c>
      <c r="K19" s="8">
        <v>8</v>
      </c>
      <c r="L19" s="5">
        <v>47</v>
      </c>
      <c r="M19" s="5">
        <v>1</v>
      </c>
      <c r="N19" s="9">
        <v>0</v>
      </c>
      <c r="O19" s="8">
        <v>0</v>
      </c>
      <c r="P19" s="5">
        <v>0</v>
      </c>
      <c r="Q19" s="5">
        <v>0</v>
      </c>
      <c r="R19" s="9">
        <v>0</v>
      </c>
      <c r="S19" s="8">
        <v>0</v>
      </c>
      <c r="T19" s="5">
        <v>0</v>
      </c>
    </row>
    <row r="20" spans="1:20" x14ac:dyDescent="0.2">
      <c r="A20" s="5" t="s">
        <v>169</v>
      </c>
      <c r="B20" s="5" t="s">
        <v>162</v>
      </c>
      <c r="C20" s="17" t="s">
        <v>536</v>
      </c>
      <c r="D20" s="7">
        <f t="shared" si="0"/>
        <v>19.899999999999999</v>
      </c>
      <c r="E20" s="8">
        <v>0</v>
      </c>
      <c r="F20" s="5">
        <v>0</v>
      </c>
      <c r="G20" s="5">
        <v>0</v>
      </c>
      <c r="H20" s="5">
        <v>0</v>
      </c>
      <c r="I20" s="5">
        <v>0</v>
      </c>
      <c r="J20" s="9">
        <v>0</v>
      </c>
      <c r="K20" s="8">
        <v>0</v>
      </c>
      <c r="L20" s="5">
        <v>0</v>
      </c>
      <c r="M20" s="5">
        <v>0</v>
      </c>
      <c r="N20" s="9">
        <v>0</v>
      </c>
      <c r="O20" s="8">
        <v>9</v>
      </c>
      <c r="P20" s="5">
        <v>109</v>
      </c>
      <c r="Q20" s="5">
        <v>0</v>
      </c>
      <c r="R20" s="9">
        <v>0</v>
      </c>
      <c r="S20" s="8">
        <v>0</v>
      </c>
      <c r="T20" s="5">
        <v>0</v>
      </c>
    </row>
    <row r="21" spans="1:20" x14ac:dyDescent="0.2">
      <c r="A21" s="5" t="s">
        <v>88</v>
      </c>
      <c r="B21" s="5" t="s">
        <v>75</v>
      </c>
      <c r="C21" s="10" t="s">
        <v>541</v>
      </c>
      <c r="D21" s="7">
        <f t="shared" si="0"/>
        <v>19.300000000000004</v>
      </c>
      <c r="E21" s="8">
        <v>0</v>
      </c>
      <c r="F21" s="5">
        <v>0</v>
      </c>
      <c r="G21" s="5">
        <v>0</v>
      </c>
      <c r="H21" s="5">
        <v>0</v>
      </c>
      <c r="I21" s="5">
        <v>0</v>
      </c>
      <c r="J21" s="9">
        <v>0</v>
      </c>
      <c r="K21" s="8">
        <v>12</v>
      </c>
      <c r="L21" s="5">
        <v>97</v>
      </c>
      <c r="M21" s="5">
        <v>1</v>
      </c>
      <c r="N21" s="9">
        <v>0</v>
      </c>
      <c r="O21" s="8">
        <v>2</v>
      </c>
      <c r="P21" s="5">
        <v>16</v>
      </c>
      <c r="Q21" s="5">
        <v>0</v>
      </c>
      <c r="R21" s="9">
        <v>0</v>
      </c>
      <c r="S21" s="8">
        <v>0</v>
      </c>
      <c r="T21" s="5">
        <v>0</v>
      </c>
    </row>
    <row r="22" spans="1:20" x14ac:dyDescent="0.2">
      <c r="A22" s="5" t="s">
        <v>166</v>
      </c>
      <c r="B22" s="5" t="s">
        <v>162</v>
      </c>
      <c r="C22" s="17" t="s">
        <v>542</v>
      </c>
      <c r="D22" s="7">
        <f t="shared" si="0"/>
        <v>19.3</v>
      </c>
      <c r="E22" s="8">
        <v>0</v>
      </c>
      <c r="F22" s="5">
        <v>0</v>
      </c>
      <c r="G22" s="5">
        <v>0</v>
      </c>
      <c r="H22" s="5">
        <v>0</v>
      </c>
      <c r="I22" s="5">
        <v>0</v>
      </c>
      <c r="J22" s="9">
        <v>0</v>
      </c>
      <c r="K22" s="8">
        <v>1</v>
      </c>
      <c r="L22" s="5">
        <v>4</v>
      </c>
      <c r="M22" s="5">
        <v>0</v>
      </c>
      <c r="N22" s="9">
        <v>0</v>
      </c>
      <c r="O22" s="8">
        <v>10</v>
      </c>
      <c r="P22" s="5">
        <v>89</v>
      </c>
      <c r="Q22" s="5">
        <v>0</v>
      </c>
      <c r="R22" s="9">
        <v>0</v>
      </c>
      <c r="S22" s="8">
        <v>0</v>
      </c>
      <c r="T22" s="5">
        <v>0</v>
      </c>
    </row>
    <row r="23" spans="1:20" x14ac:dyDescent="0.2">
      <c r="A23" s="5" t="s">
        <v>25</v>
      </c>
      <c r="B23" s="5" t="s">
        <v>17</v>
      </c>
      <c r="C23" s="10" t="s">
        <v>535</v>
      </c>
      <c r="D23" s="7">
        <f t="shared" si="0"/>
        <v>19.079999999999998</v>
      </c>
      <c r="E23" s="8">
        <v>37</v>
      </c>
      <c r="F23" s="5">
        <v>22</v>
      </c>
      <c r="G23" s="5">
        <v>227</v>
      </c>
      <c r="H23" s="5">
        <v>2</v>
      </c>
      <c r="I23" s="5">
        <v>1</v>
      </c>
      <c r="J23" s="9">
        <v>0</v>
      </c>
      <c r="K23" s="8">
        <v>6</v>
      </c>
      <c r="L23" s="5">
        <v>20</v>
      </c>
      <c r="M23" s="5">
        <v>0</v>
      </c>
      <c r="N23" s="9">
        <v>0</v>
      </c>
      <c r="O23" s="8">
        <v>1</v>
      </c>
      <c r="P23" s="5">
        <v>10</v>
      </c>
      <c r="Q23" s="5">
        <v>0</v>
      </c>
      <c r="R23" s="9">
        <v>0</v>
      </c>
      <c r="S23" s="8">
        <v>0</v>
      </c>
      <c r="T23" s="5">
        <v>0</v>
      </c>
    </row>
    <row r="24" spans="1:20" x14ac:dyDescent="0.2">
      <c r="A24" s="5" t="s">
        <v>192</v>
      </c>
      <c r="B24" s="5" t="s">
        <v>162</v>
      </c>
      <c r="C24" s="17" t="s">
        <v>535</v>
      </c>
      <c r="D24" s="7">
        <f t="shared" si="0"/>
        <v>18.700000000000003</v>
      </c>
      <c r="E24" s="8">
        <v>0</v>
      </c>
      <c r="F24" s="5">
        <v>0</v>
      </c>
      <c r="G24" s="5">
        <v>0</v>
      </c>
      <c r="H24" s="5">
        <v>0</v>
      </c>
      <c r="I24" s="5">
        <v>0</v>
      </c>
      <c r="J24" s="9">
        <v>0</v>
      </c>
      <c r="K24" s="8">
        <v>0</v>
      </c>
      <c r="L24" s="5">
        <v>0</v>
      </c>
      <c r="M24" s="5">
        <v>0</v>
      </c>
      <c r="N24" s="9">
        <v>0</v>
      </c>
      <c r="O24" s="8">
        <v>7</v>
      </c>
      <c r="P24" s="5">
        <v>117</v>
      </c>
      <c r="Q24" s="5">
        <v>0</v>
      </c>
      <c r="R24" s="9">
        <v>0</v>
      </c>
      <c r="S24" s="8">
        <v>0</v>
      </c>
      <c r="T24" s="5">
        <v>0</v>
      </c>
    </row>
    <row r="25" spans="1:20" x14ac:dyDescent="0.2">
      <c r="A25" s="5" t="s">
        <v>39</v>
      </c>
      <c r="B25" s="5" t="s">
        <v>17</v>
      </c>
      <c r="C25" s="17" t="s">
        <v>537</v>
      </c>
      <c r="D25" s="7">
        <f t="shared" si="0"/>
        <v>18.34</v>
      </c>
      <c r="E25" s="8">
        <v>23</v>
      </c>
      <c r="F25" s="5">
        <v>14</v>
      </c>
      <c r="G25" s="5">
        <v>151</v>
      </c>
      <c r="H25" s="5">
        <v>3</v>
      </c>
      <c r="I25" s="5">
        <v>0</v>
      </c>
      <c r="J25" s="9">
        <v>0</v>
      </c>
      <c r="K25" s="8">
        <v>4</v>
      </c>
      <c r="L25" s="5">
        <v>3</v>
      </c>
      <c r="M25" s="5">
        <v>0</v>
      </c>
      <c r="N25" s="9">
        <v>0</v>
      </c>
      <c r="O25" s="8">
        <v>0</v>
      </c>
      <c r="P25" s="5">
        <v>0</v>
      </c>
      <c r="Q25" s="5">
        <v>0</v>
      </c>
      <c r="R25" s="9">
        <v>0</v>
      </c>
      <c r="S25" s="8">
        <v>0</v>
      </c>
      <c r="T25" s="5">
        <v>0</v>
      </c>
    </row>
    <row r="26" spans="1:20" x14ac:dyDescent="0.2">
      <c r="A26" s="5" t="s">
        <v>172</v>
      </c>
      <c r="B26" s="5" t="s">
        <v>162</v>
      </c>
      <c r="C26" s="17" t="s">
        <v>543</v>
      </c>
      <c r="D26" s="7">
        <f t="shared" si="0"/>
        <v>18.3</v>
      </c>
      <c r="E26" s="8">
        <v>0</v>
      </c>
      <c r="F26" s="5">
        <v>0</v>
      </c>
      <c r="G26" s="5">
        <v>0</v>
      </c>
      <c r="H26" s="5">
        <v>0</v>
      </c>
      <c r="I26" s="5">
        <v>0</v>
      </c>
      <c r="J26" s="9">
        <v>0</v>
      </c>
      <c r="K26" s="8">
        <v>2</v>
      </c>
      <c r="L26" s="5">
        <v>18</v>
      </c>
      <c r="M26" s="5">
        <v>0</v>
      </c>
      <c r="N26" s="9">
        <v>0</v>
      </c>
      <c r="O26" s="8">
        <v>2</v>
      </c>
      <c r="P26" s="5">
        <v>85</v>
      </c>
      <c r="Q26" s="5">
        <v>1</v>
      </c>
      <c r="R26" s="9">
        <v>0</v>
      </c>
      <c r="S26" s="8">
        <v>0</v>
      </c>
      <c r="T26" s="5">
        <v>0</v>
      </c>
    </row>
    <row r="27" spans="1:20" x14ac:dyDescent="0.2">
      <c r="A27" s="5" t="s">
        <v>196</v>
      </c>
      <c r="B27" s="5" t="s">
        <v>162</v>
      </c>
      <c r="C27" s="10" t="s">
        <v>532</v>
      </c>
      <c r="D27" s="7">
        <f t="shared" si="0"/>
        <v>18.100000000000001</v>
      </c>
      <c r="E27" s="8">
        <v>0</v>
      </c>
      <c r="F27" s="5">
        <v>0</v>
      </c>
      <c r="G27" s="5">
        <v>0</v>
      </c>
      <c r="H27" s="5">
        <v>0</v>
      </c>
      <c r="I27" s="5">
        <v>0</v>
      </c>
      <c r="J27" s="9">
        <v>0</v>
      </c>
      <c r="K27" s="8">
        <v>0</v>
      </c>
      <c r="L27" s="5">
        <v>0</v>
      </c>
      <c r="M27" s="5">
        <v>0</v>
      </c>
      <c r="N27" s="9">
        <v>0</v>
      </c>
      <c r="O27" s="8">
        <v>7</v>
      </c>
      <c r="P27" s="5">
        <v>51</v>
      </c>
      <c r="Q27" s="5">
        <v>1</v>
      </c>
      <c r="R27" s="9">
        <v>0</v>
      </c>
      <c r="S27" s="8">
        <v>0</v>
      </c>
      <c r="T27" s="5">
        <v>0</v>
      </c>
    </row>
    <row r="28" spans="1:20" x14ac:dyDescent="0.2">
      <c r="A28" s="5" t="s">
        <v>87</v>
      </c>
      <c r="B28" s="5" t="s">
        <v>75</v>
      </c>
      <c r="C28" s="17" t="s">
        <v>542</v>
      </c>
      <c r="D28" s="7">
        <f t="shared" si="0"/>
        <v>18</v>
      </c>
      <c r="E28" s="8">
        <v>0</v>
      </c>
      <c r="F28" s="5">
        <v>0</v>
      </c>
      <c r="G28" s="5">
        <v>0</v>
      </c>
      <c r="H28" s="5">
        <v>0</v>
      </c>
      <c r="I28" s="5">
        <v>0</v>
      </c>
      <c r="J28" s="9">
        <v>0</v>
      </c>
      <c r="K28" s="8">
        <v>10</v>
      </c>
      <c r="L28" s="5">
        <v>46</v>
      </c>
      <c r="M28" s="5">
        <v>1</v>
      </c>
      <c r="N28" s="9">
        <v>0</v>
      </c>
      <c r="O28" s="8">
        <v>5</v>
      </c>
      <c r="P28" s="5">
        <v>24</v>
      </c>
      <c r="Q28" s="5">
        <v>0</v>
      </c>
      <c r="R28" s="9">
        <v>0</v>
      </c>
      <c r="S28" s="8">
        <v>0</v>
      </c>
      <c r="T28" s="5">
        <v>0</v>
      </c>
    </row>
    <row r="29" spans="1:20" x14ac:dyDescent="0.2">
      <c r="A29" s="5" t="s">
        <v>337</v>
      </c>
      <c r="B29" s="5" t="s">
        <v>75</v>
      </c>
      <c r="C29" s="17" t="s">
        <v>536</v>
      </c>
      <c r="D29" s="7">
        <f t="shared" si="0"/>
        <v>17.899999999999999</v>
      </c>
      <c r="E29" s="8">
        <v>0</v>
      </c>
      <c r="F29" s="5">
        <v>0</v>
      </c>
      <c r="G29" s="5">
        <v>0</v>
      </c>
      <c r="H29" s="5">
        <v>0</v>
      </c>
      <c r="I29" s="5">
        <v>0</v>
      </c>
      <c r="J29" s="9">
        <v>0</v>
      </c>
      <c r="K29" s="8">
        <v>7</v>
      </c>
      <c r="L29" s="5">
        <v>21</v>
      </c>
      <c r="M29" s="5">
        <v>1</v>
      </c>
      <c r="N29" s="9">
        <v>0</v>
      </c>
      <c r="O29" s="8">
        <v>6</v>
      </c>
      <c r="P29" s="5">
        <v>38</v>
      </c>
      <c r="Q29" s="5">
        <v>0</v>
      </c>
      <c r="R29" s="9">
        <v>0</v>
      </c>
      <c r="S29" s="8">
        <v>0</v>
      </c>
      <c r="T29" s="5">
        <v>0</v>
      </c>
    </row>
    <row r="30" spans="1:20" x14ac:dyDescent="0.2">
      <c r="A30" s="5" t="s">
        <v>100</v>
      </c>
      <c r="B30" s="5" t="s">
        <v>75</v>
      </c>
      <c r="C30" s="17" t="s">
        <v>544</v>
      </c>
      <c r="D30" s="7">
        <f t="shared" si="0"/>
        <v>17.899999999999999</v>
      </c>
      <c r="E30" s="8">
        <v>0</v>
      </c>
      <c r="F30" s="5">
        <v>0</v>
      </c>
      <c r="G30" s="5">
        <v>0</v>
      </c>
      <c r="H30" s="5">
        <v>0</v>
      </c>
      <c r="I30" s="5">
        <v>0</v>
      </c>
      <c r="J30" s="9">
        <v>0</v>
      </c>
      <c r="K30" s="8">
        <v>19</v>
      </c>
      <c r="L30" s="5">
        <v>62</v>
      </c>
      <c r="M30" s="5">
        <v>1</v>
      </c>
      <c r="N30" s="9">
        <v>0</v>
      </c>
      <c r="O30" s="8">
        <v>3</v>
      </c>
      <c r="P30" s="5">
        <v>27</v>
      </c>
      <c r="Q30" s="5">
        <v>0</v>
      </c>
      <c r="R30" s="9">
        <v>0</v>
      </c>
      <c r="S30" s="8">
        <v>0</v>
      </c>
      <c r="T30" s="5">
        <v>0</v>
      </c>
    </row>
    <row r="31" spans="1:20" x14ac:dyDescent="0.2">
      <c r="A31" s="5" t="s">
        <v>152</v>
      </c>
      <c r="B31" s="5" t="s">
        <v>75</v>
      </c>
      <c r="C31" s="17" t="s">
        <v>539</v>
      </c>
      <c r="D31" s="7">
        <f t="shared" si="0"/>
        <v>17.8</v>
      </c>
      <c r="E31" s="8">
        <v>0</v>
      </c>
      <c r="F31" s="5">
        <v>0</v>
      </c>
      <c r="G31" s="5">
        <v>0</v>
      </c>
      <c r="H31" s="5">
        <v>0</v>
      </c>
      <c r="I31" s="5">
        <v>0</v>
      </c>
      <c r="J31" s="9">
        <v>0</v>
      </c>
      <c r="K31" s="8">
        <v>10</v>
      </c>
      <c r="L31" s="5">
        <v>18</v>
      </c>
      <c r="M31" s="5">
        <v>0</v>
      </c>
      <c r="N31" s="9">
        <v>0</v>
      </c>
      <c r="O31" s="8">
        <v>8</v>
      </c>
      <c r="P31" s="5">
        <v>40</v>
      </c>
      <c r="Q31" s="5">
        <v>1</v>
      </c>
      <c r="R31" s="9">
        <v>0</v>
      </c>
      <c r="S31" s="8">
        <v>1</v>
      </c>
      <c r="T31" s="5">
        <v>0</v>
      </c>
    </row>
    <row r="32" spans="1:20" x14ac:dyDescent="0.2">
      <c r="A32" s="5" t="s">
        <v>470</v>
      </c>
      <c r="B32" s="5" t="s">
        <v>75</v>
      </c>
      <c r="C32" s="17" t="s">
        <v>543</v>
      </c>
      <c r="D32" s="7">
        <f t="shared" si="0"/>
        <v>17.400000000000002</v>
      </c>
      <c r="E32" s="8">
        <v>0</v>
      </c>
      <c r="F32" s="5">
        <v>0</v>
      </c>
      <c r="G32" s="5">
        <v>0</v>
      </c>
      <c r="H32" s="5">
        <v>0</v>
      </c>
      <c r="I32" s="5">
        <v>0</v>
      </c>
      <c r="J32" s="9">
        <v>0</v>
      </c>
      <c r="K32" s="8">
        <v>19</v>
      </c>
      <c r="L32" s="5">
        <v>68</v>
      </c>
      <c r="M32" s="5">
        <v>0</v>
      </c>
      <c r="N32" s="9">
        <v>0</v>
      </c>
      <c r="O32" s="8">
        <v>7</v>
      </c>
      <c r="P32" s="5">
        <v>36</v>
      </c>
      <c r="Q32" s="5">
        <v>0</v>
      </c>
      <c r="R32" s="9">
        <v>0</v>
      </c>
      <c r="S32" s="8">
        <v>0</v>
      </c>
      <c r="T32" s="5">
        <v>0</v>
      </c>
    </row>
    <row r="33" spans="1:20" x14ac:dyDescent="0.2">
      <c r="A33" s="5" t="s">
        <v>23</v>
      </c>
      <c r="B33" s="5" t="s">
        <v>17</v>
      </c>
      <c r="C33" s="10" t="s">
        <v>538</v>
      </c>
      <c r="D33" s="7">
        <f t="shared" si="0"/>
        <v>17.340000000000003</v>
      </c>
      <c r="E33" s="8">
        <v>40</v>
      </c>
      <c r="F33" s="5">
        <v>30</v>
      </c>
      <c r="G33" s="5">
        <v>306</v>
      </c>
      <c r="H33" s="5">
        <v>1</v>
      </c>
      <c r="I33" s="5">
        <v>1</v>
      </c>
      <c r="J33" s="9">
        <v>0</v>
      </c>
      <c r="K33" s="8">
        <v>6</v>
      </c>
      <c r="L33" s="5">
        <v>31</v>
      </c>
      <c r="M33" s="5">
        <v>0</v>
      </c>
      <c r="N33" s="9">
        <v>0</v>
      </c>
      <c r="O33" s="8">
        <v>0</v>
      </c>
      <c r="P33" s="5">
        <v>0</v>
      </c>
      <c r="Q33" s="5">
        <v>0</v>
      </c>
      <c r="R33" s="9">
        <v>0</v>
      </c>
      <c r="S33" s="8">
        <v>0</v>
      </c>
      <c r="T33" s="5">
        <v>0</v>
      </c>
    </row>
    <row r="34" spans="1:20" x14ac:dyDescent="0.2">
      <c r="A34" s="5" t="s">
        <v>58</v>
      </c>
      <c r="B34" s="5" t="s">
        <v>17</v>
      </c>
      <c r="C34" s="17" t="s">
        <v>541</v>
      </c>
      <c r="D34" s="7">
        <f t="shared" si="0"/>
        <v>17.12</v>
      </c>
      <c r="E34" s="8">
        <v>30</v>
      </c>
      <c r="F34" s="5">
        <v>21</v>
      </c>
      <c r="G34" s="5">
        <v>223</v>
      </c>
      <c r="H34" s="5">
        <v>1</v>
      </c>
      <c r="I34" s="5">
        <v>1</v>
      </c>
      <c r="J34" s="9">
        <v>0</v>
      </c>
      <c r="K34" s="8">
        <v>13</v>
      </c>
      <c r="L34" s="5">
        <v>62</v>
      </c>
      <c r="M34" s="5">
        <v>0</v>
      </c>
      <c r="N34" s="9">
        <v>0</v>
      </c>
      <c r="O34" s="8">
        <v>0</v>
      </c>
      <c r="P34" s="5">
        <v>0</v>
      </c>
      <c r="Q34" s="5">
        <v>0</v>
      </c>
      <c r="R34" s="9">
        <v>0</v>
      </c>
      <c r="S34" s="8">
        <v>0</v>
      </c>
      <c r="T34" s="5">
        <v>0</v>
      </c>
    </row>
    <row r="35" spans="1:20" x14ac:dyDescent="0.2">
      <c r="A35" s="5" t="s">
        <v>179</v>
      </c>
      <c r="B35" s="5" t="s">
        <v>162</v>
      </c>
      <c r="C35" s="17" t="s">
        <v>541</v>
      </c>
      <c r="D35" s="7">
        <f t="shared" si="0"/>
        <v>17.100000000000001</v>
      </c>
      <c r="E35" s="8">
        <v>0</v>
      </c>
      <c r="F35" s="5">
        <v>0</v>
      </c>
      <c r="G35" s="5">
        <v>0</v>
      </c>
      <c r="H35" s="5">
        <v>0</v>
      </c>
      <c r="I35" s="5">
        <v>0</v>
      </c>
      <c r="J35" s="9">
        <v>0</v>
      </c>
      <c r="K35" s="8">
        <v>1</v>
      </c>
      <c r="L35" s="5">
        <v>1</v>
      </c>
      <c r="M35" s="5">
        <v>0</v>
      </c>
      <c r="N35" s="9">
        <v>0</v>
      </c>
      <c r="O35" s="8">
        <v>6</v>
      </c>
      <c r="P35" s="5">
        <v>50</v>
      </c>
      <c r="Q35" s="5">
        <v>1</v>
      </c>
      <c r="R35" s="9">
        <v>0</v>
      </c>
      <c r="S35" s="8">
        <v>0</v>
      </c>
      <c r="T35" s="5">
        <v>0</v>
      </c>
    </row>
    <row r="36" spans="1:20" x14ac:dyDescent="0.2">
      <c r="A36" s="5" t="s">
        <v>164</v>
      </c>
      <c r="B36" s="5" t="s">
        <v>162</v>
      </c>
      <c r="C36" s="10" t="s">
        <v>542</v>
      </c>
      <c r="D36" s="7">
        <f t="shared" si="0"/>
        <v>17.100000000000001</v>
      </c>
      <c r="E36" s="8">
        <v>0</v>
      </c>
      <c r="F36" s="5">
        <v>0</v>
      </c>
      <c r="G36" s="5">
        <v>0</v>
      </c>
      <c r="H36" s="5">
        <v>0</v>
      </c>
      <c r="I36" s="5">
        <v>0</v>
      </c>
      <c r="J36" s="9">
        <v>0</v>
      </c>
      <c r="K36" s="8">
        <v>0</v>
      </c>
      <c r="L36" s="5">
        <v>0</v>
      </c>
      <c r="M36" s="5">
        <v>0</v>
      </c>
      <c r="N36" s="9">
        <v>0</v>
      </c>
      <c r="O36" s="8">
        <v>5</v>
      </c>
      <c r="P36" s="5">
        <v>61</v>
      </c>
      <c r="Q36" s="5">
        <v>1</v>
      </c>
      <c r="R36" s="9">
        <v>0</v>
      </c>
      <c r="S36" s="8">
        <v>0</v>
      </c>
      <c r="T36" s="5">
        <v>0</v>
      </c>
    </row>
    <row r="37" spans="1:20" x14ac:dyDescent="0.2">
      <c r="A37" s="5" t="s">
        <v>79</v>
      </c>
      <c r="B37" s="5" t="s">
        <v>75</v>
      </c>
      <c r="C37" s="17" t="s">
        <v>535</v>
      </c>
      <c r="D37" s="7">
        <f t="shared" si="0"/>
        <v>17</v>
      </c>
      <c r="E37" s="8">
        <v>0</v>
      </c>
      <c r="F37" s="5">
        <v>0</v>
      </c>
      <c r="G37" s="5">
        <v>0</v>
      </c>
      <c r="H37" s="5">
        <v>0</v>
      </c>
      <c r="I37" s="5">
        <v>0</v>
      </c>
      <c r="J37" s="9">
        <v>0</v>
      </c>
      <c r="K37" s="8">
        <v>15</v>
      </c>
      <c r="L37" s="5">
        <v>30</v>
      </c>
      <c r="M37" s="5">
        <v>0</v>
      </c>
      <c r="N37" s="9">
        <v>0</v>
      </c>
      <c r="O37" s="8">
        <v>6</v>
      </c>
      <c r="P37" s="5">
        <v>80</v>
      </c>
      <c r="Q37" s="5">
        <v>0</v>
      </c>
      <c r="R37" s="9">
        <v>0</v>
      </c>
      <c r="S37" s="8">
        <v>0</v>
      </c>
      <c r="T37" s="5">
        <v>0</v>
      </c>
    </row>
    <row r="38" spans="1:20" x14ac:dyDescent="0.2">
      <c r="A38" s="5" t="s">
        <v>184</v>
      </c>
      <c r="B38" s="5" t="s">
        <v>162</v>
      </c>
      <c r="C38" s="10" t="s">
        <v>539</v>
      </c>
      <c r="D38" s="7">
        <f t="shared" si="0"/>
        <v>17</v>
      </c>
      <c r="E38" s="8">
        <v>0</v>
      </c>
      <c r="F38" s="5">
        <v>0</v>
      </c>
      <c r="G38" s="5">
        <v>0</v>
      </c>
      <c r="H38" s="5">
        <v>0</v>
      </c>
      <c r="I38" s="5">
        <v>0</v>
      </c>
      <c r="J38" s="9">
        <v>0</v>
      </c>
      <c r="K38" s="8">
        <v>0</v>
      </c>
      <c r="L38" s="5">
        <v>0</v>
      </c>
      <c r="M38" s="5">
        <v>0</v>
      </c>
      <c r="N38" s="9">
        <v>0</v>
      </c>
      <c r="O38" s="8">
        <v>8</v>
      </c>
      <c r="P38" s="5">
        <v>90</v>
      </c>
      <c r="Q38" s="5">
        <v>0</v>
      </c>
      <c r="R38" s="9">
        <v>0</v>
      </c>
      <c r="S38" s="8">
        <v>0</v>
      </c>
      <c r="T38" s="5">
        <v>0</v>
      </c>
    </row>
    <row r="39" spans="1:20" x14ac:dyDescent="0.2">
      <c r="A39" s="5" t="s">
        <v>238</v>
      </c>
      <c r="B39" s="5" t="s">
        <v>162</v>
      </c>
      <c r="C39" s="10" t="s">
        <v>544</v>
      </c>
      <c r="D39" s="7">
        <f t="shared" si="0"/>
        <v>16.8</v>
      </c>
      <c r="E39" s="8">
        <v>0</v>
      </c>
      <c r="F39" s="5">
        <v>0</v>
      </c>
      <c r="G39" s="5">
        <v>0</v>
      </c>
      <c r="H39" s="5">
        <v>0</v>
      </c>
      <c r="I39" s="5">
        <v>0</v>
      </c>
      <c r="J39" s="9">
        <v>0</v>
      </c>
      <c r="K39" s="8">
        <v>0</v>
      </c>
      <c r="L39" s="5">
        <v>0</v>
      </c>
      <c r="M39" s="5">
        <v>0</v>
      </c>
      <c r="N39" s="9">
        <v>0</v>
      </c>
      <c r="O39" s="8">
        <v>7</v>
      </c>
      <c r="P39" s="5">
        <v>38</v>
      </c>
      <c r="Q39" s="5">
        <v>1</v>
      </c>
      <c r="R39" s="9">
        <v>0</v>
      </c>
      <c r="S39" s="8">
        <v>0</v>
      </c>
      <c r="T39" s="5">
        <v>0</v>
      </c>
    </row>
    <row r="40" spans="1:20" x14ac:dyDescent="0.2">
      <c r="A40" s="5" t="s">
        <v>171</v>
      </c>
      <c r="B40" s="5" t="s">
        <v>162</v>
      </c>
      <c r="C40" s="17" t="s">
        <v>543</v>
      </c>
      <c r="D40" s="7">
        <f t="shared" si="0"/>
        <v>16.600000000000001</v>
      </c>
      <c r="E40" s="8">
        <v>0</v>
      </c>
      <c r="F40" s="5">
        <v>0</v>
      </c>
      <c r="G40" s="5">
        <v>0</v>
      </c>
      <c r="H40" s="5">
        <v>0</v>
      </c>
      <c r="I40" s="5">
        <v>0</v>
      </c>
      <c r="J40" s="9">
        <v>0</v>
      </c>
      <c r="K40" s="8">
        <v>0</v>
      </c>
      <c r="L40" s="5">
        <v>0</v>
      </c>
      <c r="M40" s="5">
        <v>0</v>
      </c>
      <c r="N40" s="9">
        <v>0</v>
      </c>
      <c r="O40" s="8">
        <v>7</v>
      </c>
      <c r="P40" s="5">
        <v>96</v>
      </c>
      <c r="Q40" s="5">
        <v>0</v>
      </c>
      <c r="R40" s="9">
        <v>0</v>
      </c>
      <c r="S40" s="8">
        <v>0</v>
      </c>
      <c r="T40" s="5">
        <v>0</v>
      </c>
    </row>
    <row r="41" spans="1:20" x14ac:dyDescent="0.2">
      <c r="A41" s="5" t="s">
        <v>41</v>
      </c>
      <c r="B41" s="5" t="s">
        <v>17</v>
      </c>
      <c r="C41" s="17" t="s">
        <v>543</v>
      </c>
      <c r="D41" s="7">
        <f t="shared" si="0"/>
        <v>16.32</v>
      </c>
      <c r="E41" s="8">
        <v>50</v>
      </c>
      <c r="F41" s="5">
        <v>32</v>
      </c>
      <c r="G41" s="5">
        <v>353</v>
      </c>
      <c r="H41" s="5">
        <v>1</v>
      </c>
      <c r="I41" s="5">
        <v>1</v>
      </c>
      <c r="J41" s="9">
        <v>0</v>
      </c>
      <c r="K41" s="8">
        <v>1</v>
      </c>
      <c r="L41" s="5">
        <v>2</v>
      </c>
      <c r="M41" s="5">
        <v>0</v>
      </c>
      <c r="N41" s="9">
        <v>0</v>
      </c>
      <c r="O41" s="8">
        <v>0</v>
      </c>
      <c r="P41" s="5">
        <v>0</v>
      </c>
      <c r="Q41" s="5">
        <v>0</v>
      </c>
      <c r="R41" s="9">
        <v>0</v>
      </c>
      <c r="S41" s="8">
        <v>0</v>
      </c>
      <c r="T41" s="5">
        <v>0</v>
      </c>
    </row>
    <row r="42" spans="1:20" x14ac:dyDescent="0.2">
      <c r="A42" s="5" t="s">
        <v>428</v>
      </c>
      <c r="B42" s="5" t="s">
        <v>75</v>
      </c>
      <c r="C42" s="10" t="s">
        <v>545</v>
      </c>
      <c r="D42" s="7">
        <f t="shared" si="0"/>
        <v>16.100000000000001</v>
      </c>
      <c r="E42" s="8">
        <v>0</v>
      </c>
      <c r="F42" s="5">
        <v>0</v>
      </c>
      <c r="G42" s="5">
        <v>0</v>
      </c>
      <c r="H42" s="5">
        <v>0</v>
      </c>
      <c r="I42" s="5">
        <v>0</v>
      </c>
      <c r="J42" s="9">
        <v>0</v>
      </c>
      <c r="K42" s="8">
        <v>12</v>
      </c>
      <c r="L42" s="5">
        <v>47</v>
      </c>
      <c r="M42" s="5">
        <v>1</v>
      </c>
      <c r="N42" s="9">
        <v>0</v>
      </c>
      <c r="O42" s="8">
        <v>3</v>
      </c>
      <c r="P42" s="5">
        <v>24</v>
      </c>
      <c r="Q42" s="5">
        <v>0</v>
      </c>
      <c r="R42" s="9">
        <v>0</v>
      </c>
      <c r="S42" s="8">
        <v>0</v>
      </c>
      <c r="T42" s="5">
        <v>0</v>
      </c>
    </row>
    <row r="43" spans="1:20" x14ac:dyDescent="0.2">
      <c r="A43" s="5" t="s">
        <v>313</v>
      </c>
      <c r="B43" s="5" t="s">
        <v>69</v>
      </c>
      <c r="C43" s="10" t="s">
        <v>543</v>
      </c>
      <c r="D43" s="7">
        <f t="shared" si="0"/>
        <v>16.100000000000001</v>
      </c>
      <c r="E43" s="8">
        <v>0</v>
      </c>
      <c r="F43" s="5">
        <v>0</v>
      </c>
      <c r="G43" s="5">
        <v>0</v>
      </c>
      <c r="H43" s="5">
        <v>0</v>
      </c>
      <c r="I43" s="5">
        <v>0</v>
      </c>
      <c r="J43" s="9">
        <v>0</v>
      </c>
      <c r="K43" s="8">
        <v>0</v>
      </c>
      <c r="L43" s="5">
        <v>0</v>
      </c>
      <c r="M43" s="5">
        <v>0</v>
      </c>
      <c r="N43" s="9">
        <v>0</v>
      </c>
      <c r="O43" s="8">
        <v>4</v>
      </c>
      <c r="P43" s="5">
        <v>61</v>
      </c>
      <c r="Q43" s="5">
        <v>1</v>
      </c>
      <c r="R43" s="9">
        <v>0</v>
      </c>
      <c r="S43" s="8">
        <v>0</v>
      </c>
      <c r="T43" s="5">
        <v>0</v>
      </c>
    </row>
    <row r="44" spans="1:20" x14ac:dyDescent="0.2">
      <c r="A44" s="5" t="s">
        <v>51</v>
      </c>
      <c r="B44" s="5" t="s">
        <v>17</v>
      </c>
      <c r="C44" s="10" t="s">
        <v>537</v>
      </c>
      <c r="D44" s="7">
        <f t="shared" si="0"/>
        <v>16.080000000000002</v>
      </c>
      <c r="E44" s="8">
        <v>47</v>
      </c>
      <c r="F44" s="5">
        <v>28</v>
      </c>
      <c r="G44" s="5">
        <v>307</v>
      </c>
      <c r="H44" s="5">
        <v>2</v>
      </c>
      <c r="I44" s="5">
        <v>3</v>
      </c>
      <c r="J44" s="9">
        <v>0</v>
      </c>
      <c r="K44" s="8">
        <v>2</v>
      </c>
      <c r="L44" s="5">
        <v>18</v>
      </c>
      <c r="M44" s="5">
        <v>0</v>
      </c>
      <c r="N44" s="9">
        <v>0</v>
      </c>
      <c r="O44" s="8">
        <v>0</v>
      </c>
      <c r="P44" s="5">
        <v>0</v>
      </c>
      <c r="Q44" s="5">
        <v>0</v>
      </c>
      <c r="R44" s="9">
        <v>0</v>
      </c>
      <c r="S44" s="8">
        <v>0</v>
      </c>
      <c r="T44" s="5">
        <v>0</v>
      </c>
    </row>
    <row r="45" spans="1:20" x14ac:dyDescent="0.2">
      <c r="A45" s="5" t="s">
        <v>108</v>
      </c>
      <c r="B45" s="5" t="s">
        <v>75</v>
      </c>
      <c r="C45" s="17" t="s">
        <v>532</v>
      </c>
      <c r="D45" s="7">
        <f t="shared" si="0"/>
        <v>16</v>
      </c>
      <c r="E45" s="8">
        <v>0</v>
      </c>
      <c r="F45" s="5">
        <v>0</v>
      </c>
      <c r="G45" s="5">
        <v>0</v>
      </c>
      <c r="H45" s="5">
        <v>0</v>
      </c>
      <c r="I45" s="5">
        <v>0</v>
      </c>
      <c r="J45" s="9">
        <v>0</v>
      </c>
      <c r="K45" s="8">
        <v>19</v>
      </c>
      <c r="L45" s="5">
        <v>88</v>
      </c>
      <c r="M45" s="5">
        <v>1</v>
      </c>
      <c r="N45" s="9">
        <v>0</v>
      </c>
      <c r="O45" s="8">
        <v>1</v>
      </c>
      <c r="P45" s="5">
        <v>2</v>
      </c>
      <c r="Q45" s="5">
        <v>0</v>
      </c>
      <c r="R45" s="9">
        <v>0</v>
      </c>
      <c r="S45" s="8">
        <v>0</v>
      </c>
      <c r="T45" s="5">
        <v>0</v>
      </c>
    </row>
    <row r="46" spans="1:20" x14ac:dyDescent="0.2">
      <c r="A46" s="5" t="s">
        <v>104</v>
      </c>
      <c r="B46" s="5" t="s">
        <v>75</v>
      </c>
      <c r="C46" s="10" t="s">
        <v>538</v>
      </c>
      <c r="D46" s="7">
        <f t="shared" si="0"/>
        <v>15.799999999999999</v>
      </c>
      <c r="E46" s="8">
        <v>0</v>
      </c>
      <c r="F46" s="5">
        <v>0</v>
      </c>
      <c r="G46" s="5">
        <v>0</v>
      </c>
      <c r="H46" s="5">
        <v>0</v>
      </c>
      <c r="I46" s="5">
        <v>0</v>
      </c>
      <c r="J46" s="9">
        <v>0</v>
      </c>
      <c r="K46" s="8">
        <v>16</v>
      </c>
      <c r="L46" s="5">
        <v>62</v>
      </c>
      <c r="M46" s="5">
        <v>0</v>
      </c>
      <c r="N46" s="9">
        <v>0</v>
      </c>
      <c r="O46" s="8">
        <v>6</v>
      </c>
      <c r="P46" s="5">
        <v>36</v>
      </c>
      <c r="Q46" s="5">
        <v>0</v>
      </c>
      <c r="R46" s="9">
        <v>0</v>
      </c>
      <c r="S46" s="8">
        <v>0</v>
      </c>
      <c r="T46" s="5">
        <v>0</v>
      </c>
    </row>
    <row r="47" spans="1:20" x14ac:dyDescent="0.2">
      <c r="A47" s="5" t="s">
        <v>241</v>
      </c>
      <c r="B47" s="5" t="s">
        <v>162</v>
      </c>
      <c r="C47" s="17" t="s">
        <v>544</v>
      </c>
      <c r="D47" s="7">
        <f t="shared" si="0"/>
        <v>15.4</v>
      </c>
      <c r="E47" s="8">
        <v>0</v>
      </c>
      <c r="F47" s="5">
        <v>0</v>
      </c>
      <c r="G47" s="5">
        <v>0</v>
      </c>
      <c r="H47" s="5">
        <v>0</v>
      </c>
      <c r="I47" s="5">
        <v>0</v>
      </c>
      <c r="J47" s="9">
        <v>0</v>
      </c>
      <c r="K47" s="8">
        <v>0</v>
      </c>
      <c r="L47" s="5">
        <v>0</v>
      </c>
      <c r="M47" s="5">
        <v>0</v>
      </c>
      <c r="N47" s="9">
        <v>0</v>
      </c>
      <c r="O47" s="8">
        <v>6</v>
      </c>
      <c r="P47" s="5">
        <v>94</v>
      </c>
      <c r="Q47" s="5">
        <v>0</v>
      </c>
      <c r="R47" s="9">
        <v>0</v>
      </c>
      <c r="S47" s="8">
        <v>0</v>
      </c>
      <c r="T47" s="5">
        <v>0</v>
      </c>
    </row>
    <row r="48" spans="1:20" x14ac:dyDescent="0.2">
      <c r="A48" s="5" t="s">
        <v>233</v>
      </c>
      <c r="B48" s="5" t="s">
        <v>162</v>
      </c>
      <c r="C48" s="17" t="s">
        <v>535</v>
      </c>
      <c r="D48" s="7">
        <f t="shared" si="0"/>
        <v>15</v>
      </c>
      <c r="E48" s="8">
        <v>0</v>
      </c>
      <c r="F48" s="5">
        <v>0</v>
      </c>
      <c r="G48" s="5">
        <v>0</v>
      </c>
      <c r="H48" s="5">
        <v>0</v>
      </c>
      <c r="I48" s="5">
        <v>0</v>
      </c>
      <c r="J48" s="9">
        <v>0</v>
      </c>
      <c r="K48" s="8">
        <v>1</v>
      </c>
      <c r="L48" s="5">
        <v>14</v>
      </c>
      <c r="M48" s="5">
        <v>0</v>
      </c>
      <c r="N48" s="9">
        <v>0</v>
      </c>
      <c r="O48" s="8">
        <v>4</v>
      </c>
      <c r="P48" s="5">
        <v>36</v>
      </c>
      <c r="Q48" s="5">
        <v>1</v>
      </c>
      <c r="R48" s="9">
        <v>0</v>
      </c>
      <c r="S48" s="8">
        <v>0</v>
      </c>
      <c r="T48" s="5">
        <v>0</v>
      </c>
    </row>
    <row r="49" spans="1:20" x14ac:dyDescent="0.2">
      <c r="A49" s="5" t="s">
        <v>218</v>
      </c>
      <c r="B49" s="5" t="s">
        <v>162</v>
      </c>
      <c r="C49" s="10" t="s">
        <v>545</v>
      </c>
      <c r="D49" s="7">
        <f t="shared" si="0"/>
        <v>14.8</v>
      </c>
      <c r="E49" s="8">
        <v>0</v>
      </c>
      <c r="F49" s="5">
        <v>0</v>
      </c>
      <c r="G49" s="5">
        <v>0</v>
      </c>
      <c r="H49" s="5">
        <v>0</v>
      </c>
      <c r="I49" s="5">
        <v>0</v>
      </c>
      <c r="J49" s="9">
        <v>0</v>
      </c>
      <c r="K49" s="8">
        <v>0</v>
      </c>
      <c r="L49" s="5">
        <v>0</v>
      </c>
      <c r="M49" s="5">
        <v>0</v>
      </c>
      <c r="N49" s="9">
        <v>0</v>
      </c>
      <c r="O49" s="8">
        <v>4</v>
      </c>
      <c r="P49" s="5">
        <v>108</v>
      </c>
      <c r="Q49" s="5">
        <v>0</v>
      </c>
      <c r="R49" s="9">
        <v>0</v>
      </c>
      <c r="S49" s="8">
        <v>0</v>
      </c>
      <c r="T49" s="5">
        <v>0</v>
      </c>
    </row>
    <row r="50" spans="1:20" x14ac:dyDescent="0.2">
      <c r="A50" s="5" t="s">
        <v>32</v>
      </c>
      <c r="B50" s="5" t="s">
        <v>17</v>
      </c>
      <c r="C50" s="10" t="s">
        <v>536</v>
      </c>
      <c r="D50" s="7">
        <f t="shared" si="0"/>
        <v>14.74</v>
      </c>
      <c r="E50" s="8">
        <v>30</v>
      </c>
      <c r="F50" s="5">
        <v>20</v>
      </c>
      <c r="G50" s="5">
        <v>181</v>
      </c>
      <c r="H50" s="5">
        <v>2</v>
      </c>
      <c r="I50" s="5">
        <v>1</v>
      </c>
      <c r="J50" s="9">
        <v>0</v>
      </c>
      <c r="K50" s="8">
        <v>3</v>
      </c>
      <c r="L50" s="5">
        <v>15</v>
      </c>
      <c r="M50" s="5">
        <v>0</v>
      </c>
      <c r="N50" s="9">
        <v>0</v>
      </c>
      <c r="O50" s="8">
        <v>0</v>
      </c>
      <c r="P50" s="5">
        <v>0</v>
      </c>
      <c r="Q50" s="5">
        <v>0</v>
      </c>
      <c r="R50" s="9">
        <v>0</v>
      </c>
      <c r="S50" s="8">
        <v>0</v>
      </c>
      <c r="T50" s="5">
        <v>0</v>
      </c>
    </row>
    <row r="51" spans="1:20" x14ac:dyDescent="0.2">
      <c r="A51" s="5" t="s">
        <v>189</v>
      </c>
      <c r="B51" s="5" t="s">
        <v>162</v>
      </c>
      <c r="C51" s="17" t="s">
        <v>538</v>
      </c>
      <c r="D51" s="7">
        <f t="shared" si="0"/>
        <v>14.600000000000001</v>
      </c>
      <c r="E51" s="8">
        <v>0</v>
      </c>
      <c r="F51" s="5">
        <v>0</v>
      </c>
      <c r="G51" s="5">
        <v>0</v>
      </c>
      <c r="H51" s="5">
        <v>0</v>
      </c>
      <c r="I51" s="5">
        <v>0</v>
      </c>
      <c r="J51" s="9">
        <v>0</v>
      </c>
      <c r="K51" s="8">
        <v>0</v>
      </c>
      <c r="L51" s="5">
        <v>0</v>
      </c>
      <c r="M51" s="5">
        <v>0</v>
      </c>
      <c r="N51" s="9">
        <v>0</v>
      </c>
      <c r="O51" s="8">
        <v>4</v>
      </c>
      <c r="P51" s="5">
        <v>46</v>
      </c>
      <c r="Q51" s="5">
        <v>1</v>
      </c>
      <c r="R51" s="9">
        <v>0</v>
      </c>
      <c r="S51" s="8">
        <v>0</v>
      </c>
      <c r="T51" s="5">
        <v>0</v>
      </c>
    </row>
    <row r="52" spans="1:20" x14ac:dyDescent="0.2">
      <c r="A52" s="5" t="s">
        <v>293</v>
      </c>
      <c r="B52" s="5" t="s">
        <v>69</v>
      </c>
      <c r="C52" s="10" t="s">
        <v>537</v>
      </c>
      <c r="D52" s="7">
        <f t="shared" si="0"/>
        <v>14.3</v>
      </c>
      <c r="E52" s="8">
        <v>0</v>
      </c>
      <c r="F52" s="5">
        <v>0</v>
      </c>
      <c r="G52" s="5">
        <v>0</v>
      </c>
      <c r="H52" s="5">
        <v>0</v>
      </c>
      <c r="I52" s="5">
        <v>0</v>
      </c>
      <c r="J52" s="9">
        <v>0</v>
      </c>
      <c r="K52" s="8">
        <v>0</v>
      </c>
      <c r="L52" s="5">
        <v>0</v>
      </c>
      <c r="M52" s="5">
        <v>0</v>
      </c>
      <c r="N52" s="9">
        <v>0</v>
      </c>
      <c r="O52" s="8">
        <v>4</v>
      </c>
      <c r="P52" s="5">
        <v>43</v>
      </c>
      <c r="Q52" s="5">
        <v>1</v>
      </c>
      <c r="R52" s="9">
        <v>0</v>
      </c>
      <c r="S52" s="8">
        <v>0</v>
      </c>
      <c r="T52" s="5">
        <v>0</v>
      </c>
    </row>
    <row r="53" spans="1:20" x14ac:dyDescent="0.2">
      <c r="A53" s="5" t="s">
        <v>77</v>
      </c>
      <c r="B53" s="5" t="s">
        <v>75</v>
      </c>
      <c r="C53" s="17" t="s">
        <v>545</v>
      </c>
      <c r="D53" s="7">
        <f t="shared" si="0"/>
        <v>14.2</v>
      </c>
      <c r="E53" s="8">
        <v>0</v>
      </c>
      <c r="F53" s="5">
        <v>0</v>
      </c>
      <c r="G53" s="5">
        <v>0</v>
      </c>
      <c r="H53" s="5">
        <v>0</v>
      </c>
      <c r="I53" s="5">
        <v>0</v>
      </c>
      <c r="J53" s="9">
        <v>0</v>
      </c>
      <c r="K53" s="8">
        <v>11</v>
      </c>
      <c r="L53" s="5">
        <v>43</v>
      </c>
      <c r="M53" s="5">
        <v>0</v>
      </c>
      <c r="N53" s="9">
        <v>0</v>
      </c>
      <c r="O53" s="8">
        <v>3</v>
      </c>
      <c r="P53" s="5">
        <v>9</v>
      </c>
      <c r="Q53" s="5">
        <v>1</v>
      </c>
      <c r="R53" s="9">
        <v>0</v>
      </c>
      <c r="S53" s="8">
        <v>0</v>
      </c>
      <c r="T53" s="5">
        <v>0</v>
      </c>
    </row>
    <row r="54" spans="1:20" x14ac:dyDescent="0.2">
      <c r="A54" s="5" t="s">
        <v>427</v>
      </c>
      <c r="B54" s="5" t="s">
        <v>162</v>
      </c>
      <c r="C54" s="17" t="s">
        <v>540</v>
      </c>
      <c r="D54" s="7">
        <f t="shared" si="0"/>
        <v>14.2</v>
      </c>
      <c r="E54" s="8">
        <v>0</v>
      </c>
      <c r="F54" s="5">
        <v>0</v>
      </c>
      <c r="G54" s="5">
        <v>0</v>
      </c>
      <c r="H54" s="5">
        <v>0</v>
      </c>
      <c r="I54" s="5">
        <v>0</v>
      </c>
      <c r="J54" s="9">
        <v>0</v>
      </c>
      <c r="K54" s="8">
        <v>0</v>
      </c>
      <c r="L54" s="5">
        <v>0</v>
      </c>
      <c r="M54" s="5">
        <v>0</v>
      </c>
      <c r="N54" s="9">
        <v>0</v>
      </c>
      <c r="O54" s="8">
        <v>8</v>
      </c>
      <c r="P54" s="5">
        <v>62</v>
      </c>
      <c r="Q54" s="5">
        <v>0</v>
      </c>
      <c r="R54" s="9">
        <v>0</v>
      </c>
      <c r="S54" s="8">
        <v>0</v>
      </c>
      <c r="T54" s="5">
        <v>0</v>
      </c>
    </row>
    <row r="55" spans="1:20" x14ac:dyDescent="0.2">
      <c r="A55" s="5" t="s">
        <v>199</v>
      </c>
      <c r="B55" s="5" t="s">
        <v>162</v>
      </c>
      <c r="C55" s="17" t="s">
        <v>537</v>
      </c>
      <c r="D55" s="7">
        <f t="shared" si="0"/>
        <v>14.2</v>
      </c>
      <c r="E55" s="8">
        <v>0</v>
      </c>
      <c r="F55" s="5">
        <v>0</v>
      </c>
      <c r="G55" s="5">
        <v>0</v>
      </c>
      <c r="H55" s="5">
        <v>0</v>
      </c>
      <c r="I55" s="5">
        <v>0</v>
      </c>
      <c r="J55" s="9">
        <v>0</v>
      </c>
      <c r="K55" s="8">
        <v>1</v>
      </c>
      <c r="L55" s="5">
        <v>0</v>
      </c>
      <c r="M55" s="5">
        <v>0</v>
      </c>
      <c r="N55" s="9">
        <v>0</v>
      </c>
      <c r="O55" s="8">
        <v>4</v>
      </c>
      <c r="P55" s="5">
        <v>42</v>
      </c>
      <c r="Q55" s="5">
        <v>1</v>
      </c>
      <c r="R55" s="9">
        <v>0</v>
      </c>
      <c r="S55" s="8">
        <v>0</v>
      </c>
      <c r="T55" s="5">
        <v>0</v>
      </c>
    </row>
    <row r="56" spans="1:20" x14ac:dyDescent="0.2">
      <c r="A56" s="5" t="s">
        <v>53</v>
      </c>
      <c r="B56" s="5" t="s">
        <v>17</v>
      </c>
      <c r="C56" s="10" t="s">
        <v>543</v>
      </c>
      <c r="D56" s="7">
        <f t="shared" si="0"/>
        <v>14.16</v>
      </c>
      <c r="E56" s="8">
        <v>27</v>
      </c>
      <c r="F56" s="5">
        <v>13</v>
      </c>
      <c r="G56" s="5">
        <v>199</v>
      </c>
      <c r="H56" s="5">
        <v>2</v>
      </c>
      <c r="I56" s="5">
        <v>1</v>
      </c>
      <c r="J56" s="9">
        <v>0</v>
      </c>
      <c r="K56" s="8">
        <v>3</v>
      </c>
      <c r="L56" s="5">
        <v>2</v>
      </c>
      <c r="M56" s="5">
        <v>0</v>
      </c>
      <c r="N56" s="9">
        <v>0</v>
      </c>
      <c r="O56" s="8">
        <v>0</v>
      </c>
      <c r="P56" s="5">
        <v>0</v>
      </c>
      <c r="Q56" s="5">
        <v>0</v>
      </c>
      <c r="R56" s="9">
        <v>0</v>
      </c>
      <c r="S56" s="8">
        <v>0</v>
      </c>
      <c r="T56" s="5">
        <v>0</v>
      </c>
    </row>
    <row r="57" spans="1:20" x14ac:dyDescent="0.2">
      <c r="A57" s="5" t="s">
        <v>232</v>
      </c>
      <c r="B57" s="5" t="s">
        <v>162</v>
      </c>
      <c r="C57" s="17" t="s">
        <v>537</v>
      </c>
      <c r="D57" s="7">
        <f t="shared" si="0"/>
        <v>14.1</v>
      </c>
      <c r="E57" s="8">
        <v>0</v>
      </c>
      <c r="F57" s="5">
        <v>0</v>
      </c>
      <c r="G57" s="5">
        <v>0</v>
      </c>
      <c r="H57" s="5">
        <v>0</v>
      </c>
      <c r="I57" s="5">
        <v>0</v>
      </c>
      <c r="J57" s="9">
        <v>0</v>
      </c>
      <c r="K57" s="8">
        <v>0</v>
      </c>
      <c r="L57" s="5">
        <v>0</v>
      </c>
      <c r="M57" s="5">
        <v>0</v>
      </c>
      <c r="N57" s="9">
        <v>0</v>
      </c>
      <c r="O57" s="8">
        <v>6</v>
      </c>
      <c r="P57" s="5">
        <v>81</v>
      </c>
      <c r="Q57" s="5">
        <v>0</v>
      </c>
      <c r="R57" s="9">
        <v>0</v>
      </c>
      <c r="S57" s="8">
        <v>0</v>
      </c>
      <c r="T57" s="5">
        <v>0</v>
      </c>
    </row>
    <row r="58" spans="1:20" x14ac:dyDescent="0.2">
      <c r="A58" s="5" t="s">
        <v>206</v>
      </c>
      <c r="B58" s="5" t="s">
        <v>162</v>
      </c>
      <c r="C58" s="10" t="s">
        <v>544</v>
      </c>
      <c r="D58" s="7">
        <f t="shared" si="0"/>
        <v>14</v>
      </c>
      <c r="E58" s="8">
        <v>0</v>
      </c>
      <c r="F58" s="5">
        <v>0</v>
      </c>
      <c r="G58" s="5">
        <v>0</v>
      </c>
      <c r="H58" s="5">
        <v>0</v>
      </c>
      <c r="I58" s="5">
        <v>0</v>
      </c>
      <c r="J58" s="9">
        <v>0</v>
      </c>
      <c r="K58" s="8">
        <v>0</v>
      </c>
      <c r="L58" s="5">
        <v>0</v>
      </c>
      <c r="M58" s="5">
        <v>0</v>
      </c>
      <c r="N58" s="9">
        <v>0</v>
      </c>
      <c r="O58" s="8">
        <v>6</v>
      </c>
      <c r="P58" s="5">
        <v>80</v>
      </c>
      <c r="Q58" s="5">
        <v>0</v>
      </c>
      <c r="R58" s="9">
        <v>0</v>
      </c>
      <c r="S58" s="8">
        <v>0</v>
      </c>
      <c r="T58" s="5">
        <v>0</v>
      </c>
    </row>
    <row r="59" spans="1:20" x14ac:dyDescent="0.2">
      <c r="A59" s="5" t="s">
        <v>263</v>
      </c>
      <c r="B59" s="5" t="s">
        <v>162</v>
      </c>
      <c r="C59" s="10" t="s">
        <v>536</v>
      </c>
      <c r="D59" s="7">
        <f t="shared" si="0"/>
        <v>13.9</v>
      </c>
      <c r="E59" s="8">
        <v>0</v>
      </c>
      <c r="F59" s="5">
        <v>0</v>
      </c>
      <c r="G59" s="5">
        <v>0</v>
      </c>
      <c r="H59" s="5">
        <v>0</v>
      </c>
      <c r="I59" s="5">
        <v>0</v>
      </c>
      <c r="J59" s="9">
        <v>0</v>
      </c>
      <c r="K59" s="8">
        <v>0</v>
      </c>
      <c r="L59" s="5">
        <v>0</v>
      </c>
      <c r="M59" s="5">
        <v>0</v>
      </c>
      <c r="N59" s="9">
        <v>0</v>
      </c>
      <c r="O59" s="8">
        <v>3</v>
      </c>
      <c r="P59" s="5">
        <v>49</v>
      </c>
      <c r="Q59" s="5">
        <v>1</v>
      </c>
      <c r="R59" s="9">
        <v>0</v>
      </c>
      <c r="S59" s="8">
        <v>0</v>
      </c>
      <c r="T59" s="5">
        <v>0</v>
      </c>
    </row>
    <row r="60" spans="1:20" x14ac:dyDescent="0.2">
      <c r="A60" s="5" t="s">
        <v>48</v>
      </c>
      <c r="B60" s="5" t="s">
        <v>17</v>
      </c>
      <c r="C60" s="10" t="s">
        <v>540</v>
      </c>
      <c r="D60" s="7">
        <f t="shared" si="0"/>
        <v>13.86</v>
      </c>
      <c r="E60" s="8">
        <v>30</v>
      </c>
      <c r="F60" s="5">
        <v>19</v>
      </c>
      <c r="G60" s="5">
        <v>169</v>
      </c>
      <c r="H60" s="5">
        <v>2</v>
      </c>
      <c r="I60" s="5">
        <v>1</v>
      </c>
      <c r="J60" s="9">
        <v>0</v>
      </c>
      <c r="K60" s="8">
        <v>2</v>
      </c>
      <c r="L60" s="5">
        <v>11</v>
      </c>
      <c r="M60" s="5">
        <v>0</v>
      </c>
      <c r="N60" s="9">
        <v>0</v>
      </c>
      <c r="O60" s="8">
        <v>0</v>
      </c>
      <c r="P60" s="5">
        <v>0</v>
      </c>
      <c r="Q60" s="5">
        <v>0</v>
      </c>
      <c r="R60" s="9">
        <v>0</v>
      </c>
      <c r="S60" s="8">
        <v>0</v>
      </c>
      <c r="T60" s="5">
        <v>0</v>
      </c>
    </row>
    <row r="61" spans="1:20" x14ac:dyDescent="0.2">
      <c r="A61" s="5" t="s">
        <v>62</v>
      </c>
      <c r="B61" s="5" t="s">
        <v>17</v>
      </c>
      <c r="C61" s="10" t="s">
        <v>544</v>
      </c>
      <c r="D61" s="7">
        <f t="shared" si="0"/>
        <v>13.8</v>
      </c>
      <c r="E61" s="8">
        <v>35</v>
      </c>
      <c r="F61" s="5">
        <v>24</v>
      </c>
      <c r="G61" s="5">
        <v>185</v>
      </c>
      <c r="H61" s="5">
        <v>2</v>
      </c>
      <c r="I61" s="5">
        <v>1</v>
      </c>
      <c r="J61" s="9">
        <v>0</v>
      </c>
      <c r="K61" s="8">
        <v>2</v>
      </c>
      <c r="L61" s="5">
        <v>4</v>
      </c>
      <c r="M61" s="5">
        <v>0</v>
      </c>
      <c r="N61" s="9">
        <v>0</v>
      </c>
      <c r="O61" s="8">
        <v>0</v>
      </c>
      <c r="P61" s="5">
        <v>0</v>
      </c>
      <c r="Q61" s="5">
        <v>0</v>
      </c>
      <c r="R61" s="9">
        <v>0</v>
      </c>
      <c r="S61" s="8">
        <v>0</v>
      </c>
      <c r="T61" s="5">
        <v>0</v>
      </c>
    </row>
    <row r="62" spans="1:20" x14ac:dyDescent="0.2">
      <c r="A62" s="5" t="s">
        <v>101</v>
      </c>
      <c r="B62" s="5" t="s">
        <v>75</v>
      </c>
      <c r="C62" s="17" t="s">
        <v>540</v>
      </c>
      <c r="D62" s="7">
        <f t="shared" si="0"/>
        <v>13.8</v>
      </c>
      <c r="E62" s="8">
        <v>0</v>
      </c>
      <c r="F62" s="5">
        <v>0</v>
      </c>
      <c r="G62" s="5">
        <v>0</v>
      </c>
      <c r="H62" s="5">
        <v>0</v>
      </c>
      <c r="I62" s="5">
        <v>0</v>
      </c>
      <c r="J62" s="9">
        <v>0</v>
      </c>
      <c r="K62" s="8">
        <v>24</v>
      </c>
      <c r="L62" s="5">
        <v>93</v>
      </c>
      <c r="M62" s="5">
        <v>0</v>
      </c>
      <c r="N62" s="9">
        <v>0</v>
      </c>
      <c r="O62" s="8">
        <v>4</v>
      </c>
      <c r="P62" s="5">
        <v>5</v>
      </c>
      <c r="Q62" s="5">
        <v>0</v>
      </c>
      <c r="R62" s="9">
        <v>0</v>
      </c>
      <c r="S62" s="8">
        <v>0</v>
      </c>
      <c r="T62" s="5">
        <v>0</v>
      </c>
    </row>
    <row r="63" spans="1:20" x14ac:dyDescent="0.2">
      <c r="A63" s="5" t="s">
        <v>198</v>
      </c>
      <c r="B63" s="5" t="s">
        <v>162</v>
      </c>
      <c r="C63" s="10" t="s">
        <v>533</v>
      </c>
      <c r="D63" s="7">
        <f t="shared" si="0"/>
        <v>13.7</v>
      </c>
      <c r="E63" s="8">
        <v>0</v>
      </c>
      <c r="F63" s="5">
        <v>0</v>
      </c>
      <c r="G63" s="5">
        <v>0</v>
      </c>
      <c r="H63" s="5">
        <v>0</v>
      </c>
      <c r="I63" s="5">
        <v>0</v>
      </c>
      <c r="J63" s="9">
        <v>0</v>
      </c>
      <c r="K63" s="8">
        <v>0</v>
      </c>
      <c r="L63" s="5">
        <v>0</v>
      </c>
      <c r="M63" s="5">
        <v>0</v>
      </c>
      <c r="N63" s="9">
        <v>0</v>
      </c>
      <c r="O63" s="8">
        <v>6</v>
      </c>
      <c r="P63" s="5">
        <v>77</v>
      </c>
      <c r="Q63" s="5">
        <v>0</v>
      </c>
      <c r="R63" s="9">
        <v>0</v>
      </c>
      <c r="S63" s="8">
        <v>0</v>
      </c>
      <c r="T63" s="5">
        <v>0</v>
      </c>
    </row>
    <row r="64" spans="1:20" x14ac:dyDescent="0.2">
      <c r="A64" s="5" t="s">
        <v>93</v>
      </c>
      <c r="B64" s="5" t="s">
        <v>75</v>
      </c>
      <c r="C64" s="17" t="s">
        <v>537</v>
      </c>
      <c r="D64" s="7">
        <f t="shared" si="0"/>
        <v>13.6</v>
      </c>
      <c r="E64" s="8">
        <v>0</v>
      </c>
      <c r="F64" s="5">
        <v>0</v>
      </c>
      <c r="G64" s="5">
        <v>0</v>
      </c>
      <c r="H64" s="5">
        <v>0</v>
      </c>
      <c r="I64" s="5">
        <v>0</v>
      </c>
      <c r="J64" s="9">
        <v>0</v>
      </c>
      <c r="K64" s="8">
        <v>10</v>
      </c>
      <c r="L64" s="5">
        <v>31</v>
      </c>
      <c r="M64" s="5">
        <v>0</v>
      </c>
      <c r="N64" s="9">
        <v>0</v>
      </c>
      <c r="O64" s="8">
        <v>2</v>
      </c>
      <c r="P64" s="5">
        <v>25</v>
      </c>
      <c r="Q64" s="5">
        <v>1</v>
      </c>
      <c r="R64" s="9">
        <v>0</v>
      </c>
      <c r="S64" s="8">
        <v>0</v>
      </c>
      <c r="T64" s="5">
        <v>0</v>
      </c>
    </row>
    <row r="65" spans="1:20" x14ac:dyDescent="0.2">
      <c r="A65" s="5" t="s">
        <v>348</v>
      </c>
      <c r="B65" s="5" t="s">
        <v>69</v>
      </c>
      <c r="C65" s="10" t="s">
        <v>537</v>
      </c>
      <c r="D65" s="7">
        <f t="shared" si="0"/>
        <v>13.6</v>
      </c>
      <c r="E65" s="8">
        <v>0</v>
      </c>
      <c r="F65" s="5">
        <v>0</v>
      </c>
      <c r="G65" s="5">
        <v>0</v>
      </c>
      <c r="H65" s="5">
        <v>0</v>
      </c>
      <c r="I65" s="5">
        <v>0</v>
      </c>
      <c r="J65" s="9">
        <v>0</v>
      </c>
      <c r="K65" s="8">
        <v>0</v>
      </c>
      <c r="L65" s="5">
        <v>0</v>
      </c>
      <c r="M65" s="5">
        <v>0</v>
      </c>
      <c r="N65" s="9">
        <v>0</v>
      </c>
      <c r="O65" s="8">
        <v>4</v>
      </c>
      <c r="P65" s="5">
        <v>36</v>
      </c>
      <c r="Q65" s="5">
        <v>1</v>
      </c>
      <c r="R65" s="9">
        <v>0</v>
      </c>
      <c r="S65" s="8">
        <v>0</v>
      </c>
      <c r="T65" s="5">
        <v>0</v>
      </c>
    </row>
    <row r="66" spans="1:20" x14ac:dyDescent="0.2">
      <c r="A66" s="5" t="s">
        <v>523</v>
      </c>
      <c r="B66" s="5" t="s">
        <v>162</v>
      </c>
      <c r="C66" s="17" t="s">
        <v>533</v>
      </c>
      <c r="D66" s="7">
        <f t="shared" si="0"/>
        <v>13.3</v>
      </c>
      <c r="E66" s="8">
        <v>0</v>
      </c>
      <c r="F66" s="5">
        <v>0</v>
      </c>
      <c r="G66" s="5">
        <v>0</v>
      </c>
      <c r="H66" s="5">
        <v>0</v>
      </c>
      <c r="I66" s="5">
        <v>0</v>
      </c>
      <c r="J66" s="9">
        <v>0</v>
      </c>
      <c r="K66" s="8">
        <v>0</v>
      </c>
      <c r="L66" s="5">
        <v>0</v>
      </c>
      <c r="M66" s="5">
        <v>0</v>
      </c>
      <c r="N66" s="9">
        <v>0</v>
      </c>
      <c r="O66" s="8">
        <v>2</v>
      </c>
      <c r="P66" s="5">
        <v>53</v>
      </c>
      <c r="Q66" s="5">
        <v>1</v>
      </c>
      <c r="R66" s="9">
        <v>0</v>
      </c>
      <c r="S66" s="8">
        <v>0</v>
      </c>
      <c r="T66" s="5">
        <v>0</v>
      </c>
    </row>
    <row r="67" spans="1:20" x14ac:dyDescent="0.2">
      <c r="A67" s="5" t="s">
        <v>46</v>
      </c>
      <c r="B67" s="5" t="s">
        <v>17</v>
      </c>
      <c r="C67" s="10" t="s">
        <v>534</v>
      </c>
      <c r="D67" s="7">
        <f t="shared" si="0"/>
        <v>13.24</v>
      </c>
      <c r="E67" s="8">
        <v>24</v>
      </c>
      <c r="F67" s="5">
        <v>15</v>
      </c>
      <c r="G67" s="5">
        <v>226</v>
      </c>
      <c r="H67" s="5">
        <v>1</v>
      </c>
      <c r="I67" s="5">
        <v>0</v>
      </c>
      <c r="J67" s="9">
        <v>0</v>
      </c>
      <c r="K67" s="8">
        <v>1</v>
      </c>
      <c r="L67" s="5">
        <v>2</v>
      </c>
      <c r="M67" s="5">
        <v>0</v>
      </c>
      <c r="N67" s="9">
        <v>0</v>
      </c>
      <c r="O67" s="8">
        <v>0</v>
      </c>
      <c r="P67" s="5">
        <v>0</v>
      </c>
      <c r="Q67" s="5">
        <v>0</v>
      </c>
      <c r="R67" s="9">
        <v>0</v>
      </c>
      <c r="S67" s="8">
        <v>0</v>
      </c>
      <c r="T67" s="5">
        <v>0</v>
      </c>
    </row>
    <row r="68" spans="1:20" x14ac:dyDescent="0.2">
      <c r="A68" s="5" t="s">
        <v>220</v>
      </c>
      <c r="B68" s="5" t="s">
        <v>162</v>
      </c>
      <c r="C68" s="17" t="s">
        <v>536</v>
      </c>
      <c r="D68" s="7">
        <f t="shared" si="0"/>
        <v>13.1</v>
      </c>
      <c r="E68" s="8">
        <v>0</v>
      </c>
      <c r="F68" s="5">
        <v>0</v>
      </c>
      <c r="G68" s="5">
        <v>0</v>
      </c>
      <c r="H68" s="5">
        <v>0</v>
      </c>
      <c r="I68" s="5">
        <v>0</v>
      </c>
      <c r="J68" s="9">
        <v>0</v>
      </c>
      <c r="K68" s="8">
        <v>0</v>
      </c>
      <c r="L68" s="5">
        <v>0</v>
      </c>
      <c r="M68" s="5">
        <v>0</v>
      </c>
      <c r="N68" s="9">
        <v>0</v>
      </c>
      <c r="O68" s="8">
        <v>5</v>
      </c>
      <c r="P68" s="5">
        <v>21</v>
      </c>
      <c r="Q68" s="5">
        <v>1</v>
      </c>
      <c r="R68" s="9">
        <v>0</v>
      </c>
      <c r="S68" s="8">
        <v>0</v>
      </c>
      <c r="T68" s="5">
        <v>0</v>
      </c>
    </row>
    <row r="69" spans="1:20" x14ac:dyDescent="0.2">
      <c r="A69" s="5" t="s">
        <v>81</v>
      </c>
      <c r="B69" s="5" t="s">
        <v>75</v>
      </c>
      <c r="C69" s="10" t="s">
        <v>537</v>
      </c>
      <c r="D69" s="7">
        <f t="shared" si="0"/>
        <v>13</v>
      </c>
      <c r="E69" s="8">
        <v>0</v>
      </c>
      <c r="F69" s="5">
        <v>0</v>
      </c>
      <c r="G69" s="5">
        <v>0</v>
      </c>
      <c r="H69" s="5">
        <v>0</v>
      </c>
      <c r="I69" s="5">
        <v>0</v>
      </c>
      <c r="J69" s="9">
        <v>0</v>
      </c>
      <c r="K69" s="8">
        <v>13</v>
      </c>
      <c r="L69" s="5">
        <v>37</v>
      </c>
      <c r="M69" s="5">
        <v>0</v>
      </c>
      <c r="N69" s="9">
        <v>0</v>
      </c>
      <c r="O69" s="8">
        <v>5</v>
      </c>
      <c r="P69" s="5">
        <v>43</v>
      </c>
      <c r="Q69" s="5">
        <v>0</v>
      </c>
      <c r="R69" s="9">
        <v>0</v>
      </c>
      <c r="S69" s="8">
        <v>0</v>
      </c>
      <c r="T69" s="5">
        <v>0</v>
      </c>
    </row>
    <row r="70" spans="1:20" x14ac:dyDescent="0.2">
      <c r="A70" s="5" t="s">
        <v>57</v>
      </c>
      <c r="B70" s="5" t="s">
        <v>17</v>
      </c>
      <c r="C70" s="17" t="s">
        <v>532</v>
      </c>
      <c r="D70" s="7">
        <f t="shared" si="0"/>
        <v>12.68</v>
      </c>
      <c r="E70" s="8">
        <v>38</v>
      </c>
      <c r="F70" s="5">
        <v>23</v>
      </c>
      <c r="G70" s="5">
        <v>217</v>
      </c>
      <c r="H70" s="5">
        <v>1</v>
      </c>
      <c r="I70" s="5">
        <v>0</v>
      </c>
      <c r="J70" s="9">
        <v>0</v>
      </c>
      <c r="K70" s="8">
        <v>0</v>
      </c>
      <c r="L70" s="5">
        <v>0</v>
      </c>
      <c r="M70" s="5">
        <v>0</v>
      </c>
      <c r="N70" s="9">
        <v>0</v>
      </c>
      <c r="O70" s="8">
        <v>0</v>
      </c>
      <c r="P70" s="5">
        <v>0</v>
      </c>
      <c r="Q70" s="5">
        <v>0</v>
      </c>
      <c r="R70" s="9">
        <v>0</v>
      </c>
      <c r="S70" s="8">
        <v>0</v>
      </c>
      <c r="T70" s="5">
        <v>0</v>
      </c>
    </row>
    <row r="71" spans="1:20" x14ac:dyDescent="0.2">
      <c r="A71" s="5" t="s">
        <v>389</v>
      </c>
      <c r="B71" s="5" t="s">
        <v>69</v>
      </c>
      <c r="C71" s="10" t="s">
        <v>542</v>
      </c>
      <c r="D71" s="7">
        <f t="shared" si="0"/>
        <v>12.5</v>
      </c>
      <c r="E71" s="8">
        <v>0</v>
      </c>
      <c r="F71" s="5">
        <v>0</v>
      </c>
      <c r="G71" s="5">
        <v>0</v>
      </c>
      <c r="H71" s="5">
        <v>0</v>
      </c>
      <c r="I71" s="5">
        <v>0</v>
      </c>
      <c r="J71" s="9">
        <v>0</v>
      </c>
      <c r="K71" s="8">
        <v>0</v>
      </c>
      <c r="L71" s="5">
        <v>0</v>
      </c>
      <c r="M71" s="5">
        <v>0</v>
      </c>
      <c r="N71" s="9">
        <v>0</v>
      </c>
      <c r="O71" s="8">
        <v>5</v>
      </c>
      <c r="P71" s="5">
        <v>75</v>
      </c>
      <c r="Q71" s="5">
        <v>0</v>
      </c>
      <c r="R71" s="9">
        <v>0</v>
      </c>
      <c r="S71" s="8">
        <v>0</v>
      </c>
      <c r="T71" s="5">
        <v>0</v>
      </c>
    </row>
    <row r="72" spans="1:20" x14ac:dyDescent="0.2">
      <c r="A72" s="5" t="s">
        <v>141</v>
      </c>
      <c r="B72" s="5" t="s">
        <v>75</v>
      </c>
      <c r="C72" s="10" t="s">
        <v>532</v>
      </c>
      <c r="D72" s="7">
        <f t="shared" si="0"/>
        <v>12.4</v>
      </c>
      <c r="E72" s="8">
        <v>0</v>
      </c>
      <c r="F72" s="5">
        <v>0</v>
      </c>
      <c r="G72" s="5">
        <v>0</v>
      </c>
      <c r="H72" s="5">
        <v>0</v>
      </c>
      <c r="I72" s="5">
        <v>0</v>
      </c>
      <c r="J72" s="9">
        <v>0</v>
      </c>
      <c r="K72" s="8">
        <v>6</v>
      </c>
      <c r="L72" s="5">
        <v>23</v>
      </c>
      <c r="M72" s="5">
        <v>1</v>
      </c>
      <c r="N72" s="9">
        <v>0</v>
      </c>
      <c r="O72" s="8">
        <v>3</v>
      </c>
      <c r="P72" s="5">
        <v>11</v>
      </c>
      <c r="Q72" s="5">
        <v>0</v>
      </c>
      <c r="R72" s="9">
        <v>0</v>
      </c>
      <c r="S72" s="8">
        <v>0</v>
      </c>
      <c r="T72" s="5">
        <v>0</v>
      </c>
    </row>
    <row r="73" spans="1:20" x14ac:dyDescent="0.2">
      <c r="A73" s="5" t="s">
        <v>68</v>
      </c>
      <c r="B73" s="5" t="s">
        <v>69</v>
      </c>
      <c r="C73" s="17" t="s">
        <v>543</v>
      </c>
      <c r="D73" s="7">
        <f t="shared" si="0"/>
        <v>12.260000000000002</v>
      </c>
      <c r="E73" s="8">
        <v>1</v>
      </c>
      <c r="F73" s="5">
        <v>1</v>
      </c>
      <c r="G73" s="5">
        <v>4</v>
      </c>
      <c r="H73" s="5">
        <v>0</v>
      </c>
      <c r="I73" s="5">
        <v>0</v>
      </c>
      <c r="J73" s="9">
        <v>0</v>
      </c>
      <c r="K73" s="8">
        <v>1</v>
      </c>
      <c r="L73" s="5">
        <v>2</v>
      </c>
      <c r="M73" s="5">
        <v>0</v>
      </c>
      <c r="N73" s="9">
        <v>0</v>
      </c>
      <c r="O73" s="8">
        <v>7</v>
      </c>
      <c r="P73" s="5">
        <v>49</v>
      </c>
      <c r="Q73" s="5">
        <v>0</v>
      </c>
      <c r="R73" s="9">
        <v>0</v>
      </c>
      <c r="S73" s="8">
        <v>0</v>
      </c>
      <c r="T73" s="5">
        <v>0</v>
      </c>
    </row>
    <row r="74" spans="1:20" x14ac:dyDescent="0.2">
      <c r="A74" s="5" t="s">
        <v>183</v>
      </c>
      <c r="B74" s="5" t="s">
        <v>162</v>
      </c>
      <c r="C74" s="10" t="s">
        <v>543</v>
      </c>
      <c r="D74" s="7">
        <f t="shared" si="0"/>
        <v>12</v>
      </c>
      <c r="E74" s="8">
        <v>0</v>
      </c>
      <c r="F74" s="5">
        <v>0</v>
      </c>
      <c r="G74" s="5">
        <v>0</v>
      </c>
      <c r="H74" s="5">
        <v>0</v>
      </c>
      <c r="I74" s="5">
        <v>0</v>
      </c>
      <c r="J74" s="9">
        <v>0</v>
      </c>
      <c r="K74" s="8">
        <v>0</v>
      </c>
      <c r="L74" s="5">
        <v>0</v>
      </c>
      <c r="M74" s="5">
        <v>0</v>
      </c>
      <c r="N74" s="9">
        <v>0</v>
      </c>
      <c r="O74" s="8">
        <v>4</v>
      </c>
      <c r="P74" s="5">
        <v>80</v>
      </c>
      <c r="Q74" s="5">
        <v>0</v>
      </c>
      <c r="R74" s="9">
        <v>0</v>
      </c>
      <c r="S74" s="8">
        <v>0</v>
      </c>
      <c r="T74" s="5">
        <v>0</v>
      </c>
    </row>
    <row r="75" spans="1:20" x14ac:dyDescent="0.2">
      <c r="A75" s="5" t="s">
        <v>110</v>
      </c>
      <c r="B75" s="5" t="s">
        <v>75</v>
      </c>
      <c r="C75" s="17" t="s">
        <v>542</v>
      </c>
      <c r="D75" s="7">
        <f t="shared" si="0"/>
        <v>11.9</v>
      </c>
      <c r="E75" s="8">
        <v>0</v>
      </c>
      <c r="F75" s="5">
        <v>0</v>
      </c>
      <c r="G75" s="5">
        <v>0</v>
      </c>
      <c r="H75" s="5">
        <v>0</v>
      </c>
      <c r="I75" s="5">
        <v>0</v>
      </c>
      <c r="J75" s="9">
        <v>0</v>
      </c>
      <c r="K75" s="8">
        <v>7</v>
      </c>
      <c r="L75" s="5">
        <v>34</v>
      </c>
      <c r="M75" s="5">
        <v>1</v>
      </c>
      <c r="N75" s="9">
        <v>0</v>
      </c>
      <c r="O75" s="8">
        <v>1</v>
      </c>
      <c r="P75" s="5">
        <v>15</v>
      </c>
      <c r="Q75" s="5">
        <v>0</v>
      </c>
      <c r="R75" s="9">
        <v>0</v>
      </c>
      <c r="S75" s="8">
        <v>0</v>
      </c>
      <c r="T75" s="5">
        <v>0</v>
      </c>
    </row>
    <row r="76" spans="1:20" x14ac:dyDescent="0.2">
      <c r="A76" s="5" t="s">
        <v>178</v>
      </c>
      <c r="B76" s="5" t="s">
        <v>162</v>
      </c>
      <c r="C76" s="17" t="s">
        <v>546</v>
      </c>
      <c r="D76" s="7">
        <f t="shared" si="0"/>
        <v>11.8</v>
      </c>
      <c r="E76" s="8">
        <v>0</v>
      </c>
      <c r="F76" s="5">
        <v>0</v>
      </c>
      <c r="G76" s="5">
        <v>0</v>
      </c>
      <c r="H76" s="5">
        <v>0</v>
      </c>
      <c r="I76" s="5">
        <v>0</v>
      </c>
      <c r="J76" s="9">
        <v>0</v>
      </c>
      <c r="K76" s="8">
        <v>0</v>
      </c>
      <c r="L76" s="5">
        <v>0</v>
      </c>
      <c r="M76" s="5">
        <v>0</v>
      </c>
      <c r="N76" s="9">
        <v>0</v>
      </c>
      <c r="O76" s="8">
        <v>3</v>
      </c>
      <c r="P76" s="5">
        <v>28</v>
      </c>
      <c r="Q76" s="5">
        <v>1</v>
      </c>
      <c r="R76" s="9">
        <v>0</v>
      </c>
      <c r="S76" s="8">
        <v>0</v>
      </c>
      <c r="T76" s="5">
        <v>0</v>
      </c>
    </row>
    <row r="77" spans="1:20" x14ac:dyDescent="0.2">
      <c r="A77" s="5" t="s">
        <v>163</v>
      </c>
      <c r="B77" s="5" t="s">
        <v>162</v>
      </c>
      <c r="C77" s="17" t="s">
        <v>545</v>
      </c>
      <c r="D77" s="7">
        <f t="shared" si="0"/>
        <v>11.600000000000001</v>
      </c>
      <c r="E77" s="8">
        <v>0</v>
      </c>
      <c r="F77" s="5">
        <v>0</v>
      </c>
      <c r="G77" s="5">
        <v>0</v>
      </c>
      <c r="H77" s="5">
        <v>0</v>
      </c>
      <c r="I77" s="5">
        <v>0</v>
      </c>
      <c r="J77" s="9">
        <v>0</v>
      </c>
      <c r="K77" s="8">
        <v>0</v>
      </c>
      <c r="L77" s="5">
        <v>0</v>
      </c>
      <c r="M77" s="5">
        <v>0</v>
      </c>
      <c r="N77" s="9">
        <v>0</v>
      </c>
      <c r="O77" s="8">
        <v>4</v>
      </c>
      <c r="P77" s="5">
        <v>76</v>
      </c>
      <c r="Q77" s="5">
        <v>0</v>
      </c>
      <c r="R77" s="9">
        <v>0</v>
      </c>
      <c r="S77" s="8">
        <v>0</v>
      </c>
      <c r="T77" s="5">
        <v>0</v>
      </c>
    </row>
    <row r="78" spans="1:20" x14ac:dyDescent="0.2">
      <c r="A78" s="5" t="s">
        <v>515</v>
      </c>
      <c r="B78" s="5" t="s">
        <v>75</v>
      </c>
      <c r="C78" s="17" t="s">
        <v>536</v>
      </c>
      <c r="D78" s="7">
        <f t="shared" si="0"/>
        <v>11.5</v>
      </c>
      <c r="E78" s="8">
        <v>0</v>
      </c>
      <c r="F78" s="5">
        <v>0</v>
      </c>
      <c r="G78" s="5">
        <v>0</v>
      </c>
      <c r="H78" s="5">
        <v>0</v>
      </c>
      <c r="I78" s="5">
        <v>0</v>
      </c>
      <c r="J78" s="9">
        <v>0</v>
      </c>
      <c r="K78" s="8">
        <v>8</v>
      </c>
      <c r="L78" s="5">
        <v>19</v>
      </c>
      <c r="M78" s="5">
        <v>0</v>
      </c>
      <c r="N78" s="9">
        <v>0</v>
      </c>
      <c r="O78" s="8">
        <v>5</v>
      </c>
      <c r="P78" s="5">
        <v>46</v>
      </c>
      <c r="Q78" s="5">
        <v>0</v>
      </c>
      <c r="R78" s="9">
        <v>0</v>
      </c>
      <c r="S78" s="8">
        <v>0</v>
      </c>
      <c r="T78" s="5">
        <v>0</v>
      </c>
    </row>
    <row r="79" spans="1:20" x14ac:dyDescent="0.2">
      <c r="A79" s="5" t="s">
        <v>109</v>
      </c>
      <c r="B79" s="5" t="s">
        <v>75</v>
      </c>
      <c r="C79" s="10" t="s">
        <v>542</v>
      </c>
      <c r="D79" s="7">
        <f t="shared" si="0"/>
        <v>11.299999999999999</v>
      </c>
      <c r="E79" s="8">
        <v>0</v>
      </c>
      <c r="F79" s="5">
        <v>0</v>
      </c>
      <c r="G79" s="5">
        <v>0</v>
      </c>
      <c r="H79" s="5">
        <v>0</v>
      </c>
      <c r="I79" s="5">
        <v>0</v>
      </c>
      <c r="J79" s="9">
        <v>0</v>
      </c>
      <c r="K79" s="8">
        <v>25</v>
      </c>
      <c r="L79" s="5">
        <v>77</v>
      </c>
      <c r="M79" s="5">
        <v>0</v>
      </c>
      <c r="N79" s="9">
        <v>0</v>
      </c>
      <c r="O79" s="8">
        <v>2</v>
      </c>
      <c r="P79" s="5">
        <v>16</v>
      </c>
      <c r="Q79" s="5">
        <v>0</v>
      </c>
      <c r="R79" s="9">
        <v>0</v>
      </c>
      <c r="S79" s="8">
        <v>0</v>
      </c>
      <c r="T79" s="5">
        <v>0</v>
      </c>
    </row>
    <row r="80" spans="1:20" x14ac:dyDescent="0.2">
      <c r="A80" s="5" t="s">
        <v>89</v>
      </c>
      <c r="B80" s="5" t="s">
        <v>75</v>
      </c>
      <c r="C80" s="17" t="s">
        <v>546</v>
      </c>
      <c r="D80" s="7">
        <f t="shared" si="0"/>
        <v>11.200000000000001</v>
      </c>
      <c r="E80" s="8">
        <v>0</v>
      </c>
      <c r="F80" s="5">
        <v>0</v>
      </c>
      <c r="G80" s="5">
        <v>0</v>
      </c>
      <c r="H80" s="5">
        <v>0</v>
      </c>
      <c r="I80" s="5">
        <v>0</v>
      </c>
      <c r="J80" s="9">
        <v>0</v>
      </c>
      <c r="K80" s="8">
        <v>18</v>
      </c>
      <c r="L80" s="5">
        <v>44</v>
      </c>
      <c r="M80" s="5">
        <v>0</v>
      </c>
      <c r="N80" s="9">
        <v>0</v>
      </c>
      <c r="O80" s="8">
        <v>4</v>
      </c>
      <c r="P80" s="5">
        <v>28</v>
      </c>
      <c r="Q80" s="5">
        <v>0</v>
      </c>
      <c r="R80" s="9">
        <v>0</v>
      </c>
      <c r="S80" s="8">
        <v>0</v>
      </c>
      <c r="T80" s="5">
        <v>0</v>
      </c>
    </row>
    <row r="81" spans="1:20" x14ac:dyDescent="0.2">
      <c r="A81" s="5" t="s">
        <v>193</v>
      </c>
      <c r="B81" s="5" t="s">
        <v>162</v>
      </c>
      <c r="C81" s="10" t="s">
        <v>538</v>
      </c>
      <c r="D81" s="7">
        <f t="shared" si="0"/>
        <v>11.2</v>
      </c>
      <c r="E81" s="8">
        <v>0</v>
      </c>
      <c r="F81" s="5">
        <v>0</v>
      </c>
      <c r="G81" s="5">
        <v>0</v>
      </c>
      <c r="H81" s="5">
        <v>0</v>
      </c>
      <c r="I81" s="5">
        <v>0</v>
      </c>
      <c r="J81" s="9">
        <v>0</v>
      </c>
      <c r="K81" s="8">
        <v>0</v>
      </c>
      <c r="L81" s="5">
        <v>0</v>
      </c>
      <c r="M81" s="5">
        <v>0</v>
      </c>
      <c r="N81" s="9">
        <v>0</v>
      </c>
      <c r="O81" s="8">
        <v>4</v>
      </c>
      <c r="P81" s="5">
        <v>72</v>
      </c>
      <c r="Q81" s="5">
        <v>0</v>
      </c>
      <c r="R81" s="9">
        <v>0</v>
      </c>
      <c r="S81" s="8">
        <v>0</v>
      </c>
      <c r="T81" s="5">
        <v>0</v>
      </c>
    </row>
    <row r="82" spans="1:20" x14ac:dyDescent="0.2">
      <c r="A82" s="5" t="s">
        <v>276</v>
      </c>
      <c r="B82" s="5" t="s">
        <v>69</v>
      </c>
      <c r="C82" s="10" t="s">
        <v>536</v>
      </c>
      <c r="D82" s="7">
        <f t="shared" si="0"/>
        <v>11.100000000000001</v>
      </c>
      <c r="E82" s="8">
        <v>0</v>
      </c>
      <c r="F82" s="5">
        <v>0</v>
      </c>
      <c r="G82" s="5">
        <v>0</v>
      </c>
      <c r="H82" s="5">
        <v>0</v>
      </c>
      <c r="I82" s="5">
        <v>0</v>
      </c>
      <c r="J82" s="9">
        <v>0</v>
      </c>
      <c r="K82" s="8">
        <v>0</v>
      </c>
      <c r="L82" s="5">
        <v>0</v>
      </c>
      <c r="M82" s="5">
        <v>0</v>
      </c>
      <c r="N82" s="9">
        <v>0</v>
      </c>
      <c r="O82" s="8">
        <v>7</v>
      </c>
      <c r="P82" s="5">
        <v>41</v>
      </c>
      <c r="Q82" s="5">
        <v>0</v>
      </c>
      <c r="R82" s="9">
        <v>0</v>
      </c>
      <c r="S82" s="8">
        <v>0</v>
      </c>
      <c r="T82" s="5">
        <v>0</v>
      </c>
    </row>
    <row r="83" spans="1:20" x14ac:dyDescent="0.2">
      <c r="A83" s="5" t="s">
        <v>136</v>
      </c>
      <c r="B83" s="5" t="s">
        <v>75</v>
      </c>
      <c r="C83" s="10" t="s">
        <v>545</v>
      </c>
      <c r="D83" s="7">
        <f t="shared" si="0"/>
        <v>11.1</v>
      </c>
      <c r="E83" s="8">
        <v>0</v>
      </c>
      <c r="F83" s="5">
        <v>0</v>
      </c>
      <c r="G83" s="5">
        <v>0</v>
      </c>
      <c r="H83" s="5">
        <v>0</v>
      </c>
      <c r="I83" s="5">
        <v>0</v>
      </c>
      <c r="J83" s="9">
        <v>0</v>
      </c>
      <c r="K83" s="8">
        <v>17</v>
      </c>
      <c r="L83" s="5">
        <v>84</v>
      </c>
      <c r="M83" s="5">
        <v>0</v>
      </c>
      <c r="N83" s="9">
        <v>0</v>
      </c>
      <c r="O83" s="8">
        <v>2</v>
      </c>
      <c r="P83" s="5">
        <v>7</v>
      </c>
      <c r="Q83" s="5">
        <v>0</v>
      </c>
      <c r="R83" s="9">
        <v>0</v>
      </c>
      <c r="S83" s="8">
        <v>0</v>
      </c>
      <c r="T83" s="5">
        <v>0</v>
      </c>
    </row>
    <row r="84" spans="1:20" x14ac:dyDescent="0.2">
      <c r="A84" s="5" t="s">
        <v>55</v>
      </c>
      <c r="B84" s="5" t="s">
        <v>17</v>
      </c>
      <c r="C84" s="17" t="s">
        <v>544</v>
      </c>
      <c r="D84" s="7">
        <f t="shared" si="0"/>
        <v>11.040000000000001</v>
      </c>
      <c r="E84" s="8">
        <v>41</v>
      </c>
      <c r="F84" s="5">
        <v>27</v>
      </c>
      <c r="G84" s="5">
        <v>326</v>
      </c>
      <c r="H84" s="5">
        <v>0</v>
      </c>
      <c r="I84" s="5">
        <v>2</v>
      </c>
      <c r="J84" s="9">
        <v>0</v>
      </c>
      <c r="K84" s="8">
        <v>4</v>
      </c>
      <c r="L84" s="5">
        <v>20</v>
      </c>
      <c r="M84" s="5">
        <v>0</v>
      </c>
      <c r="N84" s="9">
        <v>0</v>
      </c>
      <c r="O84" s="8">
        <v>0</v>
      </c>
      <c r="P84" s="5">
        <v>0</v>
      </c>
      <c r="Q84" s="5">
        <v>0</v>
      </c>
      <c r="R84" s="9">
        <v>0</v>
      </c>
      <c r="S84" s="8">
        <v>0</v>
      </c>
      <c r="T84" s="5">
        <v>0</v>
      </c>
    </row>
    <row r="85" spans="1:20" x14ac:dyDescent="0.2">
      <c r="A85" s="5" t="s">
        <v>273</v>
      </c>
      <c r="B85" s="5" t="s">
        <v>69</v>
      </c>
      <c r="C85" s="17" t="s">
        <v>546</v>
      </c>
      <c r="D85" s="7">
        <f t="shared" si="0"/>
        <v>11</v>
      </c>
      <c r="E85" s="8">
        <v>0</v>
      </c>
      <c r="F85" s="5">
        <v>0</v>
      </c>
      <c r="G85" s="5">
        <v>0</v>
      </c>
      <c r="H85" s="5">
        <v>0</v>
      </c>
      <c r="I85" s="5">
        <v>0</v>
      </c>
      <c r="J85" s="9">
        <v>0</v>
      </c>
      <c r="K85" s="8">
        <v>0</v>
      </c>
      <c r="L85" s="5">
        <v>0</v>
      </c>
      <c r="M85" s="5">
        <v>0</v>
      </c>
      <c r="N85" s="9">
        <v>0</v>
      </c>
      <c r="O85" s="8">
        <v>6</v>
      </c>
      <c r="P85" s="5">
        <v>50</v>
      </c>
      <c r="Q85" s="5">
        <v>0</v>
      </c>
      <c r="R85" s="9">
        <v>0</v>
      </c>
      <c r="S85" s="8">
        <v>0</v>
      </c>
      <c r="T85" s="5">
        <v>0</v>
      </c>
    </row>
    <row r="86" spans="1:20" x14ac:dyDescent="0.2">
      <c r="A86" s="5" t="s">
        <v>56</v>
      </c>
      <c r="B86" s="5" t="s">
        <v>17</v>
      </c>
      <c r="C86" s="10" t="s">
        <v>539</v>
      </c>
      <c r="D86" s="7">
        <f t="shared" si="0"/>
        <v>10.940000000000001</v>
      </c>
      <c r="E86" s="8">
        <v>33</v>
      </c>
      <c r="F86" s="5">
        <v>19</v>
      </c>
      <c r="G86" s="5">
        <v>186</v>
      </c>
      <c r="H86" s="5">
        <v>0</v>
      </c>
      <c r="I86" s="5">
        <v>0</v>
      </c>
      <c r="J86" s="9">
        <v>1</v>
      </c>
      <c r="K86" s="8">
        <v>4</v>
      </c>
      <c r="L86" s="5">
        <v>15</v>
      </c>
      <c r="M86" s="5">
        <v>0</v>
      </c>
      <c r="N86" s="9">
        <v>0</v>
      </c>
      <c r="O86" s="8">
        <v>0</v>
      </c>
      <c r="P86" s="5">
        <v>0</v>
      </c>
      <c r="Q86" s="5">
        <v>0</v>
      </c>
      <c r="R86" s="9">
        <v>0</v>
      </c>
      <c r="S86" s="8">
        <v>0</v>
      </c>
      <c r="T86" s="5">
        <v>0</v>
      </c>
    </row>
    <row r="87" spans="1:20" x14ac:dyDescent="0.2">
      <c r="A87" s="5" t="s">
        <v>188</v>
      </c>
      <c r="B87" s="5" t="s">
        <v>162</v>
      </c>
      <c r="C87" s="17" t="s">
        <v>544</v>
      </c>
      <c r="D87" s="7">
        <f t="shared" si="0"/>
        <v>10.9</v>
      </c>
      <c r="E87" s="8">
        <v>0</v>
      </c>
      <c r="F87" s="5">
        <v>0</v>
      </c>
      <c r="G87" s="5">
        <v>0</v>
      </c>
      <c r="H87" s="5">
        <v>0</v>
      </c>
      <c r="I87" s="5">
        <v>0</v>
      </c>
      <c r="J87" s="9">
        <v>0</v>
      </c>
      <c r="K87" s="8">
        <v>0</v>
      </c>
      <c r="L87" s="5">
        <v>0</v>
      </c>
      <c r="M87" s="5">
        <v>0</v>
      </c>
      <c r="N87" s="9">
        <v>0</v>
      </c>
      <c r="O87" s="8">
        <v>4</v>
      </c>
      <c r="P87" s="5">
        <v>69</v>
      </c>
      <c r="Q87" s="5">
        <v>0</v>
      </c>
      <c r="R87" s="9">
        <v>0</v>
      </c>
      <c r="S87" s="8">
        <v>0</v>
      </c>
      <c r="T87" s="5">
        <v>0</v>
      </c>
    </row>
    <row r="88" spans="1:20" x14ac:dyDescent="0.2">
      <c r="A88" s="5" t="s">
        <v>236</v>
      </c>
      <c r="B88" s="5" t="s">
        <v>162</v>
      </c>
      <c r="C88" s="17" t="s">
        <v>540</v>
      </c>
      <c r="D88" s="7">
        <f t="shared" si="0"/>
        <v>10.9</v>
      </c>
      <c r="E88" s="8">
        <v>0</v>
      </c>
      <c r="F88" s="5">
        <v>0</v>
      </c>
      <c r="G88" s="5">
        <v>0</v>
      </c>
      <c r="H88" s="5">
        <v>0</v>
      </c>
      <c r="I88" s="5">
        <v>0</v>
      </c>
      <c r="J88" s="9">
        <v>0</v>
      </c>
      <c r="K88" s="8">
        <v>0</v>
      </c>
      <c r="L88" s="5">
        <v>0</v>
      </c>
      <c r="M88" s="5">
        <v>0</v>
      </c>
      <c r="N88" s="9">
        <v>0</v>
      </c>
      <c r="O88" s="8">
        <v>4</v>
      </c>
      <c r="P88" s="5">
        <v>69</v>
      </c>
      <c r="Q88" s="5">
        <v>0</v>
      </c>
      <c r="R88" s="9">
        <v>0</v>
      </c>
      <c r="S88" s="8">
        <v>0</v>
      </c>
      <c r="T88" s="5">
        <v>0</v>
      </c>
    </row>
    <row r="89" spans="1:20" x14ac:dyDescent="0.2">
      <c r="A89" s="5" t="s">
        <v>341</v>
      </c>
      <c r="B89" s="5" t="s">
        <v>69</v>
      </c>
      <c r="C89" s="17" t="s">
        <v>541</v>
      </c>
      <c r="D89" s="7">
        <f t="shared" si="0"/>
        <v>10.9</v>
      </c>
      <c r="E89" s="8">
        <v>0</v>
      </c>
      <c r="F89" s="5">
        <v>0</v>
      </c>
      <c r="G89" s="5">
        <v>0</v>
      </c>
      <c r="H89" s="5">
        <v>0</v>
      </c>
      <c r="I89" s="5">
        <v>0</v>
      </c>
      <c r="J89" s="9">
        <v>0</v>
      </c>
      <c r="K89" s="8">
        <v>1</v>
      </c>
      <c r="L89" s="5">
        <v>0</v>
      </c>
      <c r="M89" s="5">
        <v>0</v>
      </c>
      <c r="N89" s="9">
        <v>0</v>
      </c>
      <c r="O89" s="8">
        <v>4</v>
      </c>
      <c r="P89" s="5">
        <v>69</v>
      </c>
      <c r="Q89" s="5">
        <v>0</v>
      </c>
      <c r="R89" s="9">
        <v>0</v>
      </c>
      <c r="S89" s="8">
        <v>0</v>
      </c>
      <c r="T89" s="5">
        <v>0</v>
      </c>
    </row>
    <row r="90" spans="1:20" x14ac:dyDescent="0.2">
      <c r="A90" s="5" t="s">
        <v>297</v>
      </c>
      <c r="B90" s="5" t="s">
        <v>69</v>
      </c>
      <c r="C90" s="10" t="s">
        <v>535</v>
      </c>
      <c r="D90" s="7">
        <f t="shared" si="0"/>
        <v>10.8</v>
      </c>
      <c r="E90" s="8">
        <v>0</v>
      </c>
      <c r="F90" s="5">
        <v>0</v>
      </c>
      <c r="G90" s="5">
        <v>0</v>
      </c>
      <c r="H90" s="5">
        <v>0</v>
      </c>
      <c r="I90" s="5">
        <v>0</v>
      </c>
      <c r="J90" s="9">
        <v>0</v>
      </c>
      <c r="K90" s="8">
        <v>1</v>
      </c>
      <c r="L90" s="5">
        <v>2</v>
      </c>
      <c r="M90" s="5">
        <v>0</v>
      </c>
      <c r="N90" s="9">
        <v>0</v>
      </c>
      <c r="O90" s="8">
        <v>3</v>
      </c>
      <c r="P90" s="5">
        <v>16</v>
      </c>
      <c r="Q90" s="5">
        <v>1</v>
      </c>
      <c r="R90" s="9">
        <v>0</v>
      </c>
      <c r="S90" s="8">
        <v>0</v>
      </c>
      <c r="T90" s="5">
        <v>0</v>
      </c>
    </row>
    <row r="91" spans="1:20" x14ac:dyDescent="0.2">
      <c r="A91" s="5" t="s">
        <v>438</v>
      </c>
      <c r="B91" s="5" t="s">
        <v>69</v>
      </c>
      <c r="C91" s="10" t="s">
        <v>536</v>
      </c>
      <c r="D91" s="7">
        <f t="shared" si="0"/>
        <v>10.7</v>
      </c>
      <c r="E91" s="8">
        <v>0</v>
      </c>
      <c r="F91" s="5">
        <v>0</v>
      </c>
      <c r="G91" s="5">
        <v>0</v>
      </c>
      <c r="H91" s="5">
        <v>0</v>
      </c>
      <c r="I91" s="5">
        <v>0</v>
      </c>
      <c r="J91" s="9">
        <v>0</v>
      </c>
      <c r="K91" s="8">
        <v>0</v>
      </c>
      <c r="L91" s="5">
        <v>0</v>
      </c>
      <c r="M91" s="5">
        <v>0</v>
      </c>
      <c r="N91" s="9">
        <v>0</v>
      </c>
      <c r="O91" s="8">
        <v>2</v>
      </c>
      <c r="P91" s="5">
        <v>27</v>
      </c>
      <c r="Q91" s="5">
        <v>1</v>
      </c>
      <c r="R91" s="9">
        <v>0</v>
      </c>
      <c r="S91" s="8">
        <v>0</v>
      </c>
      <c r="T91" s="5">
        <v>0</v>
      </c>
    </row>
    <row r="92" spans="1:20" x14ac:dyDescent="0.2">
      <c r="A92" s="5" t="s">
        <v>73</v>
      </c>
      <c r="B92" s="5" t="s">
        <v>17</v>
      </c>
      <c r="C92" s="17" t="s">
        <v>540</v>
      </c>
      <c r="D92" s="7">
        <f t="shared" si="0"/>
        <v>10.4</v>
      </c>
      <c r="E92" s="8">
        <v>36</v>
      </c>
      <c r="F92" s="5">
        <v>24</v>
      </c>
      <c r="G92" s="5">
        <v>200</v>
      </c>
      <c r="H92" s="5">
        <v>0</v>
      </c>
      <c r="I92" s="5">
        <v>0</v>
      </c>
      <c r="J92" s="9">
        <v>0</v>
      </c>
      <c r="K92" s="8">
        <v>5</v>
      </c>
      <c r="L92" s="5">
        <v>24</v>
      </c>
      <c r="M92" s="5">
        <v>0</v>
      </c>
      <c r="N92" s="9">
        <v>0</v>
      </c>
      <c r="O92" s="8">
        <v>0</v>
      </c>
      <c r="P92" s="5">
        <v>0</v>
      </c>
      <c r="Q92" s="5">
        <v>0</v>
      </c>
      <c r="R92" s="9">
        <v>0</v>
      </c>
      <c r="S92" s="8">
        <v>0</v>
      </c>
      <c r="T92" s="5">
        <v>0</v>
      </c>
    </row>
    <row r="93" spans="1:20" x14ac:dyDescent="0.2">
      <c r="A93" s="5" t="s">
        <v>76</v>
      </c>
      <c r="B93" s="5" t="s">
        <v>75</v>
      </c>
      <c r="C93" s="10" t="s">
        <v>535</v>
      </c>
      <c r="D93" s="7">
        <f t="shared" si="0"/>
        <v>10.199999999999999</v>
      </c>
      <c r="E93" s="8">
        <v>0</v>
      </c>
      <c r="F93" s="5">
        <v>0</v>
      </c>
      <c r="G93" s="5">
        <v>0</v>
      </c>
      <c r="H93" s="5">
        <v>0</v>
      </c>
      <c r="I93" s="5">
        <v>0</v>
      </c>
      <c r="J93" s="9">
        <v>0</v>
      </c>
      <c r="K93" s="8">
        <v>14</v>
      </c>
      <c r="L93" s="5">
        <v>27</v>
      </c>
      <c r="M93" s="5">
        <v>0</v>
      </c>
      <c r="N93" s="9">
        <v>0</v>
      </c>
      <c r="O93" s="8">
        <v>4</v>
      </c>
      <c r="P93" s="5">
        <v>35</v>
      </c>
      <c r="Q93" s="5">
        <v>0</v>
      </c>
      <c r="R93" s="9">
        <v>0</v>
      </c>
      <c r="S93" s="8">
        <v>0</v>
      </c>
      <c r="T93" s="5">
        <v>0</v>
      </c>
    </row>
    <row r="94" spans="1:20" x14ac:dyDescent="0.2">
      <c r="A94" s="5" t="s">
        <v>299</v>
      </c>
      <c r="B94" s="5" t="s">
        <v>69</v>
      </c>
      <c r="C94" s="17" t="s">
        <v>534</v>
      </c>
      <c r="D94" s="7">
        <f t="shared" si="0"/>
        <v>10.199999999999999</v>
      </c>
      <c r="E94" s="8">
        <v>0</v>
      </c>
      <c r="F94" s="5">
        <v>0</v>
      </c>
      <c r="G94" s="5">
        <v>0</v>
      </c>
      <c r="H94" s="5">
        <v>0</v>
      </c>
      <c r="I94" s="5">
        <v>0</v>
      </c>
      <c r="J94" s="9">
        <v>0</v>
      </c>
      <c r="K94" s="8">
        <v>0</v>
      </c>
      <c r="L94" s="5">
        <v>0</v>
      </c>
      <c r="M94" s="5">
        <v>0</v>
      </c>
      <c r="N94" s="9">
        <v>0</v>
      </c>
      <c r="O94" s="8">
        <v>4</v>
      </c>
      <c r="P94" s="5">
        <v>62</v>
      </c>
      <c r="Q94" s="5">
        <v>0</v>
      </c>
      <c r="R94" s="9">
        <v>0</v>
      </c>
      <c r="S94" s="8">
        <v>0</v>
      </c>
      <c r="T94" s="5">
        <v>0</v>
      </c>
    </row>
    <row r="95" spans="1:20" x14ac:dyDescent="0.2">
      <c r="A95" s="5" t="s">
        <v>63</v>
      </c>
      <c r="B95" s="5" t="s">
        <v>17</v>
      </c>
      <c r="C95" s="17" t="s">
        <v>534</v>
      </c>
      <c r="D95" s="7">
        <f t="shared" si="0"/>
        <v>10.100000000000001</v>
      </c>
      <c r="E95" s="8">
        <v>41</v>
      </c>
      <c r="F95" s="5">
        <v>21</v>
      </c>
      <c r="G95" s="5">
        <v>235</v>
      </c>
      <c r="H95" s="5">
        <v>0</v>
      </c>
      <c r="I95" s="5">
        <v>1</v>
      </c>
      <c r="J95" s="9">
        <v>0</v>
      </c>
      <c r="K95" s="8">
        <v>7</v>
      </c>
      <c r="L95" s="5">
        <v>47</v>
      </c>
      <c r="M95" s="5">
        <v>0</v>
      </c>
      <c r="N95" s="9">
        <v>0</v>
      </c>
      <c r="O95" s="8">
        <v>0</v>
      </c>
      <c r="P95" s="5">
        <v>0</v>
      </c>
      <c r="Q95" s="5">
        <v>0</v>
      </c>
      <c r="R95" s="9">
        <v>0</v>
      </c>
      <c r="S95" s="8">
        <v>1</v>
      </c>
      <c r="T95" s="5">
        <v>0</v>
      </c>
    </row>
    <row r="96" spans="1:20" x14ac:dyDescent="0.2">
      <c r="A96" s="5" t="s">
        <v>235</v>
      </c>
      <c r="B96" s="5" t="s">
        <v>162</v>
      </c>
      <c r="C96" s="10" t="s">
        <v>546</v>
      </c>
      <c r="D96" s="7">
        <f t="shared" si="0"/>
        <v>10.100000000000001</v>
      </c>
      <c r="E96" s="8">
        <v>0</v>
      </c>
      <c r="F96" s="5">
        <v>0</v>
      </c>
      <c r="G96" s="5">
        <v>0</v>
      </c>
      <c r="H96" s="5">
        <v>0</v>
      </c>
      <c r="I96" s="5">
        <v>0</v>
      </c>
      <c r="J96" s="9">
        <v>0</v>
      </c>
      <c r="K96" s="8">
        <v>0</v>
      </c>
      <c r="L96" s="5">
        <v>0</v>
      </c>
      <c r="M96" s="5">
        <v>0</v>
      </c>
      <c r="N96" s="9">
        <v>0</v>
      </c>
      <c r="O96" s="8">
        <v>5</v>
      </c>
      <c r="P96" s="5">
        <v>51</v>
      </c>
      <c r="Q96" s="5">
        <v>0</v>
      </c>
      <c r="R96" s="9">
        <v>0</v>
      </c>
      <c r="S96" s="8">
        <v>0</v>
      </c>
      <c r="T96" s="5">
        <v>0</v>
      </c>
    </row>
    <row r="97" spans="1:20" x14ac:dyDescent="0.2">
      <c r="A97" s="5" t="s">
        <v>264</v>
      </c>
      <c r="B97" s="5" t="s">
        <v>162</v>
      </c>
      <c r="C97" s="10" t="s">
        <v>535</v>
      </c>
      <c r="D97" s="7">
        <f t="shared" si="0"/>
        <v>10</v>
      </c>
      <c r="E97" s="8">
        <v>0</v>
      </c>
      <c r="F97" s="5">
        <v>0</v>
      </c>
      <c r="G97" s="5">
        <v>0</v>
      </c>
      <c r="H97" s="5">
        <v>0</v>
      </c>
      <c r="I97" s="5">
        <v>0</v>
      </c>
      <c r="J97" s="9">
        <v>0</v>
      </c>
      <c r="K97" s="8">
        <v>0</v>
      </c>
      <c r="L97" s="5">
        <v>0</v>
      </c>
      <c r="M97" s="5">
        <v>0</v>
      </c>
      <c r="N97" s="9">
        <v>0</v>
      </c>
      <c r="O97" s="8">
        <v>4</v>
      </c>
      <c r="P97" s="5">
        <v>60</v>
      </c>
      <c r="Q97" s="5">
        <v>0</v>
      </c>
      <c r="R97" s="9">
        <v>0</v>
      </c>
      <c r="S97" s="8">
        <v>0</v>
      </c>
      <c r="T97" s="5">
        <v>0</v>
      </c>
    </row>
    <row r="98" spans="1:20" x14ac:dyDescent="0.2">
      <c r="A98" s="5" t="s">
        <v>285</v>
      </c>
      <c r="B98" s="5" t="s">
        <v>69</v>
      </c>
      <c r="C98" s="17" t="s">
        <v>536</v>
      </c>
      <c r="D98" s="7">
        <f t="shared" si="0"/>
        <v>9.6999999999999993</v>
      </c>
      <c r="E98" s="8">
        <v>0</v>
      </c>
      <c r="F98" s="5">
        <v>0</v>
      </c>
      <c r="G98" s="5">
        <v>0</v>
      </c>
      <c r="H98" s="5">
        <v>0</v>
      </c>
      <c r="I98" s="5">
        <v>0</v>
      </c>
      <c r="J98" s="9">
        <v>0</v>
      </c>
      <c r="K98" s="8">
        <v>0</v>
      </c>
      <c r="L98" s="5">
        <v>0</v>
      </c>
      <c r="M98" s="5">
        <v>0</v>
      </c>
      <c r="N98" s="9">
        <v>0</v>
      </c>
      <c r="O98" s="8">
        <v>3</v>
      </c>
      <c r="P98" s="5">
        <v>67</v>
      </c>
      <c r="Q98" s="5">
        <v>0</v>
      </c>
      <c r="R98" s="9">
        <v>0</v>
      </c>
      <c r="S98" s="8">
        <v>0</v>
      </c>
      <c r="T98" s="5">
        <v>0</v>
      </c>
    </row>
    <row r="99" spans="1:20" x14ac:dyDescent="0.2">
      <c r="A99" s="5" t="s">
        <v>70</v>
      </c>
      <c r="B99" s="5" t="s">
        <v>17</v>
      </c>
      <c r="C99" s="17" t="s">
        <v>536</v>
      </c>
      <c r="D99" s="7">
        <f t="shared" si="0"/>
        <v>9.56</v>
      </c>
      <c r="E99" s="8">
        <v>55</v>
      </c>
      <c r="F99" s="5">
        <v>33</v>
      </c>
      <c r="G99" s="5">
        <v>329</v>
      </c>
      <c r="H99" s="5">
        <v>1</v>
      </c>
      <c r="I99" s="5">
        <v>3</v>
      </c>
      <c r="J99" s="9">
        <v>0</v>
      </c>
      <c r="K99" s="8">
        <v>2</v>
      </c>
      <c r="L99" s="5">
        <v>4</v>
      </c>
      <c r="M99" s="5">
        <v>0</v>
      </c>
      <c r="N99" s="9">
        <v>0</v>
      </c>
      <c r="O99" s="8">
        <v>0</v>
      </c>
      <c r="P99" s="5">
        <v>0</v>
      </c>
      <c r="Q99" s="5">
        <v>0</v>
      </c>
      <c r="R99" s="9">
        <v>0</v>
      </c>
      <c r="S99" s="8">
        <v>1</v>
      </c>
      <c r="T99" s="5">
        <v>0</v>
      </c>
    </row>
    <row r="100" spans="1:20" x14ac:dyDescent="0.2">
      <c r="A100" s="5" t="s">
        <v>195</v>
      </c>
      <c r="B100" s="5" t="s">
        <v>162</v>
      </c>
      <c r="C100" s="17" t="s">
        <v>543</v>
      </c>
      <c r="D100" s="7">
        <f t="shared" si="0"/>
        <v>9.5</v>
      </c>
      <c r="E100" s="8">
        <v>0</v>
      </c>
      <c r="F100" s="5">
        <v>0</v>
      </c>
      <c r="G100" s="5">
        <v>0</v>
      </c>
      <c r="H100" s="5">
        <v>0</v>
      </c>
      <c r="I100" s="5">
        <v>0</v>
      </c>
      <c r="J100" s="9">
        <v>0</v>
      </c>
      <c r="K100" s="8">
        <v>0</v>
      </c>
      <c r="L100" s="5">
        <v>0</v>
      </c>
      <c r="M100" s="5">
        <v>0</v>
      </c>
      <c r="N100" s="9">
        <v>0</v>
      </c>
      <c r="O100" s="8">
        <v>5</v>
      </c>
      <c r="P100" s="5">
        <v>45</v>
      </c>
      <c r="Q100" s="5">
        <v>0</v>
      </c>
      <c r="R100" s="9">
        <v>0</v>
      </c>
      <c r="S100" s="8">
        <v>0</v>
      </c>
      <c r="T100" s="5">
        <v>0</v>
      </c>
    </row>
    <row r="101" spans="1:20" x14ac:dyDescent="0.2">
      <c r="A101" s="5" t="s">
        <v>177</v>
      </c>
      <c r="B101" s="5" t="s">
        <v>162</v>
      </c>
      <c r="C101" s="17" t="s">
        <v>539</v>
      </c>
      <c r="D101" s="7">
        <f t="shared" si="0"/>
        <v>9.4</v>
      </c>
      <c r="E101" s="8">
        <v>0</v>
      </c>
      <c r="F101" s="5">
        <v>0</v>
      </c>
      <c r="G101" s="5">
        <v>0</v>
      </c>
      <c r="H101" s="5">
        <v>0</v>
      </c>
      <c r="I101" s="5">
        <v>0</v>
      </c>
      <c r="J101" s="9">
        <v>0</v>
      </c>
      <c r="K101" s="8">
        <v>0</v>
      </c>
      <c r="L101" s="5">
        <v>0</v>
      </c>
      <c r="M101" s="5">
        <v>0</v>
      </c>
      <c r="N101" s="9">
        <v>0</v>
      </c>
      <c r="O101" s="8">
        <v>5</v>
      </c>
      <c r="P101" s="5">
        <v>44</v>
      </c>
      <c r="Q101" s="5">
        <v>0</v>
      </c>
      <c r="R101" s="9">
        <v>0</v>
      </c>
      <c r="S101" s="8">
        <v>0</v>
      </c>
      <c r="T101" s="5">
        <v>0</v>
      </c>
    </row>
    <row r="102" spans="1:20" x14ac:dyDescent="0.2">
      <c r="A102" s="5" t="s">
        <v>267</v>
      </c>
      <c r="B102" s="5" t="s">
        <v>162</v>
      </c>
      <c r="C102" s="10" t="s">
        <v>538</v>
      </c>
      <c r="D102" s="7">
        <f t="shared" si="0"/>
        <v>9.4</v>
      </c>
      <c r="E102" s="8">
        <v>1</v>
      </c>
      <c r="F102" s="5">
        <v>0</v>
      </c>
      <c r="G102" s="5">
        <v>0</v>
      </c>
      <c r="H102" s="5">
        <v>0</v>
      </c>
      <c r="I102" s="5">
        <v>0</v>
      </c>
      <c r="J102" s="9">
        <v>0</v>
      </c>
      <c r="K102" s="8">
        <v>2</v>
      </c>
      <c r="L102" s="5">
        <v>-5</v>
      </c>
      <c r="M102" s="5">
        <v>0</v>
      </c>
      <c r="N102" s="9">
        <v>0</v>
      </c>
      <c r="O102" s="8">
        <v>3</v>
      </c>
      <c r="P102" s="5">
        <v>9</v>
      </c>
      <c r="Q102" s="5">
        <v>1</v>
      </c>
      <c r="R102" s="9">
        <v>0</v>
      </c>
      <c r="S102" s="8">
        <v>0</v>
      </c>
      <c r="T102" s="5">
        <v>0</v>
      </c>
    </row>
    <row r="103" spans="1:20" x14ac:dyDescent="0.2">
      <c r="A103" s="5" t="s">
        <v>294</v>
      </c>
      <c r="B103" s="5" t="s">
        <v>69</v>
      </c>
      <c r="C103" s="17" t="s">
        <v>540</v>
      </c>
      <c r="D103" s="7">
        <f t="shared" si="0"/>
        <v>9.3000000000000007</v>
      </c>
      <c r="E103" s="8">
        <v>0</v>
      </c>
      <c r="F103" s="5">
        <v>0</v>
      </c>
      <c r="G103" s="5">
        <v>0</v>
      </c>
      <c r="H103" s="5">
        <v>0</v>
      </c>
      <c r="I103" s="5">
        <v>0</v>
      </c>
      <c r="J103" s="9">
        <v>0</v>
      </c>
      <c r="K103" s="8">
        <v>0</v>
      </c>
      <c r="L103" s="5">
        <v>0</v>
      </c>
      <c r="M103" s="5">
        <v>0</v>
      </c>
      <c r="N103" s="9">
        <v>0</v>
      </c>
      <c r="O103" s="8">
        <v>5</v>
      </c>
      <c r="P103" s="5">
        <v>43</v>
      </c>
      <c r="Q103" s="5">
        <v>0</v>
      </c>
      <c r="R103" s="9">
        <v>0</v>
      </c>
      <c r="S103" s="8">
        <v>0</v>
      </c>
      <c r="T103" s="5">
        <v>0</v>
      </c>
    </row>
    <row r="104" spans="1:20" x14ac:dyDescent="0.2">
      <c r="A104" s="5" t="s">
        <v>103</v>
      </c>
      <c r="B104" s="5" t="s">
        <v>75</v>
      </c>
      <c r="C104" s="10" t="s">
        <v>544</v>
      </c>
      <c r="D104" s="7">
        <f t="shared" si="0"/>
        <v>9.2000000000000011</v>
      </c>
      <c r="E104" s="8">
        <v>0</v>
      </c>
      <c r="F104" s="5">
        <v>0</v>
      </c>
      <c r="G104" s="5">
        <v>0</v>
      </c>
      <c r="H104" s="5">
        <v>0</v>
      </c>
      <c r="I104" s="5">
        <v>0</v>
      </c>
      <c r="J104" s="9">
        <v>0</v>
      </c>
      <c r="K104" s="8">
        <v>12</v>
      </c>
      <c r="L104" s="5">
        <v>38</v>
      </c>
      <c r="M104" s="5">
        <v>0</v>
      </c>
      <c r="N104" s="9">
        <v>0</v>
      </c>
      <c r="O104" s="8">
        <v>3</v>
      </c>
      <c r="P104" s="5">
        <v>24</v>
      </c>
      <c r="Q104" s="5">
        <v>0</v>
      </c>
      <c r="R104" s="9">
        <v>0</v>
      </c>
      <c r="S104" s="8">
        <v>0</v>
      </c>
      <c r="T104" s="5">
        <v>0</v>
      </c>
    </row>
    <row r="105" spans="1:20" x14ac:dyDescent="0.2">
      <c r="A105" s="5" t="s">
        <v>250</v>
      </c>
      <c r="B105" s="5" t="s">
        <v>162</v>
      </c>
      <c r="C105" s="17" t="s">
        <v>534</v>
      </c>
      <c r="D105" s="7">
        <f t="shared" si="0"/>
        <v>9.1999999999999993</v>
      </c>
      <c r="E105" s="8">
        <v>0</v>
      </c>
      <c r="F105" s="5">
        <v>0</v>
      </c>
      <c r="G105" s="5">
        <v>0</v>
      </c>
      <c r="H105" s="5">
        <v>0</v>
      </c>
      <c r="I105" s="5">
        <v>0</v>
      </c>
      <c r="J105" s="9">
        <v>0</v>
      </c>
      <c r="K105" s="8">
        <v>0</v>
      </c>
      <c r="L105" s="5">
        <v>0</v>
      </c>
      <c r="M105" s="5">
        <v>0</v>
      </c>
      <c r="N105" s="9">
        <v>0</v>
      </c>
      <c r="O105" s="8">
        <v>3</v>
      </c>
      <c r="P105" s="5">
        <v>62</v>
      </c>
      <c r="Q105" s="5">
        <v>0</v>
      </c>
      <c r="R105" s="9">
        <v>0</v>
      </c>
      <c r="S105" s="8">
        <v>0</v>
      </c>
      <c r="T105" s="5">
        <v>0</v>
      </c>
    </row>
    <row r="106" spans="1:20" x14ac:dyDescent="0.2">
      <c r="A106" s="5" t="s">
        <v>349</v>
      </c>
      <c r="B106" s="5" t="s">
        <v>69</v>
      </c>
      <c r="C106" s="17" t="s">
        <v>539</v>
      </c>
      <c r="D106" s="7">
        <f t="shared" si="0"/>
        <v>9.1999999999999993</v>
      </c>
      <c r="E106" s="8">
        <v>0</v>
      </c>
      <c r="F106" s="5">
        <v>0</v>
      </c>
      <c r="G106" s="5">
        <v>0</v>
      </c>
      <c r="H106" s="5">
        <v>0</v>
      </c>
      <c r="I106" s="5">
        <v>0</v>
      </c>
      <c r="J106" s="9">
        <v>0</v>
      </c>
      <c r="K106" s="8">
        <v>0</v>
      </c>
      <c r="L106" s="5">
        <v>0</v>
      </c>
      <c r="M106" s="5">
        <v>0</v>
      </c>
      <c r="N106" s="9">
        <v>0</v>
      </c>
      <c r="O106" s="8">
        <v>5</v>
      </c>
      <c r="P106" s="5">
        <v>42</v>
      </c>
      <c r="Q106" s="5">
        <v>0</v>
      </c>
      <c r="R106" s="9">
        <v>0</v>
      </c>
      <c r="S106" s="8">
        <v>0</v>
      </c>
      <c r="T106" s="5">
        <v>0</v>
      </c>
    </row>
    <row r="107" spans="1:20" x14ac:dyDescent="0.2">
      <c r="A107" s="5" t="s">
        <v>175</v>
      </c>
      <c r="B107" s="5" t="s">
        <v>162</v>
      </c>
      <c r="C107" s="10" t="s">
        <v>533</v>
      </c>
      <c r="D107" s="7">
        <f t="shared" si="0"/>
        <v>8.9</v>
      </c>
      <c r="E107" s="8">
        <v>0</v>
      </c>
      <c r="F107" s="5">
        <v>0</v>
      </c>
      <c r="G107" s="5">
        <v>0</v>
      </c>
      <c r="H107" s="5">
        <v>0</v>
      </c>
      <c r="I107" s="5">
        <v>0</v>
      </c>
      <c r="J107" s="9">
        <v>0</v>
      </c>
      <c r="K107" s="8">
        <v>0</v>
      </c>
      <c r="L107" s="5">
        <v>0</v>
      </c>
      <c r="M107" s="5">
        <v>0</v>
      </c>
      <c r="N107" s="9">
        <v>0</v>
      </c>
      <c r="O107" s="8">
        <v>4</v>
      </c>
      <c r="P107" s="5">
        <v>49</v>
      </c>
      <c r="Q107" s="5">
        <v>0</v>
      </c>
      <c r="R107" s="9">
        <v>0</v>
      </c>
      <c r="S107" s="8">
        <v>0</v>
      </c>
      <c r="T107" s="5">
        <v>0</v>
      </c>
    </row>
    <row r="108" spans="1:20" x14ac:dyDescent="0.2">
      <c r="A108" s="5" t="s">
        <v>35</v>
      </c>
      <c r="B108" s="5" t="s">
        <v>17</v>
      </c>
      <c r="C108" s="10" t="s">
        <v>542</v>
      </c>
      <c r="D108" s="7">
        <f t="shared" si="0"/>
        <v>8.8800000000000008</v>
      </c>
      <c r="E108" s="8">
        <v>22</v>
      </c>
      <c r="F108" s="5">
        <v>14</v>
      </c>
      <c r="G108" s="5">
        <v>162</v>
      </c>
      <c r="H108" s="5">
        <v>1</v>
      </c>
      <c r="I108" s="5">
        <v>1</v>
      </c>
      <c r="J108" s="9">
        <v>0</v>
      </c>
      <c r="K108" s="8">
        <v>2</v>
      </c>
      <c r="L108" s="5">
        <v>4</v>
      </c>
      <c r="M108" s="5">
        <v>0</v>
      </c>
      <c r="N108" s="9">
        <v>0</v>
      </c>
      <c r="O108" s="8">
        <v>0</v>
      </c>
      <c r="P108" s="5">
        <v>0</v>
      </c>
      <c r="Q108" s="5">
        <v>0</v>
      </c>
      <c r="R108" s="9">
        <v>0</v>
      </c>
      <c r="S108" s="8">
        <v>0</v>
      </c>
      <c r="T108" s="5">
        <v>0</v>
      </c>
    </row>
    <row r="109" spans="1:20" x14ac:dyDescent="0.2">
      <c r="A109" s="5" t="s">
        <v>224</v>
      </c>
      <c r="B109" s="5" t="s">
        <v>162</v>
      </c>
      <c r="C109" s="17" t="s">
        <v>546</v>
      </c>
      <c r="D109" s="7">
        <f t="shared" si="0"/>
        <v>8.8000000000000007</v>
      </c>
      <c r="E109" s="8">
        <v>0</v>
      </c>
      <c r="F109" s="5">
        <v>0</v>
      </c>
      <c r="G109" s="5">
        <v>0</v>
      </c>
      <c r="H109" s="5">
        <v>0</v>
      </c>
      <c r="I109" s="5">
        <v>0</v>
      </c>
      <c r="J109" s="9">
        <v>0</v>
      </c>
      <c r="K109" s="8">
        <v>0</v>
      </c>
      <c r="L109" s="5">
        <v>0</v>
      </c>
      <c r="M109" s="5">
        <v>0</v>
      </c>
      <c r="N109" s="9">
        <v>0</v>
      </c>
      <c r="O109" s="8">
        <v>4</v>
      </c>
      <c r="P109" s="5">
        <v>48</v>
      </c>
      <c r="Q109" s="5">
        <v>0</v>
      </c>
      <c r="R109" s="9">
        <v>0</v>
      </c>
      <c r="S109" s="8">
        <v>0</v>
      </c>
      <c r="T109" s="5">
        <v>0</v>
      </c>
    </row>
    <row r="110" spans="1:20" x14ac:dyDescent="0.2">
      <c r="A110" s="5" t="s">
        <v>237</v>
      </c>
      <c r="B110" s="5" t="s">
        <v>162</v>
      </c>
      <c r="C110" s="17" t="s">
        <v>544</v>
      </c>
      <c r="D110" s="7">
        <f t="shared" si="0"/>
        <v>8.8000000000000007</v>
      </c>
      <c r="E110" s="8">
        <v>0</v>
      </c>
      <c r="F110" s="5">
        <v>0</v>
      </c>
      <c r="G110" s="5">
        <v>0</v>
      </c>
      <c r="H110" s="5">
        <v>0</v>
      </c>
      <c r="I110" s="5">
        <v>0</v>
      </c>
      <c r="J110" s="9">
        <v>0</v>
      </c>
      <c r="K110" s="8">
        <v>0</v>
      </c>
      <c r="L110" s="5">
        <v>0</v>
      </c>
      <c r="M110" s="5">
        <v>0</v>
      </c>
      <c r="N110" s="9">
        <v>0</v>
      </c>
      <c r="O110" s="8">
        <v>4</v>
      </c>
      <c r="P110" s="5">
        <v>48</v>
      </c>
      <c r="Q110" s="5">
        <v>0</v>
      </c>
      <c r="R110" s="9">
        <v>0</v>
      </c>
      <c r="S110" s="8">
        <v>0</v>
      </c>
      <c r="T110" s="5">
        <v>0</v>
      </c>
    </row>
    <row r="111" spans="1:20" x14ac:dyDescent="0.2">
      <c r="A111" s="5" t="s">
        <v>30</v>
      </c>
      <c r="B111" s="5" t="s">
        <v>17</v>
      </c>
      <c r="C111" s="17" t="s">
        <v>546</v>
      </c>
      <c r="D111" s="7">
        <f t="shared" si="0"/>
        <v>8.74</v>
      </c>
      <c r="E111" s="8">
        <v>31</v>
      </c>
      <c r="F111" s="5">
        <v>21</v>
      </c>
      <c r="G111" s="5">
        <v>181</v>
      </c>
      <c r="H111" s="5">
        <v>1</v>
      </c>
      <c r="I111" s="5">
        <v>0</v>
      </c>
      <c r="J111" s="9">
        <v>0</v>
      </c>
      <c r="K111" s="8">
        <v>2</v>
      </c>
      <c r="L111" s="5">
        <v>-5</v>
      </c>
      <c r="M111" s="5">
        <v>0</v>
      </c>
      <c r="N111" s="9">
        <v>0</v>
      </c>
      <c r="O111" s="8">
        <v>0</v>
      </c>
      <c r="P111" s="5">
        <v>0</v>
      </c>
      <c r="Q111" s="5">
        <v>0</v>
      </c>
      <c r="R111" s="9">
        <v>0</v>
      </c>
      <c r="S111" s="8">
        <v>1</v>
      </c>
      <c r="T111" s="5">
        <v>0</v>
      </c>
    </row>
    <row r="112" spans="1:20" x14ac:dyDescent="0.2">
      <c r="A112" s="5" t="s">
        <v>451</v>
      </c>
      <c r="B112" s="5" t="s">
        <v>75</v>
      </c>
      <c r="C112" s="17" t="s">
        <v>545</v>
      </c>
      <c r="D112" s="7">
        <f t="shared" si="0"/>
        <v>8.6999999999999993</v>
      </c>
      <c r="E112" s="8">
        <v>0</v>
      </c>
      <c r="F112" s="5">
        <v>0</v>
      </c>
      <c r="G112" s="5">
        <v>0</v>
      </c>
      <c r="H112" s="5">
        <v>0</v>
      </c>
      <c r="I112" s="5">
        <v>0</v>
      </c>
      <c r="J112" s="9">
        <v>0</v>
      </c>
      <c r="K112" s="8">
        <v>5</v>
      </c>
      <c r="L112" s="5">
        <v>27</v>
      </c>
      <c r="M112" s="5">
        <v>1</v>
      </c>
      <c r="N112" s="9">
        <v>0</v>
      </c>
      <c r="O112" s="8">
        <v>0</v>
      </c>
      <c r="P112" s="5">
        <v>0</v>
      </c>
      <c r="Q112" s="5">
        <v>0</v>
      </c>
      <c r="R112" s="9">
        <v>0</v>
      </c>
      <c r="S112" s="8">
        <v>0</v>
      </c>
      <c r="T112" s="5">
        <v>0</v>
      </c>
    </row>
    <row r="113" spans="1:20" x14ac:dyDescent="0.2">
      <c r="A113" s="5" t="s">
        <v>145</v>
      </c>
      <c r="B113" s="5" t="s">
        <v>75</v>
      </c>
      <c r="C113" s="17" t="s">
        <v>537</v>
      </c>
      <c r="D113" s="7">
        <f t="shared" si="0"/>
        <v>8.6</v>
      </c>
      <c r="E113" s="8">
        <v>0</v>
      </c>
      <c r="F113" s="5">
        <v>0</v>
      </c>
      <c r="G113" s="5">
        <v>0</v>
      </c>
      <c r="H113" s="5">
        <v>0</v>
      </c>
      <c r="I113" s="5">
        <v>0</v>
      </c>
      <c r="J113" s="9">
        <v>0</v>
      </c>
      <c r="K113" s="8">
        <v>3</v>
      </c>
      <c r="L113" s="5">
        <v>15</v>
      </c>
      <c r="M113" s="5">
        <v>0</v>
      </c>
      <c r="N113" s="9">
        <v>0</v>
      </c>
      <c r="O113" s="8">
        <v>1</v>
      </c>
      <c r="P113" s="5">
        <v>1</v>
      </c>
      <c r="Q113" s="5">
        <v>1</v>
      </c>
      <c r="R113" s="9">
        <v>0</v>
      </c>
      <c r="S113" s="8">
        <v>0</v>
      </c>
      <c r="T113" s="5">
        <v>0</v>
      </c>
    </row>
    <row r="114" spans="1:20" x14ac:dyDescent="0.2">
      <c r="A114" s="5" t="s">
        <v>547</v>
      </c>
      <c r="B114" s="5" t="s">
        <v>69</v>
      </c>
      <c r="C114" s="10" t="s">
        <v>540</v>
      </c>
      <c r="D114" s="7">
        <f t="shared" si="0"/>
        <v>8.5</v>
      </c>
      <c r="E114" s="8">
        <v>0</v>
      </c>
      <c r="F114" s="5">
        <v>0</v>
      </c>
      <c r="G114" s="5">
        <v>0</v>
      </c>
      <c r="H114" s="5">
        <v>0</v>
      </c>
      <c r="I114" s="5">
        <v>0</v>
      </c>
      <c r="J114" s="9">
        <v>0</v>
      </c>
      <c r="K114" s="8">
        <v>0</v>
      </c>
      <c r="L114" s="5">
        <v>0</v>
      </c>
      <c r="M114" s="5">
        <v>0</v>
      </c>
      <c r="N114" s="9">
        <v>0</v>
      </c>
      <c r="O114" s="8">
        <v>1</v>
      </c>
      <c r="P114" s="5">
        <v>15</v>
      </c>
      <c r="Q114" s="5">
        <v>1</v>
      </c>
      <c r="R114" s="9">
        <v>0</v>
      </c>
      <c r="S114" s="8">
        <v>0</v>
      </c>
      <c r="T114" s="5">
        <v>0</v>
      </c>
    </row>
    <row r="115" spans="1:20" x14ac:dyDescent="0.2">
      <c r="A115" s="5" t="s">
        <v>365</v>
      </c>
      <c r="B115" s="5" t="s">
        <v>162</v>
      </c>
      <c r="C115" s="10" t="s">
        <v>542</v>
      </c>
      <c r="D115" s="7">
        <f t="shared" si="0"/>
        <v>8.1</v>
      </c>
      <c r="E115" s="8">
        <v>0</v>
      </c>
      <c r="F115" s="5">
        <v>0</v>
      </c>
      <c r="G115" s="5">
        <v>0</v>
      </c>
      <c r="H115" s="5">
        <v>0</v>
      </c>
      <c r="I115" s="5">
        <v>0</v>
      </c>
      <c r="J115" s="9">
        <v>0</v>
      </c>
      <c r="K115" s="8">
        <v>1</v>
      </c>
      <c r="L115" s="5">
        <v>4</v>
      </c>
      <c r="M115" s="5">
        <v>0</v>
      </c>
      <c r="N115" s="9">
        <v>0</v>
      </c>
      <c r="O115" s="8">
        <v>2</v>
      </c>
      <c r="P115" s="5">
        <v>57</v>
      </c>
      <c r="Q115" s="5">
        <v>0</v>
      </c>
      <c r="R115" s="9">
        <v>0</v>
      </c>
      <c r="S115" s="8">
        <v>0</v>
      </c>
      <c r="T115" s="5">
        <v>0</v>
      </c>
    </row>
    <row r="116" spans="1:20" x14ac:dyDescent="0.2">
      <c r="A116" s="5" t="s">
        <v>191</v>
      </c>
      <c r="B116" s="5" t="s">
        <v>162</v>
      </c>
      <c r="C116" s="17" t="s">
        <v>533</v>
      </c>
      <c r="D116" s="7">
        <f t="shared" si="0"/>
        <v>8</v>
      </c>
      <c r="E116" s="8">
        <v>0</v>
      </c>
      <c r="F116" s="5">
        <v>0</v>
      </c>
      <c r="G116" s="5">
        <v>0</v>
      </c>
      <c r="H116" s="5">
        <v>0</v>
      </c>
      <c r="I116" s="5">
        <v>0</v>
      </c>
      <c r="J116" s="9">
        <v>0</v>
      </c>
      <c r="K116" s="8">
        <v>0</v>
      </c>
      <c r="L116" s="5">
        <v>0</v>
      </c>
      <c r="M116" s="5">
        <v>0</v>
      </c>
      <c r="N116" s="9">
        <v>0</v>
      </c>
      <c r="O116" s="8">
        <v>3</v>
      </c>
      <c r="P116" s="5">
        <v>50</v>
      </c>
      <c r="Q116" s="5">
        <v>0</v>
      </c>
      <c r="R116" s="9">
        <v>0</v>
      </c>
      <c r="S116" s="8">
        <v>0</v>
      </c>
      <c r="T116" s="5">
        <v>0</v>
      </c>
    </row>
    <row r="117" spans="1:20" x14ac:dyDescent="0.2">
      <c r="A117" s="5" t="s">
        <v>33</v>
      </c>
      <c r="B117" s="5" t="s">
        <v>17</v>
      </c>
      <c r="C117" s="17" t="s">
        <v>545</v>
      </c>
      <c r="D117" s="7">
        <f t="shared" si="0"/>
        <v>7.7</v>
      </c>
      <c r="E117" s="8">
        <v>27</v>
      </c>
      <c r="F117" s="5">
        <v>12</v>
      </c>
      <c r="G117" s="5">
        <v>125</v>
      </c>
      <c r="H117" s="5">
        <v>1</v>
      </c>
      <c r="I117" s="5">
        <v>1</v>
      </c>
      <c r="J117" s="9">
        <v>0</v>
      </c>
      <c r="K117" s="8">
        <v>3</v>
      </c>
      <c r="L117" s="5">
        <v>7</v>
      </c>
      <c r="M117" s="5">
        <v>0</v>
      </c>
      <c r="N117" s="9">
        <v>0</v>
      </c>
      <c r="O117" s="8">
        <v>0</v>
      </c>
      <c r="P117" s="5">
        <v>0</v>
      </c>
      <c r="Q117" s="5">
        <v>0</v>
      </c>
      <c r="R117" s="9">
        <v>0</v>
      </c>
      <c r="S117" s="8">
        <v>0</v>
      </c>
      <c r="T117" s="5">
        <v>0</v>
      </c>
    </row>
    <row r="118" spans="1:20" x14ac:dyDescent="0.2">
      <c r="A118" s="5" t="s">
        <v>125</v>
      </c>
      <c r="B118" s="5" t="s">
        <v>75</v>
      </c>
      <c r="C118" s="10" t="s">
        <v>546</v>
      </c>
      <c r="D118" s="7">
        <f t="shared" si="0"/>
        <v>7.7</v>
      </c>
      <c r="E118" s="8">
        <v>0</v>
      </c>
      <c r="F118" s="5">
        <v>0</v>
      </c>
      <c r="G118" s="5">
        <v>0</v>
      </c>
      <c r="H118" s="5">
        <v>0</v>
      </c>
      <c r="I118" s="5">
        <v>0</v>
      </c>
      <c r="J118" s="9">
        <v>0</v>
      </c>
      <c r="K118" s="8">
        <v>15</v>
      </c>
      <c r="L118" s="5">
        <v>65</v>
      </c>
      <c r="M118" s="5">
        <v>0</v>
      </c>
      <c r="N118" s="9">
        <v>0</v>
      </c>
      <c r="O118" s="8">
        <v>1</v>
      </c>
      <c r="P118" s="5">
        <v>2</v>
      </c>
      <c r="Q118" s="5">
        <v>0</v>
      </c>
      <c r="R118" s="9">
        <v>0</v>
      </c>
      <c r="S118" s="8">
        <v>0</v>
      </c>
      <c r="T118" s="5">
        <v>0</v>
      </c>
    </row>
    <row r="119" spans="1:20" x14ac:dyDescent="0.2">
      <c r="A119" s="5" t="s">
        <v>197</v>
      </c>
      <c r="B119" s="5" t="s">
        <v>162</v>
      </c>
      <c r="C119" s="10" t="s">
        <v>543</v>
      </c>
      <c r="D119" s="7">
        <f t="shared" si="0"/>
        <v>7.6</v>
      </c>
      <c r="E119" s="8">
        <v>0</v>
      </c>
      <c r="F119" s="5">
        <v>0</v>
      </c>
      <c r="G119" s="5">
        <v>0</v>
      </c>
      <c r="H119" s="5">
        <v>0</v>
      </c>
      <c r="I119" s="5">
        <v>0</v>
      </c>
      <c r="J119" s="9">
        <v>0</v>
      </c>
      <c r="K119" s="8">
        <v>0</v>
      </c>
      <c r="L119" s="5">
        <v>0</v>
      </c>
      <c r="M119" s="5">
        <v>0</v>
      </c>
      <c r="N119" s="9">
        <v>0</v>
      </c>
      <c r="O119" s="8">
        <v>1</v>
      </c>
      <c r="P119" s="5">
        <v>6</v>
      </c>
      <c r="Q119" s="5">
        <v>1</v>
      </c>
      <c r="R119" s="9">
        <v>0</v>
      </c>
      <c r="S119" s="8">
        <v>0</v>
      </c>
      <c r="T119" s="5">
        <v>0</v>
      </c>
    </row>
    <row r="120" spans="1:20" x14ac:dyDescent="0.2">
      <c r="A120" s="5" t="s">
        <v>280</v>
      </c>
      <c r="B120" s="5" t="s">
        <v>69</v>
      </c>
      <c r="C120" s="17" t="s">
        <v>533</v>
      </c>
      <c r="D120" s="7">
        <f t="shared" si="0"/>
        <v>7.6</v>
      </c>
      <c r="E120" s="8">
        <v>0</v>
      </c>
      <c r="F120" s="5">
        <v>0</v>
      </c>
      <c r="G120" s="5">
        <v>0</v>
      </c>
      <c r="H120" s="5">
        <v>0</v>
      </c>
      <c r="I120" s="5">
        <v>0</v>
      </c>
      <c r="J120" s="9">
        <v>0</v>
      </c>
      <c r="K120" s="8">
        <v>0</v>
      </c>
      <c r="L120" s="5">
        <v>0</v>
      </c>
      <c r="M120" s="5">
        <v>0</v>
      </c>
      <c r="N120" s="9">
        <v>0</v>
      </c>
      <c r="O120" s="8">
        <v>4</v>
      </c>
      <c r="P120" s="5">
        <v>36</v>
      </c>
      <c r="Q120" s="5">
        <v>0</v>
      </c>
      <c r="R120" s="9">
        <v>0</v>
      </c>
      <c r="S120" s="8">
        <v>0</v>
      </c>
      <c r="T120" s="5">
        <v>0</v>
      </c>
    </row>
    <row r="121" spans="1:20" x14ac:dyDescent="0.2">
      <c r="A121" s="5" t="s">
        <v>213</v>
      </c>
      <c r="B121" s="5" t="s">
        <v>162</v>
      </c>
      <c r="C121" s="17" t="s">
        <v>534</v>
      </c>
      <c r="D121" s="7">
        <f t="shared" si="0"/>
        <v>7.4</v>
      </c>
      <c r="E121" s="8">
        <v>0</v>
      </c>
      <c r="F121" s="5">
        <v>0</v>
      </c>
      <c r="G121" s="5">
        <v>0</v>
      </c>
      <c r="H121" s="5">
        <v>0</v>
      </c>
      <c r="I121" s="5">
        <v>0</v>
      </c>
      <c r="J121" s="9">
        <v>0</v>
      </c>
      <c r="K121" s="8">
        <v>0</v>
      </c>
      <c r="L121" s="5">
        <v>0</v>
      </c>
      <c r="M121" s="5">
        <v>0</v>
      </c>
      <c r="N121" s="9">
        <v>0</v>
      </c>
      <c r="O121" s="8">
        <v>4</v>
      </c>
      <c r="P121" s="5">
        <v>34</v>
      </c>
      <c r="Q121" s="5">
        <v>0</v>
      </c>
      <c r="R121" s="9">
        <v>0</v>
      </c>
      <c r="S121" s="8">
        <v>0</v>
      </c>
      <c r="T121" s="5">
        <v>0</v>
      </c>
    </row>
    <row r="122" spans="1:20" x14ac:dyDescent="0.2">
      <c r="A122" s="5" t="s">
        <v>129</v>
      </c>
      <c r="B122" s="5" t="s">
        <v>75</v>
      </c>
      <c r="C122" s="10" t="s">
        <v>541</v>
      </c>
      <c r="D122" s="7">
        <f t="shared" si="0"/>
        <v>7.3000000000000007</v>
      </c>
      <c r="E122" s="8">
        <v>0</v>
      </c>
      <c r="F122" s="5">
        <v>0</v>
      </c>
      <c r="G122" s="5">
        <v>0</v>
      </c>
      <c r="H122" s="5">
        <v>0</v>
      </c>
      <c r="I122" s="5">
        <v>0</v>
      </c>
      <c r="J122" s="9">
        <v>0</v>
      </c>
      <c r="K122" s="8">
        <v>4</v>
      </c>
      <c r="L122" s="5">
        <v>15</v>
      </c>
      <c r="M122" s="5">
        <v>0</v>
      </c>
      <c r="N122" s="9">
        <v>0</v>
      </c>
      <c r="O122" s="8">
        <v>1</v>
      </c>
      <c r="P122" s="5">
        <v>48</v>
      </c>
      <c r="Q122" s="5">
        <v>0</v>
      </c>
      <c r="R122" s="9">
        <v>0</v>
      </c>
      <c r="S122" s="8">
        <v>0</v>
      </c>
      <c r="T122" s="5">
        <v>0</v>
      </c>
    </row>
    <row r="123" spans="1:20" x14ac:dyDescent="0.2">
      <c r="A123" s="5" t="s">
        <v>363</v>
      </c>
      <c r="B123" s="5" t="s">
        <v>69</v>
      </c>
      <c r="C123" s="17" t="s">
        <v>543</v>
      </c>
      <c r="D123" s="7">
        <f t="shared" si="0"/>
        <v>7.3000000000000007</v>
      </c>
      <c r="E123" s="8">
        <v>0</v>
      </c>
      <c r="F123" s="5">
        <v>0</v>
      </c>
      <c r="G123" s="5">
        <v>0</v>
      </c>
      <c r="H123" s="5">
        <v>0</v>
      </c>
      <c r="I123" s="5">
        <v>0</v>
      </c>
      <c r="J123" s="9">
        <v>0</v>
      </c>
      <c r="K123" s="8">
        <v>0</v>
      </c>
      <c r="L123" s="5">
        <v>0</v>
      </c>
      <c r="M123" s="5">
        <v>0</v>
      </c>
      <c r="N123" s="9">
        <v>0</v>
      </c>
      <c r="O123" s="8">
        <v>4</v>
      </c>
      <c r="P123" s="5">
        <v>33</v>
      </c>
      <c r="Q123" s="5">
        <v>0</v>
      </c>
      <c r="R123" s="9">
        <v>0</v>
      </c>
      <c r="S123" s="8">
        <v>0</v>
      </c>
      <c r="T123" s="5">
        <v>0</v>
      </c>
    </row>
    <row r="124" spans="1:20" x14ac:dyDescent="0.2">
      <c r="A124" s="5" t="s">
        <v>240</v>
      </c>
      <c r="B124" s="5" t="s">
        <v>162</v>
      </c>
      <c r="C124" s="10" t="s">
        <v>540</v>
      </c>
      <c r="D124" s="7">
        <f t="shared" si="0"/>
        <v>7.3</v>
      </c>
      <c r="E124" s="8">
        <v>0</v>
      </c>
      <c r="F124" s="5">
        <v>0</v>
      </c>
      <c r="G124" s="5">
        <v>0</v>
      </c>
      <c r="H124" s="5">
        <v>0</v>
      </c>
      <c r="I124" s="5">
        <v>0</v>
      </c>
      <c r="J124" s="9">
        <v>0</v>
      </c>
      <c r="K124" s="8">
        <v>0</v>
      </c>
      <c r="L124" s="5">
        <v>0</v>
      </c>
      <c r="M124" s="5">
        <v>0</v>
      </c>
      <c r="N124" s="9">
        <v>0</v>
      </c>
      <c r="O124" s="8">
        <v>1</v>
      </c>
      <c r="P124" s="5">
        <v>3</v>
      </c>
      <c r="Q124" s="5">
        <v>1</v>
      </c>
      <c r="R124" s="9">
        <v>0</v>
      </c>
      <c r="S124" s="8">
        <v>0</v>
      </c>
      <c r="T124" s="5">
        <v>0</v>
      </c>
    </row>
    <row r="125" spans="1:20" x14ac:dyDescent="0.2">
      <c r="A125" s="5" t="s">
        <v>527</v>
      </c>
      <c r="B125" s="5" t="s">
        <v>162</v>
      </c>
      <c r="C125" s="10" t="s">
        <v>544</v>
      </c>
      <c r="D125" s="7">
        <f t="shared" si="0"/>
        <v>7.3</v>
      </c>
      <c r="E125" s="8">
        <v>0</v>
      </c>
      <c r="F125" s="5">
        <v>0</v>
      </c>
      <c r="G125" s="5">
        <v>0</v>
      </c>
      <c r="H125" s="5">
        <v>0</v>
      </c>
      <c r="I125" s="5">
        <v>0</v>
      </c>
      <c r="J125" s="9">
        <v>0</v>
      </c>
      <c r="K125" s="8">
        <v>0</v>
      </c>
      <c r="L125" s="5">
        <v>0</v>
      </c>
      <c r="M125" s="5">
        <v>0</v>
      </c>
      <c r="N125" s="9">
        <v>0</v>
      </c>
      <c r="O125" s="8">
        <v>1</v>
      </c>
      <c r="P125" s="5">
        <v>3</v>
      </c>
      <c r="Q125" s="5">
        <v>1</v>
      </c>
      <c r="R125" s="9">
        <v>0</v>
      </c>
      <c r="S125" s="8">
        <v>0</v>
      </c>
      <c r="T125" s="5">
        <v>0</v>
      </c>
    </row>
    <row r="126" spans="1:20" x14ac:dyDescent="0.2">
      <c r="A126" s="5" t="s">
        <v>151</v>
      </c>
      <c r="B126" s="5" t="s">
        <v>75</v>
      </c>
      <c r="C126" s="10" t="s">
        <v>543</v>
      </c>
      <c r="D126" s="7">
        <f t="shared" si="0"/>
        <v>7.2000000000000011</v>
      </c>
      <c r="E126" s="8">
        <v>0</v>
      </c>
      <c r="F126" s="5">
        <v>0</v>
      </c>
      <c r="G126" s="5">
        <v>0</v>
      </c>
      <c r="H126" s="5">
        <v>0</v>
      </c>
      <c r="I126" s="5">
        <v>0</v>
      </c>
      <c r="J126" s="9">
        <v>0</v>
      </c>
      <c r="K126" s="8">
        <v>12</v>
      </c>
      <c r="L126" s="5">
        <v>58</v>
      </c>
      <c r="M126" s="5">
        <v>0</v>
      </c>
      <c r="N126" s="9">
        <v>0</v>
      </c>
      <c r="O126" s="8">
        <v>1</v>
      </c>
      <c r="P126" s="5">
        <v>4</v>
      </c>
      <c r="Q126" s="5">
        <v>0</v>
      </c>
      <c r="R126" s="9">
        <v>0</v>
      </c>
      <c r="S126" s="8">
        <v>0</v>
      </c>
      <c r="T126" s="5">
        <v>0</v>
      </c>
    </row>
    <row r="127" spans="1:20" x14ac:dyDescent="0.2">
      <c r="A127" s="5" t="s">
        <v>105</v>
      </c>
      <c r="B127" s="5" t="s">
        <v>75</v>
      </c>
      <c r="C127" s="17" t="s">
        <v>538</v>
      </c>
      <c r="D127" s="7">
        <f t="shared" si="0"/>
        <v>7.2</v>
      </c>
      <c r="E127" s="8">
        <v>0</v>
      </c>
      <c r="F127" s="5">
        <v>0</v>
      </c>
      <c r="G127" s="5">
        <v>0</v>
      </c>
      <c r="H127" s="5">
        <v>0</v>
      </c>
      <c r="I127" s="5">
        <v>0</v>
      </c>
      <c r="J127" s="9">
        <v>0</v>
      </c>
      <c r="K127" s="8">
        <v>10</v>
      </c>
      <c r="L127" s="5">
        <v>52</v>
      </c>
      <c r="M127" s="5">
        <v>0</v>
      </c>
      <c r="N127" s="9">
        <v>1</v>
      </c>
      <c r="O127" s="8">
        <v>0</v>
      </c>
      <c r="P127" s="5">
        <v>0</v>
      </c>
      <c r="Q127" s="5">
        <v>0</v>
      </c>
      <c r="R127" s="9">
        <v>0</v>
      </c>
      <c r="S127" s="8">
        <v>0</v>
      </c>
      <c r="T127" s="5">
        <v>0</v>
      </c>
    </row>
    <row r="128" spans="1:20" x14ac:dyDescent="0.2">
      <c r="A128" s="5" t="s">
        <v>102</v>
      </c>
      <c r="B128" s="5" t="s">
        <v>75</v>
      </c>
      <c r="C128" s="10" t="s">
        <v>540</v>
      </c>
      <c r="D128" s="7">
        <f t="shared" si="0"/>
        <v>7.1000000000000005</v>
      </c>
      <c r="E128" s="8">
        <v>0</v>
      </c>
      <c r="F128" s="5">
        <v>0</v>
      </c>
      <c r="G128" s="5">
        <v>0</v>
      </c>
      <c r="H128" s="5">
        <v>0</v>
      </c>
      <c r="I128" s="5">
        <v>0</v>
      </c>
      <c r="J128" s="9">
        <v>0</v>
      </c>
      <c r="K128" s="8">
        <v>14</v>
      </c>
      <c r="L128" s="5">
        <v>71</v>
      </c>
      <c r="M128" s="5">
        <v>0</v>
      </c>
      <c r="N128" s="9">
        <v>0</v>
      </c>
      <c r="O128" s="8">
        <v>0</v>
      </c>
      <c r="P128" s="5">
        <v>0</v>
      </c>
      <c r="Q128" s="5">
        <v>0</v>
      </c>
      <c r="R128" s="9">
        <v>0</v>
      </c>
      <c r="S128" s="8">
        <v>0</v>
      </c>
      <c r="T128" s="5">
        <v>0</v>
      </c>
    </row>
    <row r="129" spans="1:20" x14ac:dyDescent="0.2">
      <c r="A129" s="5" t="s">
        <v>221</v>
      </c>
      <c r="B129" s="5" t="s">
        <v>162</v>
      </c>
      <c r="C129" s="10" t="s">
        <v>537</v>
      </c>
      <c r="D129" s="7">
        <f t="shared" si="0"/>
        <v>7.1000000000000005</v>
      </c>
      <c r="E129" s="8">
        <v>0</v>
      </c>
      <c r="F129" s="5">
        <v>0</v>
      </c>
      <c r="G129" s="5">
        <v>0</v>
      </c>
      <c r="H129" s="5">
        <v>0</v>
      </c>
      <c r="I129" s="5">
        <v>0</v>
      </c>
      <c r="J129" s="9">
        <v>0</v>
      </c>
      <c r="K129" s="8">
        <v>0</v>
      </c>
      <c r="L129" s="5">
        <v>0</v>
      </c>
      <c r="M129" s="5">
        <v>0</v>
      </c>
      <c r="N129" s="9">
        <v>0</v>
      </c>
      <c r="O129" s="8">
        <v>3</v>
      </c>
      <c r="P129" s="5">
        <v>41</v>
      </c>
      <c r="Q129" s="5">
        <v>0</v>
      </c>
      <c r="R129" s="9">
        <v>0</v>
      </c>
      <c r="S129" s="8">
        <v>0</v>
      </c>
      <c r="T129" s="5">
        <v>0</v>
      </c>
    </row>
    <row r="130" spans="1:20" x14ac:dyDescent="0.2">
      <c r="A130" s="5" t="s">
        <v>155</v>
      </c>
      <c r="B130" s="5" t="s">
        <v>75</v>
      </c>
      <c r="C130" s="17" t="s">
        <v>534</v>
      </c>
      <c r="D130" s="7">
        <f t="shared" si="0"/>
        <v>7.1</v>
      </c>
      <c r="E130" s="8">
        <v>0</v>
      </c>
      <c r="F130" s="5">
        <v>0</v>
      </c>
      <c r="G130" s="5">
        <v>0</v>
      </c>
      <c r="H130" s="5">
        <v>0</v>
      </c>
      <c r="I130" s="5">
        <v>0</v>
      </c>
      <c r="J130" s="9">
        <v>0</v>
      </c>
      <c r="K130" s="8">
        <v>10</v>
      </c>
      <c r="L130" s="5">
        <v>40</v>
      </c>
      <c r="M130" s="5">
        <v>0</v>
      </c>
      <c r="N130" s="9">
        <v>0</v>
      </c>
      <c r="O130" s="8">
        <v>2</v>
      </c>
      <c r="P130" s="5">
        <v>11</v>
      </c>
      <c r="Q130" s="5">
        <v>0</v>
      </c>
      <c r="R130" s="9">
        <v>0</v>
      </c>
      <c r="S130" s="8">
        <v>0</v>
      </c>
      <c r="T130" s="5">
        <v>0</v>
      </c>
    </row>
    <row r="131" spans="1:20" x14ac:dyDescent="0.2">
      <c r="A131" s="5" t="s">
        <v>38</v>
      </c>
      <c r="B131" s="5" t="s">
        <v>17</v>
      </c>
      <c r="C131" s="17" t="s">
        <v>538</v>
      </c>
      <c r="D131" s="7">
        <f t="shared" si="0"/>
        <v>6.9</v>
      </c>
      <c r="E131" s="8">
        <v>22</v>
      </c>
      <c r="F131" s="5">
        <v>13</v>
      </c>
      <c r="G131" s="5">
        <v>95</v>
      </c>
      <c r="H131" s="5">
        <v>1</v>
      </c>
      <c r="I131" s="5">
        <v>2</v>
      </c>
      <c r="J131" s="9">
        <v>0</v>
      </c>
      <c r="K131" s="8">
        <v>4</v>
      </c>
      <c r="L131" s="5">
        <v>31</v>
      </c>
      <c r="M131" s="5">
        <v>0</v>
      </c>
      <c r="N131" s="9">
        <v>0</v>
      </c>
      <c r="O131" s="8">
        <v>0</v>
      </c>
      <c r="P131" s="5">
        <v>0</v>
      </c>
      <c r="Q131" s="5">
        <v>0</v>
      </c>
      <c r="R131" s="9">
        <v>0</v>
      </c>
      <c r="S131" s="8">
        <v>0</v>
      </c>
      <c r="T131" s="5">
        <v>0</v>
      </c>
    </row>
    <row r="132" spans="1:20" x14ac:dyDescent="0.2">
      <c r="A132" s="5" t="s">
        <v>37</v>
      </c>
      <c r="B132" s="5" t="s">
        <v>17</v>
      </c>
      <c r="C132" s="10" t="s">
        <v>533</v>
      </c>
      <c r="D132" s="7">
        <f t="shared" si="0"/>
        <v>6.84</v>
      </c>
      <c r="E132" s="8">
        <v>37</v>
      </c>
      <c r="F132" s="5">
        <v>19</v>
      </c>
      <c r="G132" s="5">
        <v>206</v>
      </c>
      <c r="H132" s="5">
        <v>0</v>
      </c>
      <c r="I132" s="5">
        <v>1</v>
      </c>
      <c r="J132" s="9">
        <v>0</v>
      </c>
      <c r="K132" s="8">
        <v>2</v>
      </c>
      <c r="L132" s="5">
        <v>6</v>
      </c>
      <c r="M132" s="5">
        <v>0</v>
      </c>
      <c r="N132" s="9">
        <v>0</v>
      </c>
      <c r="O132" s="8">
        <v>0</v>
      </c>
      <c r="P132" s="5">
        <v>0</v>
      </c>
      <c r="Q132" s="5">
        <v>0</v>
      </c>
      <c r="R132" s="9">
        <v>0</v>
      </c>
      <c r="S132" s="8">
        <v>0</v>
      </c>
      <c r="T132" s="5">
        <v>0</v>
      </c>
    </row>
    <row r="133" spans="1:20" x14ac:dyDescent="0.2">
      <c r="A133" s="5" t="s">
        <v>181</v>
      </c>
      <c r="B133" s="5" t="s">
        <v>162</v>
      </c>
      <c r="C133" s="10" t="s">
        <v>546</v>
      </c>
      <c r="D133" s="7">
        <f t="shared" si="0"/>
        <v>6.8000000000000007</v>
      </c>
      <c r="E133" s="8">
        <v>0</v>
      </c>
      <c r="F133" s="5">
        <v>0</v>
      </c>
      <c r="G133" s="5">
        <v>0</v>
      </c>
      <c r="H133" s="5">
        <v>0</v>
      </c>
      <c r="I133" s="5">
        <v>0</v>
      </c>
      <c r="J133" s="9">
        <v>0</v>
      </c>
      <c r="K133" s="8">
        <v>0</v>
      </c>
      <c r="L133" s="5">
        <v>0</v>
      </c>
      <c r="M133" s="5">
        <v>0</v>
      </c>
      <c r="N133" s="9">
        <v>0</v>
      </c>
      <c r="O133" s="8">
        <v>2</v>
      </c>
      <c r="P133" s="5">
        <v>48</v>
      </c>
      <c r="Q133" s="5">
        <v>0</v>
      </c>
      <c r="R133" s="9">
        <v>0</v>
      </c>
      <c r="S133" s="8">
        <v>0</v>
      </c>
      <c r="T133" s="5">
        <v>0</v>
      </c>
    </row>
    <row r="134" spans="1:20" x14ac:dyDescent="0.2">
      <c r="A134" s="5" t="s">
        <v>114</v>
      </c>
      <c r="B134" s="5" t="s">
        <v>75</v>
      </c>
      <c r="C134" s="10" t="s">
        <v>533</v>
      </c>
      <c r="D134" s="7">
        <f t="shared" si="0"/>
        <v>6.8</v>
      </c>
      <c r="E134" s="8">
        <v>0</v>
      </c>
      <c r="F134" s="5">
        <v>0</v>
      </c>
      <c r="G134" s="5">
        <v>0</v>
      </c>
      <c r="H134" s="5">
        <v>0</v>
      </c>
      <c r="I134" s="5">
        <v>0</v>
      </c>
      <c r="J134" s="9">
        <v>0</v>
      </c>
      <c r="K134" s="8">
        <v>7</v>
      </c>
      <c r="L134" s="5">
        <v>26</v>
      </c>
      <c r="M134" s="5">
        <v>0</v>
      </c>
      <c r="N134" s="9">
        <v>0</v>
      </c>
      <c r="O134" s="8">
        <v>3</v>
      </c>
      <c r="P134" s="5">
        <v>12</v>
      </c>
      <c r="Q134" s="5">
        <v>0</v>
      </c>
      <c r="R134" s="9">
        <v>0</v>
      </c>
      <c r="S134" s="8">
        <v>0</v>
      </c>
      <c r="T134" s="5">
        <v>0</v>
      </c>
    </row>
    <row r="135" spans="1:20" x14ac:dyDescent="0.2">
      <c r="A135" s="5" t="s">
        <v>209</v>
      </c>
      <c r="B135" s="5" t="s">
        <v>162</v>
      </c>
      <c r="C135" s="10" t="s">
        <v>533</v>
      </c>
      <c r="D135" s="7">
        <f t="shared" si="0"/>
        <v>6.7</v>
      </c>
      <c r="E135" s="8">
        <v>0</v>
      </c>
      <c r="F135" s="5">
        <v>0</v>
      </c>
      <c r="G135" s="5">
        <v>0</v>
      </c>
      <c r="H135" s="5">
        <v>0</v>
      </c>
      <c r="I135" s="5">
        <v>0</v>
      </c>
      <c r="J135" s="9">
        <v>0</v>
      </c>
      <c r="K135" s="8">
        <v>0</v>
      </c>
      <c r="L135" s="5">
        <v>0</v>
      </c>
      <c r="M135" s="5">
        <v>0</v>
      </c>
      <c r="N135" s="9">
        <v>0</v>
      </c>
      <c r="O135" s="8">
        <v>2</v>
      </c>
      <c r="P135" s="5">
        <v>47</v>
      </c>
      <c r="Q135" s="5">
        <v>0</v>
      </c>
      <c r="R135" s="9">
        <v>0</v>
      </c>
      <c r="S135" s="8">
        <v>0</v>
      </c>
      <c r="T135" s="5">
        <v>0</v>
      </c>
    </row>
    <row r="136" spans="1:20" x14ac:dyDescent="0.2">
      <c r="A136" s="5" t="s">
        <v>208</v>
      </c>
      <c r="B136" s="5" t="s">
        <v>162</v>
      </c>
      <c r="C136" s="10" t="s">
        <v>545</v>
      </c>
      <c r="D136" s="7">
        <f t="shared" si="0"/>
        <v>6.7</v>
      </c>
      <c r="E136" s="8">
        <v>0</v>
      </c>
      <c r="F136" s="5">
        <v>0</v>
      </c>
      <c r="G136" s="5">
        <v>0</v>
      </c>
      <c r="H136" s="5">
        <v>0</v>
      </c>
      <c r="I136" s="5">
        <v>0</v>
      </c>
      <c r="J136" s="9">
        <v>0</v>
      </c>
      <c r="K136" s="8">
        <v>1</v>
      </c>
      <c r="L136" s="5">
        <v>8</v>
      </c>
      <c r="M136" s="5">
        <v>0</v>
      </c>
      <c r="N136" s="9">
        <v>0</v>
      </c>
      <c r="O136" s="8">
        <v>4</v>
      </c>
      <c r="P136" s="5">
        <v>19</v>
      </c>
      <c r="Q136" s="5">
        <v>0</v>
      </c>
      <c r="R136" s="9">
        <v>0</v>
      </c>
      <c r="S136" s="8">
        <v>0</v>
      </c>
      <c r="T136" s="5">
        <v>0</v>
      </c>
    </row>
    <row r="137" spans="1:20" x14ac:dyDescent="0.2">
      <c r="A137" s="5" t="s">
        <v>215</v>
      </c>
      <c r="B137" s="5" t="s">
        <v>162</v>
      </c>
      <c r="C137" s="17" t="s">
        <v>534</v>
      </c>
      <c r="D137" s="7">
        <f t="shared" si="0"/>
        <v>6.6</v>
      </c>
      <c r="E137" s="8">
        <v>0</v>
      </c>
      <c r="F137" s="5">
        <v>0</v>
      </c>
      <c r="G137" s="5">
        <v>0</v>
      </c>
      <c r="H137" s="5">
        <v>0</v>
      </c>
      <c r="I137" s="5">
        <v>0</v>
      </c>
      <c r="J137" s="9">
        <v>0</v>
      </c>
      <c r="K137" s="8">
        <v>3</v>
      </c>
      <c r="L137" s="5">
        <v>-4</v>
      </c>
      <c r="M137" s="5">
        <v>0</v>
      </c>
      <c r="N137" s="9">
        <v>0</v>
      </c>
      <c r="O137" s="8">
        <v>4</v>
      </c>
      <c r="P137" s="5">
        <v>30</v>
      </c>
      <c r="Q137" s="5">
        <v>0</v>
      </c>
      <c r="R137" s="9">
        <v>0</v>
      </c>
      <c r="S137" s="8">
        <v>0</v>
      </c>
      <c r="T137" s="5">
        <v>0</v>
      </c>
    </row>
    <row r="138" spans="1:20" x14ac:dyDescent="0.2">
      <c r="A138" s="5" t="s">
        <v>168</v>
      </c>
      <c r="B138" s="5" t="s">
        <v>162</v>
      </c>
      <c r="C138" s="10" t="s">
        <v>536</v>
      </c>
      <c r="D138" s="7">
        <f t="shared" si="0"/>
        <v>6.6</v>
      </c>
      <c r="E138" s="8">
        <v>0</v>
      </c>
      <c r="F138" s="5">
        <v>0</v>
      </c>
      <c r="G138" s="5">
        <v>0</v>
      </c>
      <c r="H138" s="5">
        <v>0</v>
      </c>
      <c r="I138" s="5">
        <v>0</v>
      </c>
      <c r="J138" s="9">
        <v>0</v>
      </c>
      <c r="K138" s="8">
        <v>1</v>
      </c>
      <c r="L138" s="5">
        <v>-4</v>
      </c>
      <c r="M138" s="5">
        <v>0</v>
      </c>
      <c r="N138" s="9">
        <v>0</v>
      </c>
      <c r="O138" s="8">
        <v>4</v>
      </c>
      <c r="P138" s="5">
        <v>30</v>
      </c>
      <c r="Q138" s="5">
        <v>0</v>
      </c>
      <c r="R138" s="9">
        <v>0</v>
      </c>
      <c r="S138" s="8">
        <v>0</v>
      </c>
      <c r="T138" s="5">
        <v>0</v>
      </c>
    </row>
    <row r="139" spans="1:20" x14ac:dyDescent="0.2">
      <c r="A139" s="5" t="s">
        <v>170</v>
      </c>
      <c r="B139" s="5" t="s">
        <v>162</v>
      </c>
      <c r="C139" s="10" t="s">
        <v>534</v>
      </c>
      <c r="D139" s="7">
        <f t="shared" si="0"/>
        <v>6.6</v>
      </c>
      <c r="E139" s="8">
        <v>0</v>
      </c>
      <c r="F139" s="5">
        <v>0</v>
      </c>
      <c r="G139" s="5">
        <v>0</v>
      </c>
      <c r="H139" s="5">
        <v>0</v>
      </c>
      <c r="I139" s="5">
        <v>0</v>
      </c>
      <c r="J139" s="9">
        <v>0</v>
      </c>
      <c r="K139" s="8">
        <v>0</v>
      </c>
      <c r="L139" s="5">
        <v>0</v>
      </c>
      <c r="M139" s="5">
        <v>0</v>
      </c>
      <c r="N139" s="9">
        <v>0</v>
      </c>
      <c r="O139" s="8">
        <v>4</v>
      </c>
      <c r="P139" s="5">
        <v>26</v>
      </c>
      <c r="Q139" s="5">
        <v>0</v>
      </c>
      <c r="R139" s="9">
        <v>0</v>
      </c>
      <c r="S139" s="8">
        <v>0</v>
      </c>
      <c r="T139" s="5">
        <v>0</v>
      </c>
    </row>
    <row r="140" spans="1:20" x14ac:dyDescent="0.2">
      <c r="A140" s="5" t="s">
        <v>91</v>
      </c>
      <c r="B140" s="5" t="s">
        <v>75</v>
      </c>
      <c r="C140" s="17" t="s">
        <v>541</v>
      </c>
      <c r="D140" s="7">
        <f t="shared" si="0"/>
        <v>6.5</v>
      </c>
      <c r="E140" s="8">
        <v>0</v>
      </c>
      <c r="F140" s="5">
        <v>0</v>
      </c>
      <c r="G140" s="5">
        <v>0</v>
      </c>
      <c r="H140" s="5">
        <v>0</v>
      </c>
      <c r="I140" s="5">
        <v>0</v>
      </c>
      <c r="J140" s="9">
        <v>0</v>
      </c>
      <c r="K140" s="8">
        <v>8</v>
      </c>
      <c r="L140" s="5">
        <v>35</v>
      </c>
      <c r="M140" s="5">
        <v>0</v>
      </c>
      <c r="N140" s="9">
        <v>0</v>
      </c>
      <c r="O140" s="8">
        <v>3</v>
      </c>
      <c r="P140" s="5">
        <v>0</v>
      </c>
      <c r="Q140" s="5">
        <v>0</v>
      </c>
      <c r="R140" s="9">
        <v>0</v>
      </c>
      <c r="S140" s="8">
        <v>0</v>
      </c>
      <c r="T140" s="5">
        <v>0</v>
      </c>
    </row>
    <row r="141" spans="1:20" x14ac:dyDescent="0.2">
      <c r="A141" s="5" t="s">
        <v>116</v>
      </c>
      <c r="B141" s="5" t="s">
        <v>75</v>
      </c>
      <c r="C141" s="17" t="s">
        <v>541</v>
      </c>
      <c r="D141" s="7">
        <f t="shared" si="0"/>
        <v>6.3000000000000007</v>
      </c>
      <c r="E141" s="8">
        <v>0</v>
      </c>
      <c r="F141" s="5">
        <v>0</v>
      </c>
      <c r="G141" s="5">
        <v>0</v>
      </c>
      <c r="H141" s="5">
        <v>0</v>
      </c>
      <c r="I141" s="5">
        <v>0</v>
      </c>
      <c r="J141" s="9">
        <v>0</v>
      </c>
      <c r="K141" s="8">
        <v>16</v>
      </c>
      <c r="L141" s="5">
        <v>41</v>
      </c>
      <c r="M141" s="5">
        <v>0</v>
      </c>
      <c r="N141" s="9">
        <v>0</v>
      </c>
      <c r="O141" s="8">
        <v>1</v>
      </c>
      <c r="P141" s="5">
        <v>12</v>
      </c>
      <c r="Q141" s="5">
        <v>0</v>
      </c>
      <c r="R141" s="9">
        <v>0</v>
      </c>
      <c r="S141" s="8">
        <v>0</v>
      </c>
      <c r="T141" s="5">
        <v>0</v>
      </c>
    </row>
    <row r="142" spans="1:20" x14ac:dyDescent="0.2">
      <c r="A142" s="5" t="s">
        <v>379</v>
      </c>
      <c r="B142" s="5" t="s">
        <v>75</v>
      </c>
      <c r="C142" s="17" t="s">
        <v>533</v>
      </c>
      <c r="D142" s="7">
        <f t="shared" si="0"/>
        <v>6.3000000000000007</v>
      </c>
      <c r="E142" s="8">
        <v>0</v>
      </c>
      <c r="F142" s="5">
        <v>0</v>
      </c>
      <c r="G142" s="5">
        <v>0</v>
      </c>
      <c r="H142" s="5">
        <v>0</v>
      </c>
      <c r="I142" s="5">
        <v>0</v>
      </c>
      <c r="J142" s="9">
        <v>0</v>
      </c>
      <c r="K142" s="8">
        <v>10</v>
      </c>
      <c r="L142" s="5">
        <v>15</v>
      </c>
      <c r="M142" s="5">
        <v>0</v>
      </c>
      <c r="N142" s="9">
        <v>0</v>
      </c>
      <c r="O142" s="8">
        <v>2</v>
      </c>
      <c r="P142" s="5">
        <v>28</v>
      </c>
      <c r="Q142" s="5">
        <v>0</v>
      </c>
      <c r="R142" s="9">
        <v>0</v>
      </c>
      <c r="S142" s="8">
        <v>0</v>
      </c>
      <c r="T142" s="5">
        <v>0</v>
      </c>
    </row>
    <row r="143" spans="1:20" x14ac:dyDescent="0.2">
      <c r="A143" s="5" t="s">
        <v>387</v>
      </c>
      <c r="B143" s="5" t="s">
        <v>162</v>
      </c>
      <c r="C143" s="17" t="s">
        <v>544</v>
      </c>
      <c r="D143" s="7">
        <f t="shared" si="0"/>
        <v>6.3</v>
      </c>
      <c r="E143" s="8">
        <v>0</v>
      </c>
      <c r="F143" s="5">
        <v>0</v>
      </c>
      <c r="G143" s="5">
        <v>0</v>
      </c>
      <c r="H143" s="5">
        <v>0</v>
      </c>
      <c r="I143" s="5">
        <v>0</v>
      </c>
      <c r="J143" s="9">
        <v>0</v>
      </c>
      <c r="K143" s="8">
        <v>0</v>
      </c>
      <c r="L143" s="5">
        <v>0</v>
      </c>
      <c r="M143" s="5">
        <v>0</v>
      </c>
      <c r="N143" s="9">
        <v>0</v>
      </c>
      <c r="O143" s="8">
        <v>2</v>
      </c>
      <c r="P143" s="5">
        <v>43</v>
      </c>
      <c r="Q143" s="5">
        <v>0</v>
      </c>
      <c r="R143" s="9">
        <v>0</v>
      </c>
      <c r="S143" s="8">
        <v>0</v>
      </c>
      <c r="T143" s="5">
        <v>0</v>
      </c>
    </row>
    <row r="144" spans="1:20" x14ac:dyDescent="0.2">
      <c r="A144" s="5" t="s">
        <v>147</v>
      </c>
      <c r="B144" s="5" t="s">
        <v>75</v>
      </c>
      <c r="C144" s="17" t="s">
        <v>538</v>
      </c>
      <c r="D144" s="7">
        <f t="shared" si="0"/>
        <v>6.2</v>
      </c>
      <c r="E144" s="8">
        <v>0</v>
      </c>
      <c r="F144" s="5">
        <v>0</v>
      </c>
      <c r="G144" s="5">
        <v>0</v>
      </c>
      <c r="H144" s="5">
        <v>0</v>
      </c>
      <c r="I144" s="5">
        <v>0</v>
      </c>
      <c r="J144" s="9">
        <v>0</v>
      </c>
      <c r="K144" s="8">
        <v>7</v>
      </c>
      <c r="L144" s="5">
        <v>30</v>
      </c>
      <c r="M144" s="5">
        <v>0</v>
      </c>
      <c r="N144" s="9">
        <v>0</v>
      </c>
      <c r="O144" s="8">
        <v>2</v>
      </c>
      <c r="P144" s="5">
        <v>12</v>
      </c>
      <c r="Q144" s="5">
        <v>0</v>
      </c>
      <c r="R144" s="9">
        <v>0</v>
      </c>
      <c r="S144" s="8">
        <v>0</v>
      </c>
      <c r="T144" s="5">
        <v>0</v>
      </c>
    </row>
    <row r="145" spans="1:20" x14ac:dyDescent="0.2">
      <c r="A145" s="5" t="s">
        <v>340</v>
      </c>
      <c r="B145" s="5" t="s">
        <v>162</v>
      </c>
      <c r="C145" s="17" t="s">
        <v>541</v>
      </c>
      <c r="D145" s="7">
        <f t="shared" si="0"/>
        <v>6</v>
      </c>
      <c r="E145" s="8">
        <v>0</v>
      </c>
      <c r="F145" s="5">
        <v>0</v>
      </c>
      <c r="G145" s="5">
        <v>0</v>
      </c>
      <c r="H145" s="5">
        <v>0</v>
      </c>
      <c r="I145" s="5">
        <v>0</v>
      </c>
      <c r="J145" s="9">
        <v>0</v>
      </c>
      <c r="K145" s="8">
        <v>0</v>
      </c>
      <c r="L145" s="5">
        <v>0</v>
      </c>
      <c r="M145" s="5">
        <v>0</v>
      </c>
      <c r="N145" s="9">
        <v>0</v>
      </c>
      <c r="O145" s="8">
        <v>2</v>
      </c>
      <c r="P145" s="5">
        <v>40</v>
      </c>
      <c r="Q145" s="5">
        <v>0</v>
      </c>
      <c r="R145" s="9">
        <v>0</v>
      </c>
      <c r="S145" s="8">
        <v>0</v>
      </c>
      <c r="T145" s="5">
        <v>0</v>
      </c>
    </row>
    <row r="146" spans="1:20" x14ac:dyDescent="0.2">
      <c r="A146" s="5" t="s">
        <v>19</v>
      </c>
      <c r="B146" s="5" t="s">
        <v>17</v>
      </c>
      <c r="C146" s="17" t="s">
        <v>542</v>
      </c>
      <c r="D146" s="7">
        <f t="shared" si="0"/>
        <v>5.9</v>
      </c>
      <c r="E146" s="8">
        <v>33</v>
      </c>
      <c r="F146" s="5">
        <v>24</v>
      </c>
      <c r="G146" s="5">
        <v>200</v>
      </c>
      <c r="H146" s="5">
        <v>0</v>
      </c>
      <c r="I146" s="5">
        <v>1</v>
      </c>
      <c r="J146" s="9">
        <v>0</v>
      </c>
      <c r="K146" s="8">
        <v>1</v>
      </c>
      <c r="L146" s="5">
        <v>-1</v>
      </c>
      <c r="M146" s="5">
        <v>0</v>
      </c>
      <c r="N146" s="9">
        <v>0</v>
      </c>
      <c r="O146" s="8">
        <v>0</v>
      </c>
      <c r="P146" s="5">
        <v>0</v>
      </c>
      <c r="Q146" s="5">
        <v>0</v>
      </c>
      <c r="R146" s="9">
        <v>0</v>
      </c>
      <c r="S146" s="8">
        <v>0</v>
      </c>
      <c r="T146" s="5">
        <v>0</v>
      </c>
    </row>
    <row r="147" spans="1:20" x14ac:dyDescent="0.2">
      <c r="A147" s="5" t="s">
        <v>288</v>
      </c>
      <c r="B147" s="5" t="s">
        <v>69</v>
      </c>
      <c r="C147" s="17" t="s">
        <v>542</v>
      </c>
      <c r="D147" s="7">
        <f t="shared" si="0"/>
        <v>5.8000000000000007</v>
      </c>
      <c r="E147" s="8">
        <v>0</v>
      </c>
      <c r="F147" s="5">
        <v>0</v>
      </c>
      <c r="G147" s="5">
        <v>0</v>
      </c>
      <c r="H147" s="5">
        <v>0</v>
      </c>
      <c r="I147" s="5">
        <v>0</v>
      </c>
      <c r="J147" s="9">
        <v>0</v>
      </c>
      <c r="K147" s="8">
        <v>0</v>
      </c>
      <c r="L147" s="5">
        <v>0</v>
      </c>
      <c r="M147" s="5">
        <v>0</v>
      </c>
      <c r="N147" s="9">
        <v>0</v>
      </c>
      <c r="O147" s="8">
        <v>3</v>
      </c>
      <c r="P147" s="5">
        <v>28</v>
      </c>
      <c r="Q147" s="5">
        <v>0</v>
      </c>
      <c r="R147" s="9">
        <v>0</v>
      </c>
      <c r="S147" s="8">
        <v>0</v>
      </c>
      <c r="T147" s="5">
        <v>0</v>
      </c>
    </row>
    <row r="148" spans="1:20" x14ac:dyDescent="0.2">
      <c r="A148" s="5" t="s">
        <v>548</v>
      </c>
      <c r="B148" s="5" t="s">
        <v>17</v>
      </c>
      <c r="C148" s="10" t="s">
        <v>546</v>
      </c>
      <c r="D148" s="7">
        <f t="shared" si="0"/>
        <v>5.7200000000000006</v>
      </c>
      <c r="E148" s="8">
        <v>14</v>
      </c>
      <c r="F148" s="5">
        <v>10</v>
      </c>
      <c r="G148" s="5">
        <v>83</v>
      </c>
      <c r="H148" s="5">
        <v>0</v>
      </c>
      <c r="I148" s="5">
        <v>1</v>
      </c>
      <c r="J148" s="9">
        <v>0</v>
      </c>
      <c r="K148" s="8">
        <v>2</v>
      </c>
      <c r="L148" s="5">
        <v>4</v>
      </c>
      <c r="M148" s="5">
        <v>1</v>
      </c>
      <c r="N148" s="9">
        <v>0</v>
      </c>
      <c r="O148" s="8">
        <v>0</v>
      </c>
      <c r="P148" s="5">
        <v>0</v>
      </c>
      <c r="Q148" s="5">
        <v>0</v>
      </c>
      <c r="R148" s="9">
        <v>0</v>
      </c>
      <c r="S148" s="8">
        <v>1</v>
      </c>
      <c r="T148" s="5">
        <v>0</v>
      </c>
    </row>
    <row r="149" spans="1:20" x14ac:dyDescent="0.2">
      <c r="A149" s="5" t="s">
        <v>229</v>
      </c>
      <c r="B149" s="5" t="s">
        <v>162</v>
      </c>
      <c r="C149" s="10" t="s">
        <v>543</v>
      </c>
      <c r="D149" s="7">
        <f t="shared" si="0"/>
        <v>5.7</v>
      </c>
      <c r="E149" s="8">
        <v>0</v>
      </c>
      <c r="F149" s="5">
        <v>0</v>
      </c>
      <c r="G149" s="5">
        <v>0</v>
      </c>
      <c r="H149" s="5">
        <v>0</v>
      </c>
      <c r="I149" s="5">
        <v>0</v>
      </c>
      <c r="J149" s="9">
        <v>0</v>
      </c>
      <c r="K149" s="8">
        <v>0</v>
      </c>
      <c r="L149" s="5">
        <v>0</v>
      </c>
      <c r="M149" s="5">
        <v>0</v>
      </c>
      <c r="N149" s="9">
        <v>0</v>
      </c>
      <c r="O149" s="8">
        <v>2</v>
      </c>
      <c r="P149" s="5">
        <v>37</v>
      </c>
      <c r="Q149" s="5">
        <v>0</v>
      </c>
      <c r="R149" s="9">
        <v>0</v>
      </c>
      <c r="S149" s="8">
        <v>0</v>
      </c>
      <c r="T149" s="5">
        <v>0</v>
      </c>
    </row>
    <row r="150" spans="1:20" x14ac:dyDescent="0.2">
      <c r="A150" s="5" t="s">
        <v>371</v>
      </c>
      <c r="B150" s="5" t="s">
        <v>162</v>
      </c>
      <c r="C150" s="17" t="s">
        <v>532</v>
      </c>
      <c r="D150" s="7">
        <f t="shared" si="0"/>
        <v>5.6</v>
      </c>
      <c r="E150" s="8">
        <v>0</v>
      </c>
      <c r="F150" s="5">
        <v>0</v>
      </c>
      <c r="G150" s="5">
        <v>0</v>
      </c>
      <c r="H150" s="5">
        <v>0</v>
      </c>
      <c r="I150" s="5">
        <v>0</v>
      </c>
      <c r="J150" s="9">
        <v>0</v>
      </c>
      <c r="K150" s="8">
        <v>0</v>
      </c>
      <c r="L150" s="5">
        <v>0</v>
      </c>
      <c r="M150" s="5">
        <v>0</v>
      </c>
      <c r="N150" s="9">
        <v>0</v>
      </c>
      <c r="O150" s="8">
        <v>3</v>
      </c>
      <c r="P150" s="5">
        <v>26</v>
      </c>
      <c r="Q150" s="5">
        <v>0</v>
      </c>
      <c r="R150" s="9">
        <v>0</v>
      </c>
      <c r="S150" s="8">
        <v>0</v>
      </c>
      <c r="T150" s="5">
        <v>0</v>
      </c>
    </row>
    <row r="151" spans="1:20" x14ac:dyDescent="0.2">
      <c r="A151" s="5" t="s">
        <v>243</v>
      </c>
      <c r="B151" s="5" t="s">
        <v>162</v>
      </c>
      <c r="C151" s="17" t="s">
        <v>533</v>
      </c>
      <c r="D151" s="7">
        <f t="shared" si="0"/>
        <v>5.6</v>
      </c>
      <c r="E151" s="8">
        <v>0</v>
      </c>
      <c r="F151" s="5">
        <v>0</v>
      </c>
      <c r="G151" s="5">
        <v>0</v>
      </c>
      <c r="H151" s="5">
        <v>0</v>
      </c>
      <c r="I151" s="5">
        <v>0</v>
      </c>
      <c r="J151" s="9">
        <v>0</v>
      </c>
      <c r="K151" s="8">
        <v>1</v>
      </c>
      <c r="L151" s="5">
        <v>3</v>
      </c>
      <c r="M151" s="5">
        <v>0</v>
      </c>
      <c r="N151" s="9">
        <v>0</v>
      </c>
      <c r="O151" s="8">
        <v>3</v>
      </c>
      <c r="P151" s="5">
        <v>23</v>
      </c>
      <c r="Q151" s="5">
        <v>0</v>
      </c>
      <c r="R151" s="9">
        <v>0</v>
      </c>
      <c r="S151" s="8">
        <v>0</v>
      </c>
      <c r="T151" s="5">
        <v>0</v>
      </c>
    </row>
    <row r="152" spans="1:20" x14ac:dyDescent="0.2">
      <c r="A152" s="5" t="s">
        <v>265</v>
      </c>
      <c r="B152" s="5" t="s">
        <v>162</v>
      </c>
      <c r="C152" s="17" t="s">
        <v>536</v>
      </c>
      <c r="D152" s="7">
        <f t="shared" si="0"/>
        <v>5.5</v>
      </c>
      <c r="E152" s="8">
        <v>0</v>
      </c>
      <c r="F152" s="5">
        <v>0</v>
      </c>
      <c r="G152" s="5">
        <v>0</v>
      </c>
      <c r="H152" s="5">
        <v>0</v>
      </c>
      <c r="I152" s="5">
        <v>0</v>
      </c>
      <c r="J152" s="9">
        <v>0</v>
      </c>
      <c r="K152" s="8">
        <v>0</v>
      </c>
      <c r="L152" s="5">
        <v>0</v>
      </c>
      <c r="M152" s="5">
        <v>0</v>
      </c>
      <c r="N152" s="9">
        <v>0</v>
      </c>
      <c r="O152" s="8">
        <v>3</v>
      </c>
      <c r="P152" s="5">
        <v>25</v>
      </c>
      <c r="Q152" s="5">
        <v>0</v>
      </c>
      <c r="R152" s="9">
        <v>0</v>
      </c>
      <c r="S152" s="8">
        <v>0</v>
      </c>
      <c r="T152" s="5">
        <v>0</v>
      </c>
    </row>
    <row r="153" spans="1:20" x14ac:dyDescent="0.2">
      <c r="A153" s="5" t="s">
        <v>205</v>
      </c>
      <c r="B153" s="5" t="s">
        <v>162</v>
      </c>
      <c r="C153" s="10" t="s">
        <v>541</v>
      </c>
      <c r="D153" s="7">
        <f t="shared" si="0"/>
        <v>5.5</v>
      </c>
      <c r="E153" s="8">
        <v>0</v>
      </c>
      <c r="F153" s="5">
        <v>0</v>
      </c>
      <c r="G153" s="5">
        <v>0</v>
      </c>
      <c r="H153" s="5">
        <v>0</v>
      </c>
      <c r="I153" s="5">
        <v>0</v>
      </c>
      <c r="J153" s="9">
        <v>0</v>
      </c>
      <c r="K153" s="8">
        <v>0</v>
      </c>
      <c r="L153" s="5">
        <v>0</v>
      </c>
      <c r="M153" s="5">
        <v>0</v>
      </c>
      <c r="N153" s="9">
        <v>0</v>
      </c>
      <c r="O153" s="8">
        <v>3</v>
      </c>
      <c r="P153" s="5">
        <v>25</v>
      </c>
      <c r="Q153" s="5">
        <v>0</v>
      </c>
      <c r="R153" s="9">
        <v>0</v>
      </c>
      <c r="S153" s="8">
        <v>0</v>
      </c>
      <c r="T153" s="5">
        <v>0</v>
      </c>
    </row>
    <row r="154" spans="1:20" x14ac:dyDescent="0.2">
      <c r="A154" s="5" t="s">
        <v>228</v>
      </c>
      <c r="B154" s="5" t="s">
        <v>162</v>
      </c>
      <c r="C154" s="17" t="s">
        <v>541</v>
      </c>
      <c r="D154" s="7">
        <f t="shared" si="0"/>
        <v>5.4</v>
      </c>
      <c r="E154" s="8">
        <v>0</v>
      </c>
      <c r="F154" s="5">
        <v>0</v>
      </c>
      <c r="G154" s="5">
        <v>0</v>
      </c>
      <c r="H154" s="5">
        <v>0</v>
      </c>
      <c r="I154" s="5">
        <v>0</v>
      </c>
      <c r="J154" s="9">
        <v>0</v>
      </c>
      <c r="K154" s="8">
        <v>0</v>
      </c>
      <c r="L154" s="5">
        <v>0</v>
      </c>
      <c r="M154" s="5">
        <v>0</v>
      </c>
      <c r="N154" s="9">
        <v>0</v>
      </c>
      <c r="O154" s="8">
        <v>2</v>
      </c>
      <c r="P154" s="5">
        <v>34</v>
      </c>
      <c r="Q154" s="5">
        <v>0</v>
      </c>
      <c r="R154" s="9">
        <v>0</v>
      </c>
      <c r="S154" s="8">
        <v>0</v>
      </c>
      <c r="T154" s="5">
        <v>0</v>
      </c>
    </row>
    <row r="155" spans="1:20" x14ac:dyDescent="0.2">
      <c r="A155" s="5" t="s">
        <v>251</v>
      </c>
      <c r="B155" s="5" t="s">
        <v>162</v>
      </c>
      <c r="C155" s="17" t="s">
        <v>535</v>
      </c>
      <c r="D155" s="7">
        <f t="shared" si="0"/>
        <v>5.4</v>
      </c>
      <c r="E155" s="8">
        <v>0</v>
      </c>
      <c r="F155" s="5">
        <v>0</v>
      </c>
      <c r="G155" s="5">
        <v>0</v>
      </c>
      <c r="H155" s="5">
        <v>0</v>
      </c>
      <c r="I155" s="5">
        <v>0</v>
      </c>
      <c r="J155" s="9">
        <v>0</v>
      </c>
      <c r="K155" s="8">
        <v>0</v>
      </c>
      <c r="L155" s="5">
        <v>0</v>
      </c>
      <c r="M155" s="5">
        <v>0</v>
      </c>
      <c r="N155" s="9">
        <v>0</v>
      </c>
      <c r="O155" s="8">
        <v>3</v>
      </c>
      <c r="P155" s="5">
        <v>24</v>
      </c>
      <c r="Q155" s="5">
        <v>0</v>
      </c>
      <c r="R155" s="9">
        <v>0</v>
      </c>
      <c r="S155" s="8">
        <v>0</v>
      </c>
      <c r="T155" s="5">
        <v>0</v>
      </c>
    </row>
    <row r="156" spans="1:20" x14ac:dyDescent="0.2">
      <c r="A156" s="5" t="s">
        <v>316</v>
      </c>
      <c r="B156" s="5" t="s">
        <v>69</v>
      </c>
      <c r="C156" s="10" t="s">
        <v>539</v>
      </c>
      <c r="D156" s="7">
        <f t="shared" si="0"/>
        <v>5.4</v>
      </c>
      <c r="E156" s="8">
        <v>0</v>
      </c>
      <c r="F156" s="5">
        <v>0</v>
      </c>
      <c r="G156" s="5">
        <v>0</v>
      </c>
      <c r="H156" s="5">
        <v>0</v>
      </c>
      <c r="I156" s="5">
        <v>0</v>
      </c>
      <c r="J156" s="9">
        <v>0</v>
      </c>
      <c r="K156" s="8">
        <v>0</v>
      </c>
      <c r="L156" s="5">
        <v>0</v>
      </c>
      <c r="M156" s="5">
        <v>0</v>
      </c>
      <c r="N156" s="9">
        <v>0</v>
      </c>
      <c r="O156" s="8">
        <v>3</v>
      </c>
      <c r="P156" s="5">
        <v>24</v>
      </c>
      <c r="Q156" s="5">
        <v>0</v>
      </c>
      <c r="R156" s="9">
        <v>0</v>
      </c>
      <c r="S156" s="8">
        <v>0</v>
      </c>
      <c r="T156" s="5">
        <v>0</v>
      </c>
    </row>
    <row r="157" spans="1:20" x14ac:dyDescent="0.2">
      <c r="A157" s="5" t="s">
        <v>300</v>
      </c>
      <c r="B157" s="5" t="s">
        <v>69</v>
      </c>
      <c r="C157" s="10" t="s">
        <v>545</v>
      </c>
      <c r="D157" s="7">
        <f t="shared" si="0"/>
        <v>5.4</v>
      </c>
      <c r="E157" s="8">
        <v>0</v>
      </c>
      <c r="F157" s="5">
        <v>0</v>
      </c>
      <c r="G157" s="5">
        <v>0</v>
      </c>
      <c r="H157" s="5">
        <v>0</v>
      </c>
      <c r="I157" s="5">
        <v>0</v>
      </c>
      <c r="J157" s="9">
        <v>0</v>
      </c>
      <c r="K157" s="8">
        <v>0</v>
      </c>
      <c r="L157" s="5">
        <v>0</v>
      </c>
      <c r="M157" s="5">
        <v>0</v>
      </c>
      <c r="N157" s="9">
        <v>0</v>
      </c>
      <c r="O157" s="8">
        <v>3</v>
      </c>
      <c r="P157" s="5">
        <v>24</v>
      </c>
      <c r="Q157" s="5">
        <v>0</v>
      </c>
      <c r="R157" s="9">
        <v>0</v>
      </c>
      <c r="S157" s="8">
        <v>0</v>
      </c>
      <c r="T157" s="5">
        <v>0</v>
      </c>
    </row>
    <row r="158" spans="1:20" x14ac:dyDescent="0.2">
      <c r="A158" s="5" t="s">
        <v>549</v>
      </c>
      <c r="B158" s="5" t="s">
        <v>75</v>
      </c>
      <c r="C158" s="17" t="s">
        <v>534</v>
      </c>
      <c r="D158" s="7">
        <f t="shared" si="0"/>
        <v>5.3999999999999995</v>
      </c>
      <c r="E158" s="8">
        <v>0</v>
      </c>
      <c r="F158" s="5">
        <v>0</v>
      </c>
      <c r="G158" s="5">
        <v>0</v>
      </c>
      <c r="H158" s="5">
        <v>0</v>
      </c>
      <c r="I158" s="5">
        <v>0</v>
      </c>
      <c r="J158" s="9">
        <v>0</v>
      </c>
      <c r="K158" s="8">
        <v>8</v>
      </c>
      <c r="L158" s="5">
        <v>36</v>
      </c>
      <c r="M158" s="5">
        <v>0</v>
      </c>
      <c r="N158" s="9">
        <v>0</v>
      </c>
      <c r="O158" s="8">
        <v>1</v>
      </c>
      <c r="P158" s="5">
        <v>8</v>
      </c>
      <c r="Q158" s="5">
        <v>0</v>
      </c>
      <c r="R158" s="9">
        <v>0</v>
      </c>
      <c r="S158" s="8">
        <v>0</v>
      </c>
      <c r="T158" s="5">
        <v>0</v>
      </c>
    </row>
    <row r="159" spans="1:20" x14ac:dyDescent="0.2">
      <c r="A159" s="5" t="s">
        <v>78</v>
      </c>
      <c r="B159" s="5" t="s">
        <v>75</v>
      </c>
      <c r="C159" s="10" t="s">
        <v>537</v>
      </c>
      <c r="D159" s="7">
        <f t="shared" si="0"/>
        <v>5.1000000000000005</v>
      </c>
      <c r="E159" s="8">
        <v>0</v>
      </c>
      <c r="F159" s="5">
        <v>0</v>
      </c>
      <c r="G159" s="5">
        <v>0</v>
      </c>
      <c r="H159" s="5">
        <v>0</v>
      </c>
      <c r="I159" s="5">
        <v>0</v>
      </c>
      <c r="J159" s="9">
        <v>0</v>
      </c>
      <c r="K159" s="8">
        <v>13</v>
      </c>
      <c r="L159" s="5">
        <v>51</v>
      </c>
      <c r="M159" s="5">
        <v>0</v>
      </c>
      <c r="N159" s="9">
        <v>0</v>
      </c>
      <c r="O159" s="8">
        <v>0</v>
      </c>
      <c r="P159" s="5">
        <v>0</v>
      </c>
      <c r="Q159" s="5">
        <v>0</v>
      </c>
      <c r="R159" s="9">
        <v>0</v>
      </c>
      <c r="S159" s="8">
        <v>0</v>
      </c>
      <c r="T159" s="5">
        <v>0</v>
      </c>
    </row>
    <row r="160" spans="1:20" x14ac:dyDescent="0.2">
      <c r="A160" s="5" t="s">
        <v>346</v>
      </c>
      <c r="B160" s="5" t="s">
        <v>162</v>
      </c>
      <c r="C160" s="17" t="s">
        <v>540</v>
      </c>
      <c r="D160" s="7">
        <f t="shared" si="0"/>
        <v>5.0999999999999996</v>
      </c>
      <c r="E160" s="8">
        <v>0</v>
      </c>
      <c r="F160" s="5">
        <v>0</v>
      </c>
      <c r="G160" s="5">
        <v>0</v>
      </c>
      <c r="H160" s="5">
        <v>0</v>
      </c>
      <c r="I160" s="5">
        <v>0</v>
      </c>
      <c r="J160" s="9">
        <v>0</v>
      </c>
      <c r="K160" s="8">
        <v>0</v>
      </c>
      <c r="L160" s="5">
        <v>0</v>
      </c>
      <c r="M160" s="5">
        <v>0</v>
      </c>
      <c r="N160" s="9">
        <v>0</v>
      </c>
      <c r="O160" s="8">
        <v>3</v>
      </c>
      <c r="P160" s="5">
        <v>21</v>
      </c>
      <c r="Q160" s="5">
        <v>0</v>
      </c>
      <c r="R160" s="9">
        <v>0</v>
      </c>
      <c r="S160" s="8">
        <v>0</v>
      </c>
      <c r="T160" s="5">
        <v>0</v>
      </c>
    </row>
    <row r="161" spans="1:20" x14ac:dyDescent="0.2">
      <c r="A161" s="5" t="s">
        <v>138</v>
      </c>
      <c r="B161" s="5" t="s">
        <v>75</v>
      </c>
      <c r="C161" s="10" t="s">
        <v>538</v>
      </c>
      <c r="D161" s="7">
        <f t="shared" si="0"/>
        <v>5</v>
      </c>
      <c r="E161" s="8">
        <v>0</v>
      </c>
      <c r="F161" s="5">
        <v>0</v>
      </c>
      <c r="G161" s="5">
        <v>0</v>
      </c>
      <c r="H161" s="5">
        <v>0</v>
      </c>
      <c r="I161" s="5">
        <v>0</v>
      </c>
      <c r="J161" s="9">
        <v>0</v>
      </c>
      <c r="K161" s="8">
        <v>0</v>
      </c>
      <c r="L161" s="5">
        <v>0</v>
      </c>
      <c r="M161" s="5">
        <v>0</v>
      </c>
      <c r="N161" s="9">
        <v>0</v>
      </c>
      <c r="O161" s="8">
        <v>3</v>
      </c>
      <c r="P161" s="5">
        <v>20</v>
      </c>
      <c r="Q161" s="5">
        <v>0</v>
      </c>
      <c r="R161" s="9">
        <v>0</v>
      </c>
      <c r="S161" s="8">
        <v>0</v>
      </c>
      <c r="T161" s="5">
        <v>0</v>
      </c>
    </row>
    <row r="162" spans="1:20" x14ac:dyDescent="0.2">
      <c r="A162" s="5" t="s">
        <v>43</v>
      </c>
      <c r="B162" s="5" t="s">
        <v>17</v>
      </c>
      <c r="C162" s="10" t="s">
        <v>546</v>
      </c>
      <c r="D162" s="7">
        <f t="shared" si="0"/>
        <v>4.92</v>
      </c>
      <c r="E162" s="8">
        <v>10</v>
      </c>
      <c r="F162" s="5">
        <v>6</v>
      </c>
      <c r="G162" s="5">
        <v>58</v>
      </c>
      <c r="H162" s="5">
        <v>0</v>
      </c>
      <c r="I162" s="5">
        <v>1</v>
      </c>
      <c r="J162" s="9">
        <v>0</v>
      </c>
      <c r="K162" s="8">
        <v>8</v>
      </c>
      <c r="L162" s="5">
        <v>46</v>
      </c>
      <c r="M162" s="5">
        <v>0</v>
      </c>
      <c r="N162" s="9">
        <v>0</v>
      </c>
      <c r="O162" s="8">
        <v>0</v>
      </c>
      <c r="P162" s="5">
        <v>0</v>
      </c>
      <c r="Q162" s="5">
        <v>0</v>
      </c>
      <c r="R162" s="9">
        <v>0</v>
      </c>
      <c r="S162" s="8">
        <v>0</v>
      </c>
      <c r="T162" s="5">
        <v>0</v>
      </c>
    </row>
    <row r="163" spans="1:20" x14ac:dyDescent="0.2">
      <c r="A163" s="5" t="s">
        <v>400</v>
      </c>
      <c r="B163" s="5" t="s">
        <v>162</v>
      </c>
      <c r="C163" s="17" t="s">
        <v>546</v>
      </c>
      <c r="D163" s="7">
        <f t="shared" si="0"/>
        <v>4.9000000000000004</v>
      </c>
      <c r="E163" s="8">
        <v>0</v>
      </c>
      <c r="F163" s="5">
        <v>0</v>
      </c>
      <c r="G163" s="5">
        <v>0</v>
      </c>
      <c r="H163" s="5">
        <v>0</v>
      </c>
      <c r="I163" s="5">
        <v>0</v>
      </c>
      <c r="J163" s="9">
        <v>0</v>
      </c>
      <c r="K163" s="8">
        <v>1</v>
      </c>
      <c r="L163" s="5">
        <v>-1</v>
      </c>
      <c r="M163" s="5">
        <v>0</v>
      </c>
      <c r="N163" s="9">
        <v>0</v>
      </c>
      <c r="O163" s="8">
        <v>3</v>
      </c>
      <c r="P163" s="5">
        <v>20</v>
      </c>
      <c r="Q163" s="5">
        <v>0</v>
      </c>
      <c r="R163" s="9">
        <v>0</v>
      </c>
      <c r="S163" s="8">
        <v>0</v>
      </c>
      <c r="T163" s="5">
        <v>0</v>
      </c>
    </row>
    <row r="164" spans="1:20" x14ac:dyDescent="0.2">
      <c r="A164" s="5" t="s">
        <v>190</v>
      </c>
      <c r="B164" s="5" t="s">
        <v>162</v>
      </c>
      <c r="C164" s="10" t="s">
        <v>542</v>
      </c>
      <c r="D164" s="7">
        <f t="shared" si="0"/>
        <v>4.9000000000000004</v>
      </c>
      <c r="E164" s="8">
        <v>0</v>
      </c>
      <c r="F164" s="5">
        <v>0</v>
      </c>
      <c r="G164" s="5">
        <v>0</v>
      </c>
      <c r="H164" s="5">
        <v>0</v>
      </c>
      <c r="I164" s="5">
        <v>0</v>
      </c>
      <c r="J164" s="9">
        <v>0</v>
      </c>
      <c r="K164" s="8">
        <v>0</v>
      </c>
      <c r="L164" s="5">
        <v>0</v>
      </c>
      <c r="M164" s="5">
        <v>0</v>
      </c>
      <c r="N164" s="9">
        <v>0</v>
      </c>
      <c r="O164" s="8">
        <v>2</v>
      </c>
      <c r="P164" s="5">
        <v>29</v>
      </c>
      <c r="Q164" s="5">
        <v>0</v>
      </c>
      <c r="R164" s="9">
        <v>0</v>
      </c>
      <c r="S164" s="8">
        <v>0</v>
      </c>
      <c r="T164" s="5">
        <v>0</v>
      </c>
    </row>
    <row r="165" spans="1:20" x14ac:dyDescent="0.2">
      <c r="A165" s="5" t="s">
        <v>318</v>
      </c>
      <c r="B165" s="5" t="s">
        <v>69</v>
      </c>
      <c r="C165" s="17" t="s">
        <v>544</v>
      </c>
      <c r="D165" s="7">
        <f t="shared" si="0"/>
        <v>4.9000000000000004</v>
      </c>
      <c r="E165" s="8">
        <v>0</v>
      </c>
      <c r="F165" s="5">
        <v>0</v>
      </c>
      <c r="G165" s="5">
        <v>0</v>
      </c>
      <c r="H165" s="5">
        <v>0</v>
      </c>
      <c r="I165" s="5">
        <v>0</v>
      </c>
      <c r="J165" s="9">
        <v>0</v>
      </c>
      <c r="K165" s="8">
        <v>0</v>
      </c>
      <c r="L165" s="5">
        <v>0</v>
      </c>
      <c r="M165" s="5">
        <v>0</v>
      </c>
      <c r="N165" s="9">
        <v>0</v>
      </c>
      <c r="O165" s="8">
        <v>3</v>
      </c>
      <c r="P165" s="5">
        <v>19</v>
      </c>
      <c r="Q165" s="5">
        <v>0</v>
      </c>
      <c r="R165" s="9">
        <v>0</v>
      </c>
      <c r="S165" s="8">
        <v>0</v>
      </c>
      <c r="T165" s="5">
        <v>0</v>
      </c>
    </row>
    <row r="166" spans="1:20" x14ac:dyDescent="0.2">
      <c r="A166" s="5" t="s">
        <v>245</v>
      </c>
      <c r="B166" s="5" t="s">
        <v>162</v>
      </c>
      <c r="C166" s="17" t="s">
        <v>532</v>
      </c>
      <c r="D166" s="7">
        <f t="shared" si="0"/>
        <v>4.7</v>
      </c>
      <c r="E166" s="8">
        <v>0</v>
      </c>
      <c r="F166" s="5">
        <v>0</v>
      </c>
      <c r="G166" s="5">
        <v>0</v>
      </c>
      <c r="H166" s="5">
        <v>0</v>
      </c>
      <c r="I166" s="5">
        <v>0</v>
      </c>
      <c r="J166" s="9">
        <v>0</v>
      </c>
      <c r="K166" s="8">
        <v>1</v>
      </c>
      <c r="L166" s="5">
        <v>2</v>
      </c>
      <c r="M166" s="5">
        <v>0</v>
      </c>
      <c r="N166" s="9">
        <v>0</v>
      </c>
      <c r="O166" s="8">
        <v>3</v>
      </c>
      <c r="P166" s="5">
        <v>15</v>
      </c>
      <c r="Q166" s="5">
        <v>0</v>
      </c>
      <c r="R166" s="9">
        <v>0</v>
      </c>
      <c r="S166" s="8">
        <v>0</v>
      </c>
      <c r="T166" s="5">
        <v>0</v>
      </c>
    </row>
    <row r="167" spans="1:20" x14ac:dyDescent="0.2">
      <c r="A167" s="5" t="s">
        <v>295</v>
      </c>
      <c r="B167" s="5" t="s">
        <v>69</v>
      </c>
      <c r="C167" s="10" t="s">
        <v>540</v>
      </c>
      <c r="D167" s="7">
        <f t="shared" si="0"/>
        <v>4.7</v>
      </c>
      <c r="E167" s="8">
        <v>0</v>
      </c>
      <c r="F167" s="5">
        <v>0</v>
      </c>
      <c r="G167" s="5">
        <v>0</v>
      </c>
      <c r="H167" s="5">
        <v>0</v>
      </c>
      <c r="I167" s="5">
        <v>0</v>
      </c>
      <c r="J167" s="9">
        <v>0</v>
      </c>
      <c r="K167" s="8">
        <v>0</v>
      </c>
      <c r="L167" s="5">
        <v>0</v>
      </c>
      <c r="M167" s="5">
        <v>0</v>
      </c>
      <c r="N167" s="9">
        <v>0</v>
      </c>
      <c r="O167" s="8">
        <v>3</v>
      </c>
      <c r="P167" s="5">
        <v>17</v>
      </c>
      <c r="Q167" s="5">
        <v>0</v>
      </c>
      <c r="R167" s="9">
        <v>0</v>
      </c>
      <c r="S167" s="8">
        <v>0</v>
      </c>
      <c r="T167" s="5">
        <v>0</v>
      </c>
    </row>
    <row r="168" spans="1:20" x14ac:dyDescent="0.2">
      <c r="A168" s="5" t="s">
        <v>550</v>
      </c>
      <c r="B168" s="5" t="s">
        <v>17</v>
      </c>
      <c r="C168" s="10" t="s">
        <v>541</v>
      </c>
      <c r="D168" s="7">
        <f t="shared" si="0"/>
        <v>4.66</v>
      </c>
      <c r="E168" s="8">
        <v>5</v>
      </c>
      <c r="F168" s="5">
        <v>4</v>
      </c>
      <c r="G168" s="5">
        <v>74</v>
      </c>
      <c r="H168" s="5">
        <v>0</v>
      </c>
      <c r="I168" s="5">
        <v>0</v>
      </c>
      <c r="J168" s="9">
        <v>0</v>
      </c>
      <c r="K168" s="8">
        <v>3</v>
      </c>
      <c r="L168" s="5">
        <v>17</v>
      </c>
      <c r="M168" s="5">
        <v>0</v>
      </c>
      <c r="N168" s="9">
        <v>0</v>
      </c>
      <c r="O168" s="8">
        <v>0</v>
      </c>
      <c r="P168" s="5">
        <v>0</v>
      </c>
      <c r="Q168" s="5">
        <v>0</v>
      </c>
      <c r="R168" s="9">
        <v>0</v>
      </c>
      <c r="S168" s="8">
        <v>0</v>
      </c>
      <c r="T168" s="5">
        <v>0</v>
      </c>
    </row>
    <row r="169" spans="1:20" x14ac:dyDescent="0.2">
      <c r="A169" s="5" t="s">
        <v>353</v>
      </c>
      <c r="B169" s="5" t="s">
        <v>162</v>
      </c>
      <c r="C169" s="17" t="s">
        <v>545</v>
      </c>
      <c r="D169" s="7">
        <f t="shared" si="0"/>
        <v>4.5999999999999996</v>
      </c>
      <c r="E169" s="8">
        <v>0</v>
      </c>
      <c r="F169" s="5">
        <v>0</v>
      </c>
      <c r="G169" s="5">
        <v>0</v>
      </c>
      <c r="H169" s="5">
        <v>0</v>
      </c>
      <c r="I169" s="5">
        <v>0</v>
      </c>
      <c r="J169" s="9">
        <v>0</v>
      </c>
      <c r="K169" s="8">
        <v>0</v>
      </c>
      <c r="L169" s="5">
        <v>0</v>
      </c>
      <c r="M169" s="5">
        <v>0</v>
      </c>
      <c r="N169" s="9">
        <v>0</v>
      </c>
      <c r="O169" s="8">
        <v>2</v>
      </c>
      <c r="P169" s="5">
        <v>26</v>
      </c>
      <c r="Q169" s="5">
        <v>0</v>
      </c>
      <c r="R169" s="9">
        <v>0</v>
      </c>
      <c r="S169" s="8">
        <v>0</v>
      </c>
      <c r="T169" s="5">
        <v>0</v>
      </c>
    </row>
    <row r="170" spans="1:20" x14ac:dyDescent="0.2">
      <c r="A170" s="5" t="s">
        <v>149</v>
      </c>
      <c r="B170" s="5" t="s">
        <v>75</v>
      </c>
      <c r="C170" s="10" t="s">
        <v>540</v>
      </c>
      <c r="D170" s="7">
        <f t="shared" si="0"/>
        <v>4.5</v>
      </c>
      <c r="E170" s="8">
        <v>0</v>
      </c>
      <c r="F170" s="5">
        <v>0</v>
      </c>
      <c r="G170" s="5">
        <v>0</v>
      </c>
      <c r="H170" s="5">
        <v>0</v>
      </c>
      <c r="I170" s="5">
        <v>0</v>
      </c>
      <c r="J170" s="9">
        <v>0</v>
      </c>
      <c r="K170" s="8">
        <v>12</v>
      </c>
      <c r="L170" s="5">
        <v>45</v>
      </c>
      <c r="M170" s="5">
        <v>0</v>
      </c>
      <c r="N170" s="9">
        <v>0</v>
      </c>
      <c r="O170" s="8">
        <v>0</v>
      </c>
      <c r="P170" s="5">
        <v>0</v>
      </c>
      <c r="Q170" s="5">
        <v>0</v>
      </c>
      <c r="R170" s="9">
        <v>0</v>
      </c>
      <c r="S170" s="8">
        <v>0</v>
      </c>
      <c r="T170" s="5">
        <v>0</v>
      </c>
    </row>
    <row r="171" spans="1:20" x14ac:dyDescent="0.2">
      <c r="A171" s="5" t="s">
        <v>440</v>
      </c>
      <c r="B171" s="5" t="s">
        <v>69</v>
      </c>
      <c r="C171" s="17" t="s">
        <v>532</v>
      </c>
      <c r="D171" s="7">
        <f t="shared" si="0"/>
        <v>4.5</v>
      </c>
      <c r="E171" s="8">
        <v>0</v>
      </c>
      <c r="F171" s="5">
        <v>0</v>
      </c>
      <c r="G171" s="5">
        <v>0</v>
      </c>
      <c r="H171" s="5">
        <v>0</v>
      </c>
      <c r="I171" s="5">
        <v>0</v>
      </c>
      <c r="J171" s="9">
        <v>0</v>
      </c>
      <c r="K171" s="8">
        <v>0</v>
      </c>
      <c r="L171" s="5">
        <v>0</v>
      </c>
      <c r="M171" s="5">
        <v>0</v>
      </c>
      <c r="N171" s="9">
        <v>0</v>
      </c>
      <c r="O171" s="8">
        <v>2</v>
      </c>
      <c r="P171" s="5">
        <v>25</v>
      </c>
      <c r="Q171" s="5">
        <v>0</v>
      </c>
      <c r="R171" s="9">
        <v>0</v>
      </c>
      <c r="S171" s="8">
        <v>0</v>
      </c>
      <c r="T171" s="5">
        <v>0</v>
      </c>
    </row>
    <row r="172" spans="1:20" x14ac:dyDescent="0.2">
      <c r="A172" s="5" t="s">
        <v>551</v>
      </c>
      <c r="B172" s="5" t="s">
        <v>75</v>
      </c>
      <c r="C172" s="10" t="s">
        <v>546</v>
      </c>
      <c r="D172" s="7">
        <f t="shared" si="0"/>
        <v>4.4000000000000004</v>
      </c>
      <c r="E172" s="8">
        <v>0</v>
      </c>
      <c r="F172" s="5">
        <v>0</v>
      </c>
      <c r="G172" s="5">
        <v>0</v>
      </c>
      <c r="H172" s="5">
        <v>0</v>
      </c>
      <c r="I172" s="5">
        <v>0</v>
      </c>
      <c r="J172" s="9">
        <v>0</v>
      </c>
      <c r="K172" s="8">
        <v>9</v>
      </c>
      <c r="L172" s="5">
        <v>32</v>
      </c>
      <c r="M172" s="5">
        <v>0</v>
      </c>
      <c r="N172" s="9">
        <v>0</v>
      </c>
      <c r="O172" s="8">
        <v>1</v>
      </c>
      <c r="P172" s="5">
        <v>2</v>
      </c>
      <c r="Q172" s="5">
        <v>0</v>
      </c>
      <c r="R172" s="9">
        <v>0</v>
      </c>
      <c r="S172" s="8">
        <v>0</v>
      </c>
      <c r="T172" s="5">
        <v>0</v>
      </c>
    </row>
    <row r="173" spans="1:20" x14ac:dyDescent="0.2">
      <c r="A173" s="5" t="s">
        <v>360</v>
      </c>
      <c r="B173" s="5" t="s">
        <v>162</v>
      </c>
      <c r="C173" s="17" t="s">
        <v>538</v>
      </c>
      <c r="D173" s="7">
        <f t="shared" si="0"/>
        <v>4.4000000000000004</v>
      </c>
      <c r="E173" s="8">
        <v>0</v>
      </c>
      <c r="F173" s="5">
        <v>0</v>
      </c>
      <c r="G173" s="5">
        <v>0</v>
      </c>
      <c r="H173" s="5">
        <v>0</v>
      </c>
      <c r="I173" s="5">
        <v>0</v>
      </c>
      <c r="J173" s="9">
        <v>0</v>
      </c>
      <c r="K173" s="8">
        <v>0</v>
      </c>
      <c r="L173" s="5">
        <v>0</v>
      </c>
      <c r="M173" s="5">
        <v>0</v>
      </c>
      <c r="N173" s="9">
        <v>0</v>
      </c>
      <c r="O173" s="8">
        <v>3</v>
      </c>
      <c r="P173" s="5">
        <v>14</v>
      </c>
      <c r="Q173" s="5">
        <v>0</v>
      </c>
      <c r="R173" s="9">
        <v>0</v>
      </c>
      <c r="S173" s="8">
        <v>0</v>
      </c>
      <c r="T173" s="5">
        <v>0</v>
      </c>
    </row>
    <row r="174" spans="1:20" x14ac:dyDescent="0.2">
      <c r="A174" s="5" t="s">
        <v>90</v>
      </c>
      <c r="B174" s="5" t="s">
        <v>75</v>
      </c>
      <c r="C174" s="17" t="s">
        <v>533</v>
      </c>
      <c r="D174" s="7">
        <f t="shared" si="0"/>
        <v>4.3000000000000007</v>
      </c>
      <c r="E174" s="8">
        <v>0</v>
      </c>
      <c r="F174" s="5">
        <v>0</v>
      </c>
      <c r="G174" s="5">
        <v>0</v>
      </c>
      <c r="H174" s="5">
        <v>0</v>
      </c>
      <c r="I174" s="5">
        <v>0</v>
      </c>
      <c r="J174" s="9">
        <v>0</v>
      </c>
      <c r="K174" s="8">
        <v>6</v>
      </c>
      <c r="L174" s="5">
        <v>14</v>
      </c>
      <c r="M174" s="5">
        <v>0</v>
      </c>
      <c r="N174" s="9">
        <v>0</v>
      </c>
      <c r="O174" s="8">
        <v>1</v>
      </c>
      <c r="P174" s="5">
        <v>19</v>
      </c>
      <c r="Q174" s="5">
        <v>0</v>
      </c>
      <c r="R174" s="9">
        <v>0</v>
      </c>
      <c r="S174" s="8">
        <v>0</v>
      </c>
      <c r="T174" s="5">
        <v>0</v>
      </c>
    </row>
    <row r="175" spans="1:20" x14ac:dyDescent="0.2">
      <c r="A175" s="5" t="s">
        <v>377</v>
      </c>
      <c r="B175" s="5" t="s">
        <v>162</v>
      </c>
      <c r="C175" s="17" t="s">
        <v>536</v>
      </c>
      <c r="D175" s="7">
        <f t="shared" si="0"/>
        <v>4.3000000000000007</v>
      </c>
      <c r="E175" s="8">
        <v>0</v>
      </c>
      <c r="F175" s="5">
        <v>0</v>
      </c>
      <c r="G175" s="5">
        <v>0</v>
      </c>
      <c r="H175" s="5">
        <v>0</v>
      </c>
      <c r="I175" s="5">
        <v>0</v>
      </c>
      <c r="J175" s="9">
        <v>0</v>
      </c>
      <c r="K175" s="8">
        <v>0</v>
      </c>
      <c r="L175" s="5">
        <v>0</v>
      </c>
      <c r="M175" s="5">
        <v>0</v>
      </c>
      <c r="N175" s="9">
        <v>0</v>
      </c>
      <c r="O175" s="8">
        <v>2</v>
      </c>
      <c r="P175" s="5">
        <v>23</v>
      </c>
      <c r="Q175" s="5">
        <v>0</v>
      </c>
      <c r="R175" s="9">
        <v>0</v>
      </c>
      <c r="S175" s="8">
        <v>0</v>
      </c>
      <c r="T175" s="5">
        <v>0</v>
      </c>
    </row>
    <row r="176" spans="1:20" x14ac:dyDescent="0.2">
      <c r="A176" s="5" t="s">
        <v>270</v>
      </c>
      <c r="B176" s="5" t="s">
        <v>162</v>
      </c>
      <c r="C176" s="10" t="s">
        <v>538</v>
      </c>
      <c r="D176" s="7">
        <f t="shared" si="0"/>
        <v>4.2</v>
      </c>
      <c r="E176" s="8">
        <v>0</v>
      </c>
      <c r="F176" s="5">
        <v>0</v>
      </c>
      <c r="G176" s="5">
        <v>0</v>
      </c>
      <c r="H176" s="5">
        <v>0</v>
      </c>
      <c r="I176" s="5">
        <v>0</v>
      </c>
      <c r="J176" s="9">
        <v>0</v>
      </c>
      <c r="K176" s="8">
        <v>0</v>
      </c>
      <c r="L176" s="5">
        <v>0</v>
      </c>
      <c r="M176" s="5">
        <v>0</v>
      </c>
      <c r="N176" s="9">
        <v>0</v>
      </c>
      <c r="O176" s="8">
        <v>2</v>
      </c>
      <c r="P176" s="5">
        <v>22</v>
      </c>
      <c r="Q176" s="5">
        <v>0</v>
      </c>
      <c r="R176" s="9">
        <v>0</v>
      </c>
      <c r="S176" s="8">
        <v>0</v>
      </c>
      <c r="T176" s="5">
        <v>0</v>
      </c>
    </row>
    <row r="177" spans="1:20" x14ac:dyDescent="0.2">
      <c r="A177" s="5" t="s">
        <v>279</v>
      </c>
      <c r="B177" s="5" t="s">
        <v>69</v>
      </c>
      <c r="C177" s="17" t="s">
        <v>534</v>
      </c>
      <c r="D177" s="7">
        <f t="shared" si="0"/>
        <v>4.2</v>
      </c>
      <c r="E177" s="8">
        <v>0</v>
      </c>
      <c r="F177" s="5">
        <v>0</v>
      </c>
      <c r="G177" s="5">
        <v>0</v>
      </c>
      <c r="H177" s="5">
        <v>0</v>
      </c>
      <c r="I177" s="5">
        <v>0</v>
      </c>
      <c r="J177" s="9">
        <v>0</v>
      </c>
      <c r="K177" s="8">
        <v>0</v>
      </c>
      <c r="L177" s="5">
        <v>0</v>
      </c>
      <c r="M177" s="5">
        <v>0</v>
      </c>
      <c r="N177" s="9">
        <v>0</v>
      </c>
      <c r="O177" s="8">
        <v>2</v>
      </c>
      <c r="P177" s="5">
        <v>22</v>
      </c>
      <c r="Q177" s="5">
        <v>0</v>
      </c>
      <c r="R177" s="9">
        <v>0</v>
      </c>
      <c r="S177" s="8">
        <v>0</v>
      </c>
      <c r="T177" s="5">
        <v>0</v>
      </c>
    </row>
    <row r="178" spans="1:20" x14ac:dyDescent="0.2">
      <c r="A178" s="5" t="s">
        <v>242</v>
      </c>
      <c r="B178" s="5" t="s">
        <v>162</v>
      </c>
      <c r="C178" s="17" t="s">
        <v>532</v>
      </c>
      <c r="D178" s="7">
        <f t="shared" si="0"/>
        <v>4.0999999999999996</v>
      </c>
      <c r="E178" s="8">
        <v>0</v>
      </c>
      <c r="F178" s="5">
        <v>0</v>
      </c>
      <c r="G178" s="5">
        <v>0</v>
      </c>
      <c r="H178" s="5">
        <v>0</v>
      </c>
      <c r="I178" s="5">
        <v>0</v>
      </c>
      <c r="J178" s="9">
        <v>0</v>
      </c>
      <c r="K178" s="8">
        <v>0</v>
      </c>
      <c r="L178" s="5">
        <v>0</v>
      </c>
      <c r="M178" s="5">
        <v>0</v>
      </c>
      <c r="N178" s="9">
        <v>0</v>
      </c>
      <c r="O178" s="8">
        <v>2</v>
      </c>
      <c r="P178" s="5">
        <v>21</v>
      </c>
      <c r="Q178" s="5">
        <v>0</v>
      </c>
      <c r="R178" s="9">
        <v>0</v>
      </c>
      <c r="S178" s="8">
        <v>0</v>
      </c>
      <c r="T178" s="5">
        <v>0</v>
      </c>
    </row>
    <row r="179" spans="1:20" x14ac:dyDescent="0.2">
      <c r="A179" s="5" t="s">
        <v>176</v>
      </c>
      <c r="B179" s="5" t="s">
        <v>162</v>
      </c>
      <c r="C179" s="10" t="s">
        <v>534</v>
      </c>
      <c r="D179" s="7">
        <f t="shared" si="0"/>
        <v>4</v>
      </c>
      <c r="E179" s="8">
        <v>0</v>
      </c>
      <c r="F179" s="5">
        <v>0</v>
      </c>
      <c r="G179" s="5">
        <v>0</v>
      </c>
      <c r="H179" s="5">
        <v>0</v>
      </c>
      <c r="I179" s="5">
        <v>0</v>
      </c>
      <c r="J179" s="9">
        <v>0</v>
      </c>
      <c r="K179" s="8">
        <v>0</v>
      </c>
      <c r="L179" s="5">
        <v>0</v>
      </c>
      <c r="M179" s="5">
        <v>0</v>
      </c>
      <c r="N179" s="9">
        <v>0</v>
      </c>
      <c r="O179" s="8">
        <v>1</v>
      </c>
      <c r="P179" s="5">
        <v>30</v>
      </c>
      <c r="Q179" s="5">
        <v>0</v>
      </c>
      <c r="R179" s="9">
        <v>0</v>
      </c>
      <c r="S179" s="8">
        <v>0</v>
      </c>
      <c r="T179" s="5">
        <v>0</v>
      </c>
    </row>
    <row r="180" spans="1:20" x14ac:dyDescent="0.2">
      <c r="A180" s="5" t="s">
        <v>212</v>
      </c>
      <c r="B180" s="5" t="s">
        <v>162</v>
      </c>
      <c r="C180" s="10" t="s">
        <v>532</v>
      </c>
      <c r="D180" s="7">
        <f t="shared" si="0"/>
        <v>4</v>
      </c>
      <c r="E180" s="8">
        <v>0</v>
      </c>
      <c r="F180" s="5">
        <v>0</v>
      </c>
      <c r="G180" s="5">
        <v>0</v>
      </c>
      <c r="H180" s="5">
        <v>0</v>
      </c>
      <c r="I180" s="5">
        <v>0</v>
      </c>
      <c r="J180" s="9">
        <v>0</v>
      </c>
      <c r="K180" s="8">
        <v>0</v>
      </c>
      <c r="L180" s="5">
        <v>0</v>
      </c>
      <c r="M180" s="5">
        <v>0</v>
      </c>
      <c r="N180" s="9">
        <v>0</v>
      </c>
      <c r="O180" s="8">
        <v>2</v>
      </c>
      <c r="P180" s="5">
        <v>20</v>
      </c>
      <c r="Q180" s="5">
        <v>0</v>
      </c>
      <c r="R180" s="9">
        <v>0</v>
      </c>
      <c r="S180" s="8">
        <v>0</v>
      </c>
      <c r="T180" s="5">
        <v>0</v>
      </c>
    </row>
    <row r="181" spans="1:20" x14ac:dyDescent="0.2">
      <c r="A181" s="5" t="s">
        <v>326</v>
      </c>
      <c r="B181" s="5" t="s">
        <v>162</v>
      </c>
      <c r="C181" s="10" t="s">
        <v>544</v>
      </c>
      <c r="D181" s="7">
        <f t="shared" si="0"/>
        <v>4</v>
      </c>
      <c r="E181" s="8">
        <v>0</v>
      </c>
      <c r="F181" s="5">
        <v>0</v>
      </c>
      <c r="G181" s="5">
        <v>0</v>
      </c>
      <c r="H181" s="5">
        <v>0</v>
      </c>
      <c r="I181" s="5">
        <v>0</v>
      </c>
      <c r="J181" s="9">
        <v>0</v>
      </c>
      <c r="K181" s="8">
        <v>0</v>
      </c>
      <c r="L181" s="5">
        <v>0</v>
      </c>
      <c r="M181" s="5">
        <v>0</v>
      </c>
      <c r="N181" s="9">
        <v>0</v>
      </c>
      <c r="O181" s="8">
        <v>2</v>
      </c>
      <c r="P181" s="5">
        <v>20</v>
      </c>
      <c r="Q181" s="5">
        <v>0</v>
      </c>
      <c r="R181" s="9">
        <v>0</v>
      </c>
      <c r="S181" s="8">
        <v>0</v>
      </c>
      <c r="T181" s="5">
        <v>0</v>
      </c>
    </row>
    <row r="182" spans="1:20" x14ac:dyDescent="0.2">
      <c r="A182" s="5" t="s">
        <v>144</v>
      </c>
      <c r="B182" s="5" t="s">
        <v>75</v>
      </c>
      <c r="C182" s="17" t="s">
        <v>544</v>
      </c>
      <c r="D182" s="7">
        <f t="shared" si="0"/>
        <v>3.9000000000000004</v>
      </c>
      <c r="E182" s="8">
        <v>0</v>
      </c>
      <c r="F182" s="5">
        <v>0</v>
      </c>
      <c r="G182" s="5">
        <v>0</v>
      </c>
      <c r="H182" s="5">
        <v>0</v>
      </c>
      <c r="I182" s="5">
        <v>0</v>
      </c>
      <c r="J182" s="9">
        <v>0</v>
      </c>
      <c r="K182" s="8">
        <v>2</v>
      </c>
      <c r="L182" s="5">
        <v>5</v>
      </c>
      <c r="M182" s="5">
        <v>0</v>
      </c>
      <c r="N182" s="9">
        <v>0</v>
      </c>
      <c r="O182" s="8">
        <v>2</v>
      </c>
      <c r="P182" s="5">
        <v>14</v>
      </c>
      <c r="Q182" s="5">
        <v>0</v>
      </c>
      <c r="R182" s="9">
        <v>0</v>
      </c>
      <c r="S182" s="8">
        <v>0</v>
      </c>
      <c r="T182" s="5">
        <v>0</v>
      </c>
    </row>
    <row r="183" spans="1:20" x14ac:dyDescent="0.2">
      <c r="A183" s="5" t="s">
        <v>306</v>
      </c>
      <c r="B183" s="5" t="s">
        <v>69</v>
      </c>
      <c r="C183" s="10" t="s">
        <v>542</v>
      </c>
      <c r="D183" s="7">
        <f t="shared" si="0"/>
        <v>3.9000000000000004</v>
      </c>
      <c r="E183" s="8">
        <v>0</v>
      </c>
      <c r="F183" s="5">
        <v>0</v>
      </c>
      <c r="G183" s="5">
        <v>0</v>
      </c>
      <c r="H183" s="5">
        <v>0</v>
      </c>
      <c r="I183" s="5">
        <v>0</v>
      </c>
      <c r="J183" s="9">
        <v>0</v>
      </c>
      <c r="K183" s="8">
        <v>0</v>
      </c>
      <c r="L183" s="5">
        <v>0</v>
      </c>
      <c r="M183" s="5">
        <v>0</v>
      </c>
      <c r="N183" s="9">
        <v>0</v>
      </c>
      <c r="O183" s="8">
        <v>2</v>
      </c>
      <c r="P183" s="5">
        <v>19</v>
      </c>
      <c r="Q183" s="5">
        <v>0</v>
      </c>
      <c r="R183" s="9">
        <v>0</v>
      </c>
      <c r="S183" s="8">
        <v>0</v>
      </c>
      <c r="T183" s="5">
        <v>0</v>
      </c>
    </row>
    <row r="184" spans="1:20" x14ac:dyDescent="0.2">
      <c r="A184" s="5" t="s">
        <v>274</v>
      </c>
      <c r="B184" s="5" t="s">
        <v>69</v>
      </c>
      <c r="C184" s="10" t="s">
        <v>535</v>
      </c>
      <c r="D184" s="7">
        <f t="shared" si="0"/>
        <v>3.9000000000000004</v>
      </c>
      <c r="E184" s="8">
        <v>0</v>
      </c>
      <c r="F184" s="5">
        <v>0</v>
      </c>
      <c r="G184" s="5">
        <v>0</v>
      </c>
      <c r="H184" s="5">
        <v>0</v>
      </c>
      <c r="I184" s="5">
        <v>0</v>
      </c>
      <c r="J184" s="9">
        <v>0</v>
      </c>
      <c r="K184" s="8">
        <v>0</v>
      </c>
      <c r="L184" s="5">
        <v>0</v>
      </c>
      <c r="M184" s="5">
        <v>0</v>
      </c>
      <c r="N184" s="9">
        <v>0</v>
      </c>
      <c r="O184" s="8">
        <v>2</v>
      </c>
      <c r="P184" s="5">
        <v>19</v>
      </c>
      <c r="Q184" s="5">
        <v>0</v>
      </c>
      <c r="R184" s="9">
        <v>0</v>
      </c>
      <c r="S184" s="8">
        <v>0</v>
      </c>
      <c r="T184" s="5">
        <v>0</v>
      </c>
    </row>
    <row r="185" spans="1:20" x14ac:dyDescent="0.2">
      <c r="A185" s="5" t="s">
        <v>286</v>
      </c>
      <c r="B185" s="5" t="s">
        <v>69</v>
      </c>
      <c r="C185" s="10" t="s">
        <v>534</v>
      </c>
      <c r="D185" s="7">
        <f t="shared" si="0"/>
        <v>3.8</v>
      </c>
      <c r="E185" s="8">
        <v>0</v>
      </c>
      <c r="F185" s="5">
        <v>0</v>
      </c>
      <c r="G185" s="5">
        <v>0</v>
      </c>
      <c r="H185" s="5">
        <v>0</v>
      </c>
      <c r="I185" s="5">
        <v>0</v>
      </c>
      <c r="J185" s="9">
        <v>0</v>
      </c>
      <c r="K185" s="8">
        <v>0</v>
      </c>
      <c r="L185" s="5">
        <v>0</v>
      </c>
      <c r="M185" s="5">
        <v>0</v>
      </c>
      <c r="N185" s="9">
        <v>0</v>
      </c>
      <c r="O185" s="8">
        <v>2</v>
      </c>
      <c r="P185" s="5">
        <v>18</v>
      </c>
      <c r="Q185" s="5">
        <v>0</v>
      </c>
      <c r="R185" s="9">
        <v>0</v>
      </c>
      <c r="S185" s="8">
        <v>0</v>
      </c>
      <c r="T185" s="5">
        <v>0</v>
      </c>
    </row>
    <row r="186" spans="1:20" x14ac:dyDescent="0.2">
      <c r="A186" s="5" t="s">
        <v>352</v>
      </c>
      <c r="B186" s="5" t="s">
        <v>69</v>
      </c>
      <c r="C186" s="10" t="s">
        <v>541</v>
      </c>
      <c r="D186" s="7">
        <f t="shared" si="0"/>
        <v>3.8</v>
      </c>
      <c r="E186" s="8">
        <v>0</v>
      </c>
      <c r="F186" s="5">
        <v>0</v>
      </c>
      <c r="G186" s="5">
        <v>0</v>
      </c>
      <c r="H186" s="5">
        <v>0</v>
      </c>
      <c r="I186" s="5">
        <v>0</v>
      </c>
      <c r="J186" s="9">
        <v>0</v>
      </c>
      <c r="K186" s="8">
        <v>0</v>
      </c>
      <c r="L186" s="5">
        <v>0</v>
      </c>
      <c r="M186" s="5">
        <v>0</v>
      </c>
      <c r="N186" s="9">
        <v>0</v>
      </c>
      <c r="O186" s="8">
        <v>2</v>
      </c>
      <c r="P186" s="5">
        <v>18</v>
      </c>
      <c r="Q186" s="5">
        <v>0</v>
      </c>
      <c r="R186" s="9">
        <v>0</v>
      </c>
      <c r="S186" s="8">
        <v>0</v>
      </c>
      <c r="T186" s="5">
        <v>0</v>
      </c>
    </row>
    <row r="187" spans="1:20" x14ac:dyDescent="0.2">
      <c r="A187" s="5" t="s">
        <v>552</v>
      </c>
      <c r="B187" s="5" t="s">
        <v>17</v>
      </c>
      <c r="C187" s="10" t="s">
        <v>542</v>
      </c>
      <c r="D187" s="7">
        <f t="shared" si="0"/>
        <v>3.7800000000000002</v>
      </c>
      <c r="E187" s="8">
        <v>10</v>
      </c>
      <c r="F187" s="5">
        <v>6</v>
      </c>
      <c r="G187" s="5">
        <v>102</v>
      </c>
      <c r="H187" s="5">
        <v>0</v>
      </c>
      <c r="I187" s="5">
        <v>0</v>
      </c>
      <c r="J187" s="9">
        <v>0</v>
      </c>
      <c r="K187" s="8">
        <v>3</v>
      </c>
      <c r="L187" s="5">
        <v>-3</v>
      </c>
      <c r="M187" s="5">
        <v>0</v>
      </c>
      <c r="N187" s="9">
        <v>0</v>
      </c>
      <c r="O187" s="8">
        <v>0</v>
      </c>
      <c r="P187" s="5">
        <v>0</v>
      </c>
      <c r="Q187" s="5">
        <v>0</v>
      </c>
      <c r="R187" s="9">
        <v>0</v>
      </c>
      <c r="S187" s="8">
        <v>0</v>
      </c>
      <c r="T187" s="5">
        <v>0</v>
      </c>
    </row>
    <row r="188" spans="1:20" x14ac:dyDescent="0.2">
      <c r="A188" s="5" t="s">
        <v>553</v>
      </c>
      <c r="B188" s="5" t="s">
        <v>17</v>
      </c>
      <c r="C188" s="10" t="s">
        <v>545</v>
      </c>
      <c r="D188" s="7">
        <f t="shared" si="0"/>
        <v>3.78</v>
      </c>
      <c r="E188" s="8">
        <v>34</v>
      </c>
      <c r="F188" s="5">
        <v>18</v>
      </c>
      <c r="G188" s="5">
        <v>192</v>
      </c>
      <c r="H188" s="5">
        <v>0</v>
      </c>
      <c r="I188" s="5">
        <v>2</v>
      </c>
      <c r="J188" s="9">
        <v>0</v>
      </c>
      <c r="K188" s="8">
        <v>3</v>
      </c>
      <c r="L188" s="5">
        <v>1</v>
      </c>
      <c r="M188" s="5">
        <v>0</v>
      </c>
      <c r="N188" s="9">
        <v>0</v>
      </c>
      <c r="O188" s="8">
        <v>0</v>
      </c>
      <c r="P188" s="5">
        <v>0</v>
      </c>
      <c r="Q188" s="5">
        <v>0</v>
      </c>
      <c r="R188" s="9">
        <v>0</v>
      </c>
      <c r="S188" s="8">
        <v>0</v>
      </c>
      <c r="T188" s="5">
        <v>0</v>
      </c>
    </row>
    <row r="189" spans="1:20" x14ac:dyDescent="0.2">
      <c r="A189" s="5" t="s">
        <v>478</v>
      </c>
      <c r="B189" s="5" t="s">
        <v>162</v>
      </c>
      <c r="C189" s="17" t="s">
        <v>545</v>
      </c>
      <c r="D189" s="7">
        <f t="shared" si="0"/>
        <v>3.7</v>
      </c>
      <c r="E189" s="8">
        <v>0</v>
      </c>
      <c r="F189" s="5">
        <v>0</v>
      </c>
      <c r="G189" s="5">
        <v>0</v>
      </c>
      <c r="H189" s="5">
        <v>0</v>
      </c>
      <c r="I189" s="5">
        <v>0</v>
      </c>
      <c r="J189" s="9">
        <v>0</v>
      </c>
      <c r="K189" s="8">
        <v>2</v>
      </c>
      <c r="L189" s="5">
        <v>23</v>
      </c>
      <c r="M189" s="5">
        <v>0</v>
      </c>
      <c r="N189" s="9">
        <v>0</v>
      </c>
      <c r="O189" s="8">
        <v>1</v>
      </c>
      <c r="P189" s="5">
        <v>4</v>
      </c>
      <c r="Q189" s="5">
        <v>0</v>
      </c>
      <c r="R189" s="9">
        <v>0</v>
      </c>
      <c r="S189" s="8">
        <v>0</v>
      </c>
      <c r="T189" s="5">
        <v>0</v>
      </c>
    </row>
    <row r="190" spans="1:20" x14ac:dyDescent="0.2">
      <c r="A190" s="5" t="s">
        <v>217</v>
      </c>
      <c r="B190" s="5" t="s">
        <v>162</v>
      </c>
      <c r="C190" s="17" t="s">
        <v>541</v>
      </c>
      <c r="D190" s="7">
        <f t="shared" si="0"/>
        <v>3.5</v>
      </c>
      <c r="E190" s="8">
        <v>0</v>
      </c>
      <c r="F190" s="5">
        <v>0</v>
      </c>
      <c r="G190" s="5">
        <v>0</v>
      </c>
      <c r="H190" s="5">
        <v>0</v>
      </c>
      <c r="I190" s="5">
        <v>0</v>
      </c>
      <c r="J190" s="9">
        <v>0</v>
      </c>
      <c r="K190" s="8">
        <v>0</v>
      </c>
      <c r="L190" s="5">
        <v>0</v>
      </c>
      <c r="M190" s="5">
        <v>0</v>
      </c>
      <c r="N190" s="9">
        <v>0</v>
      </c>
      <c r="O190" s="8">
        <v>2</v>
      </c>
      <c r="P190" s="5">
        <v>15</v>
      </c>
      <c r="Q190" s="5">
        <v>0</v>
      </c>
      <c r="R190" s="9">
        <v>0</v>
      </c>
      <c r="S190" s="8">
        <v>0</v>
      </c>
      <c r="T190" s="5">
        <v>0</v>
      </c>
    </row>
    <row r="191" spans="1:20" x14ac:dyDescent="0.2">
      <c r="A191" s="5" t="s">
        <v>289</v>
      </c>
      <c r="B191" s="5" t="s">
        <v>69</v>
      </c>
      <c r="C191" s="10" t="s">
        <v>538</v>
      </c>
      <c r="D191" s="7">
        <f t="shared" si="0"/>
        <v>3.5</v>
      </c>
      <c r="E191" s="8">
        <v>0</v>
      </c>
      <c r="F191" s="5">
        <v>0</v>
      </c>
      <c r="G191" s="5">
        <v>0</v>
      </c>
      <c r="H191" s="5">
        <v>0</v>
      </c>
      <c r="I191" s="5">
        <v>0</v>
      </c>
      <c r="J191" s="9">
        <v>0</v>
      </c>
      <c r="K191" s="8">
        <v>1</v>
      </c>
      <c r="L191" s="5">
        <v>1</v>
      </c>
      <c r="M191" s="5">
        <v>0</v>
      </c>
      <c r="N191" s="9">
        <v>0</v>
      </c>
      <c r="O191" s="8">
        <v>2</v>
      </c>
      <c r="P191" s="5">
        <v>14</v>
      </c>
      <c r="Q191" s="5">
        <v>0</v>
      </c>
      <c r="R191" s="9">
        <v>0</v>
      </c>
      <c r="S191" s="8">
        <v>0</v>
      </c>
      <c r="T191" s="5">
        <v>0</v>
      </c>
    </row>
    <row r="192" spans="1:20" x14ac:dyDescent="0.2">
      <c r="A192" s="5" t="s">
        <v>120</v>
      </c>
      <c r="B192" s="5" t="s">
        <v>75</v>
      </c>
      <c r="C192" s="10" t="s">
        <v>543</v>
      </c>
      <c r="D192" s="7">
        <f t="shared" si="0"/>
        <v>3.4000000000000004</v>
      </c>
      <c r="E192" s="8">
        <v>0</v>
      </c>
      <c r="F192" s="5">
        <v>0</v>
      </c>
      <c r="G192" s="5">
        <v>0</v>
      </c>
      <c r="H192" s="5">
        <v>0</v>
      </c>
      <c r="I192" s="5">
        <v>0</v>
      </c>
      <c r="J192" s="9">
        <v>0</v>
      </c>
      <c r="K192" s="8">
        <v>13</v>
      </c>
      <c r="L192" s="5">
        <v>34</v>
      </c>
      <c r="M192" s="5">
        <v>0</v>
      </c>
      <c r="N192" s="9">
        <v>0</v>
      </c>
      <c r="O192" s="8">
        <v>0</v>
      </c>
      <c r="P192" s="5">
        <v>0</v>
      </c>
      <c r="Q192" s="5">
        <v>0</v>
      </c>
      <c r="R192" s="9">
        <v>0</v>
      </c>
      <c r="S192" s="8">
        <v>0</v>
      </c>
      <c r="T192" s="5">
        <v>0</v>
      </c>
    </row>
    <row r="193" spans="1:20" x14ac:dyDescent="0.2">
      <c r="A193" s="5" t="s">
        <v>454</v>
      </c>
      <c r="B193" s="5" t="s">
        <v>162</v>
      </c>
      <c r="C193" s="10" t="s">
        <v>545</v>
      </c>
      <c r="D193" s="7">
        <f t="shared" si="0"/>
        <v>3.4</v>
      </c>
      <c r="E193" s="8">
        <v>0</v>
      </c>
      <c r="F193" s="5">
        <v>0</v>
      </c>
      <c r="G193" s="5">
        <v>0</v>
      </c>
      <c r="H193" s="5">
        <v>0</v>
      </c>
      <c r="I193" s="5">
        <v>0</v>
      </c>
      <c r="J193" s="9">
        <v>0</v>
      </c>
      <c r="K193" s="8">
        <v>1</v>
      </c>
      <c r="L193" s="5">
        <v>20</v>
      </c>
      <c r="M193" s="5">
        <v>0</v>
      </c>
      <c r="N193" s="9">
        <v>0</v>
      </c>
      <c r="O193" s="8">
        <v>1</v>
      </c>
      <c r="P193" s="5">
        <v>4</v>
      </c>
      <c r="Q193" s="5">
        <v>0</v>
      </c>
      <c r="R193" s="9">
        <v>0</v>
      </c>
      <c r="S193" s="8">
        <v>0</v>
      </c>
      <c r="T193" s="5">
        <v>0</v>
      </c>
    </row>
    <row r="194" spans="1:20" x14ac:dyDescent="0.2">
      <c r="A194" s="5" t="s">
        <v>244</v>
      </c>
      <c r="B194" s="5" t="s">
        <v>162</v>
      </c>
      <c r="C194" s="10" t="s">
        <v>546</v>
      </c>
      <c r="D194" s="7">
        <f t="shared" si="0"/>
        <v>3.2</v>
      </c>
      <c r="E194" s="8">
        <v>0</v>
      </c>
      <c r="F194" s="5">
        <v>0</v>
      </c>
      <c r="G194" s="5">
        <v>0</v>
      </c>
      <c r="H194" s="5">
        <v>0</v>
      </c>
      <c r="I194" s="5">
        <v>0</v>
      </c>
      <c r="J194" s="9">
        <v>0</v>
      </c>
      <c r="K194" s="8">
        <v>0</v>
      </c>
      <c r="L194" s="5">
        <v>0</v>
      </c>
      <c r="M194" s="5">
        <v>0</v>
      </c>
      <c r="N194" s="9">
        <v>0</v>
      </c>
      <c r="O194" s="8">
        <v>2</v>
      </c>
      <c r="P194" s="5">
        <v>12</v>
      </c>
      <c r="Q194" s="5">
        <v>0</v>
      </c>
      <c r="R194" s="9">
        <v>0</v>
      </c>
      <c r="S194" s="8">
        <v>0</v>
      </c>
      <c r="T194" s="5">
        <v>0</v>
      </c>
    </row>
    <row r="195" spans="1:20" x14ac:dyDescent="0.2">
      <c r="A195" s="5" t="s">
        <v>554</v>
      </c>
      <c r="B195" s="5" t="s">
        <v>75</v>
      </c>
      <c r="C195" s="17" t="s">
        <v>532</v>
      </c>
      <c r="D195" s="7">
        <f t="shared" si="0"/>
        <v>3.1999999999999997</v>
      </c>
      <c r="E195" s="8">
        <v>0</v>
      </c>
      <c r="F195" s="5">
        <v>0</v>
      </c>
      <c r="G195" s="5">
        <v>0</v>
      </c>
      <c r="H195" s="5">
        <v>0</v>
      </c>
      <c r="I195" s="5">
        <v>0</v>
      </c>
      <c r="J195" s="9">
        <v>0</v>
      </c>
      <c r="K195" s="8">
        <v>5</v>
      </c>
      <c r="L195" s="5">
        <v>18</v>
      </c>
      <c r="M195" s="5">
        <v>0</v>
      </c>
      <c r="N195" s="9">
        <v>0</v>
      </c>
      <c r="O195" s="8">
        <v>1</v>
      </c>
      <c r="P195" s="5">
        <v>4</v>
      </c>
      <c r="Q195" s="5">
        <v>0</v>
      </c>
      <c r="R195" s="9">
        <v>0</v>
      </c>
      <c r="S195" s="8">
        <v>0</v>
      </c>
      <c r="T195" s="5">
        <v>0</v>
      </c>
    </row>
    <row r="196" spans="1:20" x14ac:dyDescent="0.2">
      <c r="A196" s="5" t="s">
        <v>230</v>
      </c>
      <c r="B196" s="5" t="s">
        <v>162</v>
      </c>
      <c r="C196" s="10" t="s">
        <v>540</v>
      </c>
      <c r="D196" s="7">
        <f t="shared" si="0"/>
        <v>3.0999999999999996</v>
      </c>
      <c r="E196" s="8">
        <v>0</v>
      </c>
      <c r="F196" s="5">
        <v>0</v>
      </c>
      <c r="G196" s="5">
        <v>0</v>
      </c>
      <c r="H196" s="5">
        <v>0</v>
      </c>
      <c r="I196" s="5">
        <v>0</v>
      </c>
      <c r="J196" s="9">
        <v>0</v>
      </c>
      <c r="K196" s="8">
        <v>0</v>
      </c>
      <c r="L196" s="5">
        <v>0</v>
      </c>
      <c r="M196" s="5">
        <v>0</v>
      </c>
      <c r="N196" s="9">
        <v>0</v>
      </c>
      <c r="O196" s="8">
        <v>3</v>
      </c>
      <c r="P196" s="5">
        <v>21</v>
      </c>
      <c r="Q196" s="5">
        <v>0</v>
      </c>
      <c r="R196" s="9">
        <v>0</v>
      </c>
      <c r="S196" s="8">
        <v>1</v>
      </c>
      <c r="T196" s="5">
        <v>0</v>
      </c>
    </row>
    <row r="197" spans="1:20" x14ac:dyDescent="0.2">
      <c r="A197" s="5" t="s">
        <v>187</v>
      </c>
      <c r="B197" s="5" t="s">
        <v>162</v>
      </c>
      <c r="C197" s="10" t="s">
        <v>541</v>
      </c>
      <c r="D197" s="7">
        <f t="shared" si="0"/>
        <v>3</v>
      </c>
      <c r="E197" s="8">
        <v>0</v>
      </c>
      <c r="F197" s="5">
        <v>0</v>
      </c>
      <c r="G197" s="5">
        <v>0</v>
      </c>
      <c r="H197" s="5">
        <v>0</v>
      </c>
      <c r="I197" s="5">
        <v>0</v>
      </c>
      <c r="J197" s="9">
        <v>0</v>
      </c>
      <c r="K197" s="8">
        <v>0</v>
      </c>
      <c r="L197" s="5">
        <v>0</v>
      </c>
      <c r="M197" s="5">
        <v>0</v>
      </c>
      <c r="N197" s="9">
        <v>0</v>
      </c>
      <c r="O197" s="8">
        <v>1</v>
      </c>
      <c r="P197" s="5">
        <v>20</v>
      </c>
      <c r="Q197" s="5">
        <v>0</v>
      </c>
      <c r="R197" s="9">
        <v>0</v>
      </c>
      <c r="S197" s="8">
        <v>0</v>
      </c>
      <c r="T197" s="5">
        <v>0</v>
      </c>
    </row>
    <row r="198" spans="1:20" x14ac:dyDescent="0.2">
      <c r="A198" s="5" t="s">
        <v>398</v>
      </c>
      <c r="B198" s="5" t="s">
        <v>162</v>
      </c>
      <c r="C198" s="10" t="s">
        <v>546</v>
      </c>
      <c r="D198" s="7">
        <f t="shared" si="0"/>
        <v>3</v>
      </c>
      <c r="E198" s="8">
        <v>0</v>
      </c>
      <c r="F198" s="5">
        <v>0</v>
      </c>
      <c r="G198" s="5">
        <v>0</v>
      </c>
      <c r="H198" s="5">
        <v>0</v>
      </c>
      <c r="I198" s="5">
        <v>0</v>
      </c>
      <c r="J198" s="9">
        <v>0</v>
      </c>
      <c r="K198" s="8">
        <v>2</v>
      </c>
      <c r="L198" s="5">
        <v>15</v>
      </c>
      <c r="M198" s="5">
        <v>0</v>
      </c>
      <c r="N198" s="9">
        <v>0</v>
      </c>
      <c r="O198" s="8">
        <v>1</v>
      </c>
      <c r="P198" s="5">
        <v>5</v>
      </c>
      <c r="Q198" s="5">
        <v>0</v>
      </c>
      <c r="R198" s="9">
        <v>0</v>
      </c>
      <c r="S198" s="8">
        <v>0</v>
      </c>
      <c r="T198" s="5">
        <v>0</v>
      </c>
    </row>
    <row r="199" spans="1:20" x14ac:dyDescent="0.2">
      <c r="A199" s="5" t="s">
        <v>153</v>
      </c>
      <c r="B199" s="5" t="s">
        <v>75</v>
      </c>
      <c r="C199" s="10" t="s">
        <v>542</v>
      </c>
      <c r="D199" s="7">
        <f t="shared" si="0"/>
        <v>2.9000000000000004</v>
      </c>
      <c r="E199" s="8">
        <v>0</v>
      </c>
      <c r="F199" s="5">
        <v>0</v>
      </c>
      <c r="G199" s="5">
        <v>0</v>
      </c>
      <c r="H199" s="5">
        <v>0</v>
      </c>
      <c r="I199" s="5">
        <v>0</v>
      </c>
      <c r="J199" s="9">
        <v>0</v>
      </c>
      <c r="K199" s="8">
        <v>2</v>
      </c>
      <c r="L199" s="5">
        <v>2</v>
      </c>
      <c r="M199" s="5">
        <v>0</v>
      </c>
      <c r="N199" s="9">
        <v>0</v>
      </c>
      <c r="O199" s="8">
        <v>2</v>
      </c>
      <c r="P199" s="5">
        <v>7</v>
      </c>
      <c r="Q199" s="5">
        <v>0</v>
      </c>
      <c r="R199" s="9">
        <v>0</v>
      </c>
      <c r="S199" s="8">
        <v>0</v>
      </c>
      <c r="T199" s="5">
        <v>0</v>
      </c>
    </row>
    <row r="200" spans="1:20" x14ac:dyDescent="0.2">
      <c r="A200" s="5" t="s">
        <v>277</v>
      </c>
      <c r="B200" s="5" t="s">
        <v>69</v>
      </c>
      <c r="C200" s="10" t="s">
        <v>546</v>
      </c>
      <c r="D200" s="7">
        <f t="shared" si="0"/>
        <v>2.9</v>
      </c>
      <c r="E200" s="8">
        <v>0</v>
      </c>
      <c r="F200" s="5">
        <v>0</v>
      </c>
      <c r="G200" s="5">
        <v>0</v>
      </c>
      <c r="H200" s="5">
        <v>0</v>
      </c>
      <c r="I200" s="5">
        <v>0</v>
      </c>
      <c r="J200" s="9">
        <v>0</v>
      </c>
      <c r="K200" s="8">
        <v>0</v>
      </c>
      <c r="L200" s="5">
        <v>0</v>
      </c>
      <c r="M200" s="5">
        <v>0</v>
      </c>
      <c r="N200" s="9">
        <v>0</v>
      </c>
      <c r="O200" s="8">
        <v>2</v>
      </c>
      <c r="P200" s="5">
        <v>9</v>
      </c>
      <c r="Q200" s="5">
        <v>0</v>
      </c>
      <c r="R200" s="9">
        <v>0</v>
      </c>
      <c r="S200" s="8">
        <v>0</v>
      </c>
      <c r="T200" s="5">
        <v>0</v>
      </c>
    </row>
    <row r="201" spans="1:20" x14ac:dyDescent="0.2">
      <c r="A201" s="5" t="s">
        <v>424</v>
      </c>
      <c r="B201" s="5" t="s">
        <v>75</v>
      </c>
      <c r="C201" s="10" t="s">
        <v>532</v>
      </c>
      <c r="D201" s="7">
        <f t="shared" si="0"/>
        <v>2.8000000000000003</v>
      </c>
      <c r="E201" s="8">
        <v>0</v>
      </c>
      <c r="F201" s="5">
        <v>0</v>
      </c>
      <c r="G201" s="5">
        <v>0</v>
      </c>
      <c r="H201" s="5">
        <v>0</v>
      </c>
      <c r="I201" s="5">
        <v>0</v>
      </c>
      <c r="J201" s="9">
        <v>0</v>
      </c>
      <c r="K201" s="8">
        <v>6</v>
      </c>
      <c r="L201" s="5">
        <v>28</v>
      </c>
      <c r="M201" s="5">
        <v>0</v>
      </c>
      <c r="N201" s="9">
        <v>0</v>
      </c>
      <c r="O201" s="8">
        <v>0</v>
      </c>
      <c r="P201" s="5">
        <v>0</v>
      </c>
      <c r="Q201" s="5">
        <v>0</v>
      </c>
      <c r="R201" s="9">
        <v>0</v>
      </c>
      <c r="S201" s="8">
        <v>0</v>
      </c>
      <c r="T201" s="5">
        <v>0</v>
      </c>
    </row>
    <row r="202" spans="1:20" x14ac:dyDescent="0.2">
      <c r="A202" s="5" t="s">
        <v>370</v>
      </c>
      <c r="B202" s="5" t="s">
        <v>75</v>
      </c>
      <c r="C202" s="17" t="s">
        <v>534</v>
      </c>
      <c r="D202" s="7">
        <f t="shared" si="0"/>
        <v>2.7</v>
      </c>
      <c r="E202" s="8">
        <v>0</v>
      </c>
      <c r="F202" s="5">
        <v>0</v>
      </c>
      <c r="G202" s="5">
        <v>0</v>
      </c>
      <c r="H202" s="5">
        <v>0</v>
      </c>
      <c r="I202" s="5">
        <v>0</v>
      </c>
      <c r="J202" s="9">
        <v>0</v>
      </c>
      <c r="K202" s="8">
        <v>2</v>
      </c>
      <c r="L202" s="5">
        <v>11</v>
      </c>
      <c r="M202" s="5">
        <v>0</v>
      </c>
      <c r="N202" s="9">
        <v>0</v>
      </c>
      <c r="O202" s="8">
        <v>1</v>
      </c>
      <c r="P202" s="5">
        <v>6</v>
      </c>
      <c r="Q202" s="5">
        <v>0</v>
      </c>
      <c r="R202" s="9">
        <v>0</v>
      </c>
      <c r="S202" s="8">
        <v>0</v>
      </c>
      <c r="T202" s="5">
        <v>0</v>
      </c>
    </row>
    <row r="203" spans="1:20" x14ac:dyDescent="0.2">
      <c r="A203" s="5" t="s">
        <v>97</v>
      </c>
      <c r="B203" s="5" t="s">
        <v>75</v>
      </c>
      <c r="C203" s="17" t="s">
        <v>539</v>
      </c>
      <c r="D203" s="7">
        <f t="shared" si="0"/>
        <v>2.6999999999999997</v>
      </c>
      <c r="E203" s="8">
        <v>0</v>
      </c>
      <c r="F203" s="5">
        <v>0</v>
      </c>
      <c r="G203" s="5">
        <v>0</v>
      </c>
      <c r="H203" s="5">
        <v>0</v>
      </c>
      <c r="I203" s="5">
        <v>0</v>
      </c>
      <c r="J203" s="9">
        <v>0</v>
      </c>
      <c r="K203" s="8">
        <v>2</v>
      </c>
      <c r="L203" s="5">
        <v>13</v>
      </c>
      <c r="M203" s="5">
        <v>0</v>
      </c>
      <c r="N203" s="9">
        <v>0</v>
      </c>
      <c r="O203" s="8">
        <v>1</v>
      </c>
      <c r="P203" s="5">
        <v>4</v>
      </c>
      <c r="Q203" s="5">
        <v>0</v>
      </c>
      <c r="R203" s="9">
        <v>0</v>
      </c>
      <c r="S203" s="8">
        <v>0</v>
      </c>
      <c r="T203" s="5">
        <v>0</v>
      </c>
    </row>
    <row r="204" spans="1:20" x14ac:dyDescent="0.2">
      <c r="A204" s="5" t="s">
        <v>150</v>
      </c>
      <c r="B204" s="5" t="s">
        <v>75</v>
      </c>
      <c r="C204" s="17" t="s">
        <v>539</v>
      </c>
      <c r="D204" s="7">
        <f t="shared" si="0"/>
        <v>2.6</v>
      </c>
      <c r="E204" s="8">
        <v>0</v>
      </c>
      <c r="F204" s="5">
        <v>0</v>
      </c>
      <c r="G204" s="5">
        <v>0</v>
      </c>
      <c r="H204" s="5">
        <v>0</v>
      </c>
      <c r="I204" s="5">
        <v>0</v>
      </c>
      <c r="J204" s="9">
        <v>0</v>
      </c>
      <c r="K204" s="8">
        <v>2</v>
      </c>
      <c r="L204" s="5">
        <v>2</v>
      </c>
      <c r="M204" s="5">
        <v>0</v>
      </c>
      <c r="N204" s="9">
        <v>0</v>
      </c>
      <c r="O204" s="8">
        <v>1</v>
      </c>
      <c r="P204" s="5">
        <v>14</v>
      </c>
      <c r="Q204" s="5">
        <v>0</v>
      </c>
      <c r="R204" s="9">
        <v>0</v>
      </c>
      <c r="S204" s="8">
        <v>0</v>
      </c>
      <c r="T204" s="5">
        <v>0</v>
      </c>
    </row>
    <row r="205" spans="1:20" x14ac:dyDescent="0.2">
      <c r="A205" s="5" t="s">
        <v>124</v>
      </c>
      <c r="B205" s="5" t="s">
        <v>75</v>
      </c>
      <c r="C205" s="10" t="s">
        <v>538</v>
      </c>
      <c r="D205" s="7">
        <f t="shared" si="0"/>
        <v>2.6</v>
      </c>
      <c r="E205" s="8">
        <v>0</v>
      </c>
      <c r="F205" s="5">
        <v>0</v>
      </c>
      <c r="G205" s="5">
        <v>0</v>
      </c>
      <c r="H205" s="5">
        <v>0</v>
      </c>
      <c r="I205" s="5">
        <v>0</v>
      </c>
      <c r="J205" s="9">
        <v>0</v>
      </c>
      <c r="K205" s="8">
        <v>2</v>
      </c>
      <c r="L205" s="5">
        <v>7</v>
      </c>
      <c r="M205" s="5">
        <v>0</v>
      </c>
      <c r="N205" s="9">
        <v>0</v>
      </c>
      <c r="O205" s="8">
        <v>1</v>
      </c>
      <c r="P205" s="5">
        <v>9</v>
      </c>
      <c r="Q205" s="5">
        <v>0</v>
      </c>
      <c r="R205" s="9">
        <v>0</v>
      </c>
      <c r="S205" s="8">
        <v>0</v>
      </c>
      <c r="T205" s="5">
        <v>0</v>
      </c>
    </row>
    <row r="206" spans="1:20" x14ac:dyDescent="0.2">
      <c r="A206" s="5" t="s">
        <v>272</v>
      </c>
      <c r="B206" s="5" t="s">
        <v>69</v>
      </c>
      <c r="C206" s="17" t="s">
        <v>532</v>
      </c>
      <c r="D206" s="7">
        <f t="shared" si="0"/>
        <v>2.6</v>
      </c>
      <c r="E206" s="8">
        <v>0</v>
      </c>
      <c r="F206" s="5">
        <v>0</v>
      </c>
      <c r="G206" s="5">
        <v>0</v>
      </c>
      <c r="H206" s="5">
        <v>0</v>
      </c>
      <c r="I206" s="5">
        <v>0</v>
      </c>
      <c r="J206" s="9">
        <v>0</v>
      </c>
      <c r="K206" s="8">
        <v>0</v>
      </c>
      <c r="L206" s="5">
        <v>0</v>
      </c>
      <c r="M206" s="5">
        <v>0</v>
      </c>
      <c r="N206" s="9">
        <v>0</v>
      </c>
      <c r="O206" s="8">
        <v>1</v>
      </c>
      <c r="P206" s="5">
        <v>16</v>
      </c>
      <c r="Q206" s="5">
        <v>0</v>
      </c>
      <c r="R206" s="9">
        <v>0</v>
      </c>
      <c r="S206" s="8">
        <v>0</v>
      </c>
      <c r="T206" s="5">
        <v>0</v>
      </c>
    </row>
    <row r="207" spans="1:20" x14ac:dyDescent="0.2">
      <c r="A207" s="5" t="s">
        <v>106</v>
      </c>
      <c r="B207" s="5" t="s">
        <v>75</v>
      </c>
      <c r="C207" s="17" t="s">
        <v>546</v>
      </c>
      <c r="D207" s="7">
        <f t="shared" si="0"/>
        <v>2.5</v>
      </c>
      <c r="E207" s="8">
        <v>0</v>
      </c>
      <c r="F207" s="5">
        <v>0</v>
      </c>
      <c r="G207" s="5">
        <v>0</v>
      </c>
      <c r="H207" s="5">
        <v>0</v>
      </c>
      <c r="I207" s="5">
        <v>0</v>
      </c>
      <c r="J207" s="9">
        <v>0</v>
      </c>
      <c r="K207" s="8">
        <v>1</v>
      </c>
      <c r="L207" s="5">
        <v>8</v>
      </c>
      <c r="M207" s="5">
        <v>0</v>
      </c>
      <c r="N207" s="9">
        <v>0</v>
      </c>
      <c r="O207" s="8">
        <v>1</v>
      </c>
      <c r="P207" s="5">
        <v>7</v>
      </c>
      <c r="Q207" s="5">
        <v>0</v>
      </c>
      <c r="R207" s="9">
        <v>0</v>
      </c>
      <c r="S207" s="8">
        <v>0</v>
      </c>
      <c r="T207" s="5">
        <v>0</v>
      </c>
    </row>
    <row r="208" spans="1:20" x14ac:dyDescent="0.2">
      <c r="A208" s="5" t="s">
        <v>417</v>
      </c>
      <c r="B208" s="5" t="s">
        <v>69</v>
      </c>
      <c r="C208" s="17" t="s">
        <v>542</v>
      </c>
      <c r="D208" s="7">
        <f t="shared" si="0"/>
        <v>2.5</v>
      </c>
      <c r="E208" s="8">
        <v>0</v>
      </c>
      <c r="F208" s="5">
        <v>0</v>
      </c>
      <c r="G208" s="5">
        <v>0</v>
      </c>
      <c r="H208" s="5">
        <v>0</v>
      </c>
      <c r="I208" s="5">
        <v>0</v>
      </c>
      <c r="J208" s="9">
        <v>0</v>
      </c>
      <c r="K208" s="8">
        <v>0</v>
      </c>
      <c r="L208" s="5">
        <v>0</v>
      </c>
      <c r="M208" s="5">
        <v>0</v>
      </c>
      <c r="N208" s="9">
        <v>0</v>
      </c>
      <c r="O208" s="8">
        <v>1</v>
      </c>
      <c r="P208" s="5">
        <v>15</v>
      </c>
      <c r="Q208" s="5">
        <v>0</v>
      </c>
      <c r="R208" s="9">
        <v>0</v>
      </c>
      <c r="S208" s="8">
        <v>0</v>
      </c>
      <c r="T208" s="5">
        <v>0</v>
      </c>
    </row>
    <row r="209" spans="1:20" x14ac:dyDescent="0.2">
      <c r="A209" s="5" t="s">
        <v>304</v>
      </c>
      <c r="B209" s="5" t="s">
        <v>69</v>
      </c>
      <c r="C209" s="17" t="s">
        <v>535</v>
      </c>
      <c r="D209" s="7">
        <f t="shared" si="0"/>
        <v>2.5</v>
      </c>
      <c r="E209" s="8">
        <v>0</v>
      </c>
      <c r="F209" s="5">
        <v>0</v>
      </c>
      <c r="G209" s="5">
        <v>0</v>
      </c>
      <c r="H209" s="5">
        <v>0</v>
      </c>
      <c r="I209" s="5">
        <v>0</v>
      </c>
      <c r="J209" s="9">
        <v>0</v>
      </c>
      <c r="K209" s="8">
        <v>0</v>
      </c>
      <c r="L209" s="5">
        <v>0</v>
      </c>
      <c r="M209" s="5">
        <v>0</v>
      </c>
      <c r="N209" s="9">
        <v>0</v>
      </c>
      <c r="O209" s="8">
        <v>1</v>
      </c>
      <c r="P209" s="5">
        <v>15</v>
      </c>
      <c r="Q209" s="5">
        <v>0</v>
      </c>
      <c r="R209" s="9">
        <v>0</v>
      </c>
      <c r="S209" s="8">
        <v>0</v>
      </c>
      <c r="T209" s="5">
        <v>0</v>
      </c>
    </row>
    <row r="210" spans="1:20" x14ac:dyDescent="0.2">
      <c r="A210" s="5" t="s">
        <v>309</v>
      </c>
      <c r="B210" s="5" t="s">
        <v>69</v>
      </c>
      <c r="C210" s="10" t="s">
        <v>533</v>
      </c>
      <c r="D210" s="7">
        <f t="shared" si="0"/>
        <v>2.5</v>
      </c>
      <c r="E210" s="8">
        <v>0</v>
      </c>
      <c r="F210" s="5">
        <v>0</v>
      </c>
      <c r="G210" s="5">
        <v>0</v>
      </c>
      <c r="H210" s="5">
        <v>0</v>
      </c>
      <c r="I210" s="5">
        <v>0</v>
      </c>
      <c r="J210" s="9">
        <v>0</v>
      </c>
      <c r="K210" s="8">
        <v>0</v>
      </c>
      <c r="L210" s="5">
        <v>0</v>
      </c>
      <c r="M210" s="5">
        <v>0</v>
      </c>
      <c r="N210" s="9">
        <v>0</v>
      </c>
      <c r="O210" s="8">
        <v>1</v>
      </c>
      <c r="P210" s="5">
        <v>15</v>
      </c>
      <c r="Q210" s="5">
        <v>0</v>
      </c>
      <c r="R210" s="9">
        <v>0</v>
      </c>
      <c r="S210" s="8">
        <v>0</v>
      </c>
      <c r="T210" s="5">
        <v>0</v>
      </c>
    </row>
    <row r="211" spans="1:20" x14ac:dyDescent="0.2">
      <c r="A211" s="5" t="s">
        <v>107</v>
      </c>
      <c r="B211" s="5" t="s">
        <v>75</v>
      </c>
      <c r="C211" s="10" t="s">
        <v>539</v>
      </c>
      <c r="D211" s="7">
        <f t="shared" si="0"/>
        <v>2.4000000000000004</v>
      </c>
      <c r="E211" s="8">
        <v>0</v>
      </c>
      <c r="F211" s="5">
        <v>0</v>
      </c>
      <c r="G211" s="5">
        <v>0</v>
      </c>
      <c r="H211" s="5">
        <v>0</v>
      </c>
      <c r="I211" s="5">
        <v>0</v>
      </c>
      <c r="J211" s="9">
        <v>0</v>
      </c>
      <c r="K211" s="8">
        <v>3</v>
      </c>
      <c r="L211" s="5">
        <v>12</v>
      </c>
      <c r="M211" s="5">
        <v>0</v>
      </c>
      <c r="N211" s="9">
        <v>0</v>
      </c>
      <c r="O211" s="8">
        <v>1</v>
      </c>
      <c r="P211" s="5">
        <v>2</v>
      </c>
      <c r="Q211" s="5">
        <v>0</v>
      </c>
      <c r="R211" s="9">
        <v>0</v>
      </c>
      <c r="S211" s="8">
        <v>0</v>
      </c>
      <c r="T211" s="5">
        <v>0</v>
      </c>
    </row>
    <row r="212" spans="1:20" x14ac:dyDescent="0.2">
      <c r="A212" s="5" t="s">
        <v>158</v>
      </c>
      <c r="B212" s="5" t="s">
        <v>75</v>
      </c>
      <c r="C212" s="17" t="s">
        <v>537</v>
      </c>
      <c r="D212" s="7">
        <f t="shared" si="0"/>
        <v>2.3000000000000003</v>
      </c>
      <c r="E212" s="8">
        <v>0</v>
      </c>
      <c r="F212" s="5">
        <v>0</v>
      </c>
      <c r="G212" s="5">
        <v>0</v>
      </c>
      <c r="H212" s="5">
        <v>0</v>
      </c>
      <c r="I212" s="5">
        <v>0</v>
      </c>
      <c r="J212" s="9">
        <v>0</v>
      </c>
      <c r="K212" s="8">
        <v>4</v>
      </c>
      <c r="L212" s="5">
        <v>23</v>
      </c>
      <c r="M212" s="5">
        <v>0</v>
      </c>
      <c r="N212" s="9">
        <v>0</v>
      </c>
      <c r="O212" s="8">
        <v>0</v>
      </c>
      <c r="P212" s="5">
        <v>0</v>
      </c>
      <c r="Q212" s="5">
        <v>0</v>
      </c>
      <c r="R212" s="9">
        <v>0</v>
      </c>
      <c r="S212" s="8">
        <v>0</v>
      </c>
      <c r="T212" s="5">
        <v>0</v>
      </c>
    </row>
    <row r="213" spans="1:20" x14ac:dyDescent="0.2">
      <c r="A213" s="5" t="s">
        <v>160</v>
      </c>
      <c r="B213" s="5" t="s">
        <v>75</v>
      </c>
      <c r="C213" s="10" t="s">
        <v>544</v>
      </c>
      <c r="D213" s="7">
        <f t="shared" si="0"/>
        <v>2.2999999999999998</v>
      </c>
      <c r="E213" s="8">
        <v>0</v>
      </c>
      <c r="F213" s="5">
        <v>0</v>
      </c>
      <c r="G213" s="5">
        <v>0</v>
      </c>
      <c r="H213" s="5">
        <v>0</v>
      </c>
      <c r="I213" s="5">
        <v>0</v>
      </c>
      <c r="J213" s="9">
        <v>0</v>
      </c>
      <c r="K213" s="8">
        <v>0</v>
      </c>
      <c r="L213" s="5">
        <v>0</v>
      </c>
      <c r="M213" s="5">
        <v>0</v>
      </c>
      <c r="N213" s="9">
        <v>0</v>
      </c>
      <c r="O213" s="8">
        <v>2</v>
      </c>
      <c r="P213" s="5">
        <v>3</v>
      </c>
      <c r="Q213" s="5">
        <v>0</v>
      </c>
      <c r="R213" s="9">
        <v>0</v>
      </c>
      <c r="S213" s="8">
        <v>0</v>
      </c>
      <c r="T213" s="5">
        <v>0</v>
      </c>
    </row>
    <row r="214" spans="1:20" x14ac:dyDescent="0.2">
      <c r="A214" s="5" t="s">
        <v>555</v>
      </c>
      <c r="B214" s="5" t="s">
        <v>75</v>
      </c>
      <c r="C214" s="17" t="s">
        <v>533</v>
      </c>
      <c r="D214" s="7">
        <f t="shared" si="0"/>
        <v>2.2999999999999998</v>
      </c>
      <c r="E214" s="8">
        <v>0</v>
      </c>
      <c r="F214" s="5">
        <v>0</v>
      </c>
      <c r="G214" s="5">
        <v>0</v>
      </c>
      <c r="H214" s="5">
        <v>0</v>
      </c>
      <c r="I214" s="5">
        <v>0</v>
      </c>
      <c r="J214" s="9">
        <v>0</v>
      </c>
      <c r="K214" s="8">
        <v>3</v>
      </c>
      <c r="L214" s="5">
        <v>5</v>
      </c>
      <c r="M214" s="5">
        <v>0</v>
      </c>
      <c r="N214" s="9">
        <v>0</v>
      </c>
      <c r="O214" s="8">
        <v>1</v>
      </c>
      <c r="P214" s="5">
        <v>8</v>
      </c>
      <c r="Q214" s="5">
        <v>0</v>
      </c>
      <c r="R214" s="9">
        <v>0</v>
      </c>
      <c r="S214" s="8">
        <v>0</v>
      </c>
      <c r="T214" s="5">
        <v>0</v>
      </c>
    </row>
    <row r="215" spans="1:20" x14ac:dyDescent="0.2">
      <c r="A215" s="5" t="s">
        <v>383</v>
      </c>
      <c r="B215" s="5" t="s">
        <v>75</v>
      </c>
      <c r="C215" s="10" t="s">
        <v>534</v>
      </c>
      <c r="D215" s="7">
        <f t="shared" si="0"/>
        <v>2.2999999999999998</v>
      </c>
      <c r="E215" s="8">
        <v>0</v>
      </c>
      <c r="F215" s="5">
        <v>0</v>
      </c>
      <c r="G215" s="5">
        <v>0</v>
      </c>
      <c r="H215" s="5">
        <v>0</v>
      </c>
      <c r="I215" s="5">
        <v>0</v>
      </c>
      <c r="J215" s="9">
        <v>0</v>
      </c>
      <c r="K215" s="8">
        <v>3</v>
      </c>
      <c r="L215" s="5">
        <v>9</v>
      </c>
      <c r="M215" s="5">
        <v>0</v>
      </c>
      <c r="N215" s="9">
        <v>0</v>
      </c>
      <c r="O215" s="8">
        <v>1</v>
      </c>
      <c r="P215" s="5">
        <v>4</v>
      </c>
      <c r="Q215" s="5">
        <v>0</v>
      </c>
      <c r="R215" s="9">
        <v>0</v>
      </c>
      <c r="S215" s="8">
        <v>0</v>
      </c>
      <c r="T215" s="5">
        <v>0</v>
      </c>
    </row>
    <row r="216" spans="1:20" x14ac:dyDescent="0.2">
      <c r="A216" s="5" t="s">
        <v>350</v>
      </c>
      <c r="B216" s="5" t="s">
        <v>162</v>
      </c>
      <c r="C216" s="10" t="s">
        <v>540</v>
      </c>
      <c r="D216" s="7">
        <f t="shared" si="0"/>
        <v>2.2999999999999998</v>
      </c>
      <c r="E216" s="8">
        <v>0</v>
      </c>
      <c r="F216" s="5">
        <v>0</v>
      </c>
      <c r="G216" s="5">
        <v>0</v>
      </c>
      <c r="H216" s="5">
        <v>0</v>
      </c>
      <c r="I216" s="5">
        <v>0</v>
      </c>
      <c r="J216" s="9">
        <v>0</v>
      </c>
      <c r="K216" s="8">
        <v>0</v>
      </c>
      <c r="L216" s="5">
        <v>0</v>
      </c>
      <c r="M216" s="5">
        <v>0</v>
      </c>
      <c r="N216" s="9">
        <v>0</v>
      </c>
      <c r="O216" s="8">
        <v>1</v>
      </c>
      <c r="P216" s="5">
        <v>13</v>
      </c>
      <c r="Q216" s="5">
        <v>0</v>
      </c>
      <c r="R216" s="9">
        <v>0</v>
      </c>
      <c r="S216" s="8">
        <v>0</v>
      </c>
      <c r="T216" s="5">
        <v>0</v>
      </c>
    </row>
    <row r="217" spans="1:20" x14ac:dyDescent="0.2">
      <c r="A217" s="5" t="s">
        <v>247</v>
      </c>
      <c r="B217" s="5" t="s">
        <v>162</v>
      </c>
      <c r="C217" s="10" t="s">
        <v>533</v>
      </c>
      <c r="D217" s="7">
        <f t="shared" si="0"/>
        <v>2.2999999999999998</v>
      </c>
      <c r="E217" s="8">
        <v>0</v>
      </c>
      <c r="F217" s="5">
        <v>0</v>
      </c>
      <c r="G217" s="5">
        <v>0</v>
      </c>
      <c r="H217" s="5">
        <v>0</v>
      </c>
      <c r="I217" s="5">
        <v>0</v>
      </c>
      <c r="J217" s="9">
        <v>0</v>
      </c>
      <c r="K217" s="8">
        <v>1</v>
      </c>
      <c r="L217" s="5">
        <v>5</v>
      </c>
      <c r="M217" s="5">
        <v>0</v>
      </c>
      <c r="N217" s="9">
        <v>0</v>
      </c>
      <c r="O217" s="8">
        <v>2</v>
      </c>
      <c r="P217" s="5">
        <v>-2</v>
      </c>
      <c r="Q217" s="5">
        <v>0</v>
      </c>
      <c r="R217" s="9">
        <v>0</v>
      </c>
      <c r="S217" s="8">
        <v>0</v>
      </c>
      <c r="T217" s="5">
        <v>0</v>
      </c>
    </row>
    <row r="218" spans="1:20" x14ac:dyDescent="0.2">
      <c r="A218" s="5" t="s">
        <v>430</v>
      </c>
      <c r="B218" s="5" t="s">
        <v>75</v>
      </c>
      <c r="C218" s="17" t="s">
        <v>543</v>
      </c>
      <c r="D218" s="7">
        <f t="shared" si="0"/>
        <v>2.2000000000000002</v>
      </c>
      <c r="E218" s="8">
        <v>0</v>
      </c>
      <c r="F218" s="5">
        <v>0</v>
      </c>
      <c r="G218" s="5">
        <v>0</v>
      </c>
      <c r="H218" s="5">
        <v>0</v>
      </c>
      <c r="I218" s="5">
        <v>0</v>
      </c>
      <c r="J218" s="9">
        <v>0</v>
      </c>
      <c r="K218" s="8">
        <v>2</v>
      </c>
      <c r="L218" s="5">
        <v>-1</v>
      </c>
      <c r="M218" s="5">
        <v>0</v>
      </c>
      <c r="N218" s="9">
        <v>0</v>
      </c>
      <c r="O218" s="8">
        <v>1</v>
      </c>
      <c r="P218" s="5">
        <v>13</v>
      </c>
      <c r="Q218" s="5">
        <v>0</v>
      </c>
      <c r="R218" s="9">
        <v>0</v>
      </c>
      <c r="S218" s="8">
        <v>0</v>
      </c>
      <c r="T218" s="5">
        <v>0</v>
      </c>
    </row>
    <row r="219" spans="1:20" x14ac:dyDescent="0.2">
      <c r="A219" s="5" t="s">
        <v>395</v>
      </c>
      <c r="B219" s="5" t="s">
        <v>75</v>
      </c>
      <c r="C219" s="10" t="s">
        <v>544</v>
      </c>
      <c r="D219" s="7">
        <f t="shared" si="0"/>
        <v>2.2000000000000002</v>
      </c>
      <c r="E219" s="8">
        <v>0</v>
      </c>
      <c r="F219" s="5">
        <v>0</v>
      </c>
      <c r="G219" s="5">
        <v>0</v>
      </c>
      <c r="H219" s="5">
        <v>0</v>
      </c>
      <c r="I219" s="5">
        <v>0</v>
      </c>
      <c r="J219" s="9">
        <v>0</v>
      </c>
      <c r="K219" s="8">
        <v>1</v>
      </c>
      <c r="L219" s="5">
        <v>4</v>
      </c>
      <c r="M219" s="5">
        <v>0</v>
      </c>
      <c r="N219" s="9">
        <v>0</v>
      </c>
      <c r="O219" s="8">
        <v>1</v>
      </c>
      <c r="P219" s="5">
        <v>8</v>
      </c>
      <c r="Q219" s="5">
        <v>0</v>
      </c>
      <c r="R219" s="9">
        <v>0</v>
      </c>
      <c r="S219" s="8">
        <v>0</v>
      </c>
      <c r="T219" s="5">
        <v>0</v>
      </c>
    </row>
    <row r="220" spans="1:20" x14ac:dyDescent="0.2">
      <c r="A220" s="5" t="s">
        <v>362</v>
      </c>
      <c r="B220" s="5" t="s">
        <v>69</v>
      </c>
      <c r="C220" s="10" t="s">
        <v>543</v>
      </c>
      <c r="D220" s="7">
        <f t="shared" si="0"/>
        <v>2.1</v>
      </c>
      <c r="E220" s="8">
        <v>0</v>
      </c>
      <c r="F220" s="5">
        <v>0</v>
      </c>
      <c r="G220" s="5">
        <v>0</v>
      </c>
      <c r="H220" s="5">
        <v>0</v>
      </c>
      <c r="I220" s="5">
        <v>0</v>
      </c>
      <c r="J220" s="9">
        <v>0</v>
      </c>
      <c r="K220" s="8">
        <v>0</v>
      </c>
      <c r="L220" s="5">
        <v>0</v>
      </c>
      <c r="M220" s="5">
        <v>0</v>
      </c>
      <c r="N220" s="9">
        <v>0</v>
      </c>
      <c r="O220" s="8">
        <v>1</v>
      </c>
      <c r="P220" s="5">
        <v>11</v>
      </c>
      <c r="Q220" s="5">
        <v>0</v>
      </c>
      <c r="R220" s="9">
        <v>0</v>
      </c>
      <c r="S220" s="8">
        <v>0</v>
      </c>
      <c r="T220" s="5">
        <v>0</v>
      </c>
    </row>
    <row r="221" spans="1:20" x14ac:dyDescent="0.2">
      <c r="A221" s="5" t="s">
        <v>479</v>
      </c>
      <c r="B221" s="5" t="s">
        <v>69</v>
      </c>
      <c r="C221" s="10" t="s">
        <v>546</v>
      </c>
      <c r="D221" s="7">
        <f t="shared" si="0"/>
        <v>2.1</v>
      </c>
      <c r="E221" s="8">
        <v>0</v>
      </c>
      <c r="F221" s="5">
        <v>0</v>
      </c>
      <c r="G221" s="5">
        <v>0</v>
      </c>
      <c r="H221" s="5">
        <v>0</v>
      </c>
      <c r="I221" s="5">
        <v>0</v>
      </c>
      <c r="J221" s="9">
        <v>0</v>
      </c>
      <c r="K221" s="8">
        <v>0</v>
      </c>
      <c r="L221" s="5">
        <v>0</v>
      </c>
      <c r="M221" s="5">
        <v>0</v>
      </c>
      <c r="N221" s="9">
        <v>0</v>
      </c>
      <c r="O221" s="8">
        <v>1</v>
      </c>
      <c r="P221" s="5">
        <v>11</v>
      </c>
      <c r="Q221" s="5">
        <v>0</v>
      </c>
      <c r="R221" s="9">
        <v>0</v>
      </c>
      <c r="S221" s="8">
        <v>0</v>
      </c>
      <c r="T221" s="5">
        <v>0</v>
      </c>
    </row>
    <row r="222" spans="1:20" x14ac:dyDescent="0.2">
      <c r="A222" s="5" t="s">
        <v>474</v>
      </c>
      <c r="B222" s="5" t="s">
        <v>69</v>
      </c>
      <c r="C222" s="10" t="s">
        <v>541</v>
      </c>
      <c r="D222" s="7">
        <f t="shared" si="0"/>
        <v>2.1</v>
      </c>
      <c r="E222" s="8">
        <v>0</v>
      </c>
      <c r="F222" s="5">
        <v>0</v>
      </c>
      <c r="G222" s="5">
        <v>0</v>
      </c>
      <c r="H222" s="5">
        <v>0</v>
      </c>
      <c r="I222" s="5">
        <v>0</v>
      </c>
      <c r="J222" s="9">
        <v>0</v>
      </c>
      <c r="K222" s="8">
        <v>0</v>
      </c>
      <c r="L222" s="5">
        <v>0</v>
      </c>
      <c r="M222" s="5">
        <v>0</v>
      </c>
      <c r="N222" s="9">
        <v>0</v>
      </c>
      <c r="O222" s="8">
        <v>1</v>
      </c>
      <c r="P222" s="5">
        <v>11</v>
      </c>
      <c r="Q222" s="5">
        <v>0</v>
      </c>
      <c r="R222" s="9">
        <v>0</v>
      </c>
      <c r="S222" s="8">
        <v>0</v>
      </c>
      <c r="T222" s="5">
        <v>0</v>
      </c>
    </row>
    <row r="223" spans="1:20" x14ac:dyDescent="0.2">
      <c r="A223" s="5" t="s">
        <v>441</v>
      </c>
      <c r="B223" s="5" t="s">
        <v>162</v>
      </c>
      <c r="C223" s="10" t="s">
        <v>539</v>
      </c>
      <c r="D223" s="7">
        <f t="shared" si="0"/>
        <v>2</v>
      </c>
      <c r="E223" s="8">
        <v>0</v>
      </c>
      <c r="F223" s="5">
        <v>0</v>
      </c>
      <c r="G223" s="5">
        <v>0</v>
      </c>
      <c r="H223" s="5">
        <v>0</v>
      </c>
      <c r="I223" s="5">
        <v>0</v>
      </c>
      <c r="J223" s="9">
        <v>0</v>
      </c>
      <c r="K223" s="8">
        <v>0</v>
      </c>
      <c r="L223" s="5">
        <v>0</v>
      </c>
      <c r="M223" s="5">
        <v>0</v>
      </c>
      <c r="N223" s="9">
        <v>0</v>
      </c>
      <c r="O223" s="8">
        <v>0</v>
      </c>
      <c r="P223" s="5">
        <v>0</v>
      </c>
      <c r="Q223" s="5">
        <v>0</v>
      </c>
      <c r="R223" s="9">
        <v>1</v>
      </c>
      <c r="S223" s="8">
        <v>0</v>
      </c>
      <c r="T223" s="5">
        <v>0</v>
      </c>
    </row>
    <row r="224" spans="1:20" x14ac:dyDescent="0.2">
      <c r="A224" s="5" t="s">
        <v>156</v>
      </c>
      <c r="B224" s="5" t="s">
        <v>75</v>
      </c>
      <c r="C224" s="10" t="s">
        <v>536</v>
      </c>
      <c r="D224" s="7">
        <f t="shared" si="0"/>
        <v>1.9000000000000001</v>
      </c>
      <c r="E224" s="8">
        <v>0</v>
      </c>
      <c r="F224" s="5">
        <v>0</v>
      </c>
      <c r="G224" s="5">
        <v>0</v>
      </c>
      <c r="H224" s="5">
        <v>0</v>
      </c>
      <c r="I224" s="5">
        <v>0</v>
      </c>
      <c r="J224" s="9">
        <v>0</v>
      </c>
      <c r="K224" s="8">
        <v>1</v>
      </c>
      <c r="L224" s="5">
        <v>19</v>
      </c>
      <c r="M224" s="5">
        <v>0</v>
      </c>
      <c r="N224" s="9">
        <v>0</v>
      </c>
      <c r="O224" s="8">
        <v>0</v>
      </c>
      <c r="P224" s="5">
        <v>0</v>
      </c>
      <c r="Q224" s="5">
        <v>0</v>
      </c>
      <c r="R224" s="9">
        <v>0</v>
      </c>
      <c r="S224" s="8">
        <v>0</v>
      </c>
      <c r="T224" s="5">
        <v>0</v>
      </c>
    </row>
    <row r="225" spans="1:20" x14ac:dyDescent="0.2">
      <c r="A225" s="5" t="s">
        <v>453</v>
      </c>
      <c r="B225" s="5" t="s">
        <v>75</v>
      </c>
      <c r="C225" s="17" t="s">
        <v>545</v>
      </c>
      <c r="D225" s="7">
        <f t="shared" si="0"/>
        <v>1.9</v>
      </c>
      <c r="E225" s="8">
        <v>0</v>
      </c>
      <c r="F225" s="5">
        <v>0</v>
      </c>
      <c r="G225" s="5">
        <v>0</v>
      </c>
      <c r="H225" s="5">
        <v>0</v>
      </c>
      <c r="I225" s="5">
        <v>0</v>
      </c>
      <c r="J225" s="9">
        <v>0</v>
      </c>
      <c r="K225" s="8">
        <v>0</v>
      </c>
      <c r="L225" s="5">
        <v>0</v>
      </c>
      <c r="M225" s="5">
        <v>0</v>
      </c>
      <c r="N225" s="9">
        <v>0</v>
      </c>
      <c r="O225" s="8">
        <v>1</v>
      </c>
      <c r="P225" s="5">
        <v>9</v>
      </c>
      <c r="Q225" s="5">
        <v>0</v>
      </c>
      <c r="R225" s="9">
        <v>0</v>
      </c>
      <c r="S225" s="8">
        <v>0</v>
      </c>
      <c r="T225" s="5">
        <v>0</v>
      </c>
    </row>
    <row r="226" spans="1:20" x14ac:dyDescent="0.2">
      <c r="A226" s="5" t="s">
        <v>139</v>
      </c>
      <c r="B226" s="5" t="s">
        <v>75</v>
      </c>
      <c r="C226" s="17" t="s">
        <v>542</v>
      </c>
      <c r="D226" s="7">
        <f t="shared" si="0"/>
        <v>1.9</v>
      </c>
      <c r="E226" s="8">
        <v>0</v>
      </c>
      <c r="F226" s="5">
        <v>0</v>
      </c>
      <c r="G226" s="5">
        <v>0</v>
      </c>
      <c r="H226" s="5">
        <v>0</v>
      </c>
      <c r="I226" s="5">
        <v>0</v>
      </c>
      <c r="J226" s="9">
        <v>0</v>
      </c>
      <c r="K226" s="8">
        <v>0</v>
      </c>
      <c r="L226" s="5">
        <v>0</v>
      </c>
      <c r="M226" s="5">
        <v>0</v>
      </c>
      <c r="N226" s="9">
        <v>0</v>
      </c>
      <c r="O226" s="8">
        <v>1</v>
      </c>
      <c r="P226" s="5">
        <v>9</v>
      </c>
      <c r="Q226" s="5">
        <v>0</v>
      </c>
      <c r="R226" s="9">
        <v>0</v>
      </c>
      <c r="S226" s="8">
        <v>0</v>
      </c>
      <c r="T226" s="5">
        <v>0</v>
      </c>
    </row>
    <row r="227" spans="1:20" x14ac:dyDescent="0.2">
      <c r="A227" s="5" t="s">
        <v>347</v>
      </c>
      <c r="B227" s="5" t="s">
        <v>69</v>
      </c>
      <c r="C227" s="17" t="s">
        <v>544</v>
      </c>
      <c r="D227" s="7">
        <f t="shared" si="0"/>
        <v>1.9</v>
      </c>
      <c r="E227" s="8">
        <v>0</v>
      </c>
      <c r="F227" s="5">
        <v>0</v>
      </c>
      <c r="G227" s="5">
        <v>0</v>
      </c>
      <c r="H227" s="5">
        <v>0</v>
      </c>
      <c r="I227" s="5">
        <v>0</v>
      </c>
      <c r="J227" s="9">
        <v>0</v>
      </c>
      <c r="K227" s="8">
        <v>0</v>
      </c>
      <c r="L227" s="5">
        <v>0</v>
      </c>
      <c r="M227" s="5">
        <v>0</v>
      </c>
      <c r="N227" s="9">
        <v>0</v>
      </c>
      <c r="O227" s="8">
        <v>1</v>
      </c>
      <c r="P227" s="5">
        <v>9</v>
      </c>
      <c r="Q227" s="5">
        <v>0</v>
      </c>
      <c r="R227" s="9">
        <v>0</v>
      </c>
      <c r="S227" s="8">
        <v>0</v>
      </c>
      <c r="T227" s="5">
        <v>0</v>
      </c>
    </row>
    <row r="228" spans="1:20" x14ac:dyDescent="0.2">
      <c r="A228" s="5" t="s">
        <v>443</v>
      </c>
      <c r="B228" s="5" t="s">
        <v>69</v>
      </c>
      <c r="C228" s="10" t="s">
        <v>537</v>
      </c>
      <c r="D228" s="7">
        <f t="shared" si="0"/>
        <v>1.9</v>
      </c>
      <c r="E228" s="8">
        <v>0</v>
      </c>
      <c r="F228" s="5">
        <v>0</v>
      </c>
      <c r="G228" s="5">
        <v>0</v>
      </c>
      <c r="H228" s="5">
        <v>0</v>
      </c>
      <c r="I228" s="5">
        <v>0</v>
      </c>
      <c r="J228" s="9">
        <v>0</v>
      </c>
      <c r="K228" s="8">
        <v>0</v>
      </c>
      <c r="L228" s="5">
        <v>0</v>
      </c>
      <c r="M228" s="5">
        <v>0</v>
      </c>
      <c r="N228" s="9">
        <v>0</v>
      </c>
      <c r="O228" s="8">
        <v>1</v>
      </c>
      <c r="P228" s="5">
        <v>9</v>
      </c>
      <c r="Q228" s="5">
        <v>0</v>
      </c>
      <c r="R228" s="9">
        <v>0</v>
      </c>
      <c r="S228" s="8">
        <v>0</v>
      </c>
      <c r="T228" s="5">
        <v>0</v>
      </c>
    </row>
    <row r="229" spans="1:20" x14ac:dyDescent="0.2">
      <c r="A229" s="5" t="s">
        <v>112</v>
      </c>
      <c r="B229" s="5" t="s">
        <v>75</v>
      </c>
      <c r="C229" s="10" t="s">
        <v>536</v>
      </c>
      <c r="D229" s="7">
        <f t="shared" si="0"/>
        <v>1.8</v>
      </c>
      <c r="E229" s="8">
        <v>0</v>
      </c>
      <c r="F229" s="5">
        <v>0</v>
      </c>
      <c r="G229" s="5">
        <v>0</v>
      </c>
      <c r="H229" s="5">
        <v>0</v>
      </c>
      <c r="I229" s="5">
        <v>0</v>
      </c>
      <c r="J229" s="9">
        <v>0</v>
      </c>
      <c r="K229" s="8">
        <v>3</v>
      </c>
      <c r="L229" s="5">
        <v>2</v>
      </c>
      <c r="M229" s="5">
        <v>0</v>
      </c>
      <c r="N229" s="9">
        <v>0</v>
      </c>
      <c r="O229" s="8">
        <v>1</v>
      </c>
      <c r="P229" s="5">
        <v>6</v>
      </c>
      <c r="Q229" s="5">
        <v>0</v>
      </c>
      <c r="R229" s="9">
        <v>0</v>
      </c>
      <c r="S229" s="8">
        <v>0</v>
      </c>
      <c r="T229" s="5">
        <v>0</v>
      </c>
    </row>
    <row r="230" spans="1:20" x14ac:dyDescent="0.2">
      <c r="A230" s="5" t="s">
        <v>484</v>
      </c>
      <c r="B230" s="5" t="s">
        <v>162</v>
      </c>
      <c r="C230" s="10" t="s">
        <v>539</v>
      </c>
      <c r="D230" s="7">
        <f t="shared" si="0"/>
        <v>1.8</v>
      </c>
      <c r="E230" s="8">
        <v>0</v>
      </c>
      <c r="F230" s="5">
        <v>0</v>
      </c>
      <c r="G230" s="5">
        <v>0</v>
      </c>
      <c r="H230" s="5">
        <v>0</v>
      </c>
      <c r="I230" s="5">
        <v>0</v>
      </c>
      <c r="J230" s="9">
        <v>0</v>
      </c>
      <c r="K230" s="8">
        <v>1</v>
      </c>
      <c r="L230" s="5">
        <v>18</v>
      </c>
      <c r="M230" s="5">
        <v>0</v>
      </c>
      <c r="N230" s="9">
        <v>0</v>
      </c>
      <c r="O230" s="8">
        <v>0</v>
      </c>
      <c r="P230" s="5">
        <v>0</v>
      </c>
      <c r="Q230" s="5">
        <v>0</v>
      </c>
      <c r="R230" s="9">
        <v>0</v>
      </c>
      <c r="S230" s="8">
        <v>0</v>
      </c>
      <c r="T230" s="5">
        <v>0</v>
      </c>
    </row>
    <row r="231" spans="1:20" x14ac:dyDescent="0.2">
      <c r="A231" s="5" t="s">
        <v>223</v>
      </c>
      <c r="B231" s="5" t="s">
        <v>162</v>
      </c>
      <c r="C231" s="10" t="s">
        <v>539</v>
      </c>
      <c r="D231" s="7">
        <f t="shared" si="0"/>
        <v>1.8</v>
      </c>
      <c r="E231" s="8">
        <v>0</v>
      </c>
      <c r="F231" s="5">
        <v>0</v>
      </c>
      <c r="G231" s="5">
        <v>0</v>
      </c>
      <c r="H231" s="5">
        <v>0</v>
      </c>
      <c r="I231" s="5">
        <v>0</v>
      </c>
      <c r="J231" s="9">
        <v>0</v>
      </c>
      <c r="K231" s="8">
        <v>0</v>
      </c>
      <c r="L231" s="5">
        <v>0</v>
      </c>
      <c r="M231" s="5">
        <v>0</v>
      </c>
      <c r="N231" s="9">
        <v>0</v>
      </c>
      <c r="O231" s="8">
        <v>1</v>
      </c>
      <c r="P231" s="5">
        <v>8</v>
      </c>
      <c r="Q231" s="5">
        <v>0</v>
      </c>
      <c r="R231" s="9">
        <v>0</v>
      </c>
      <c r="S231" s="8">
        <v>0</v>
      </c>
      <c r="T231" s="5">
        <v>0</v>
      </c>
    </row>
    <row r="232" spans="1:20" x14ac:dyDescent="0.2">
      <c r="A232" s="5" t="s">
        <v>556</v>
      </c>
      <c r="B232" s="5" t="s">
        <v>69</v>
      </c>
      <c r="C232" s="10" t="s">
        <v>533</v>
      </c>
      <c r="D232" s="7">
        <f t="shared" si="0"/>
        <v>1.8</v>
      </c>
      <c r="E232" s="8">
        <v>0</v>
      </c>
      <c r="F232" s="5">
        <v>0</v>
      </c>
      <c r="G232" s="5">
        <v>0</v>
      </c>
      <c r="H232" s="5">
        <v>0</v>
      </c>
      <c r="I232" s="5">
        <v>0</v>
      </c>
      <c r="J232" s="9">
        <v>0</v>
      </c>
      <c r="K232" s="8">
        <v>0</v>
      </c>
      <c r="L232" s="5">
        <v>0</v>
      </c>
      <c r="M232" s="5">
        <v>0</v>
      </c>
      <c r="N232" s="9">
        <v>0</v>
      </c>
      <c r="O232" s="8">
        <v>1</v>
      </c>
      <c r="P232" s="5">
        <v>8</v>
      </c>
      <c r="Q232" s="5">
        <v>0</v>
      </c>
      <c r="R232" s="9">
        <v>0</v>
      </c>
      <c r="S232" s="8">
        <v>0</v>
      </c>
      <c r="T232" s="5">
        <v>0</v>
      </c>
    </row>
    <row r="233" spans="1:20" x14ac:dyDescent="0.2">
      <c r="A233" s="5" t="s">
        <v>477</v>
      </c>
      <c r="B233" s="5" t="s">
        <v>69</v>
      </c>
      <c r="C233" s="10" t="s">
        <v>539</v>
      </c>
      <c r="D233" s="7">
        <f t="shared" si="0"/>
        <v>1.8</v>
      </c>
      <c r="E233" s="8">
        <v>0</v>
      </c>
      <c r="F233" s="5">
        <v>0</v>
      </c>
      <c r="G233" s="5">
        <v>0</v>
      </c>
      <c r="H233" s="5">
        <v>0</v>
      </c>
      <c r="I233" s="5">
        <v>0</v>
      </c>
      <c r="J233" s="9">
        <v>0</v>
      </c>
      <c r="K233" s="8">
        <v>0</v>
      </c>
      <c r="L233" s="5">
        <v>0</v>
      </c>
      <c r="M233" s="5">
        <v>0</v>
      </c>
      <c r="N233" s="9">
        <v>0</v>
      </c>
      <c r="O233" s="8">
        <v>1</v>
      </c>
      <c r="P233" s="5">
        <v>8</v>
      </c>
      <c r="Q233" s="5">
        <v>0</v>
      </c>
      <c r="R233" s="9">
        <v>0</v>
      </c>
      <c r="S233" s="8">
        <v>0</v>
      </c>
      <c r="T233" s="5">
        <v>0</v>
      </c>
    </row>
    <row r="234" spans="1:20" x14ac:dyDescent="0.2">
      <c r="A234" s="5" t="s">
        <v>345</v>
      </c>
      <c r="B234" s="5" t="s">
        <v>162</v>
      </c>
      <c r="C234" s="17" t="s">
        <v>542</v>
      </c>
      <c r="D234" s="7">
        <f t="shared" si="0"/>
        <v>1.7000000000000002</v>
      </c>
      <c r="E234" s="8">
        <v>0</v>
      </c>
      <c r="F234" s="5">
        <v>0</v>
      </c>
      <c r="G234" s="5">
        <v>0</v>
      </c>
      <c r="H234" s="5">
        <v>0</v>
      </c>
      <c r="I234" s="5">
        <v>0</v>
      </c>
      <c r="J234" s="9">
        <v>0</v>
      </c>
      <c r="K234" s="8">
        <v>0</v>
      </c>
      <c r="L234" s="5">
        <v>0</v>
      </c>
      <c r="M234" s="5">
        <v>0</v>
      </c>
      <c r="N234" s="9">
        <v>0</v>
      </c>
      <c r="O234" s="8">
        <v>1</v>
      </c>
      <c r="P234" s="5">
        <v>7</v>
      </c>
      <c r="Q234" s="5">
        <v>0</v>
      </c>
      <c r="R234" s="9">
        <v>0</v>
      </c>
      <c r="S234" s="8">
        <v>0</v>
      </c>
      <c r="T234" s="5">
        <v>0</v>
      </c>
    </row>
    <row r="235" spans="1:20" x14ac:dyDescent="0.2">
      <c r="A235" s="5" t="s">
        <v>271</v>
      </c>
      <c r="B235" s="5" t="s">
        <v>69</v>
      </c>
      <c r="C235" s="17" t="s">
        <v>542</v>
      </c>
      <c r="D235" s="7">
        <f t="shared" si="0"/>
        <v>1.7000000000000002</v>
      </c>
      <c r="E235" s="8">
        <v>0</v>
      </c>
      <c r="F235" s="5">
        <v>0</v>
      </c>
      <c r="G235" s="5">
        <v>0</v>
      </c>
      <c r="H235" s="5">
        <v>0</v>
      </c>
      <c r="I235" s="5">
        <v>0</v>
      </c>
      <c r="J235" s="9">
        <v>0</v>
      </c>
      <c r="K235" s="8">
        <v>0</v>
      </c>
      <c r="L235" s="5">
        <v>0</v>
      </c>
      <c r="M235" s="5">
        <v>0</v>
      </c>
      <c r="N235" s="9">
        <v>0</v>
      </c>
      <c r="O235" s="8">
        <v>1</v>
      </c>
      <c r="P235" s="5">
        <v>7</v>
      </c>
      <c r="Q235" s="5">
        <v>0</v>
      </c>
      <c r="R235" s="9">
        <v>0</v>
      </c>
      <c r="S235" s="8">
        <v>0</v>
      </c>
      <c r="T235" s="5">
        <v>0</v>
      </c>
    </row>
    <row r="236" spans="1:20" x14ac:dyDescent="0.2">
      <c r="A236" s="5" t="s">
        <v>310</v>
      </c>
      <c r="B236" s="5" t="s">
        <v>69</v>
      </c>
      <c r="C236" s="17" t="s">
        <v>533</v>
      </c>
      <c r="D236" s="7">
        <f t="shared" si="0"/>
        <v>1.7000000000000002</v>
      </c>
      <c r="E236" s="8">
        <v>0</v>
      </c>
      <c r="F236" s="5">
        <v>0</v>
      </c>
      <c r="G236" s="5">
        <v>0</v>
      </c>
      <c r="H236" s="5">
        <v>0</v>
      </c>
      <c r="I236" s="5">
        <v>0</v>
      </c>
      <c r="J236" s="9">
        <v>0</v>
      </c>
      <c r="K236" s="8">
        <v>0</v>
      </c>
      <c r="L236" s="5">
        <v>0</v>
      </c>
      <c r="M236" s="5">
        <v>0</v>
      </c>
      <c r="N236" s="9">
        <v>0</v>
      </c>
      <c r="O236" s="8">
        <v>1</v>
      </c>
      <c r="P236" s="5">
        <v>7</v>
      </c>
      <c r="Q236" s="5">
        <v>0</v>
      </c>
      <c r="R236" s="9">
        <v>0</v>
      </c>
      <c r="S236" s="8">
        <v>0</v>
      </c>
      <c r="T236" s="5">
        <v>0</v>
      </c>
    </row>
    <row r="237" spans="1:20" x14ac:dyDescent="0.2">
      <c r="A237" s="5" t="s">
        <v>98</v>
      </c>
      <c r="B237" s="5" t="s">
        <v>75</v>
      </c>
      <c r="C237" s="17" t="s">
        <v>538</v>
      </c>
      <c r="D237" s="7">
        <f t="shared" si="0"/>
        <v>1.6</v>
      </c>
      <c r="E237" s="8">
        <v>0</v>
      </c>
      <c r="F237" s="5">
        <v>0</v>
      </c>
      <c r="G237" s="5">
        <v>0</v>
      </c>
      <c r="H237" s="5">
        <v>0</v>
      </c>
      <c r="I237" s="5">
        <v>0</v>
      </c>
      <c r="J237" s="9">
        <v>0</v>
      </c>
      <c r="K237" s="8">
        <v>0</v>
      </c>
      <c r="L237" s="5">
        <v>0</v>
      </c>
      <c r="M237" s="5">
        <v>0</v>
      </c>
      <c r="N237" s="9">
        <v>0</v>
      </c>
      <c r="O237" s="8">
        <v>2</v>
      </c>
      <c r="P237" s="5">
        <v>16</v>
      </c>
      <c r="Q237" s="5">
        <v>0</v>
      </c>
      <c r="R237" s="9">
        <v>0</v>
      </c>
      <c r="S237" s="8">
        <v>1</v>
      </c>
      <c r="T237" s="5">
        <v>0</v>
      </c>
    </row>
    <row r="238" spans="1:20" x14ac:dyDescent="0.2">
      <c r="A238" s="5" t="s">
        <v>528</v>
      </c>
      <c r="B238" s="5" t="s">
        <v>75</v>
      </c>
      <c r="C238" s="10" t="s">
        <v>537</v>
      </c>
      <c r="D238" s="7">
        <f t="shared" si="0"/>
        <v>1.6</v>
      </c>
      <c r="E238" s="8">
        <v>0</v>
      </c>
      <c r="F238" s="5">
        <v>0</v>
      </c>
      <c r="G238" s="5">
        <v>0</v>
      </c>
      <c r="H238" s="5">
        <v>0</v>
      </c>
      <c r="I238" s="5">
        <v>0</v>
      </c>
      <c r="J238" s="9">
        <v>0</v>
      </c>
      <c r="K238" s="8">
        <v>1</v>
      </c>
      <c r="L238" s="5">
        <v>0</v>
      </c>
      <c r="M238" s="5">
        <v>0</v>
      </c>
      <c r="N238" s="9">
        <v>0</v>
      </c>
      <c r="O238" s="8">
        <v>1</v>
      </c>
      <c r="P238" s="5">
        <v>6</v>
      </c>
      <c r="Q238" s="5">
        <v>0</v>
      </c>
      <c r="R238" s="9">
        <v>0</v>
      </c>
      <c r="S238" s="8">
        <v>0</v>
      </c>
      <c r="T238" s="5">
        <v>0</v>
      </c>
    </row>
    <row r="239" spans="1:20" x14ac:dyDescent="0.2">
      <c r="A239" s="5" t="s">
        <v>358</v>
      </c>
      <c r="B239" s="5" t="s">
        <v>162</v>
      </c>
      <c r="C239" s="10" t="s">
        <v>545</v>
      </c>
      <c r="D239" s="7">
        <f t="shared" si="0"/>
        <v>1.6</v>
      </c>
      <c r="E239" s="8">
        <v>0</v>
      </c>
      <c r="F239" s="5">
        <v>0</v>
      </c>
      <c r="G239" s="5">
        <v>0</v>
      </c>
      <c r="H239" s="5">
        <v>0</v>
      </c>
      <c r="I239" s="5">
        <v>0</v>
      </c>
      <c r="J239" s="9">
        <v>0</v>
      </c>
      <c r="K239" s="8">
        <v>0</v>
      </c>
      <c r="L239" s="5">
        <v>0</v>
      </c>
      <c r="M239" s="5">
        <v>0</v>
      </c>
      <c r="N239" s="9">
        <v>0</v>
      </c>
      <c r="O239" s="8">
        <v>1</v>
      </c>
      <c r="P239" s="5">
        <v>6</v>
      </c>
      <c r="Q239" s="5">
        <v>0</v>
      </c>
      <c r="R239" s="9">
        <v>0</v>
      </c>
      <c r="S239" s="8">
        <v>0</v>
      </c>
      <c r="T239" s="5">
        <v>0</v>
      </c>
    </row>
    <row r="240" spans="1:20" x14ac:dyDescent="0.2">
      <c r="A240" s="5" t="s">
        <v>357</v>
      </c>
      <c r="B240" s="5" t="s">
        <v>162</v>
      </c>
      <c r="C240" s="10" t="s">
        <v>541</v>
      </c>
      <c r="D240" s="7">
        <f t="shared" si="0"/>
        <v>1.6</v>
      </c>
      <c r="E240" s="8">
        <v>0</v>
      </c>
      <c r="F240" s="5">
        <v>0</v>
      </c>
      <c r="G240" s="5">
        <v>0</v>
      </c>
      <c r="H240" s="5">
        <v>0</v>
      </c>
      <c r="I240" s="5">
        <v>0</v>
      </c>
      <c r="J240" s="9">
        <v>0</v>
      </c>
      <c r="K240" s="8">
        <v>0</v>
      </c>
      <c r="L240" s="5">
        <v>0</v>
      </c>
      <c r="M240" s="5">
        <v>0</v>
      </c>
      <c r="N240" s="9">
        <v>0</v>
      </c>
      <c r="O240" s="8">
        <v>1</v>
      </c>
      <c r="P240" s="5">
        <v>6</v>
      </c>
      <c r="Q240" s="5">
        <v>0</v>
      </c>
      <c r="R240" s="9">
        <v>0</v>
      </c>
      <c r="S240" s="8">
        <v>0</v>
      </c>
      <c r="T240" s="5">
        <v>0</v>
      </c>
    </row>
    <row r="241" spans="1:20" x14ac:dyDescent="0.2">
      <c r="A241" s="5" t="s">
        <v>557</v>
      </c>
      <c r="B241" s="5" t="s">
        <v>162</v>
      </c>
      <c r="C241" s="17" t="s">
        <v>542</v>
      </c>
      <c r="D241" s="7">
        <f t="shared" si="0"/>
        <v>1.6</v>
      </c>
      <c r="E241" s="8">
        <v>0</v>
      </c>
      <c r="F241" s="5">
        <v>0</v>
      </c>
      <c r="G241" s="5">
        <v>0</v>
      </c>
      <c r="H241" s="5">
        <v>0</v>
      </c>
      <c r="I241" s="5">
        <v>0</v>
      </c>
      <c r="J241" s="9">
        <v>0</v>
      </c>
      <c r="K241" s="8">
        <v>0</v>
      </c>
      <c r="L241" s="5">
        <v>0</v>
      </c>
      <c r="M241" s="5">
        <v>0</v>
      </c>
      <c r="N241" s="9">
        <v>0</v>
      </c>
      <c r="O241" s="8">
        <v>1</v>
      </c>
      <c r="P241" s="5">
        <v>6</v>
      </c>
      <c r="Q241" s="5">
        <v>0</v>
      </c>
      <c r="R241" s="9">
        <v>0</v>
      </c>
      <c r="S241" s="8">
        <v>0</v>
      </c>
      <c r="T241" s="5">
        <v>0</v>
      </c>
    </row>
    <row r="242" spans="1:20" x14ac:dyDescent="0.2">
      <c r="A242" s="5" t="s">
        <v>260</v>
      </c>
      <c r="B242" s="5" t="s">
        <v>162</v>
      </c>
      <c r="C242" s="10" t="s">
        <v>543</v>
      </c>
      <c r="D242" s="7">
        <f t="shared" si="0"/>
        <v>1.5</v>
      </c>
      <c r="E242" s="8">
        <v>0</v>
      </c>
      <c r="F242" s="5">
        <v>0</v>
      </c>
      <c r="G242" s="5">
        <v>0</v>
      </c>
      <c r="H242" s="5">
        <v>0</v>
      </c>
      <c r="I242" s="5">
        <v>0</v>
      </c>
      <c r="J242" s="9">
        <v>0</v>
      </c>
      <c r="K242" s="8">
        <v>2</v>
      </c>
      <c r="L242" s="5">
        <v>15</v>
      </c>
      <c r="M242" s="5">
        <v>0</v>
      </c>
      <c r="N242" s="9">
        <v>0</v>
      </c>
      <c r="O242" s="8">
        <v>0</v>
      </c>
      <c r="P242" s="5">
        <v>0</v>
      </c>
      <c r="Q242" s="5">
        <v>0</v>
      </c>
      <c r="R242" s="9">
        <v>0</v>
      </c>
      <c r="S242" s="8">
        <v>0</v>
      </c>
      <c r="T242" s="5">
        <v>0</v>
      </c>
    </row>
    <row r="243" spans="1:20" x14ac:dyDescent="0.2">
      <c r="A243" s="5" t="s">
        <v>262</v>
      </c>
      <c r="B243" s="5" t="s">
        <v>162</v>
      </c>
      <c r="C243" s="17" t="s">
        <v>533</v>
      </c>
      <c r="D243" s="7">
        <f t="shared" si="0"/>
        <v>1.5</v>
      </c>
      <c r="E243" s="8">
        <v>0</v>
      </c>
      <c r="F243" s="5">
        <v>0</v>
      </c>
      <c r="G243" s="5">
        <v>0</v>
      </c>
      <c r="H243" s="5">
        <v>0</v>
      </c>
      <c r="I243" s="5">
        <v>0</v>
      </c>
      <c r="J243" s="9">
        <v>0</v>
      </c>
      <c r="K243" s="8">
        <v>0</v>
      </c>
      <c r="L243" s="5">
        <v>0</v>
      </c>
      <c r="M243" s="5">
        <v>0</v>
      </c>
      <c r="N243" s="9">
        <v>0</v>
      </c>
      <c r="O243" s="8">
        <v>1</v>
      </c>
      <c r="P243" s="5">
        <v>5</v>
      </c>
      <c r="Q243" s="5">
        <v>0</v>
      </c>
      <c r="R243" s="9">
        <v>0</v>
      </c>
      <c r="S243" s="8">
        <v>0</v>
      </c>
      <c r="T243" s="5">
        <v>0</v>
      </c>
    </row>
    <row r="244" spans="1:20" x14ac:dyDescent="0.2">
      <c r="A244" s="5" t="s">
        <v>420</v>
      </c>
      <c r="B244" s="5" t="s">
        <v>162</v>
      </c>
      <c r="C244" s="17" t="s">
        <v>539</v>
      </c>
      <c r="D244" s="7">
        <f t="shared" si="0"/>
        <v>1.5</v>
      </c>
      <c r="E244" s="8">
        <v>0</v>
      </c>
      <c r="F244" s="5">
        <v>0</v>
      </c>
      <c r="G244" s="5">
        <v>0</v>
      </c>
      <c r="H244" s="5">
        <v>0</v>
      </c>
      <c r="I244" s="5">
        <v>0</v>
      </c>
      <c r="J244" s="9">
        <v>0</v>
      </c>
      <c r="K244" s="8">
        <v>0</v>
      </c>
      <c r="L244" s="5">
        <v>0</v>
      </c>
      <c r="M244" s="5">
        <v>0</v>
      </c>
      <c r="N244" s="9">
        <v>0</v>
      </c>
      <c r="O244" s="8">
        <v>1</v>
      </c>
      <c r="P244" s="5">
        <v>5</v>
      </c>
      <c r="Q244" s="5">
        <v>0</v>
      </c>
      <c r="R244" s="9">
        <v>0</v>
      </c>
      <c r="S244" s="8">
        <v>0</v>
      </c>
      <c r="T244" s="5">
        <v>0</v>
      </c>
    </row>
    <row r="245" spans="1:20" x14ac:dyDescent="0.2">
      <c r="A245" s="5" t="s">
        <v>301</v>
      </c>
      <c r="B245" s="5" t="s">
        <v>69</v>
      </c>
      <c r="C245" s="10" t="s">
        <v>544</v>
      </c>
      <c r="D245" s="7">
        <f t="shared" si="0"/>
        <v>1.5</v>
      </c>
      <c r="E245" s="8">
        <v>0</v>
      </c>
      <c r="F245" s="5">
        <v>0</v>
      </c>
      <c r="G245" s="5">
        <v>0</v>
      </c>
      <c r="H245" s="5">
        <v>0</v>
      </c>
      <c r="I245" s="5">
        <v>0</v>
      </c>
      <c r="J245" s="9">
        <v>0</v>
      </c>
      <c r="K245" s="8">
        <v>0</v>
      </c>
      <c r="L245" s="5">
        <v>0</v>
      </c>
      <c r="M245" s="5">
        <v>0</v>
      </c>
      <c r="N245" s="9">
        <v>0</v>
      </c>
      <c r="O245" s="8">
        <v>1</v>
      </c>
      <c r="P245" s="5">
        <v>5</v>
      </c>
      <c r="Q245" s="5">
        <v>0</v>
      </c>
      <c r="R245" s="9">
        <v>0</v>
      </c>
      <c r="S245" s="8">
        <v>0</v>
      </c>
      <c r="T245" s="5">
        <v>0</v>
      </c>
    </row>
    <row r="246" spans="1:20" x14ac:dyDescent="0.2">
      <c r="A246" s="5" t="s">
        <v>86</v>
      </c>
      <c r="B246" s="5" t="s">
        <v>75</v>
      </c>
      <c r="C246" s="10" t="s">
        <v>535</v>
      </c>
      <c r="D246" s="7">
        <f t="shared" si="0"/>
        <v>1.4</v>
      </c>
      <c r="E246" s="8">
        <v>0</v>
      </c>
      <c r="F246" s="5">
        <v>0</v>
      </c>
      <c r="G246" s="5">
        <v>0</v>
      </c>
      <c r="H246" s="5">
        <v>0</v>
      </c>
      <c r="I246" s="5">
        <v>0</v>
      </c>
      <c r="J246" s="9">
        <v>0</v>
      </c>
      <c r="K246" s="8">
        <v>1</v>
      </c>
      <c r="L246" s="5">
        <v>2</v>
      </c>
      <c r="M246" s="5">
        <v>0</v>
      </c>
      <c r="N246" s="9">
        <v>0</v>
      </c>
      <c r="O246" s="8">
        <v>1</v>
      </c>
      <c r="P246" s="5">
        <v>2</v>
      </c>
      <c r="Q246" s="5">
        <v>0</v>
      </c>
      <c r="R246" s="9">
        <v>0</v>
      </c>
      <c r="S246" s="8">
        <v>0</v>
      </c>
      <c r="T246" s="5">
        <v>0</v>
      </c>
    </row>
    <row r="247" spans="1:20" x14ac:dyDescent="0.2">
      <c r="A247" s="5" t="s">
        <v>521</v>
      </c>
      <c r="B247" s="5" t="s">
        <v>162</v>
      </c>
      <c r="C247" s="10" t="s">
        <v>537</v>
      </c>
      <c r="D247" s="7">
        <f t="shared" si="0"/>
        <v>1.4</v>
      </c>
      <c r="E247" s="8">
        <v>0</v>
      </c>
      <c r="F247" s="5">
        <v>0</v>
      </c>
      <c r="G247" s="5">
        <v>0</v>
      </c>
      <c r="H247" s="5">
        <v>0</v>
      </c>
      <c r="I247" s="5">
        <v>0</v>
      </c>
      <c r="J247" s="9">
        <v>0</v>
      </c>
      <c r="K247" s="8">
        <v>0</v>
      </c>
      <c r="L247" s="5">
        <v>0</v>
      </c>
      <c r="M247" s="5">
        <v>0</v>
      </c>
      <c r="N247" s="9">
        <v>0</v>
      </c>
      <c r="O247" s="8">
        <v>1</v>
      </c>
      <c r="P247" s="5">
        <v>4</v>
      </c>
      <c r="Q247" s="5">
        <v>0</v>
      </c>
      <c r="R247" s="9">
        <v>0</v>
      </c>
      <c r="S247" s="8">
        <v>0</v>
      </c>
      <c r="T247" s="5">
        <v>0</v>
      </c>
    </row>
    <row r="248" spans="1:20" x14ac:dyDescent="0.2">
      <c r="A248" s="5" t="s">
        <v>303</v>
      </c>
      <c r="B248" s="5" t="s">
        <v>69</v>
      </c>
      <c r="C248" s="17" t="s">
        <v>544</v>
      </c>
      <c r="D248" s="7">
        <f t="shared" si="0"/>
        <v>1.4</v>
      </c>
      <c r="E248" s="8">
        <v>0</v>
      </c>
      <c r="F248" s="5">
        <v>0</v>
      </c>
      <c r="G248" s="5">
        <v>0</v>
      </c>
      <c r="H248" s="5">
        <v>0</v>
      </c>
      <c r="I248" s="5">
        <v>0</v>
      </c>
      <c r="J248" s="9">
        <v>0</v>
      </c>
      <c r="K248" s="8">
        <v>0</v>
      </c>
      <c r="L248" s="5">
        <v>0</v>
      </c>
      <c r="M248" s="5">
        <v>0</v>
      </c>
      <c r="N248" s="9">
        <v>0</v>
      </c>
      <c r="O248" s="8">
        <v>1</v>
      </c>
      <c r="P248" s="5">
        <v>4</v>
      </c>
      <c r="Q248" s="5">
        <v>0</v>
      </c>
      <c r="R248" s="9">
        <v>0</v>
      </c>
      <c r="S248" s="8">
        <v>0</v>
      </c>
      <c r="T248" s="5">
        <v>0</v>
      </c>
    </row>
    <row r="249" spans="1:20" x14ac:dyDescent="0.2">
      <c r="A249" s="5" t="s">
        <v>446</v>
      </c>
      <c r="B249" s="5" t="s">
        <v>69</v>
      </c>
      <c r="C249" s="10" t="s">
        <v>544</v>
      </c>
      <c r="D249" s="7">
        <f t="shared" si="0"/>
        <v>1.4</v>
      </c>
      <c r="E249" s="8">
        <v>0</v>
      </c>
      <c r="F249" s="5">
        <v>0</v>
      </c>
      <c r="G249" s="5">
        <v>0</v>
      </c>
      <c r="H249" s="5">
        <v>0</v>
      </c>
      <c r="I249" s="5">
        <v>0</v>
      </c>
      <c r="J249" s="9">
        <v>0</v>
      </c>
      <c r="K249" s="8">
        <v>0</v>
      </c>
      <c r="L249" s="5">
        <v>0</v>
      </c>
      <c r="M249" s="5">
        <v>0</v>
      </c>
      <c r="N249" s="9">
        <v>0</v>
      </c>
      <c r="O249" s="8">
        <v>1</v>
      </c>
      <c r="P249" s="5">
        <v>4</v>
      </c>
      <c r="Q249" s="5">
        <v>0</v>
      </c>
      <c r="R249" s="9">
        <v>0</v>
      </c>
      <c r="S249" s="8">
        <v>0</v>
      </c>
      <c r="T249" s="5">
        <v>0</v>
      </c>
    </row>
    <row r="250" spans="1:20" x14ac:dyDescent="0.2">
      <c r="A250" s="5" t="s">
        <v>283</v>
      </c>
      <c r="B250" s="5" t="s">
        <v>69</v>
      </c>
      <c r="C250" s="17" t="s">
        <v>538</v>
      </c>
      <c r="D250" s="7">
        <f t="shared" si="0"/>
        <v>1.4</v>
      </c>
      <c r="E250" s="8">
        <v>0</v>
      </c>
      <c r="F250" s="5">
        <v>0</v>
      </c>
      <c r="G250" s="5">
        <v>0</v>
      </c>
      <c r="H250" s="5">
        <v>0</v>
      </c>
      <c r="I250" s="5">
        <v>0</v>
      </c>
      <c r="J250" s="9">
        <v>0</v>
      </c>
      <c r="K250" s="8">
        <v>0</v>
      </c>
      <c r="L250" s="5">
        <v>0</v>
      </c>
      <c r="M250" s="5">
        <v>0</v>
      </c>
      <c r="N250" s="9">
        <v>0</v>
      </c>
      <c r="O250" s="8">
        <v>1</v>
      </c>
      <c r="P250" s="5">
        <v>4</v>
      </c>
      <c r="Q250" s="5">
        <v>0</v>
      </c>
      <c r="R250" s="9">
        <v>0</v>
      </c>
      <c r="S250" s="8">
        <v>0</v>
      </c>
      <c r="T250" s="5">
        <v>0</v>
      </c>
    </row>
    <row r="251" spans="1:20" x14ac:dyDescent="0.2">
      <c r="A251" s="5" t="s">
        <v>142</v>
      </c>
      <c r="B251" s="5" t="s">
        <v>75</v>
      </c>
      <c r="C251" s="17" t="s">
        <v>540</v>
      </c>
      <c r="D251" s="7">
        <f t="shared" si="0"/>
        <v>1.3</v>
      </c>
      <c r="E251" s="8">
        <v>0</v>
      </c>
      <c r="F251" s="5">
        <v>0</v>
      </c>
      <c r="G251" s="5">
        <v>0</v>
      </c>
      <c r="H251" s="5">
        <v>0</v>
      </c>
      <c r="I251" s="5">
        <v>0</v>
      </c>
      <c r="J251" s="9">
        <v>0</v>
      </c>
      <c r="K251" s="8">
        <v>4</v>
      </c>
      <c r="L251" s="5">
        <v>13</v>
      </c>
      <c r="M251" s="5">
        <v>0</v>
      </c>
      <c r="N251" s="9">
        <v>0</v>
      </c>
      <c r="O251" s="8">
        <v>0</v>
      </c>
      <c r="P251" s="5">
        <v>0</v>
      </c>
      <c r="Q251" s="5">
        <v>0</v>
      </c>
      <c r="R251" s="9">
        <v>0</v>
      </c>
      <c r="S251" s="8">
        <v>0</v>
      </c>
      <c r="T251" s="5">
        <v>0</v>
      </c>
    </row>
    <row r="252" spans="1:20" x14ac:dyDescent="0.2">
      <c r="A252" s="5" t="s">
        <v>487</v>
      </c>
      <c r="B252" s="5" t="s">
        <v>75</v>
      </c>
      <c r="C252" s="17" t="s">
        <v>541</v>
      </c>
      <c r="D252" s="7">
        <f t="shared" si="0"/>
        <v>1.3</v>
      </c>
      <c r="E252" s="8">
        <v>0</v>
      </c>
      <c r="F252" s="5">
        <v>0</v>
      </c>
      <c r="G252" s="5">
        <v>0</v>
      </c>
      <c r="H252" s="5">
        <v>0</v>
      </c>
      <c r="I252" s="5">
        <v>0</v>
      </c>
      <c r="J252" s="9">
        <v>0</v>
      </c>
      <c r="K252" s="8">
        <v>0</v>
      </c>
      <c r="L252" s="5">
        <v>0</v>
      </c>
      <c r="M252" s="5">
        <v>0</v>
      </c>
      <c r="N252" s="9">
        <v>0</v>
      </c>
      <c r="O252" s="8">
        <v>1</v>
      </c>
      <c r="P252" s="5">
        <v>3</v>
      </c>
      <c r="Q252" s="5">
        <v>0</v>
      </c>
      <c r="R252" s="9">
        <v>0</v>
      </c>
      <c r="S252" s="8">
        <v>0</v>
      </c>
      <c r="T252" s="5">
        <v>0</v>
      </c>
    </row>
    <row r="253" spans="1:20" x14ac:dyDescent="0.2">
      <c r="A253" s="5" t="s">
        <v>296</v>
      </c>
      <c r="B253" s="5" t="s">
        <v>69</v>
      </c>
      <c r="C253" s="17" t="s">
        <v>538</v>
      </c>
      <c r="D253" s="7">
        <f t="shared" si="0"/>
        <v>1.3</v>
      </c>
      <c r="E253" s="8">
        <v>0</v>
      </c>
      <c r="F253" s="5">
        <v>0</v>
      </c>
      <c r="G253" s="5">
        <v>0</v>
      </c>
      <c r="H253" s="5">
        <v>0</v>
      </c>
      <c r="I253" s="5">
        <v>0</v>
      </c>
      <c r="J253" s="9">
        <v>0</v>
      </c>
      <c r="K253" s="8">
        <v>0</v>
      </c>
      <c r="L253" s="5">
        <v>0</v>
      </c>
      <c r="M253" s="5">
        <v>0</v>
      </c>
      <c r="N253" s="9">
        <v>0</v>
      </c>
      <c r="O253" s="8">
        <v>1</v>
      </c>
      <c r="P253" s="5">
        <v>3</v>
      </c>
      <c r="Q253" s="5">
        <v>0</v>
      </c>
      <c r="R253" s="9">
        <v>0</v>
      </c>
      <c r="S253" s="8">
        <v>0</v>
      </c>
      <c r="T253" s="5">
        <v>0</v>
      </c>
    </row>
    <row r="254" spans="1:20" x14ac:dyDescent="0.2">
      <c r="A254" s="5" t="s">
        <v>134</v>
      </c>
      <c r="B254" s="5" t="s">
        <v>75</v>
      </c>
      <c r="C254" s="17" t="s">
        <v>535</v>
      </c>
      <c r="D254" s="7">
        <f t="shared" si="0"/>
        <v>1.2000000000000002</v>
      </c>
      <c r="E254" s="8">
        <v>0</v>
      </c>
      <c r="F254" s="5">
        <v>0</v>
      </c>
      <c r="G254" s="5">
        <v>0</v>
      </c>
      <c r="H254" s="5">
        <v>0</v>
      </c>
      <c r="I254" s="5">
        <v>0</v>
      </c>
      <c r="J254" s="9">
        <v>0</v>
      </c>
      <c r="K254" s="8">
        <v>3</v>
      </c>
      <c r="L254" s="5">
        <v>12</v>
      </c>
      <c r="M254" s="5">
        <v>0</v>
      </c>
      <c r="N254" s="9">
        <v>0</v>
      </c>
      <c r="O254" s="8">
        <v>0</v>
      </c>
      <c r="P254" s="5">
        <v>0</v>
      </c>
      <c r="Q254" s="5">
        <v>0</v>
      </c>
      <c r="R254" s="9">
        <v>0</v>
      </c>
      <c r="S254" s="8">
        <v>0</v>
      </c>
      <c r="T254" s="5">
        <v>0</v>
      </c>
    </row>
    <row r="255" spans="1:20" x14ac:dyDescent="0.2">
      <c r="A255" s="5" t="s">
        <v>282</v>
      </c>
      <c r="B255" s="5" t="s">
        <v>69</v>
      </c>
      <c r="C255" s="17" t="s">
        <v>537</v>
      </c>
      <c r="D255" s="7">
        <f t="shared" si="0"/>
        <v>1.2</v>
      </c>
      <c r="E255" s="8">
        <v>0</v>
      </c>
      <c r="F255" s="5">
        <v>0</v>
      </c>
      <c r="G255" s="5">
        <v>0</v>
      </c>
      <c r="H255" s="5">
        <v>0</v>
      </c>
      <c r="I255" s="5">
        <v>0</v>
      </c>
      <c r="J255" s="9">
        <v>0</v>
      </c>
      <c r="K255" s="8">
        <v>0</v>
      </c>
      <c r="L255" s="5">
        <v>0</v>
      </c>
      <c r="M255" s="5">
        <v>0</v>
      </c>
      <c r="N255" s="9">
        <v>0</v>
      </c>
      <c r="O255" s="8">
        <v>1</v>
      </c>
      <c r="P255" s="5">
        <v>2</v>
      </c>
      <c r="Q255" s="5">
        <v>0</v>
      </c>
      <c r="R255" s="9">
        <v>0</v>
      </c>
      <c r="S255" s="8">
        <v>0</v>
      </c>
      <c r="T255" s="5">
        <v>0</v>
      </c>
    </row>
    <row r="256" spans="1:20" x14ac:dyDescent="0.2">
      <c r="A256" s="5" t="s">
        <v>522</v>
      </c>
      <c r="B256" s="5" t="s">
        <v>75</v>
      </c>
      <c r="C256" s="10" t="s">
        <v>546</v>
      </c>
      <c r="D256" s="7">
        <f t="shared" si="0"/>
        <v>1.1000000000000001</v>
      </c>
      <c r="E256" s="8">
        <v>0</v>
      </c>
      <c r="F256" s="5">
        <v>0</v>
      </c>
      <c r="G256" s="5">
        <v>0</v>
      </c>
      <c r="H256" s="5">
        <v>0</v>
      </c>
      <c r="I256" s="5">
        <v>0</v>
      </c>
      <c r="J256" s="9">
        <v>0</v>
      </c>
      <c r="K256" s="8">
        <v>0</v>
      </c>
      <c r="L256" s="5">
        <v>0</v>
      </c>
      <c r="M256" s="5">
        <v>0</v>
      </c>
      <c r="N256" s="9">
        <v>0</v>
      </c>
      <c r="O256" s="8">
        <v>1</v>
      </c>
      <c r="P256" s="5">
        <v>1</v>
      </c>
      <c r="Q256" s="5">
        <v>0</v>
      </c>
      <c r="R256" s="9">
        <v>0</v>
      </c>
      <c r="S256" s="8">
        <v>0</v>
      </c>
      <c r="T256" s="5">
        <v>0</v>
      </c>
    </row>
    <row r="257" spans="1:20" x14ac:dyDescent="0.2">
      <c r="A257" s="5" t="s">
        <v>121</v>
      </c>
      <c r="B257" s="5" t="s">
        <v>75</v>
      </c>
      <c r="C257" s="10" t="s">
        <v>543</v>
      </c>
      <c r="D257" s="7">
        <f t="shared" si="0"/>
        <v>1.1000000000000001</v>
      </c>
      <c r="E257" s="8">
        <v>0</v>
      </c>
      <c r="F257" s="5">
        <v>0</v>
      </c>
      <c r="G257" s="5">
        <v>0</v>
      </c>
      <c r="H257" s="5">
        <v>0</v>
      </c>
      <c r="I257" s="5">
        <v>0</v>
      </c>
      <c r="J257" s="9">
        <v>0</v>
      </c>
      <c r="K257" s="8">
        <v>1</v>
      </c>
      <c r="L257" s="5">
        <v>11</v>
      </c>
      <c r="M257" s="5">
        <v>0</v>
      </c>
      <c r="N257" s="9">
        <v>0</v>
      </c>
      <c r="O257" s="8">
        <v>0</v>
      </c>
      <c r="P257" s="5">
        <v>0</v>
      </c>
      <c r="Q257" s="5">
        <v>0</v>
      </c>
      <c r="R257" s="9">
        <v>0</v>
      </c>
      <c r="S257" s="8">
        <v>0</v>
      </c>
      <c r="T257" s="5">
        <v>0</v>
      </c>
    </row>
    <row r="258" spans="1:20" x14ac:dyDescent="0.2">
      <c r="A258" s="5" t="s">
        <v>200</v>
      </c>
      <c r="B258" s="5" t="s">
        <v>162</v>
      </c>
      <c r="C258" s="17" t="s">
        <v>545</v>
      </c>
      <c r="D258" s="7">
        <f t="shared" ref="D258:D268" si="1">0.04*G258+4*H258-2*I258+2*J258+0.1*L258+6*M258+2*N258+1*O258+0.1*P258+6*Q258+2*R258-2*S258</f>
        <v>1.1000000000000001</v>
      </c>
      <c r="E258" s="8">
        <v>0</v>
      </c>
      <c r="F258" s="5">
        <v>0</v>
      </c>
      <c r="G258" s="5">
        <v>0</v>
      </c>
      <c r="H258" s="5">
        <v>0</v>
      </c>
      <c r="I258" s="5">
        <v>0</v>
      </c>
      <c r="J258" s="9">
        <v>0</v>
      </c>
      <c r="K258" s="8">
        <v>2</v>
      </c>
      <c r="L258" s="5">
        <v>11</v>
      </c>
      <c r="M258" s="5">
        <v>0</v>
      </c>
      <c r="N258" s="9">
        <v>0</v>
      </c>
      <c r="O258" s="8">
        <v>0</v>
      </c>
      <c r="P258" s="5">
        <v>0</v>
      </c>
      <c r="Q258" s="5">
        <v>0</v>
      </c>
      <c r="R258" s="9">
        <v>0</v>
      </c>
      <c r="S258" s="8">
        <v>0</v>
      </c>
      <c r="T258" s="5">
        <v>0</v>
      </c>
    </row>
    <row r="259" spans="1:20" x14ac:dyDescent="0.2">
      <c r="A259" s="5" t="s">
        <v>298</v>
      </c>
      <c r="B259" s="5" t="s">
        <v>69</v>
      </c>
      <c r="C259" s="17" t="s">
        <v>545</v>
      </c>
      <c r="D259" s="7">
        <f t="shared" si="1"/>
        <v>1.1000000000000001</v>
      </c>
      <c r="E259" s="8">
        <v>0</v>
      </c>
      <c r="F259" s="5">
        <v>0</v>
      </c>
      <c r="G259" s="5">
        <v>0</v>
      </c>
      <c r="H259" s="5">
        <v>0</v>
      </c>
      <c r="I259" s="5">
        <v>0</v>
      </c>
      <c r="J259" s="9">
        <v>0</v>
      </c>
      <c r="K259" s="8">
        <v>0</v>
      </c>
      <c r="L259" s="5">
        <v>0</v>
      </c>
      <c r="M259" s="5">
        <v>0</v>
      </c>
      <c r="N259" s="9">
        <v>0</v>
      </c>
      <c r="O259" s="8">
        <v>1</v>
      </c>
      <c r="P259" s="5">
        <v>1</v>
      </c>
      <c r="Q259" s="5">
        <v>0</v>
      </c>
      <c r="R259" s="9">
        <v>0</v>
      </c>
      <c r="S259" s="8">
        <v>0</v>
      </c>
      <c r="T259" s="5">
        <v>0</v>
      </c>
    </row>
    <row r="260" spans="1:20" x14ac:dyDescent="0.2">
      <c r="A260" s="5" t="s">
        <v>64</v>
      </c>
      <c r="B260" s="5" t="s">
        <v>17</v>
      </c>
      <c r="C260" s="10" t="s">
        <v>541</v>
      </c>
      <c r="D260" s="7">
        <f t="shared" si="1"/>
        <v>1.04</v>
      </c>
      <c r="E260" s="8">
        <v>16</v>
      </c>
      <c r="F260" s="5">
        <v>8</v>
      </c>
      <c r="G260" s="5">
        <v>76</v>
      </c>
      <c r="H260" s="5">
        <v>0</v>
      </c>
      <c r="I260" s="5">
        <v>1</v>
      </c>
      <c r="J260" s="9">
        <v>0</v>
      </c>
      <c r="K260" s="8">
        <v>0</v>
      </c>
      <c r="L260" s="5">
        <v>0</v>
      </c>
      <c r="M260" s="5">
        <v>0</v>
      </c>
      <c r="N260" s="9">
        <v>0</v>
      </c>
      <c r="O260" s="8">
        <v>0</v>
      </c>
      <c r="P260" s="5">
        <v>0</v>
      </c>
      <c r="Q260" s="5">
        <v>0</v>
      </c>
      <c r="R260" s="9">
        <v>0</v>
      </c>
      <c r="S260" s="8">
        <v>0</v>
      </c>
      <c r="T260" s="5">
        <v>0</v>
      </c>
    </row>
    <row r="261" spans="1:20" x14ac:dyDescent="0.2">
      <c r="A261" s="5" t="s">
        <v>558</v>
      </c>
      <c r="B261" s="5" t="s">
        <v>75</v>
      </c>
      <c r="C261" s="10" t="s">
        <v>534</v>
      </c>
      <c r="D261" s="7">
        <f t="shared" si="1"/>
        <v>1</v>
      </c>
      <c r="E261" s="8">
        <v>0</v>
      </c>
      <c r="F261" s="5">
        <v>0</v>
      </c>
      <c r="G261" s="5">
        <v>0</v>
      </c>
      <c r="H261" s="5">
        <v>0</v>
      </c>
      <c r="I261" s="5">
        <v>0</v>
      </c>
      <c r="J261" s="9">
        <v>0</v>
      </c>
      <c r="K261" s="8">
        <v>4</v>
      </c>
      <c r="L261" s="5">
        <v>10</v>
      </c>
      <c r="M261" s="5">
        <v>0</v>
      </c>
      <c r="N261" s="9">
        <v>0</v>
      </c>
      <c r="O261" s="8">
        <v>0</v>
      </c>
      <c r="P261" s="5">
        <v>0</v>
      </c>
      <c r="Q261" s="5">
        <v>0</v>
      </c>
      <c r="R261" s="9">
        <v>0</v>
      </c>
      <c r="S261" s="8">
        <v>0</v>
      </c>
      <c r="T261" s="5">
        <v>0</v>
      </c>
    </row>
    <row r="262" spans="1:20" x14ac:dyDescent="0.2">
      <c r="A262" s="5" t="s">
        <v>133</v>
      </c>
      <c r="B262" s="5" t="s">
        <v>75</v>
      </c>
      <c r="C262" s="17" t="s">
        <v>544</v>
      </c>
      <c r="D262" s="7">
        <f t="shared" si="1"/>
        <v>0.9</v>
      </c>
      <c r="E262" s="8">
        <v>0</v>
      </c>
      <c r="F262" s="5">
        <v>0</v>
      </c>
      <c r="G262" s="5">
        <v>0</v>
      </c>
      <c r="H262" s="5">
        <v>0</v>
      </c>
      <c r="I262" s="5">
        <v>0</v>
      </c>
      <c r="J262" s="9">
        <v>0</v>
      </c>
      <c r="K262" s="8">
        <v>0</v>
      </c>
      <c r="L262" s="5">
        <v>0</v>
      </c>
      <c r="M262" s="5">
        <v>0</v>
      </c>
      <c r="N262" s="9">
        <v>0</v>
      </c>
      <c r="O262" s="8">
        <v>1</v>
      </c>
      <c r="P262" s="5">
        <v>-1</v>
      </c>
      <c r="Q262" s="5">
        <v>0</v>
      </c>
      <c r="R262" s="9">
        <v>0</v>
      </c>
      <c r="S262" s="8">
        <v>0</v>
      </c>
      <c r="T262" s="5">
        <v>0</v>
      </c>
    </row>
    <row r="263" spans="1:20" x14ac:dyDescent="0.2">
      <c r="A263" s="5" t="s">
        <v>482</v>
      </c>
      <c r="B263" s="5" t="s">
        <v>75</v>
      </c>
      <c r="C263" s="10" t="s">
        <v>533</v>
      </c>
      <c r="D263" s="7">
        <f t="shared" si="1"/>
        <v>0.9</v>
      </c>
      <c r="E263" s="8">
        <v>0</v>
      </c>
      <c r="F263" s="5">
        <v>0</v>
      </c>
      <c r="G263" s="5">
        <v>0</v>
      </c>
      <c r="H263" s="5">
        <v>0</v>
      </c>
      <c r="I263" s="5">
        <v>0</v>
      </c>
      <c r="J263" s="9">
        <v>0</v>
      </c>
      <c r="K263" s="8">
        <v>6</v>
      </c>
      <c r="L263" s="5">
        <v>9</v>
      </c>
      <c r="M263" s="5">
        <v>0</v>
      </c>
      <c r="N263" s="9">
        <v>0</v>
      </c>
      <c r="O263" s="8">
        <v>0</v>
      </c>
      <c r="P263" s="5">
        <v>0</v>
      </c>
      <c r="Q263" s="5">
        <v>0</v>
      </c>
      <c r="R263" s="9">
        <v>0</v>
      </c>
      <c r="S263" s="8">
        <v>0</v>
      </c>
      <c r="T263" s="5">
        <v>0</v>
      </c>
    </row>
    <row r="264" spans="1:20" x14ac:dyDescent="0.2">
      <c r="A264" s="5" t="s">
        <v>123</v>
      </c>
      <c r="B264" s="5" t="s">
        <v>75</v>
      </c>
      <c r="C264" s="17" t="s">
        <v>539</v>
      </c>
      <c r="D264" s="7">
        <f t="shared" si="1"/>
        <v>0.5</v>
      </c>
      <c r="E264" s="8">
        <v>0</v>
      </c>
      <c r="F264" s="5">
        <v>0</v>
      </c>
      <c r="G264" s="5">
        <v>0</v>
      </c>
      <c r="H264" s="5">
        <v>0</v>
      </c>
      <c r="I264" s="5">
        <v>0</v>
      </c>
      <c r="J264" s="9">
        <v>0</v>
      </c>
      <c r="K264" s="8">
        <v>1</v>
      </c>
      <c r="L264" s="5">
        <v>5</v>
      </c>
      <c r="M264" s="5">
        <v>0</v>
      </c>
      <c r="N264" s="9">
        <v>0</v>
      </c>
      <c r="O264" s="8">
        <v>0</v>
      </c>
      <c r="P264" s="5">
        <v>0</v>
      </c>
      <c r="Q264" s="5">
        <v>0</v>
      </c>
      <c r="R264" s="9">
        <v>0</v>
      </c>
      <c r="S264" s="8">
        <v>0</v>
      </c>
      <c r="T264" s="5">
        <v>0</v>
      </c>
    </row>
    <row r="265" spans="1:20" x14ac:dyDescent="0.2">
      <c r="A265" s="5" t="s">
        <v>143</v>
      </c>
      <c r="B265" s="5" t="s">
        <v>75</v>
      </c>
      <c r="C265" s="17" t="s">
        <v>538</v>
      </c>
      <c r="D265" s="7">
        <f t="shared" si="1"/>
        <v>0.2</v>
      </c>
      <c r="E265" s="8">
        <v>0</v>
      </c>
      <c r="F265" s="5">
        <v>0</v>
      </c>
      <c r="G265" s="5">
        <v>0</v>
      </c>
      <c r="H265" s="5">
        <v>0</v>
      </c>
      <c r="I265" s="5">
        <v>0</v>
      </c>
      <c r="J265" s="9">
        <v>0</v>
      </c>
      <c r="K265" s="8">
        <v>2</v>
      </c>
      <c r="L265" s="5">
        <v>2</v>
      </c>
      <c r="M265" s="5">
        <v>0</v>
      </c>
      <c r="N265" s="9">
        <v>0</v>
      </c>
      <c r="O265" s="8">
        <v>0</v>
      </c>
      <c r="P265" s="5">
        <v>0</v>
      </c>
      <c r="Q265" s="5">
        <v>0</v>
      </c>
      <c r="R265" s="9">
        <v>0</v>
      </c>
      <c r="S265" s="8">
        <v>0</v>
      </c>
      <c r="T265" s="5">
        <v>0</v>
      </c>
    </row>
    <row r="266" spans="1:20" x14ac:dyDescent="0.2">
      <c r="A266" s="5" t="s">
        <v>519</v>
      </c>
      <c r="B266" s="5" t="s">
        <v>75</v>
      </c>
      <c r="C266" s="17" t="s">
        <v>540</v>
      </c>
      <c r="D266" s="7">
        <f t="shared" si="1"/>
        <v>0.2</v>
      </c>
      <c r="E266" s="8">
        <v>0</v>
      </c>
      <c r="F266" s="5">
        <v>0</v>
      </c>
      <c r="G266" s="5">
        <v>0</v>
      </c>
      <c r="H266" s="5">
        <v>0</v>
      </c>
      <c r="I266" s="5">
        <v>0</v>
      </c>
      <c r="J266" s="9">
        <v>0</v>
      </c>
      <c r="K266" s="8">
        <v>1</v>
      </c>
      <c r="L266" s="5">
        <v>2</v>
      </c>
      <c r="M266" s="5">
        <v>0</v>
      </c>
      <c r="N266" s="9">
        <v>0</v>
      </c>
      <c r="O266" s="8">
        <v>0</v>
      </c>
      <c r="P266" s="5">
        <v>0</v>
      </c>
      <c r="Q266" s="5">
        <v>0</v>
      </c>
      <c r="R266" s="9">
        <v>0</v>
      </c>
      <c r="S266" s="8">
        <v>0</v>
      </c>
      <c r="T266" s="5">
        <v>0</v>
      </c>
    </row>
    <row r="267" spans="1:20" x14ac:dyDescent="0.2">
      <c r="A267" s="5" t="s">
        <v>393</v>
      </c>
      <c r="B267" s="5" t="s">
        <v>75</v>
      </c>
      <c r="C267" s="10" t="s">
        <v>535</v>
      </c>
      <c r="D267" s="7">
        <f t="shared" si="1"/>
        <v>0.2</v>
      </c>
      <c r="E267" s="8">
        <v>0</v>
      </c>
      <c r="F267" s="5">
        <v>0</v>
      </c>
      <c r="G267" s="5">
        <v>0</v>
      </c>
      <c r="H267" s="5">
        <v>0</v>
      </c>
      <c r="I267" s="5">
        <v>0</v>
      </c>
      <c r="J267" s="9">
        <v>0</v>
      </c>
      <c r="K267" s="8">
        <v>1</v>
      </c>
      <c r="L267" s="5">
        <v>2</v>
      </c>
      <c r="M267" s="5">
        <v>0</v>
      </c>
      <c r="N267" s="9">
        <v>0</v>
      </c>
      <c r="O267" s="8">
        <v>0</v>
      </c>
      <c r="P267" s="5">
        <v>0</v>
      </c>
      <c r="Q267" s="5">
        <v>0</v>
      </c>
      <c r="R267" s="9">
        <v>0</v>
      </c>
      <c r="S267" s="8">
        <v>0</v>
      </c>
      <c r="T267" s="5">
        <v>0</v>
      </c>
    </row>
    <row r="268" spans="1:20" x14ac:dyDescent="0.2">
      <c r="A268" s="5" t="s">
        <v>127</v>
      </c>
      <c r="B268" s="5" t="s">
        <v>75</v>
      </c>
      <c r="C268" s="10" t="s">
        <v>540</v>
      </c>
      <c r="D268" s="7">
        <f t="shared" si="1"/>
        <v>0.1</v>
      </c>
      <c r="E268" s="8">
        <v>0</v>
      </c>
      <c r="F268" s="5">
        <v>0</v>
      </c>
      <c r="G268" s="5">
        <v>0</v>
      </c>
      <c r="H268" s="5">
        <v>0</v>
      </c>
      <c r="I268" s="5">
        <v>0</v>
      </c>
      <c r="J268" s="9">
        <v>0</v>
      </c>
      <c r="K268" s="8">
        <v>1</v>
      </c>
      <c r="L268" s="5">
        <v>1</v>
      </c>
      <c r="M268" s="5">
        <v>0</v>
      </c>
      <c r="N268" s="9">
        <v>0</v>
      </c>
      <c r="O268" s="8">
        <v>0</v>
      </c>
      <c r="P268" s="5">
        <v>0</v>
      </c>
      <c r="Q268" s="5">
        <v>0</v>
      </c>
      <c r="R268" s="9">
        <v>0</v>
      </c>
      <c r="S268" s="8">
        <v>0</v>
      </c>
      <c r="T268" s="5">
        <v>0</v>
      </c>
    </row>
    <row r="269" spans="1:20" x14ac:dyDescent="0.2">
      <c r="A269" s="5" t="s">
        <v>320</v>
      </c>
      <c r="B269" s="5"/>
      <c r="C269" s="10"/>
      <c r="D269" s="10">
        <v>0</v>
      </c>
      <c r="E269" s="8"/>
      <c r="F269" s="5"/>
      <c r="G269" s="5"/>
      <c r="H269" s="5"/>
      <c r="I269" s="5"/>
      <c r="J269" s="9"/>
      <c r="K269" s="8"/>
      <c r="L269" s="5"/>
      <c r="M269" s="5"/>
      <c r="N269" s="9"/>
      <c r="O269" s="8"/>
      <c r="P269" s="5"/>
      <c r="Q269" s="5"/>
      <c r="R269" s="9"/>
      <c r="S269" s="8"/>
      <c r="T269" s="5"/>
    </row>
    <row r="270" spans="1:20" x14ac:dyDescent="0.2">
      <c r="A270" s="5" t="s">
        <v>452</v>
      </c>
      <c r="B270" s="5" t="s">
        <v>17</v>
      </c>
      <c r="C270" s="10" t="s">
        <v>536</v>
      </c>
      <c r="D270" s="7">
        <f t="shared" ref="D270:D275" si="2">0.04*G270+4*H270-2*I270+2*J270+0.1*L270+6*M270+2*N270+1*O270+0.1*P270+6*Q270+2*R270-2*S270</f>
        <v>-0.2</v>
      </c>
      <c r="E270" s="8">
        <v>0</v>
      </c>
      <c r="F270" s="5">
        <v>0</v>
      </c>
      <c r="G270" s="5">
        <v>0</v>
      </c>
      <c r="H270" s="5">
        <v>0</v>
      </c>
      <c r="I270" s="5">
        <v>0</v>
      </c>
      <c r="J270" s="9">
        <v>0</v>
      </c>
      <c r="K270" s="8">
        <v>3</v>
      </c>
      <c r="L270" s="5">
        <v>-2</v>
      </c>
      <c r="M270" s="5">
        <v>0</v>
      </c>
      <c r="N270" s="9">
        <v>0</v>
      </c>
      <c r="O270" s="8">
        <v>0</v>
      </c>
      <c r="P270" s="5">
        <v>0</v>
      </c>
      <c r="Q270" s="5">
        <v>0</v>
      </c>
      <c r="R270" s="9">
        <v>0</v>
      </c>
      <c r="S270" s="8">
        <v>0</v>
      </c>
      <c r="T270" s="5">
        <v>0</v>
      </c>
    </row>
    <row r="271" spans="1:20" x14ac:dyDescent="0.2">
      <c r="A271" s="5" t="s">
        <v>148</v>
      </c>
      <c r="B271" s="5" t="s">
        <v>75</v>
      </c>
      <c r="C271" s="17" t="s">
        <v>545</v>
      </c>
      <c r="D271" s="7">
        <f t="shared" si="2"/>
        <v>-0.30000000000000004</v>
      </c>
      <c r="E271" s="8">
        <v>0</v>
      </c>
      <c r="F271" s="5">
        <v>0</v>
      </c>
      <c r="G271" s="5">
        <v>0</v>
      </c>
      <c r="H271" s="5">
        <v>0</v>
      </c>
      <c r="I271" s="5">
        <v>0</v>
      </c>
      <c r="J271" s="9">
        <v>0</v>
      </c>
      <c r="K271" s="8">
        <v>2</v>
      </c>
      <c r="L271" s="5">
        <v>-3</v>
      </c>
      <c r="M271" s="5">
        <v>0</v>
      </c>
      <c r="N271" s="9">
        <v>0</v>
      </c>
      <c r="O271" s="8">
        <v>0</v>
      </c>
      <c r="P271" s="5">
        <v>0</v>
      </c>
      <c r="Q271" s="5">
        <v>0</v>
      </c>
      <c r="R271" s="9">
        <v>0</v>
      </c>
      <c r="S271" s="8">
        <v>0</v>
      </c>
      <c r="T271" s="5">
        <v>0</v>
      </c>
    </row>
    <row r="272" spans="1:20" x14ac:dyDescent="0.2">
      <c r="A272" s="5" t="s">
        <v>559</v>
      </c>
      <c r="B272" s="5" t="s">
        <v>162</v>
      </c>
      <c r="C272" s="10" t="s">
        <v>541</v>
      </c>
      <c r="D272" s="7">
        <f t="shared" si="2"/>
        <v>-0.39999999999999991</v>
      </c>
      <c r="E272" s="8">
        <v>0</v>
      </c>
      <c r="F272" s="5">
        <v>0</v>
      </c>
      <c r="G272" s="5">
        <v>0</v>
      </c>
      <c r="H272" s="5">
        <v>0</v>
      </c>
      <c r="I272" s="5">
        <v>0</v>
      </c>
      <c r="J272" s="9">
        <v>0</v>
      </c>
      <c r="K272" s="8">
        <v>0</v>
      </c>
      <c r="L272" s="5">
        <v>0</v>
      </c>
      <c r="M272" s="5">
        <v>0</v>
      </c>
      <c r="N272" s="9">
        <v>0</v>
      </c>
      <c r="O272" s="8">
        <v>1</v>
      </c>
      <c r="P272" s="5">
        <v>6</v>
      </c>
      <c r="Q272" s="5">
        <v>0</v>
      </c>
      <c r="R272" s="9">
        <v>0</v>
      </c>
      <c r="S272" s="8">
        <v>1</v>
      </c>
      <c r="T272" s="5">
        <v>0</v>
      </c>
    </row>
    <row r="273" spans="1:20" x14ac:dyDescent="0.2">
      <c r="A273" s="5" t="s">
        <v>361</v>
      </c>
      <c r="B273" s="5" t="s">
        <v>162</v>
      </c>
      <c r="C273" s="17" t="s">
        <v>535</v>
      </c>
      <c r="D273" s="7">
        <f t="shared" si="2"/>
        <v>-2</v>
      </c>
      <c r="E273" s="8">
        <v>0</v>
      </c>
      <c r="F273" s="5">
        <v>0</v>
      </c>
      <c r="G273" s="5">
        <v>0</v>
      </c>
      <c r="H273" s="5">
        <v>0</v>
      </c>
      <c r="I273" s="5">
        <v>0</v>
      </c>
      <c r="J273" s="9">
        <v>0</v>
      </c>
      <c r="K273" s="8">
        <v>0</v>
      </c>
      <c r="L273" s="5">
        <v>0</v>
      </c>
      <c r="M273" s="5">
        <v>0</v>
      </c>
      <c r="N273" s="9">
        <v>0</v>
      </c>
      <c r="O273" s="8">
        <v>0</v>
      </c>
      <c r="P273" s="5">
        <v>0</v>
      </c>
      <c r="Q273" s="5">
        <v>0</v>
      </c>
      <c r="R273" s="9">
        <v>0</v>
      </c>
      <c r="S273" s="8">
        <v>1</v>
      </c>
      <c r="T273" s="5">
        <v>0</v>
      </c>
    </row>
    <row r="274" spans="1:20" x14ac:dyDescent="0.2">
      <c r="A274" s="5" t="s">
        <v>560</v>
      </c>
      <c r="B274" s="5" t="s">
        <v>162</v>
      </c>
      <c r="C274" s="10" t="s">
        <v>534</v>
      </c>
      <c r="D274" s="7">
        <f t="shared" si="2"/>
        <v>-2</v>
      </c>
      <c r="E274" s="8">
        <v>0</v>
      </c>
      <c r="F274" s="5">
        <v>0</v>
      </c>
      <c r="G274" s="5">
        <v>0</v>
      </c>
      <c r="H274" s="5">
        <v>0</v>
      </c>
      <c r="I274" s="5">
        <v>0</v>
      </c>
      <c r="J274" s="9">
        <v>0</v>
      </c>
      <c r="K274" s="8">
        <v>0</v>
      </c>
      <c r="L274" s="5">
        <v>0</v>
      </c>
      <c r="M274" s="5">
        <v>0</v>
      </c>
      <c r="N274" s="9">
        <v>0</v>
      </c>
      <c r="O274" s="8">
        <v>0</v>
      </c>
      <c r="P274" s="5">
        <v>0</v>
      </c>
      <c r="Q274" s="5">
        <v>0</v>
      </c>
      <c r="R274" s="9">
        <v>0</v>
      </c>
      <c r="S274" s="8">
        <v>1</v>
      </c>
      <c r="T274" s="5">
        <v>0</v>
      </c>
    </row>
    <row r="275" spans="1:20" x14ac:dyDescent="0.2">
      <c r="A275" s="5" t="s">
        <v>425</v>
      </c>
      <c r="B275" s="5" t="s">
        <v>17</v>
      </c>
      <c r="C275" s="10" t="s">
        <v>532</v>
      </c>
      <c r="D275" s="7">
        <f t="shared" si="2"/>
        <v>-2.4</v>
      </c>
      <c r="E275" s="8">
        <v>1</v>
      </c>
      <c r="F275" s="5">
        <v>0</v>
      </c>
      <c r="G275" s="5">
        <v>0</v>
      </c>
      <c r="H275" s="5">
        <v>0</v>
      </c>
      <c r="I275" s="5">
        <v>1</v>
      </c>
      <c r="J275" s="9">
        <v>0</v>
      </c>
      <c r="K275" s="8">
        <v>3</v>
      </c>
      <c r="L275" s="5">
        <v>-4</v>
      </c>
      <c r="M275" s="5">
        <v>0</v>
      </c>
      <c r="N275" s="9">
        <v>0</v>
      </c>
      <c r="O275" s="8">
        <v>0</v>
      </c>
      <c r="P275" s="5">
        <v>0</v>
      </c>
      <c r="Q275" s="5">
        <v>0</v>
      </c>
      <c r="R275" s="9">
        <v>0</v>
      </c>
      <c r="S275" s="8">
        <v>0</v>
      </c>
      <c r="T275" s="9">
        <v>0</v>
      </c>
    </row>
    <row r="276" spans="1:20" x14ac:dyDescent="0.2">
      <c r="A276" s="5"/>
      <c r="B276" s="5"/>
      <c r="C276" s="10"/>
      <c r="D276" s="10"/>
      <c r="E276" s="8"/>
      <c r="F276" s="5"/>
      <c r="G276" s="5"/>
      <c r="H276" s="5"/>
      <c r="I276" s="5"/>
      <c r="J276" s="9"/>
      <c r="K276" s="8"/>
      <c r="L276" s="5"/>
      <c r="M276" s="5"/>
      <c r="N276" s="9"/>
      <c r="O276" s="8"/>
      <c r="P276" s="5"/>
      <c r="Q276" s="5"/>
      <c r="R276" s="9"/>
      <c r="S276" s="8"/>
      <c r="T276" s="5"/>
    </row>
    <row r="277" spans="1:20" x14ac:dyDescent="0.2">
      <c r="A277" s="5"/>
      <c r="B277" s="5"/>
      <c r="C277" s="10"/>
      <c r="D277" s="10"/>
      <c r="E277" s="8"/>
      <c r="F277" s="5"/>
      <c r="G277" s="5"/>
      <c r="H277" s="5"/>
      <c r="I277" s="5"/>
      <c r="J277" s="9"/>
      <c r="K277" s="8"/>
      <c r="L277" s="5"/>
      <c r="M277" s="5"/>
      <c r="N277" s="9"/>
      <c r="O277" s="8"/>
      <c r="P277" s="5"/>
      <c r="Q277" s="5"/>
      <c r="R277" s="9"/>
      <c r="S277" s="8"/>
      <c r="T277" s="5"/>
    </row>
    <row r="278" spans="1:20" x14ac:dyDescent="0.2">
      <c r="A278" s="5"/>
      <c r="B278" s="5"/>
      <c r="C278" s="10"/>
      <c r="D278" s="10"/>
      <c r="E278" s="8"/>
      <c r="F278" s="5"/>
      <c r="G278" s="5"/>
      <c r="H278" s="5"/>
      <c r="I278" s="5"/>
      <c r="J278" s="9"/>
      <c r="K278" s="8"/>
      <c r="L278" s="5"/>
      <c r="M278" s="5"/>
      <c r="N278" s="9"/>
      <c r="O278" s="8"/>
      <c r="P278" s="5"/>
      <c r="Q278" s="5"/>
      <c r="R278" s="9"/>
      <c r="S278" s="8"/>
      <c r="T278" s="5"/>
    </row>
    <row r="279" spans="1:20" x14ac:dyDescent="0.2">
      <c r="A279" s="5"/>
      <c r="B279" s="5"/>
      <c r="C279" s="10"/>
      <c r="D279" s="10"/>
      <c r="E279" s="8"/>
      <c r="F279" s="5"/>
      <c r="G279" s="5"/>
      <c r="H279" s="5"/>
      <c r="I279" s="5"/>
      <c r="J279" s="9"/>
      <c r="K279" s="8"/>
      <c r="L279" s="5"/>
      <c r="M279" s="5"/>
      <c r="N279" s="9"/>
      <c r="O279" s="8"/>
      <c r="P279" s="5"/>
      <c r="Q279" s="5"/>
      <c r="R279" s="9"/>
      <c r="S279" s="8"/>
      <c r="T279" s="5"/>
    </row>
    <row r="280" spans="1:20" x14ac:dyDescent="0.2">
      <c r="A280" s="5"/>
      <c r="B280" s="5"/>
      <c r="C280" s="10"/>
      <c r="D280" s="10"/>
      <c r="E280" s="8"/>
      <c r="F280" s="5"/>
      <c r="G280" s="5"/>
      <c r="H280" s="5"/>
      <c r="I280" s="5"/>
      <c r="J280" s="9"/>
      <c r="K280" s="8"/>
      <c r="L280" s="5"/>
      <c r="M280" s="5"/>
      <c r="N280" s="9"/>
      <c r="O280" s="8"/>
      <c r="P280" s="5"/>
      <c r="Q280" s="5"/>
      <c r="R280" s="9"/>
      <c r="S280" s="8"/>
      <c r="T280" s="5"/>
    </row>
  </sheetData>
  <autoFilter ref="A2:T275" xr:uid="{00000000-0009-0000-0000-000005000000}">
    <sortState xmlns:xlrd2="http://schemas.microsoft.com/office/spreadsheetml/2017/richdata2" ref="A2:T275">
      <sortCondition descending="1" ref="D2:D275"/>
    </sortState>
  </autoFilter>
  <mergeCells count="4">
    <mergeCell ref="E1:J1"/>
    <mergeCell ref="K1:N1"/>
    <mergeCell ref="O1:R1"/>
    <mergeCell ref="S1:T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250"/>
  <sheetViews>
    <sheetView workbookViewId="0"/>
  </sheetViews>
  <sheetFormatPr defaultColWidth="12.5703125" defaultRowHeight="15.75" customHeight="1" x14ac:dyDescent="0.2"/>
  <cols>
    <col min="1" max="1" width="19.85546875" customWidth="1"/>
    <col min="2" max="2" width="9.85546875" customWidth="1"/>
    <col min="3" max="3" width="10"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343</v>
      </c>
      <c r="B3" s="5" t="s">
        <v>69</v>
      </c>
      <c r="C3" s="10" t="s">
        <v>561</v>
      </c>
      <c r="D3" s="7">
        <f t="shared" ref="D3:D244" si="0">0.04*G3+4*H3-2*I3+2*J3+0.1*L3+6*M3+2*N3+1*O3+0.1*P3+6*Q3+2*R3-2*S3</f>
        <v>35.900000000000006</v>
      </c>
      <c r="E3" s="8">
        <v>0</v>
      </c>
      <c r="F3" s="5">
        <v>0</v>
      </c>
      <c r="G3" s="5">
        <v>0</v>
      </c>
      <c r="H3" s="5">
        <v>0</v>
      </c>
      <c r="I3" s="5">
        <v>0</v>
      </c>
      <c r="J3" s="9">
        <v>0</v>
      </c>
      <c r="K3" s="8">
        <v>0</v>
      </c>
      <c r="L3" s="5">
        <v>0</v>
      </c>
      <c r="M3" s="5">
        <v>0</v>
      </c>
      <c r="N3" s="9">
        <v>0</v>
      </c>
      <c r="O3" s="8">
        <v>12</v>
      </c>
      <c r="P3" s="5">
        <v>179</v>
      </c>
      <c r="Q3" s="5">
        <v>1</v>
      </c>
      <c r="R3" s="9">
        <v>0</v>
      </c>
      <c r="S3" s="8">
        <v>0</v>
      </c>
      <c r="T3" s="5">
        <v>0</v>
      </c>
    </row>
    <row r="4" spans="1:20" x14ac:dyDescent="0.2">
      <c r="A4" s="5" t="s">
        <v>58</v>
      </c>
      <c r="B4" s="5" t="s">
        <v>17</v>
      </c>
      <c r="C4" s="10" t="s">
        <v>562</v>
      </c>
      <c r="D4" s="7">
        <f t="shared" si="0"/>
        <v>33.880000000000003</v>
      </c>
      <c r="E4" s="8">
        <v>27</v>
      </c>
      <c r="F4" s="5">
        <v>21</v>
      </c>
      <c r="G4" s="5">
        <v>357</v>
      </c>
      <c r="H4" s="5">
        <v>3</v>
      </c>
      <c r="I4" s="5">
        <v>0</v>
      </c>
      <c r="J4" s="9">
        <v>0</v>
      </c>
      <c r="K4" s="8">
        <v>9</v>
      </c>
      <c r="L4" s="5">
        <v>36</v>
      </c>
      <c r="M4" s="5">
        <v>1</v>
      </c>
      <c r="N4" s="9">
        <v>0</v>
      </c>
      <c r="O4" s="8">
        <v>0</v>
      </c>
      <c r="P4" s="5">
        <v>0</v>
      </c>
      <c r="Q4" s="5">
        <v>0</v>
      </c>
      <c r="R4" s="9">
        <v>0</v>
      </c>
      <c r="S4" s="8">
        <v>1</v>
      </c>
      <c r="T4" s="5">
        <v>0</v>
      </c>
    </row>
    <row r="5" spans="1:20" x14ac:dyDescent="0.2">
      <c r="A5" s="5" t="s">
        <v>23</v>
      </c>
      <c r="B5" s="5" t="s">
        <v>17</v>
      </c>
      <c r="C5" s="10" t="s">
        <v>561</v>
      </c>
      <c r="D5" s="7">
        <f t="shared" si="0"/>
        <v>33.86</v>
      </c>
      <c r="E5" s="8">
        <v>42</v>
      </c>
      <c r="F5" s="5">
        <v>32</v>
      </c>
      <c r="G5" s="5">
        <v>424</v>
      </c>
      <c r="H5" s="5">
        <v>4</v>
      </c>
      <c r="I5" s="5">
        <v>1</v>
      </c>
      <c r="J5" s="9">
        <v>0</v>
      </c>
      <c r="K5" s="8">
        <v>4</v>
      </c>
      <c r="L5" s="5">
        <v>29</v>
      </c>
      <c r="M5" s="5">
        <v>0</v>
      </c>
      <c r="N5" s="9">
        <v>0</v>
      </c>
      <c r="O5" s="8">
        <v>0</v>
      </c>
      <c r="P5" s="5">
        <v>0</v>
      </c>
      <c r="Q5" s="5">
        <v>0</v>
      </c>
      <c r="R5" s="9">
        <v>0</v>
      </c>
      <c r="S5" s="8">
        <v>0</v>
      </c>
      <c r="T5" s="5">
        <v>0</v>
      </c>
    </row>
    <row r="6" spans="1:20" x14ac:dyDescent="0.2">
      <c r="A6" s="5" t="s">
        <v>125</v>
      </c>
      <c r="B6" s="5" t="s">
        <v>75</v>
      </c>
      <c r="C6" s="10" t="s">
        <v>563</v>
      </c>
      <c r="D6" s="7">
        <f t="shared" si="0"/>
        <v>33</v>
      </c>
      <c r="E6" s="8">
        <v>0</v>
      </c>
      <c r="F6" s="5">
        <v>0</v>
      </c>
      <c r="G6" s="5">
        <v>0</v>
      </c>
      <c r="H6" s="5">
        <v>0</v>
      </c>
      <c r="I6" s="5">
        <v>0</v>
      </c>
      <c r="J6" s="9">
        <v>0</v>
      </c>
      <c r="K6" s="8">
        <v>16</v>
      </c>
      <c r="L6" s="5">
        <v>89</v>
      </c>
      <c r="M6" s="5">
        <v>2</v>
      </c>
      <c r="N6" s="9">
        <v>0</v>
      </c>
      <c r="O6" s="8">
        <v>3</v>
      </c>
      <c r="P6" s="5">
        <v>31</v>
      </c>
      <c r="Q6" s="5">
        <v>1</v>
      </c>
      <c r="R6" s="9">
        <v>0</v>
      </c>
      <c r="S6" s="8">
        <v>0</v>
      </c>
      <c r="T6" s="5">
        <v>0</v>
      </c>
    </row>
    <row r="7" spans="1:20" x14ac:dyDescent="0.2">
      <c r="A7" s="5" t="s">
        <v>178</v>
      </c>
      <c r="B7" s="5" t="s">
        <v>162</v>
      </c>
      <c r="C7" s="10" t="s">
        <v>564</v>
      </c>
      <c r="D7" s="7">
        <f t="shared" si="0"/>
        <v>31.3</v>
      </c>
      <c r="E7" s="8">
        <v>0</v>
      </c>
      <c r="F7" s="5">
        <v>0</v>
      </c>
      <c r="G7" s="5">
        <v>0</v>
      </c>
      <c r="H7" s="5">
        <v>0</v>
      </c>
      <c r="I7" s="5">
        <v>0</v>
      </c>
      <c r="J7" s="9">
        <v>0</v>
      </c>
      <c r="K7" s="8">
        <v>0</v>
      </c>
      <c r="L7" s="5">
        <v>0</v>
      </c>
      <c r="M7" s="5">
        <v>0</v>
      </c>
      <c r="N7" s="9">
        <v>0</v>
      </c>
      <c r="O7" s="8">
        <v>7</v>
      </c>
      <c r="P7" s="5">
        <v>123</v>
      </c>
      <c r="Q7" s="5">
        <v>2</v>
      </c>
      <c r="R7" s="9">
        <v>0</v>
      </c>
      <c r="S7" s="8">
        <v>0</v>
      </c>
      <c r="T7" s="5">
        <v>0</v>
      </c>
    </row>
    <row r="8" spans="1:20" x14ac:dyDescent="0.2">
      <c r="A8" s="5" t="s">
        <v>182</v>
      </c>
      <c r="B8" s="5" t="s">
        <v>162</v>
      </c>
      <c r="C8" s="10" t="s">
        <v>565</v>
      </c>
      <c r="D8" s="7">
        <f t="shared" si="0"/>
        <v>29.700000000000003</v>
      </c>
      <c r="E8" s="8">
        <v>0</v>
      </c>
      <c r="F8" s="5">
        <v>0</v>
      </c>
      <c r="G8" s="5">
        <v>0</v>
      </c>
      <c r="H8" s="5">
        <v>0</v>
      </c>
      <c r="I8" s="5">
        <v>0</v>
      </c>
      <c r="J8" s="9">
        <v>0</v>
      </c>
      <c r="K8" s="8">
        <v>0</v>
      </c>
      <c r="L8" s="5">
        <v>0</v>
      </c>
      <c r="M8" s="5">
        <v>0</v>
      </c>
      <c r="N8" s="9">
        <v>0</v>
      </c>
      <c r="O8" s="8">
        <v>10</v>
      </c>
      <c r="P8" s="5">
        <v>137</v>
      </c>
      <c r="Q8" s="5">
        <v>1</v>
      </c>
      <c r="R8" s="9">
        <v>0</v>
      </c>
      <c r="S8" s="8">
        <v>0</v>
      </c>
      <c r="T8" s="5">
        <v>0</v>
      </c>
    </row>
    <row r="9" spans="1:20" x14ac:dyDescent="0.2">
      <c r="A9" s="5" t="s">
        <v>470</v>
      </c>
      <c r="B9" s="5" t="s">
        <v>75</v>
      </c>
      <c r="C9" s="10" t="s">
        <v>566</v>
      </c>
      <c r="D9" s="7">
        <f t="shared" si="0"/>
        <v>29.299999999999997</v>
      </c>
      <c r="E9" s="8">
        <v>0</v>
      </c>
      <c r="F9" s="5">
        <v>0</v>
      </c>
      <c r="G9" s="5">
        <v>0</v>
      </c>
      <c r="H9" s="5">
        <v>0</v>
      </c>
      <c r="I9" s="5">
        <v>0</v>
      </c>
      <c r="J9" s="9">
        <v>0</v>
      </c>
      <c r="K9" s="8">
        <v>17</v>
      </c>
      <c r="L9" s="5">
        <v>62</v>
      </c>
      <c r="M9" s="5">
        <v>0</v>
      </c>
      <c r="N9" s="9">
        <v>0</v>
      </c>
      <c r="O9" s="8">
        <v>12</v>
      </c>
      <c r="P9" s="5">
        <v>91</v>
      </c>
      <c r="Q9" s="5">
        <v>0</v>
      </c>
      <c r="R9" s="9">
        <v>1</v>
      </c>
      <c r="S9" s="8">
        <v>0</v>
      </c>
      <c r="T9" s="5">
        <v>0</v>
      </c>
    </row>
    <row r="10" spans="1:20" x14ac:dyDescent="0.2">
      <c r="A10" s="5" t="s">
        <v>111</v>
      </c>
      <c r="B10" s="5" t="s">
        <v>75</v>
      </c>
      <c r="C10" s="17" t="s">
        <v>562</v>
      </c>
      <c r="D10" s="7">
        <f t="shared" si="0"/>
        <v>27.6</v>
      </c>
      <c r="E10" s="8">
        <v>0</v>
      </c>
      <c r="F10" s="5">
        <v>0</v>
      </c>
      <c r="G10" s="5">
        <v>0</v>
      </c>
      <c r="H10" s="5">
        <v>0</v>
      </c>
      <c r="I10" s="5">
        <v>0</v>
      </c>
      <c r="J10" s="9">
        <v>0</v>
      </c>
      <c r="K10" s="8">
        <v>11</v>
      </c>
      <c r="L10" s="5">
        <v>68</v>
      </c>
      <c r="M10" s="5">
        <v>1</v>
      </c>
      <c r="N10" s="9">
        <v>0</v>
      </c>
      <c r="O10" s="8">
        <v>9</v>
      </c>
      <c r="P10" s="5">
        <v>58</v>
      </c>
      <c r="Q10" s="5">
        <v>0</v>
      </c>
      <c r="R10" s="9">
        <v>0</v>
      </c>
      <c r="S10" s="8">
        <v>0</v>
      </c>
      <c r="T10" s="5">
        <v>0</v>
      </c>
    </row>
    <row r="11" spans="1:20" x14ac:dyDescent="0.2">
      <c r="A11" s="5" t="s">
        <v>70</v>
      </c>
      <c r="B11" s="5" t="s">
        <v>17</v>
      </c>
      <c r="C11" s="10" t="s">
        <v>567</v>
      </c>
      <c r="D11" s="7">
        <f t="shared" si="0"/>
        <v>27.1</v>
      </c>
      <c r="E11" s="8">
        <v>23</v>
      </c>
      <c r="F11" s="5">
        <v>15</v>
      </c>
      <c r="G11" s="5">
        <v>305</v>
      </c>
      <c r="H11" s="5">
        <v>2</v>
      </c>
      <c r="I11" s="5">
        <v>1</v>
      </c>
      <c r="J11" s="9">
        <v>0</v>
      </c>
      <c r="K11" s="8">
        <v>3</v>
      </c>
      <c r="L11" s="5">
        <v>29</v>
      </c>
      <c r="M11" s="5">
        <v>2</v>
      </c>
      <c r="N11" s="9">
        <v>0</v>
      </c>
      <c r="O11" s="8">
        <v>0</v>
      </c>
      <c r="P11" s="5">
        <v>0</v>
      </c>
      <c r="Q11" s="5">
        <v>0</v>
      </c>
      <c r="R11" s="9">
        <v>0</v>
      </c>
      <c r="S11" s="8">
        <v>3</v>
      </c>
      <c r="T11" s="5">
        <v>0</v>
      </c>
    </row>
    <row r="12" spans="1:20" x14ac:dyDescent="0.2">
      <c r="A12" s="5" t="s">
        <v>161</v>
      </c>
      <c r="B12" s="5" t="s">
        <v>162</v>
      </c>
      <c r="C12" s="17" t="s">
        <v>565</v>
      </c>
      <c r="D12" s="7">
        <f t="shared" si="0"/>
        <v>25.8</v>
      </c>
      <c r="E12" s="8">
        <v>0</v>
      </c>
      <c r="F12" s="5">
        <v>0</v>
      </c>
      <c r="G12" s="5">
        <v>0</v>
      </c>
      <c r="H12" s="5">
        <v>0</v>
      </c>
      <c r="I12" s="5">
        <v>0</v>
      </c>
      <c r="J12" s="9">
        <v>0</v>
      </c>
      <c r="K12" s="8">
        <v>0</v>
      </c>
      <c r="L12" s="5">
        <v>0</v>
      </c>
      <c r="M12" s="5">
        <v>0</v>
      </c>
      <c r="N12" s="9">
        <v>0</v>
      </c>
      <c r="O12" s="8">
        <v>11</v>
      </c>
      <c r="P12" s="5">
        <v>88</v>
      </c>
      <c r="Q12" s="5">
        <v>1</v>
      </c>
      <c r="R12" s="9">
        <v>0</v>
      </c>
      <c r="S12" s="8">
        <v>0</v>
      </c>
      <c r="T12" s="5">
        <v>0</v>
      </c>
    </row>
    <row r="13" spans="1:20" x14ac:dyDescent="0.2">
      <c r="A13" s="5" t="s">
        <v>48</v>
      </c>
      <c r="B13" s="5" t="s">
        <v>17</v>
      </c>
      <c r="C13" s="17" t="s">
        <v>568</v>
      </c>
      <c r="D13" s="7">
        <f t="shared" si="0"/>
        <v>24.3</v>
      </c>
      <c r="E13" s="8">
        <v>41</v>
      </c>
      <c r="F13" s="5">
        <v>27</v>
      </c>
      <c r="G13" s="5">
        <v>265</v>
      </c>
      <c r="H13" s="5">
        <v>2</v>
      </c>
      <c r="I13" s="5">
        <v>1</v>
      </c>
      <c r="J13" s="9">
        <v>1</v>
      </c>
      <c r="K13" s="8">
        <v>7</v>
      </c>
      <c r="L13" s="5">
        <v>17</v>
      </c>
      <c r="M13" s="5">
        <v>1</v>
      </c>
      <c r="N13" s="9">
        <v>0</v>
      </c>
      <c r="O13" s="8">
        <v>0</v>
      </c>
      <c r="P13" s="5">
        <v>0</v>
      </c>
      <c r="Q13" s="5">
        <v>0</v>
      </c>
      <c r="R13" s="9">
        <v>0</v>
      </c>
      <c r="S13" s="8">
        <v>1</v>
      </c>
      <c r="T13" s="5">
        <v>0</v>
      </c>
    </row>
    <row r="14" spans="1:20" x14ac:dyDescent="0.2">
      <c r="A14" s="5" t="s">
        <v>220</v>
      </c>
      <c r="B14" s="5" t="s">
        <v>162</v>
      </c>
      <c r="C14" s="10" t="s">
        <v>567</v>
      </c>
      <c r="D14" s="7">
        <f t="shared" si="0"/>
        <v>23.5</v>
      </c>
      <c r="E14" s="8">
        <v>0</v>
      </c>
      <c r="F14" s="5">
        <v>0</v>
      </c>
      <c r="G14" s="5">
        <v>0</v>
      </c>
      <c r="H14" s="5">
        <v>0</v>
      </c>
      <c r="I14" s="5">
        <v>0</v>
      </c>
      <c r="J14" s="9">
        <v>0</v>
      </c>
      <c r="K14" s="8">
        <v>0</v>
      </c>
      <c r="L14" s="5">
        <v>0</v>
      </c>
      <c r="M14" s="5">
        <v>0</v>
      </c>
      <c r="N14" s="9">
        <v>0</v>
      </c>
      <c r="O14" s="8">
        <v>5</v>
      </c>
      <c r="P14" s="5">
        <v>125</v>
      </c>
      <c r="Q14" s="5">
        <v>1</v>
      </c>
      <c r="R14" s="9">
        <v>0</v>
      </c>
      <c r="S14" s="8">
        <v>0</v>
      </c>
      <c r="T14" s="5">
        <v>0</v>
      </c>
    </row>
    <row r="15" spans="1:20" x14ac:dyDescent="0.2">
      <c r="A15" s="5" t="s">
        <v>170</v>
      </c>
      <c r="B15" s="5" t="s">
        <v>162</v>
      </c>
      <c r="C15" s="10" t="s">
        <v>569</v>
      </c>
      <c r="D15" s="7">
        <f t="shared" si="0"/>
        <v>23.4</v>
      </c>
      <c r="E15" s="8">
        <v>0</v>
      </c>
      <c r="F15" s="5">
        <v>0</v>
      </c>
      <c r="G15" s="5">
        <v>0</v>
      </c>
      <c r="H15" s="5">
        <v>0</v>
      </c>
      <c r="I15" s="5">
        <v>0</v>
      </c>
      <c r="J15" s="9">
        <v>0</v>
      </c>
      <c r="K15" s="8">
        <v>0</v>
      </c>
      <c r="L15" s="5">
        <v>0</v>
      </c>
      <c r="M15" s="5">
        <v>0</v>
      </c>
      <c r="N15" s="9">
        <v>0</v>
      </c>
      <c r="O15" s="8">
        <v>8</v>
      </c>
      <c r="P15" s="5">
        <v>154</v>
      </c>
      <c r="Q15" s="5">
        <v>0</v>
      </c>
      <c r="R15" s="9">
        <v>0</v>
      </c>
      <c r="S15" s="8">
        <v>0</v>
      </c>
      <c r="T15" s="5">
        <v>0</v>
      </c>
    </row>
    <row r="16" spans="1:20" x14ac:dyDescent="0.2">
      <c r="A16" s="5" t="s">
        <v>45</v>
      </c>
      <c r="B16" s="5" t="s">
        <v>17</v>
      </c>
      <c r="C16" s="10" t="s">
        <v>565</v>
      </c>
      <c r="D16" s="7">
        <f t="shared" si="0"/>
        <v>23.26</v>
      </c>
      <c r="E16" s="8">
        <v>31</v>
      </c>
      <c r="F16" s="5">
        <v>23</v>
      </c>
      <c r="G16" s="5">
        <v>279</v>
      </c>
      <c r="H16" s="5">
        <v>2</v>
      </c>
      <c r="I16" s="5">
        <v>1</v>
      </c>
      <c r="J16" s="9">
        <v>0</v>
      </c>
      <c r="K16" s="8">
        <v>11</v>
      </c>
      <c r="L16" s="5">
        <v>21</v>
      </c>
      <c r="M16" s="5">
        <v>1</v>
      </c>
      <c r="N16" s="9">
        <v>0</v>
      </c>
      <c r="O16" s="8">
        <v>0</v>
      </c>
      <c r="P16" s="5">
        <v>0</v>
      </c>
      <c r="Q16" s="5">
        <v>0</v>
      </c>
      <c r="R16" s="9">
        <v>0</v>
      </c>
      <c r="S16" s="8">
        <v>1</v>
      </c>
      <c r="T16" s="5">
        <v>0</v>
      </c>
    </row>
    <row r="17" spans="1:20" x14ac:dyDescent="0.2">
      <c r="A17" s="5" t="s">
        <v>173</v>
      </c>
      <c r="B17" s="5" t="s">
        <v>162</v>
      </c>
      <c r="C17" s="17" t="s">
        <v>562</v>
      </c>
      <c r="D17" s="7">
        <f t="shared" si="0"/>
        <v>23.200000000000003</v>
      </c>
      <c r="E17" s="8">
        <v>0</v>
      </c>
      <c r="F17" s="5">
        <v>0</v>
      </c>
      <c r="G17" s="5">
        <v>0</v>
      </c>
      <c r="H17" s="5">
        <v>0</v>
      </c>
      <c r="I17" s="5">
        <v>0</v>
      </c>
      <c r="J17" s="9">
        <v>0</v>
      </c>
      <c r="K17" s="8">
        <v>0</v>
      </c>
      <c r="L17" s="5">
        <v>0</v>
      </c>
      <c r="M17" s="5">
        <v>0</v>
      </c>
      <c r="N17" s="9">
        <v>0</v>
      </c>
      <c r="O17" s="8">
        <v>13</v>
      </c>
      <c r="P17" s="5">
        <v>102</v>
      </c>
      <c r="Q17" s="5">
        <v>0</v>
      </c>
      <c r="R17" s="9">
        <v>0</v>
      </c>
      <c r="S17" s="8">
        <v>0</v>
      </c>
      <c r="T17" s="5">
        <v>0</v>
      </c>
    </row>
    <row r="18" spans="1:20" x14ac:dyDescent="0.2">
      <c r="A18" s="5" t="s">
        <v>294</v>
      </c>
      <c r="B18" s="5" t="s">
        <v>69</v>
      </c>
      <c r="C18" s="10" t="s">
        <v>570</v>
      </c>
      <c r="D18" s="7">
        <f t="shared" si="0"/>
        <v>22.8</v>
      </c>
      <c r="E18" s="8">
        <v>0</v>
      </c>
      <c r="F18" s="5">
        <v>0</v>
      </c>
      <c r="G18" s="5">
        <v>0</v>
      </c>
      <c r="H18" s="5">
        <v>0</v>
      </c>
      <c r="I18" s="5">
        <v>0</v>
      </c>
      <c r="J18" s="9">
        <v>0</v>
      </c>
      <c r="K18" s="8">
        <v>0</v>
      </c>
      <c r="L18" s="5">
        <v>0</v>
      </c>
      <c r="M18" s="5">
        <v>0</v>
      </c>
      <c r="N18" s="9">
        <v>0</v>
      </c>
      <c r="O18" s="8">
        <v>7</v>
      </c>
      <c r="P18" s="5">
        <v>98</v>
      </c>
      <c r="Q18" s="5">
        <v>1</v>
      </c>
      <c r="R18" s="9">
        <v>0</v>
      </c>
      <c r="S18" s="8">
        <v>0</v>
      </c>
      <c r="T18" s="5">
        <v>0</v>
      </c>
    </row>
    <row r="19" spans="1:20" x14ac:dyDescent="0.2">
      <c r="A19" s="5" t="s">
        <v>80</v>
      </c>
      <c r="B19" s="5" t="s">
        <v>75</v>
      </c>
      <c r="C19" s="17" t="s">
        <v>566</v>
      </c>
      <c r="D19" s="7">
        <f t="shared" si="0"/>
        <v>22.700000000000003</v>
      </c>
      <c r="E19" s="8">
        <v>0</v>
      </c>
      <c r="F19" s="5">
        <v>0</v>
      </c>
      <c r="G19" s="5">
        <v>0</v>
      </c>
      <c r="H19" s="5">
        <v>0</v>
      </c>
      <c r="I19" s="5">
        <v>0</v>
      </c>
      <c r="J19" s="9">
        <v>0</v>
      </c>
      <c r="K19" s="8">
        <v>14</v>
      </c>
      <c r="L19" s="5">
        <v>53</v>
      </c>
      <c r="M19" s="5">
        <v>2</v>
      </c>
      <c r="N19" s="9">
        <v>0</v>
      </c>
      <c r="O19" s="8">
        <v>3</v>
      </c>
      <c r="P19" s="5">
        <v>24</v>
      </c>
      <c r="Q19" s="5">
        <v>0</v>
      </c>
      <c r="R19" s="9">
        <v>0</v>
      </c>
      <c r="S19" s="8">
        <v>0</v>
      </c>
      <c r="T19" s="5">
        <v>0</v>
      </c>
    </row>
    <row r="20" spans="1:20" x14ac:dyDescent="0.2">
      <c r="A20" s="5" t="s">
        <v>77</v>
      </c>
      <c r="B20" s="5" t="s">
        <v>75</v>
      </c>
      <c r="C20" s="17" t="s">
        <v>564</v>
      </c>
      <c r="D20" s="7">
        <f t="shared" si="0"/>
        <v>22.6</v>
      </c>
      <c r="E20" s="8">
        <v>0</v>
      </c>
      <c r="F20" s="5">
        <v>0</v>
      </c>
      <c r="G20" s="5">
        <v>0</v>
      </c>
      <c r="H20" s="5">
        <v>0</v>
      </c>
      <c r="I20" s="5">
        <v>0</v>
      </c>
      <c r="J20" s="9">
        <v>0</v>
      </c>
      <c r="K20" s="8">
        <v>15</v>
      </c>
      <c r="L20" s="5">
        <v>45</v>
      </c>
      <c r="M20" s="5">
        <v>1</v>
      </c>
      <c r="N20" s="9">
        <v>0</v>
      </c>
      <c r="O20" s="8">
        <v>3</v>
      </c>
      <c r="P20" s="5">
        <v>51</v>
      </c>
      <c r="Q20" s="5">
        <v>1</v>
      </c>
      <c r="R20" s="9">
        <v>0</v>
      </c>
      <c r="S20" s="8">
        <v>1</v>
      </c>
      <c r="T20" s="5">
        <v>0</v>
      </c>
    </row>
    <row r="21" spans="1:20" x14ac:dyDescent="0.2">
      <c r="A21" s="5" t="s">
        <v>341</v>
      </c>
      <c r="B21" s="5" t="s">
        <v>69</v>
      </c>
      <c r="C21" s="10" t="s">
        <v>562</v>
      </c>
      <c r="D21" s="7">
        <f t="shared" si="0"/>
        <v>22.3</v>
      </c>
      <c r="E21" s="8">
        <v>0</v>
      </c>
      <c r="F21" s="5">
        <v>0</v>
      </c>
      <c r="G21" s="5">
        <v>0</v>
      </c>
      <c r="H21" s="5">
        <v>0</v>
      </c>
      <c r="I21" s="5">
        <v>0</v>
      </c>
      <c r="J21" s="9">
        <v>0</v>
      </c>
      <c r="K21" s="8">
        <v>0</v>
      </c>
      <c r="L21" s="5">
        <v>0</v>
      </c>
      <c r="M21" s="5">
        <v>0</v>
      </c>
      <c r="N21" s="9">
        <v>0</v>
      </c>
      <c r="O21" s="8">
        <v>4</v>
      </c>
      <c r="P21" s="5">
        <v>63</v>
      </c>
      <c r="Q21" s="5">
        <v>2</v>
      </c>
      <c r="R21" s="9">
        <v>0</v>
      </c>
      <c r="S21" s="8">
        <v>0</v>
      </c>
      <c r="T21" s="5">
        <v>0</v>
      </c>
    </row>
    <row r="22" spans="1:20" x14ac:dyDescent="0.2">
      <c r="A22" s="5" t="s">
        <v>73</v>
      </c>
      <c r="B22" s="5" t="s">
        <v>17</v>
      </c>
      <c r="C22" s="10" t="s">
        <v>570</v>
      </c>
      <c r="D22" s="7">
        <f t="shared" si="0"/>
        <v>21.66</v>
      </c>
      <c r="E22" s="8">
        <v>29</v>
      </c>
      <c r="F22" s="5">
        <v>18</v>
      </c>
      <c r="G22" s="5">
        <v>279</v>
      </c>
      <c r="H22" s="5">
        <v>2</v>
      </c>
      <c r="I22" s="5">
        <v>0</v>
      </c>
      <c r="J22" s="9">
        <v>0</v>
      </c>
      <c r="K22" s="8">
        <v>8</v>
      </c>
      <c r="L22" s="5">
        <v>25</v>
      </c>
      <c r="M22" s="5">
        <v>0</v>
      </c>
      <c r="N22" s="9">
        <v>0</v>
      </c>
      <c r="O22" s="8">
        <v>0</v>
      </c>
      <c r="P22" s="5">
        <v>0</v>
      </c>
      <c r="Q22" s="5">
        <v>0</v>
      </c>
      <c r="R22" s="9">
        <v>0</v>
      </c>
      <c r="S22" s="8">
        <v>0</v>
      </c>
      <c r="T22" s="5">
        <v>0</v>
      </c>
    </row>
    <row r="23" spans="1:20" x14ac:dyDescent="0.2">
      <c r="A23" s="5" t="s">
        <v>116</v>
      </c>
      <c r="B23" s="5" t="s">
        <v>75</v>
      </c>
      <c r="C23" s="10" t="s">
        <v>562</v>
      </c>
      <c r="D23" s="7">
        <f t="shared" si="0"/>
        <v>21.4</v>
      </c>
      <c r="E23" s="8">
        <v>0</v>
      </c>
      <c r="F23" s="5">
        <v>0</v>
      </c>
      <c r="G23" s="5">
        <v>0</v>
      </c>
      <c r="H23" s="5">
        <v>0</v>
      </c>
      <c r="I23" s="5">
        <v>0</v>
      </c>
      <c r="J23" s="9">
        <v>0</v>
      </c>
      <c r="K23" s="8">
        <v>14</v>
      </c>
      <c r="L23" s="5">
        <v>64</v>
      </c>
      <c r="M23" s="5">
        <v>1</v>
      </c>
      <c r="N23" s="9">
        <v>0</v>
      </c>
      <c r="O23" s="8">
        <v>1</v>
      </c>
      <c r="P23" s="5">
        <v>80</v>
      </c>
      <c r="Q23" s="5">
        <v>0</v>
      </c>
      <c r="R23" s="9">
        <v>0</v>
      </c>
      <c r="S23" s="8">
        <v>0</v>
      </c>
      <c r="T23" s="5">
        <v>0</v>
      </c>
    </row>
    <row r="24" spans="1:20" x14ac:dyDescent="0.2">
      <c r="A24" s="5" t="s">
        <v>30</v>
      </c>
      <c r="B24" s="5" t="s">
        <v>17</v>
      </c>
      <c r="C24" s="10" t="s">
        <v>564</v>
      </c>
      <c r="D24" s="7">
        <f t="shared" si="0"/>
        <v>21.02</v>
      </c>
      <c r="E24" s="8">
        <v>45</v>
      </c>
      <c r="F24" s="5">
        <v>35</v>
      </c>
      <c r="G24" s="5">
        <v>378</v>
      </c>
      <c r="H24" s="5">
        <v>2</v>
      </c>
      <c r="I24" s="5">
        <v>1</v>
      </c>
      <c r="J24" s="9">
        <v>0</v>
      </c>
      <c r="K24" s="8">
        <v>2</v>
      </c>
      <c r="L24" s="5">
        <v>-1</v>
      </c>
      <c r="M24" s="5">
        <v>0</v>
      </c>
      <c r="N24" s="9">
        <v>0</v>
      </c>
      <c r="O24" s="8">
        <v>0</v>
      </c>
      <c r="P24" s="5">
        <v>0</v>
      </c>
      <c r="Q24" s="5">
        <v>0</v>
      </c>
      <c r="R24" s="9">
        <v>0</v>
      </c>
      <c r="S24" s="8">
        <v>0</v>
      </c>
      <c r="T24" s="5">
        <v>0</v>
      </c>
    </row>
    <row r="25" spans="1:20" x14ac:dyDescent="0.2">
      <c r="A25" s="5" t="s">
        <v>515</v>
      </c>
      <c r="B25" s="5" t="s">
        <v>75</v>
      </c>
      <c r="C25" s="10" t="s">
        <v>567</v>
      </c>
      <c r="D25" s="7">
        <f t="shared" si="0"/>
        <v>21</v>
      </c>
      <c r="E25" s="8">
        <v>0</v>
      </c>
      <c r="F25" s="5">
        <v>0</v>
      </c>
      <c r="G25" s="5">
        <v>0</v>
      </c>
      <c r="H25" s="5">
        <v>0</v>
      </c>
      <c r="I25" s="5">
        <v>0</v>
      </c>
      <c r="J25" s="9">
        <v>0</v>
      </c>
      <c r="K25" s="8">
        <v>18</v>
      </c>
      <c r="L25" s="5">
        <v>75</v>
      </c>
      <c r="M25" s="5">
        <v>1</v>
      </c>
      <c r="N25" s="9">
        <v>0</v>
      </c>
      <c r="O25" s="8">
        <v>3</v>
      </c>
      <c r="P25" s="5">
        <v>45</v>
      </c>
      <c r="Q25" s="5">
        <v>0</v>
      </c>
      <c r="R25" s="9">
        <v>0</v>
      </c>
      <c r="S25" s="8">
        <v>0</v>
      </c>
      <c r="T25" s="5">
        <v>0</v>
      </c>
    </row>
    <row r="26" spans="1:20" x14ac:dyDescent="0.2">
      <c r="A26" s="5" t="s">
        <v>175</v>
      </c>
      <c r="B26" s="5" t="s">
        <v>162</v>
      </c>
      <c r="C26" s="10" t="s">
        <v>571</v>
      </c>
      <c r="D26" s="7">
        <f t="shared" si="0"/>
        <v>20.200000000000003</v>
      </c>
      <c r="E26" s="8">
        <v>0</v>
      </c>
      <c r="F26" s="5">
        <v>0</v>
      </c>
      <c r="G26" s="5">
        <v>0</v>
      </c>
      <c r="H26" s="5">
        <v>0</v>
      </c>
      <c r="I26" s="5">
        <v>0</v>
      </c>
      <c r="J26" s="9">
        <v>0</v>
      </c>
      <c r="K26" s="8">
        <v>0</v>
      </c>
      <c r="L26" s="5">
        <v>0</v>
      </c>
      <c r="M26" s="5">
        <v>0</v>
      </c>
      <c r="N26" s="9">
        <v>0</v>
      </c>
      <c r="O26" s="8">
        <v>6</v>
      </c>
      <c r="P26" s="5">
        <v>82</v>
      </c>
      <c r="Q26" s="5">
        <v>1</v>
      </c>
      <c r="R26" s="9">
        <v>0</v>
      </c>
      <c r="S26" s="8">
        <v>0</v>
      </c>
      <c r="T26" s="5">
        <v>0</v>
      </c>
    </row>
    <row r="27" spans="1:20" x14ac:dyDescent="0.2">
      <c r="A27" s="5" t="s">
        <v>19</v>
      </c>
      <c r="B27" s="5" t="s">
        <v>17</v>
      </c>
      <c r="C27" s="10" t="s">
        <v>568</v>
      </c>
      <c r="D27" s="7">
        <f t="shared" si="0"/>
        <v>19.980000000000004</v>
      </c>
      <c r="E27" s="8">
        <v>30</v>
      </c>
      <c r="F27" s="5">
        <v>25</v>
      </c>
      <c r="G27" s="5">
        <v>272</v>
      </c>
      <c r="H27" s="5">
        <v>2</v>
      </c>
      <c r="I27" s="5">
        <v>0</v>
      </c>
      <c r="J27" s="9">
        <v>0</v>
      </c>
      <c r="K27" s="8">
        <v>3</v>
      </c>
      <c r="L27" s="5">
        <v>11</v>
      </c>
      <c r="M27" s="5">
        <v>0</v>
      </c>
      <c r="N27" s="9">
        <v>0</v>
      </c>
      <c r="O27" s="8">
        <v>0</v>
      </c>
      <c r="P27" s="5">
        <v>0</v>
      </c>
      <c r="Q27" s="5">
        <v>0</v>
      </c>
      <c r="R27" s="9">
        <v>0</v>
      </c>
      <c r="S27" s="8">
        <v>0</v>
      </c>
      <c r="T27" s="5">
        <v>0</v>
      </c>
    </row>
    <row r="28" spans="1:20" x14ac:dyDescent="0.2">
      <c r="A28" s="5" t="s">
        <v>189</v>
      </c>
      <c r="B28" s="5" t="s">
        <v>162</v>
      </c>
      <c r="C28" s="10" t="s">
        <v>572</v>
      </c>
      <c r="D28" s="7">
        <f t="shared" si="0"/>
        <v>19.600000000000001</v>
      </c>
      <c r="E28" s="8">
        <v>0</v>
      </c>
      <c r="F28" s="5">
        <v>0</v>
      </c>
      <c r="G28" s="5">
        <v>0</v>
      </c>
      <c r="H28" s="5">
        <v>0</v>
      </c>
      <c r="I28" s="5">
        <v>0</v>
      </c>
      <c r="J28" s="9">
        <v>0</v>
      </c>
      <c r="K28" s="8">
        <v>0</v>
      </c>
      <c r="L28" s="5">
        <v>0</v>
      </c>
      <c r="M28" s="5">
        <v>0</v>
      </c>
      <c r="N28" s="9">
        <v>0</v>
      </c>
      <c r="O28" s="8">
        <v>6</v>
      </c>
      <c r="P28" s="5">
        <v>76</v>
      </c>
      <c r="Q28" s="5">
        <v>1</v>
      </c>
      <c r="R28" s="9">
        <v>0</v>
      </c>
      <c r="S28" s="8">
        <v>0</v>
      </c>
      <c r="T28" s="5">
        <v>0</v>
      </c>
    </row>
    <row r="29" spans="1:20" x14ac:dyDescent="0.2">
      <c r="A29" s="5" t="s">
        <v>273</v>
      </c>
      <c r="B29" s="5" t="s">
        <v>69</v>
      </c>
      <c r="C29" s="10" t="s">
        <v>564</v>
      </c>
      <c r="D29" s="7">
        <f t="shared" si="0"/>
        <v>19.600000000000001</v>
      </c>
      <c r="E29" s="8">
        <v>0</v>
      </c>
      <c r="F29" s="5">
        <v>0</v>
      </c>
      <c r="G29" s="5">
        <v>0</v>
      </c>
      <c r="H29" s="5">
        <v>0</v>
      </c>
      <c r="I29" s="5">
        <v>0</v>
      </c>
      <c r="J29" s="9">
        <v>0</v>
      </c>
      <c r="K29" s="8">
        <v>0</v>
      </c>
      <c r="L29" s="5">
        <v>0</v>
      </c>
      <c r="M29" s="5">
        <v>0</v>
      </c>
      <c r="N29" s="9">
        <v>0</v>
      </c>
      <c r="O29" s="8">
        <v>11</v>
      </c>
      <c r="P29" s="5">
        <v>86</v>
      </c>
      <c r="Q29" s="5">
        <v>0</v>
      </c>
      <c r="R29" s="9">
        <v>0</v>
      </c>
      <c r="S29" s="8">
        <v>0</v>
      </c>
      <c r="T29" s="5">
        <v>0</v>
      </c>
    </row>
    <row r="30" spans="1:20" x14ac:dyDescent="0.2">
      <c r="A30" s="5" t="s">
        <v>102</v>
      </c>
      <c r="B30" s="5" t="s">
        <v>75</v>
      </c>
      <c r="C30" s="17" t="s">
        <v>568</v>
      </c>
      <c r="D30" s="7">
        <f t="shared" si="0"/>
        <v>19.200000000000003</v>
      </c>
      <c r="E30" s="8">
        <v>0</v>
      </c>
      <c r="F30" s="5">
        <v>0</v>
      </c>
      <c r="G30" s="5">
        <v>0</v>
      </c>
      <c r="H30" s="5">
        <v>0</v>
      </c>
      <c r="I30" s="5">
        <v>0</v>
      </c>
      <c r="J30" s="9">
        <v>0</v>
      </c>
      <c r="K30" s="8">
        <v>13</v>
      </c>
      <c r="L30" s="5">
        <v>56</v>
      </c>
      <c r="M30" s="5">
        <v>0</v>
      </c>
      <c r="N30" s="9">
        <v>0</v>
      </c>
      <c r="O30" s="8">
        <v>3</v>
      </c>
      <c r="P30" s="5">
        <v>46</v>
      </c>
      <c r="Q30" s="5">
        <v>1</v>
      </c>
      <c r="R30" s="9">
        <v>0</v>
      </c>
      <c r="S30" s="8">
        <v>0</v>
      </c>
      <c r="T30" s="5">
        <v>0</v>
      </c>
    </row>
    <row r="31" spans="1:20" x14ac:dyDescent="0.2">
      <c r="A31" s="5" t="s">
        <v>263</v>
      </c>
      <c r="B31" s="5" t="s">
        <v>162</v>
      </c>
      <c r="C31" s="17" t="s">
        <v>566</v>
      </c>
      <c r="D31" s="7">
        <f t="shared" si="0"/>
        <v>19</v>
      </c>
      <c r="E31" s="8">
        <v>0</v>
      </c>
      <c r="F31" s="5">
        <v>0</v>
      </c>
      <c r="G31" s="5">
        <v>0</v>
      </c>
      <c r="H31" s="5">
        <v>0</v>
      </c>
      <c r="I31" s="5">
        <v>0</v>
      </c>
      <c r="J31" s="9">
        <v>0</v>
      </c>
      <c r="K31" s="8">
        <v>0</v>
      </c>
      <c r="L31" s="5">
        <v>0</v>
      </c>
      <c r="M31" s="5">
        <v>0</v>
      </c>
      <c r="N31" s="9">
        <v>0</v>
      </c>
      <c r="O31" s="8">
        <v>6</v>
      </c>
      <c r="P31" s="5">
        <v>90</v>
      </c>
      <c r="Q31" s="5">
        <v>1</v>
      </c>
      <c r="R31" s="9">
        <v>0</v>
      </c>
      <c r="S31" s="8">
        <v>1</v>
      </c>
      <c r="T31" s="5">
        <v>0</v>
      </c>
    </row>
    <row r="32" spans="1:20" x14ac:dyDescent="0.2">
      <c r="A32" s="5" t="s">
        <v>101</v>
      </c>
      <c r="B32" s="5" t="s">
        <v>75</v>
      </c>
      <c r="C32" s="10" t="s">
        <v>570</v>
      </c>
      <c r="D32" s="7">
        <f t="shared" si="0"/>
        <v>18.8</v>
      </c>
      <c r="E32" s="8">
        <v>0</v>
      </c>
      <c r="F32" s="5">
        <v>0</v>
      </c>
      <c r="G32" s="5">
        <v>0</v>
      </c>
      <c r="H32" s="5">
        <v>0</v>
      </c>
      <c r="I32" s="5">
        <v>0</v>
      </c>
      <c r="J32" s="9">
        <v>0</v>
      </c>
      <c r="K32" s="8">
        <v>21</v>
      </c>
      <c r="L32" s="5">
        <v>77</v>
      </c>
      <c r="M32" s="5">
        <v>0</v>
      </c>
      <c r="N32" s="9">
        <v>0</v>
      </c>
      <c r="O32" s="8">
        <v>3</v>
      </c>
      <c r="P32" s="5">
        <v>41</v>
      </c>
      <c r="Q32" s="5">
        <v>1</v>
      </c>
      <c r="R32" s="9">
        <v>0</v>
      </c>
      <c r="S32" s="8">
        <v>1</v>
      </c>
      <c r="T32" s="5">
        <v>0</v>
      </c>
    </row>
    <row r="33" spans="1:20" x14ac:dyDescent="0.2">
      <c r="A33" s="5" t="s">
        <v>349</v>
      </c>
      <c r="B33" s="5" t="s">
        <v>69</v>
      </c>
      <c r="C33" s="10" t="s">
        <v>565</v>
      </c>
      <c r="D33" s="7">
        <f t="shared" si="0"/>
        <v>18.7</v>
      </c>
      <c r="E33" s="8">
        <v>0</v>
      </c>
      <c r="F33" s="5">
        <v>0</v>
      </c>
      <c r="G33" s="5">
        <v>0</v>
      </c>
      <c r="H33" s="5">
        <v>0</v>
      </c>
      <c r="I33" s="5">
        <v>0</v>
      </c>
      <c r="J33" s="9">
        <v>0</v>
      </c>
      <c r="K33" s="8">
        <v>0</v>
      </c>
      <c r="L33" s="5">
        <v>0</v>
      </c>
      <c r="M33" s="5">
        <v>0</v>
      </c>
      <c r="N33" s="9">
        <v>0</v>
      </c>
      <c r="O33" s="8">
        <v>5</v>
      </c>
      <c r="P33" s="5">
        <v>77</v>
      </c>
      <c r="Q33" s="5">
        <v>1</v>
      </c>
      <c r="R33" s="9">
        <v>0</v>
      </c>
      <c r="S33" s="8">
        <v>0</v>
      </c>
      <c r="T33" s="5">
        <v>0</v>
      </c>
    </row>
    <row r="34" spans="1:20" x14ac:dyDescent="0.2">
      <c r="A34" s="5" t="s">
        <v>264</v>
      </c>
      <c r="B34" s="5" t="s">
        <v>162</v>
      </c>
      <c r="C34" s="17" t="s">
        <v>561</v>
      </c>
      <c r="D34" s="7">
        <f t="shared" si="0"/>
        <v>18.3</v>
      </c>
      <c r="E34" s="8">
        <v>0</v>
      </c>
      <c r="F34" s="5">
        <v>0</v>
      </c>
      <c r="G34" s="5">
        <v>0</v>
      </c>
      <c r="H34" s="5">
        <v>0</v>
      </c>
      <c r="I34" s="5">
        <v>0</v>
      </c>
      <c r="J34" s="9">
        <v>0</v>
      </c>
      <c r="K34" s="8">
        <v>0</v>
      </c>
      <c r="L34" s="5">
        <v>0</v>
      </c>
      <c r="M34" s="5">
        <v>0</v>
      </c>
      <c r="N34" s="9">
        <v>0</v>
      </c>
      <c r="O34" s="8">
        <v>5</v>
      </c>
      <c r="P34" s="5">
        <v>133</v>
      </c>
      <c r="Q34" s="5">
        <v>0</v>
      </c>
      <c r="R34" s="9">
        <v>0</v>
      </c>
      <c r="S34" s="8">
        <v>0</v>
      </c>
      <c r="T34" s="5">
        <v>0</v>
      </c>
    </row>
    <row r="35" spans="1:20" x14ac:dyDescent="0.2">
      <c r="A35" s="5" t="s">
        <v>32</v>
      </c>
      <c r="B35" s="5" t="s">
        <v>17</v>
      </c>
      <c r="C35" s="17" t="s">
        <v>566</v>
      </c>
      <c r="D35" s="7">
        <f t="shared" si="0"/>
        <v>18.060000000000002</v>
      </c>
      <c r="E35" s="8">
        <v>29</v>
      </c>
      <c r="F35" s="5">
        <v>20</v>
      </c>
      <c r="G35" s="5">
        <v>204</v>
      </c>
      <c r="H35" s="5">
        <v>1</v>
      </c>
      <c r="I35" s="5">
        <v>0</v>
      </c>
      <c r="J35" s="9">
        <v>0</v>
      </c>
      <c r="K35" s="8">
        <v>8</v>
      </c>
      <c r="L35" s="5">
        <v>59</v>
      </c>
      <c r="M35" s="5">
        <v>0</v>
      </c>
      <c r="N35" s="9">
        <v>0</v>
      </c>
      <c r="O35" s="8">
        <v>0</v>
      </c>
      <c r="P35" s="5">
        <v>0</v>
      </c>
      <c r="Q35" s="5">
        <v>0</v>
      </c>
      <c r="R35" s="9">
        <v>0</v>
      </c>
      <c r="S35" s="8">
        <v>0</v>
      </c>
      <c r="T35" s="5">
        <v>0</v>
      </c>
    </row>
    <row r="36" spans="1:20" x14ac:dyDescent="0.2">
      <c r="A36" s="5" t="s">
        <v>164</v>
      </c>
      <c r="B36" s="5" t="s">
        <v>162</v>
      </c>
      <c r="C36" s="17" t="s">
        <v>563</v>
      </c>
      <c r="D36" s="7">
        <f t="shared" si="0"/>
        <v>18</v>
      </c>
      <c r="E36" s="8">
        <v>0</v>
      </c>
      <c r="F36" s="5">
        <v>0</v>
      </c>
      <c r="G36" s="5">
        <v>0</v>
      </c>
      <c r="H36" s="5">
        <v>0</v>
      </c>
      <c r="I36" s="5">
        <v>0</v>
      </c>
      <c r="J36" s="9">
        <v>0</v>
      </c>
      <c r="K36" s="8">
        <v>0</v>
      </c>
      <c r="L36" s="5">
        <v>0</v>
      </c>
      <c r="M36" s="5">
        <v>0</v>
      </c>
      <c r="N36" s="9">
        <v>0</v>
      </c>
      <c r="O36" s="8">
        <v>7</v>
      </c>
      <c r="P36" s="5">
        <v>50</v>
      </c>
      <c r="Q36" s="5">
        <v>1</v>
      </c>
      <c r="R36" s="9">
        <v>0</v>
      </c>
      <c r="S36" s="8">
        <v>0</v>
      </c>
      <c r="T36" s="5">
        <v>0</v>
      </c>
    </row>
    <row r="37" spans="1:20" x14ac:dyDescent="0.2">
      <c r="A37" s="5" t="s">
        <v>165</v>
      </c>
      <c r="B37" s="5" t="s">
        <v>162</v>
      </c>
      <c r="C37" s="17" t="s">
        <v>568</v>
      </c>
      <c r="D37" s="7">
        <f t="shared" si="0"/>
        <v>17.8</v>
      </c>
      <c r="E37" s="8">
        <v>0</v>
      </c>
      <c r="F37" s="5">
        <v>0</v>
      </c>
      <c r="G37" s="5">
        <v>0</v>
      </c>
      <c r="H37" s="5">
        <v>0</v>
      </c>
      <c r="I37" s="5">
        <v>0</v>
      </c>
      <c r="J37" s="9">
        <v>0</v>
      </c>
      <c r="K37" s="8">
        <v>0</v>
      </c>
      <c r="L37" s="5">
        <v>0</v>
      </c>
      <c r="M37" s="5">
        <v>0</v>
      </c>
      <c r="N37" s="9">
        <v>0</v>
      </c>
      <c r="O37" s="8">
        <v>6</v>
      </c>
      <c r="P37" s="5">
        <v>58</v>
      </c>
      <c r="Q37" s="5">
        <v>1</v>
      </c>
      <c r="R37" s="9">
        <v>0</v>
      </c>
      <c r="S37" s="8">
        <v>0</v>
      </c>
      <c r="T37" s="5">
        <v>0</v>
      </c>
    </row>
    <row r="38" spans="1:20" x14ac:dyDescent="0.2">
      <c r="A38" s="5" t="s">
        <v>41</v>
      </c>
      <c r="B38" s="5" t="s">
        <v>17</v>
      </c>
      <c r="C38" s="10" t="s">
        <v>566</v>
      </c>
      <c r="D38" s="7">
        <f t="shared" si="0"/>
        <v>17.439999999999998</v>
      </c>
      <c r="E38" s="8">
        <v>55</v>
      </c>
      <c r="F38" s="5">
        <v>33</v>
      </c>
      <c r="G38" s="5">
        <v>301</v>
      </c>
      <c r="H38" s="5">
        <v>1</v>
      </c>
      <c r="I38" s="5">
        <v>1</v>
      </c>
      <c r="J38" s="9">
        <v>1</v>
      </c>
      <c r="K38" s="8">
        <v>3</v>
      </c>
      <c r="L38" s="5">
        <v>14</v>
      </c>
      <c r="M38" s="5">
        <v>0</v>
      </c>
      <c r="N38" s="9">
        <v>0</v>
      </c>
      <c r="O38" s="8">
        <v>0</v>
      </c>
      <c r="P38" s="5">
        <v>0</v>
      </c>
      <c r="Q38" s="5">
        <v>0</v>
      </c>
      <c r="R38" s="9">
        <v>0</v>
      </c>
      <c r="S38" s="8">
        <v>0</v>
      </c>
      <c r="T38" s="5">
        <v>0</v>
      </c>
    </row>
    <row r="39" spans="1:20" x14ac:dyDescent="0.2">
      <c r="A39" s="5" t="s">
        <v>136</v>
      </c>
      <c r="B39" s="5" t="s">
        <v>75</v>
      </c>
      <c r="C39" s="17" t="s">
        <v>567</v>
      </c>
      <c r="D39" s="7">
        <f t="shared" si="0"/>
        <v>17.399999999999999</v>
      </c>
      <c r="E39" s="8">
        <v>0</v>
      </c>
      <c r="F39" s="5">
        <v>0</v>
      </c>
      <c r="G39" s="5">
        <v>0</v>
      </c>
      <c r="H39" s="5">
        <v>0</v>
      </c>
      <c r="I39" s="5">
        <v>0</v>
      </c>
      <c r="J39" s="9">
        <v>0</v>
      </c>
      <c r="K39" s="8">
        <v>11</v>
      </c>
      <c r="L39" s="5">
        <v>74</v>
      </c>
      <c r="M39" s="5">
        <v>1</v>
      </c>
      <c r="N39" s="9">
        <v>0</v>
      </c>
      <c r="O39" s="8">
        <v>2</v>
      </c>
      <c r="P39" s="5">
        <v>20</v>
      </c>
      <c r="Q39" s="5">
        <v>0</v>
      </c>
      <c r="R39" s="9">
        <v>0</v>
      </c>
      <c r="S39" s="8">
        <v>0</v>
      </c>
      <c r="T39" s="5">
        <v>0</v>
      </c>
    </row>
    <row r="40" spans="1:20" x14ac:dyDescent="0.2">
      <c r="A40" s="5" t="s">
        <v>226</v>
      </c>
      <c r="B40" s="5" t="s">
        <v>162</v>
      </c>
      <c r="C40" s="10" t="s">
        <v>561</v>
      </c>
      <c r="D40" s="7">
        <f t="shared" si="0"/>
        <v>17.399999999999999</v>
      </c>
      <c r="E40" s="8">
        <v>0</v>
      </c>
      <c r="F40" s="5">
        <v>0</v>
      </c>
      <c r="G40" s="5">
        <v>0</v>
      </c>
      <c r="H40" s="5">
        <v>0</v>
      </c>
      <c r="I40" s="5">
        <v>0</v>
      </c>
      <c r="J40" s="9">
        <v>0</v>
      </c>
      <c r="K40" s="8">
        <v>0</v>
      </c>
      <c r="L40" s="5">
        <v>0</v>
      </c>
      <c r="M40" s="5">
        <v>0</v>
      </c>
      <c r="N40" s="9">
        <v>0</v>
      </c>
      <c r="O40" s="8">
        <v>3</v>
      </c>
      <c r="P40" s="5">
        <v>84</v>
      </c>
      <c r="Q40" s="5">
        <v>1</v>
      </c>
      <c r="R40" s="9">
        <v>0</v>
      </c>
      <c r="S40" s="8">
        <v>0</v>
      </c>
      <c r="T40" s="5">
        <v>0</v>
      </c>
    </row>
    <row r="41" spans="1:20" x14ac:dyDescent="0.2">
      <c r="A41" s="5" t="s">
        <v>193</v>
      </c>
      <c r="B41" s="5" t="s">
        <v>162</v>
      </c>
      <c r="C41" s="10" t="s">
        <v>561</v>
      </c>
      <c r="D41" s="7">
        <f t="shared" si="0"/>
        <v>17</v>
      </c>
      <c r="E41" s="8">
        <v>0</v>
      </c>
      <c r="F41" s="5">
        <v>0</v>
      </c>
      <c r="G41" s="5">
        <v>0</v>
      </c>
      <c r="H41" s="5">
        <v>0</v>
      </c>
      <c r="I41" s="5">
        <v>0</v>
      </c>
      <c r="J41" s="9">
        <v>0</v>
      </c>
      <c r="K41" s="8">
        <v>0</v>
      </c>
      <c r="L41" s="5">
        <v>0</v>
      </c>
      <c r="M41" s="5">
        <v>0</v>
      </c>
      <c r="N41" s="9">
        <v>0</v>
      </c>
      <c r="O41" s="8">
        <v>5</v>
      </c>
      <c r="P41" s="5">
        <v>60</v>
      </c>
      <c r="Q41" s="5">
        <v>1</v>
      </c>
      <c r="R41" s="9">
        <v>0</v>
      </c>
      <c r="S41" s="8">
        <v>0</v>
      </c>
      <c r="T41" s="5">
        <v>0</v>
      </c>
    </row>
    <row r="42" spans="1:20" x14ac:dyDescent="0.2">
      <c r="A42" s="5" t="s">
        <v>68</v>
      </c>
      <c r="B42" s="5" t="s">
        <v>69</v>
      </c>
      <c r="C42" s="10" t="s">
        <v>566</v>
      </c>
      <c r="D42" s="7">
        <f t="shared" si="0"/>
        <v>16.8</v>
      </c>
      <c r="E42" s="8">
        <v>0</v>
      </c>
      <c r="F42" s="5">
        <v>0</v>
      </c>
      <c r="G42" s="5">
        <v>0</v>
      </c>
      <c r="H42" s="5">
        <v>0</v>
      </c>
      <c r="I42" s="5">
        <v>0</v>
      </c>
      <c r="J42" s="9">
        <v>0</v>
      </c>
      <c r="K42" s="8">
        <v>5</v>
      </c>
      <c r="L42" s="5">
        <v>18</v>
      </c>
      <c r="M42" s="5">
        <v>1</v>
      </c>
      <c r="N42" s="9">
        <v>0</v>
      </c>
      <c r="O42" s="8">
        <v>4</v>
      </c>
      <c r="P42" s="5">
        <v>50</v>
      </c>
      <c r="Q42" s="5">
        <v>0</v>
      </c>
      <c r="R42" s="9">
        <v>0</v>
      </c>
      <c r="S42" s="8">
        <v>0</v>
      </c>
      <c r="T42" s="5">
        <v>0</v>
      </c>
    </row>
    <row r="43" spans="1:20" x14ac:dyDescent="0.2">
      <c r="A43" s="5" t="s">
        <v>166</v>
      </c>
      <c r="B43" s="5" t="s">
        <v>162</v>
      </c>
      <c r="C43" s="10" t="s">
        <v>568</v>
      </c>
      <c r="D43" s="7">
        <f t="shared" si="0"/>
        <v>16.3</v>
      </c>
      <c r="E43" s="8">
        <v>0</v>
      </c>
      <c r="F43" s="5">
        <v>0</v>
      </c>
      <c r="G43" s="5">
        <v>0</v>
      </c>
      <c r="H43" s="5">
        <v>0</v>
      </c>
      <c r="I43" s="5">
        <v>0</v>
      </c>
      <c r="J43" s="9">
        <v>0</v>
      </c>
      <c r="K43" s="8">
        <v>0</v>
      </c>
      <c r="L43" s="5">
        <v>0</v>
      </c>
      <c r="M43" s="5">
        <v>0</v>
      </c>
      <c r="N43" s="9">
        <v>0</v>
      </c>
      <c r="O43" s="8">
        <v>6</v>
      </c>
      <c r="P43" s="5">
        <v>63</v>
      </c>
      <c r="Q43" s="5">
        <v>1</v>
      </c>
      <c r="R43" s="9">
        <v>0</v>
      </c>
      <c r="S43" s="8">
        <v>1</v>
      </c>
      <c r="T43" s="5">
        <v>0</v>
      </c>
    </row>
    <row r="44" spans="1:20" x14ac:dyDescent="0.2">
      <c r="A44" s="5" t="s">
        <v>169</v>
      </c>
      <c r="B44" s="5" t="s">
        <v>162</v>
      </c>
      <c r="C44" s="10" t="s">
        <v>567</v>
      </c>
      <c r="D44" s="7">
        <f t="shared" si="0"/>
        <v>16.3</v>
      </c>
      <c r="E44" s="8">
        <v>0</v>
      </c>
      <c r="F44" s="5">
        <v>0</v>
      </c>
      <c r="G44" s="5">
        <v>0</v>
      </c>
      <c r="H44" s="5">
        <v>0</v>
      </c>
      <c r="I44" s="5">
        <v>0</v>
      </c>
      <c r="J44" s="9">
        <v>0</v>
      </c>
      <c r="K44" s="8">
        <v>0</v>
      </c>
      <c r="L44" s="5">
        <v>0</v>
      </c>
      <c r="M44" s="5">
        <v>0</v>
      </c>
      <c r="N44" s="9">
        <v>0</v>
      </c>
      <c r="O44" s="8">
        <v>2</v>
      </c>
      <c r="P44" s="5">
        <v>83</v>
      </c>
      <c r="Q44" s="5">
        <v>1</v>
      </c>
      <c r="R44" s="9">
        <v>0</v>
      </c>
      <c r="S44" s="8">
        <v>0</v>
      </c>
      <c r="T44" s="5">
        <v>0</v>
      </c>
    </row>
    <row r="45" spans="1:20" x14ac:dyDescent="0.2">
      <c r="A45" s="5" t="s">
        <v>237</v>
      </c>
      <c r="B45" s="5" t="s">
        <v>162</v>
      </c>
      <c r="C45" s="10" t="s">
        <v>573</v>
      </c>
      <c r="D45" s="7">
        <f t="shared" si="0"/>
        <v>16.3</v>
      </c>
      <c r="E45" s="8">
        <v>0</v>
      </c>
      <c r="F45" s="5">
        <v>0</v>
      </c>
      <c r="G45" s="5">
        <v>0</v>
      </c>
      <c r="H45" s="5">
        <v>0</v>
      </c>
      <c r="I45" s="5">
        <v>0</v>
      </c>
      <c r="J45" s="9">
        <v>0</v>
      </c>
      <c r="K45" s="8">
        <v>0</v>
      </c>
      <c r="L45" s="5">
        <v>0</v>
      </c>
      <c r="M45" s="5">
        <v>0</v>
      </c>
      <c r="N45" s="9">
        <v>0</v>
      </c>
      <c r="O45" s="8">
        <v>4</v>
      </c>
      <c r="P45" s="5">
        <v>63</v>
      </c>
      <c r="Q45" s="5">
        <v>1</v>
      </c>
      <c r="R45" s="9">
        <v>0</v>
      </c>
      <c r="S45" s="8">
        <v>0</v>
      </c>
      <c r="T45" s="5">
        <v>0</v>
      </c>
    </row>
    <row r="46" spans="1:20" x14ac:dyDescent="0.2">
      <c r="A46" s="5" t="s">
        <v>37</v>
      </c>
      <c r="B46" s="5" t="s">
        <v>17</v>
      </c>
      <c r="C46" s="10" t="s">
        <v>571</v>
      </c>
      <c r="D46" s="7">
        <f t="shared" si="0"/>
        <v>16.2</v>
      </c>
      <c r="E46" s="8">
        <v>42</v>
      </c>
      <c r="F46" s="5">
        <v>27</v>
      </c>
      <c r="G46" s="5">
        <v>275</v>
      </c>
      <c r="H46" s="5">
        <v>1</v>
      </c>
      <c r="I46" s="5">
        <v>1</v>
      </c>
      <c r="J46" s="9">
        <v>0</v>
      </c>
      <c r="K46" s="8">
        <v>3</v>
      </c>
      <c r="L46" s="5">
        <v>32</v>
      </c>
      <c r="M46" s="5">
        <v>0</v>
      </c>
      <c r="N46" s="9">
        <v>0</v>
      </c>
      <c r="O46" s="8">
        <v>0</v>
      </c>
      <c r="P46" s="5">
        <v>0</v>
      </c>
      <c r="Q46" s="5">
        <v>0</v>
      </c>
      <c r="R46" s="9">
        <v>0</v>
      </c>
      <c r="S46" s="8">
        <v>0</v>
      </c>
      <c r="T46" s="5">
        <v>0</v>
      </c>
    </row>
    <row r="47" spans="1:20" x14ac:dyDescent="0.2">
      <c r="A47" s="5" t="s">
        <v>63</v>
      </c>
      <c r="B47" s="5" t="s">
        <v>17</v>
      </c>
      <c r="C47" s="17" t="s">
        <v>573</v>
      </c>
      <c r="D47" s="7">
        <f t="shared" si="0"/>
        <v>16.14</v>
      </c>
      <c r="E47" s="8">
        <v>33</v>
      </c>
      <c r="F47" s="5">
        <v>19</v>
      </c>
      <c r="G47" s="5">
        <v>146</v>
      </c>
      <c r="H47" s="5">
        <v>0</v>
      </c>
      <c r="I47" s="5">
        <v>0</v>
      </c>
      <c r="J47" s="9">
        <v>0</v>
      </c>
      <c r="K47" s="8">
        <v>7</v>
      </c>
      <c r="L47" s="5">
        <v>43</v>
      </c>
      <c r="M47" s="5">
        <v>1</v>
      </c>
      <c r="N47" s="9">
        <v>0</v>
      </c>
      <c r="O47" s="8">
        <v>0</v>
      </c>
      <c r="P47" s="5">
        <v>0</v>
      </c>
      <c r="Q47" s="5">
        <v>0</v>
      </c>
      <c r="R47" s="9">
        <v>0</v>
      </c>
      <c r="S47" s="8">
        <v>0</v>
      </c>
      <c r="T47" s="5">
        <v>0</v>
      </c>
    </row>
    <row r="48" spans="1:20" x14ac:dyDescent="0.2">
      <c r="A48" s="5" t="s">
        <v>387</v>
      </c>
      <c r="B48" s="5" t="s">
        <v>162</v>
      </c>
      <c r="C48" s="10" t="s">
        <v>573</v>
      </c>
      <c r="D48" s="7">
        <f t="shared" si="0"/>
        <v>16.100000000000001</v>
      </c>
      <c r="E48" s="8">
        <v>0</v>
      </c>
      <c r="F48" s="5">
        <v>0</v>
      </c>
      <c r="G48" s="5">
        <v>0</v>
      </c>
      <c r="H48" s="5">
        <v>0</v>
      </c>
      <c r="I48" s="5">
        <v>0</v>
      </c>
      <c r="J48" s="9">
        <v>0</v>
      </c>
      <c r="K48" s="8">
        <v>0</v>
      </c>
      <c r="L48" s="5">
        <v>0</v>
      </c>
      <c r="M48" s="5">
        <v>0</v>
      </c>
      <c r="N48" s="9">
        <v>0</v>
      </c>
      <c r="O48" s="8">
        <v>4</v>
      </c>
      <c r="P48" s="5">
        <v>61</v>
      </c>
      <c r="Q48" s="5">
        <v>1</v>
      </c>
      <c r="R48" s="9">
        <v>0</v>
      </c>
      <c r="S48" s="8">
        <v>0</v>
      </c>
      <c r="T48" s="5">
        <v>0</v>
      </c>
    </row>
    <row r="49" spans="1:20" x14ac:dyDescent="0.2">
      <c r="A49" s="5" t="s">
        <v>104</v>
      </c>
      <c r="B49" s="5" t="s">
        <v>75</v>
      </c>
      <c r="C49" s="10" t="s">
        <v>561</v>
      </c>
      <c r="D49" s="7">
        <f t="shared" si="0"/>
        <v>16</v>
      </c>
      <c r="E49" s="8">
        <v>0</v>
      </c>
      <c r="F49" s="5">
        <v>0</v>
      </c>
      <c r="G49" s="5">
        <v>0</v>
      </c>
      <c r="H49" s="5">
        <v>0</v>
      </c>
      <c r="I49" s="5">
        <v>0</v>
      </c>
      <c r="J49" s="9">
        <v>0</v>
      </c>
      <c r="K49" s="8">
        <v>13</v>
      </c>
      <c r="L49" s="5">
        <v>32</v>
      </c>
      <c r="M49" s="5">
        <v>0</v>
      </c>
      <c r="N49" s="9">
        <v>0</v>
      </c>
      <c r="O49" s="8">
        <v>4</v>
      </c>
      <c r="P49" s="5">
        <v>28</v>
      </c>
      <c r="Q49" s="5">
        <v>1</v>
      </c>
      <c r="R49" s="9">
        <v>0</v>
      </c>
      <c r="S49" s="8">
        <v>0</v>
      </c>
      <c r="T49" s="5">
        <v>0</v>
      </c>
    </row>
    <row r="50" spans="1:20" x14ac:dyDescent="0.2">
      <c r="A50" s="5" t="s">
        <v>114</v>
      </c>
      <c r="B50" s="5" t="s">
        <v>75</v>
      </c>
      <c r="C50" s="10" t="s">
        <v>571</v>
      </c>
      <c r="D50" s="7">
        <f t="shared" si="0"/>
        <v>15.9</v>
      </c>
      <c r="E50" s="8">
        <v>0</v>
      </c>
      <c r="F50" s="5">
        <v>0</v>
      </c>
      <c r="G50" s="5">
        <v>0</v>
      </c>
      <c r="H50" s="5">
        <v>0</v>
      </c>
      <c r="I50" s="5">
        <v>0</v>
      </c>
      <c r="J50" s="9">
        <v>0</v>
      </c>
      <c r="K50" s="8">
        <v>13</v>
      </c>
      <c r="L50" s="5">
        <v>34</v>
      </c>
      <c r="M50" s="5">
        <v>0</v>
      </c>
      <c r="N50" s="9">
        <v>0</v>
      </c>
      <c r="O50" s="8">
        <v>6</v>
      </c>
      <c r="P50" s="5">
        <v>65</v>
      </c>
      <c r="Q50" s="5">
        <v>0</v>
      </c>
      <c r="R50" s="9">
        <v>0</v>
      </c>
      <c r="S50" s="8">
        <v>0</v>
      </c>
      <c r="T50" s="5">
        <v>0</v>
      </c>
    </row>
    <row r="51" spans="1:20" x14ac:dyDescent="0.2">
      <c r="A51" s="5" t="s">
        <v>117</v>
      </c>
      <c r="B51" s="5" t="s">
        <v>75</v>
      </c>
      <c r="C51" s="17" t="s">
        <v>569</v>
      </c>
      <c r="D51" s="7">
        <f t="shared" si="0"/>
        <v>15.8</v>
      </c>
      <c r="E51" s="8">
        <v>0</v>
      </c>
      <c r="F51" s="5">
        <v>0</v>
      </c>
      <c r="G51" s="5">
        <v>0</v>
      </c>
      <c r="H51" s="5">
        <v>0</v>
      </c>
      <c r="I51" s="5">
        <v>0</v>
      </c>
      <c r="J51" s="9">
        <v>0</v>
      </c>
      <c r="K51" s="8">
        <v>14</v>
      </c>
      <c r="L51" s="5">
        <v>53</v>
      </c>
      <c r="M51" s="5">
        <v>1</v>
      </c>
      <c r="N51" s="9">
        <v>0</v>
      </c>
      <c r="O51" s="8">
        <v>3</v>
      </c>
      <c r="P51" s="5">
        <v>15</v>
      </c>
      <c r="Q51" s="5">
        <v>0</v>
      </c>
      <c r="R51" s="9">
        <v>0</v>
      </c>
      <c r="S51" s="8">
        <v>0</v>
      </c>
      <c r="T51" s="5">
        <v>0</v>
      </c>
    </row>
    <row r="52" spans="1:20" x14ac:dyDescent="0.2">
      <c r="A52" s="5" t="s">
        <v>210</v>
      </c>
      <c r="B52" s="5" t="s">
        <v>162</v>
      </c>
      <c r="C52" s="17" t="s">
        <v>569</v>
      </c>
      <c r="D52" s="7">
        <f t="shared" si="0"/>
        <v>15.700000000000001</v>
      </c>
      <c r="E52" s="8">
        <v>0</v>
      </c>
      <c r="F52" s="5">
        <v>0</v>
      </c>
      <c r="G52" s="5">
        <v>0</v>
      </c>
      <c r="H52" s="5">
        <v>0</v>
      </c>
      <c r="I52" s="5">
        <v>0</v>
      </c>
      <c r="J52" s="9">
        <v>0</v>
      </c>
      <c r="K52" s="8">
        <v>0</v>
      </c>
      <c r="L52" s="5">
        <v>0</v>
      </c>
      <c r="M52" s="5">
        <v>0</v>
      </c>
      <c r="N52" s="9">
        <v>0</v>
      </c>
      <c r="O52" s="8">
        <v>5</v>
      </c>
      <c r="P52" s="5">
        <v>107</v>
      </c>
      <c r="Q52" s="5">
        <v>0</v>
      </c>
      <c r="R52" s="9">
        <v>0</v>
      </c>
      <c r="S52" s="8">
        <v>0</v>
      </c>
      <c r="T52" s="5">
        <v>0</v>
      </c>
    </row>
    <row r="53" spans="1:20" x14ac:dyDescent="0.2">
      <c r="A53" s="5" t="s">
        <v>291</v>
      </c>
      <c r="B53" s="5" t="s">
        <v>69</v>
      </c>
      <c r="C53" s="17" t="s">
        <v>568</v>
      </c>
      <c r="D53" s="7">
        <f t="shared" si="0"/>
        <v>15.5</v>
      </c>
      <c r="E53" s="8">
        <v>0</v>
      </c>
      <c r="F53" s="5">
        <v>0</v>
      </c>
      <c r="G53" s="5">
        <v>0</v>
      </c>
      <c r="H53" s="5">
        <v>0</v>
      </c>
      <c r="I53" s="5">
        <v>0</v>
      </c>
      <c r="J53" s="9">
        <v>0</v>
      </c>
      <c r="K53" s="8">
        <v>0</v>
      </c>
      <c r="L53" s="5">
        <v>0</v>
      </c>
      <c r="M53" s="5">
        <v>0</v>
      </c>
      <c r="N53" s="9">
        <v>0</v>
      </c>
      <c r="O53" s="8">
        <v>8</v>
      </c>
      <c r="P53" s="5">
        <v>75</v>
      </c>
      <c r="Q53" s="5">
        <v>0</v>
      </c>
      <c r="R53" s="9">
        <v>0</v>
      </c>
      <c r="S53" s="8">
        <v>0</v>
      </c>
      <c r="T53" s="5">
        <v>0</v>
      </c>
    </row>
    <row r="54" spans="1:20" x14ac:dyDescent="0.2">
      <c r="A54" s="5" t="s">
        <v>21</v>
      </c>
      <c r="B54" s="5" t="s">
        <v>17</v>
      </c>
      <c r="C54" s="17" t="s">
        <v>572</v>
      </c>
      <c r="D54" s="7">
        <f t="shared" si="0"/>
        <v>15.299999999999999</v>
      </c>
      <c r="E54" s="8">
        <v>31</v>
      </c>
      <c r="F54" s="5">
        <v>21</v>
      </c>
      <c r="G54" s="5">
        <v>180</v>
      </c>
      <c r="H54" s="5">
        <v>2</v>
      </c>
      <c r="I54" s="5">
        <v>1</v>
      </c>
      <c r="J54" s="9">
        <v>0</v>
      </c>
      <c r="K54" s="8">
        <v>3</v>
      </c>
      <c r="L54" s="5">
        <v>21</v>
      </c>
      <c r="M54" s="5">
        <v>0</v>
      </c>
      <c r="N54" s="9">
        <v>0</v>
      </c>
      <c r="O54" s="8">
        <v>0</v>
      </c>
      <c r="P54" s="5">
        <v>0</v>
      </c>
      <c r="Q54" s="5">
        <v>0</v>
      </c>
      <c r="R54" s="9">
        <v>0</v>
      </c>
      <c r="S54" s="8">
        <v>0</v>
      </c>
      <c r="T54" s="5">
        <v>0</v>
      </c>
    </row>
    <row r="55" spans="1:20" x14ac:dyDescent="0.2">
      <c r="A55" s="5" t="s">
        <v>50</v>
      </c>
      <c r="B55" s="5" t="s">
        <v>17</v>
      </c>
      <c r="C55" s="17" t="s">
        <v>569</v>
      </c>
      <c r="D55" s="7">
        <f t="shared" si="0"/>
        <v>15.200000000000001</v>
      </c>
      <c r="E55" s="8">
        <v>25</v>
      </c>
      <c r="F55" s="5">
        <v>17</v>
      </c>
      <c r="G55" s="5">
        <v>230</v>
      </c>
      <c r="H55" s="5">
        <v>0</v>
      </c>
      <c r="I55" s="5">
        <v>0</v>
      </c>
      <c r="J55" s="9">
        <v>0</v>
      </c>
      <c r="K55" s="8">
        <v>8</v>
      </c>
      <c r="L55" s="5">
        <v>0</v>
      </c>
      <c r="M55" s="5">
        <v>1</v>
      </c>
      <c r="N55" s="9">
        <v>0</v>
      </c>
      <c r="O55" s="8">
        <v>0</v>
      </c>
      <c r="P55" s="5">
        <v>0</v>
      </c>
      <c r="Q55" s="5">
        <v>0</v>
      </c>
      <c r="R55" s="9">
        <v>0</v>
      </c>
      <c r="S55" s="8">
        <v>0</v>
      </c>
      <c r="T55" s="5">
        <v>0</v>
      </c>
    </row>
    <row r="56" spans="1:20" x14ac:dyDescent="0.2">
      <c r="A56" s="5" t="s">
        <v>428</v>
      </c>
      <c r="B56" s="5" t="s">
        <v>75</v>
      </c>
      <c r="C56" s="17" t="s">
        <v>567</v>
      </c>
      <c r="D56" s="7">
        <f t="shared" si="0"/>
        <v>15.1</v>
      </c>
      <c r="E56" s="8">
        <v>0</v>
      </c>
      <c r="F56" s="5">
        <v>0</v>
      </c>
      <c r="G56" s="5">
        <v>0</v>
      </c>
      <c r="H56" s="5">
        <v>0</v>
      </c>
      <c r="I56" s="5">
        <v>0</v>
      </c>
      <c r="J56" s="9">
        <v>0</v>
      </c>
      <c r="K56" s="8">
        <v>10</v>
      </c>
      <c r="L56" s="5">
        <v>31</v>
      </c>
      <c r="M56" s="5">
        <v>2</v>
      </c>
      <c r="N56" s="9">
        <v>0</v>
      </c>
      <c r="O56" s="8">
        <v>0</v>
      </c>
      <c r="P56" s="5">
        <v>0</v>
      </c>
      <c r="Q56" s="5">
        <v>0</v>
      </c>
      <c r="R56" s="9">
        <v>0</v>
      </c>
      <c r="S56" s="8">
        <v>0</v>
      </c>
      <c r="T56" s="5">
        <v>0</v>
      </c>
    </row>
    <row r="57" spans="1:20" x14ac:dyDescent="0.2">
      <c r="A57" s="5" t="s">
        <v>232</v>
      </c>
      <c r="B57" s="5" t="s">
        <v>162</v>
      </c>
      <c r="C57" s="17" t="s">
        <v>570</v>
      </c>
      <c r="D57" s="7">
        <f t="shared" si="0"/>
        <v>15</v>
      </c>
      <c r="E57" s="8">
        <v>0</v>
      </c>
      <c r="F57" s="5">
        <v>0</v>
      </c>
      <c r="G57" s="5">
        <v>0</v>
      </c>
      <c r="H57" s="5">
        <v>0</v>
      </c>
      <c r="I57" s="5">
        <v>0</v>
      </c>
      <c r="J57" s="9">
        <v>0</v>
      </c>
      <c r="K57" s="8">
        <v>0</v>
      </c>
      <c r="L57" s="5">
        <v>0</v>
      </c>
      <c r="M57" s="5">
        <v>0</v>
      </c>
      <c r="N57" s="9">
        <v>0</v>
      </c>
      <c r="O57" s="8">
        <v>6</v>
      </c>
      <c r="P57" s="5">
        <v>90</v>
      </c>
      <c r="Q57" s="5">
        <v>0</v>
      </c>
      <c r="R57" s="9">
        <v>0</v>
      </c>
      <c r="S57" s="8">
        <v>0</v>
      </c>
      <c r="T57" s="5">
        <v>0</v>
      </c>
    </row>
    <row r="58" spans="1:20" x14ac:dyDescent="0.2">
      <c r="A58" s="5" t="s">
        <v>87</v>
      </c>
      <c r="B58" s="5" t="s">
        <v>75</v>
      </c>
      <c r="C58" s="10" t="s">
        <v>568</v>
      </c>
      <c r="D58" s="7">
        <f t="shared" si="0"/>
        <v>14.5</v>
      </c>
      <c r="E58" s="8">
        <v>0</v>
      </c>
      <c r="F58" s="5">
        <v>0</v>
      </c>
      <c r="G58" s="5">
        <v>0</v>
      </c>
      <c r="H58" s="5">
        <v>0</v>
      </c>
      <c r="I58" s="5">
        <v>0</v>
      </c>
      <c r="J58" s="9">
        <v>0</v>
      </c>
      <c r="K58" s="8">
        <v>9</v>
      </c>
      <c r="L58" s="5">
        <v>34</v>
      </c>
      <c r="M58" s="5">
        <v>0</v>
      </c>
      <c r="N58" s="9">
        <v>0</v>
      </c>
      <c r="O58" s="8">
        <v>6</v>
      </c>
      <c r="P58" s="5">
        <v>51</v>
      </c>
      <c r="Q58" s="5">
        <v>0</v>
      </c>
      <c r="R58" s="9">
        <v>0</v>
      </c>
      <c r="S58" s="8">
        <v>0</v>
      </c>
      <c r="T58" s="5">
        <v>0</v>
      </c>
    </row>
    <row r="59" spans="1:20" x14ac:dyDescent="0.2">
      <c r="A59" s="5" t="s">
        <v>78</v>
      </c>
      <c r="B59" s="5" t="s">
        <v>75</v>
      </c>
      <c r="C59" s="17" t="s">
        <v>571</v>
      </c>
      <c r="D59" s="7">
        <f t="shared" si="0"/>
        <v>14.200000000000001</v>
      </c>
      <c r="E59" s="8">
        <v>0</v>
      </c>
      <c r="F59" s="5">
        <v>0</v>
      </c>
      <c r="G59" s="5">
        <v>0</v>
      </c>
      <c r="H59" s="5">
        <v>0</v>
      </c>
      <c r="I59" s="5">
        <v>0</v>
      </c>
      <c r="J59" s="9">
        <v>0</v>
      </c>
      <c r="K59" s="8">
        <v>21</v>
      </c>
      <c r="L59" s="5">
        <v>59</v>
      </c>
      <c r="M59" s="5">
        <v>0</v>
      </c>
      <c r="N59" s="9">
        <v>0</v>
      </c>
      <c r="O59" s="8">
        <v>3</v>
      </c>
      <c r="P59" s="5">
        <v>53</v>
      </c>
      <c r="Q59" s="5">
        <v>0</v>
      </c>
      <c r="R59" s="9">
        <v>0</v>
      </c>
      <c r="S59" s="8">
        <v>0</v>
      </c>
      <c r="T59" s="5">
        <v>0</v>
      </c>
    </row>
    <row r="60" spans="1:20" x14ac:dyDescent="0.2">
      <c r="A60" s="5" t="s">
        <v>46</v>
      </c>
      <c r="B60" s="5" t="s">
        <v>17</v>
      </c>
      <c r="C60" s="10" t="s">
        <v>569</v>
      </c>
      <c r="D60" s="7">
        <f t="shared" si="0"/>
        <v>14.040000000000001</v>
      </c>
      <c r="E60" s="8">
        <v>29</v>
      </c>
      <c r="F60" s="5">
        <v>14</v>
      </c>
      <c r="G60" s="5">
        <v>231</v>
      </c>
      <c r="H60" s="5">
        <v>1</v>
      </c>
      <c r="I60" s="5">
        <v>1</v>
      </c>
      <c r="J60" s="9">
        <v>1</v>
      </c>
      <c r="K60" s="8">
        <v>1</v>
      </c>
      <c r="L60" s="5">
        <v>8</v>
      </c>
      <c r="M60" s="5">
        <v>0</v>
      </c>
      <c r="N60" s="9">
        <v>0</v>
      </c>
      <c r="O60" s="8">
        <v>0</v>
      </c>
      <c r="P60" s="5">
        <v>0</v>
      </c>
      <c r="Q60" s="5">
        <v>0</v>
      </c>
      <c r="R60" s="9">
        <v>0</v>
      </c>
      <c r="S60" s="8">
        <v>0</v>
      </c>
      <c r="T60" s="5">
        <v>0</v>
      </c>
    </row>
    <row r="61" spans="1:20" x14ac:dyDescent="0.2">
      <c r="A61" s="5" t="s">
        <v>38</v>
      </c>
      <c r="B61" s="5" t="s">
        <v>17</v>
      </c>
      <c r="C61" s="10" t="s">
        <v>572</v>
      </c>
      <c r="D61" s="7">
        <f t="shared" si="0"/>
        <v>13.86</v>
      </c>
      <c r="E61" s="8">
        <v>29</v>
      </c>
      <c r="F61" s="5">
        <v>20</v>
      </c>
      <c r="G61" s="5">
        <v>194</v>
      </c>
      <c r="H61" s="5">
        <v>1</v>
      </c>
      <c r="I61" s="5">
        <v>0</v>
      </c>
      <c r="J61" s="9">
        <v>0</v>
      </c>
      <c r="K61" s="8">
        <v>1</v>
      </c>
      <c r="L61" s="5">
        <v>21</v>
      </c>
      <c r="M61" s="5">
        <v>0</v>
      </c>
      <c r="N61" s="9">
        <v>0</v>
      </c>
      <c r="O61" s="8">
        <v>0</v>
      </c>
      <c r="P61" s="5">
        <v>0</v>
      </c>
      <c r="Q61" s="5">
        <v>0</v>
      </c>
      <c r="R61" s="9">
        <v>0</v>
      </c>
      <c r="S61" s="8">
        <v>0</v>
      </c>
      <c r="T61" s="5">
        <v>0</v>
      </c>
    </row>
    <row r="62" spans="1:20" x14ac:dyDescent="0.2">
      <c r="A62" s="5" t="s">
        <v>51</v>
      </c>
      <c r="B62" s="5" t="s">
        <v>17</v>
      </c>
      <c r="C62" s="17" t="s">
        <v>571</v>
      </c>
      <c r="D62" s="7">
        <f t="shared" si="0"/>
        <v>13.8</v>
      </c>
      <c r="E62" s="8">
        <v>25</v>
      </c>
      <c r="F62" s="5">
        <v>19</v>
      </c>
      <c r="G62" s="5">
        <v>250</v>
      </c>
      <c r="H62" s="5">
        <v>0</v>
      </c>
      <c r="I62" s="5">
        <v>0</v>
      </c>
      <c r="J62" s="9">
        <v>0</v>
      </c>
      <c r="K62" s="8">
        <v>6</v>
      </c>
      <c r="L62" s="5">
        <v>38</v>
      </c>
      <c r="M62" s="5">
        <v>1</v>
      </c>
      <c r="N62" s="9">
        <v>0</v>
      </c>
      <c r="O62" s="8">
        <v>0</v>
      </c>
      <c r="P62" s="5">
        <v>0</v>
      </c>
      <c r="Q62" s="5">
        <v>0</v>
      </c>
      <c r="R62" s="9">
        <v>0</v>
      </c>
      <c r="S62" s="8">
        <v>3</v>
      </c>
      <c r="T62" s="5">
        <v>0</v>
      </c>
    </row>
    <row r="63" spans="1:20" x14ac:dyDescent="0.2">
      <c r="A63" s="5" t="s">
        <v>55</v>
      </c>
      <c r="B63" s="5" t="s">
        <v>17</v>
      </c>
      <c r="C63" s="10" t="s">
        <v>573</v>
      </c>
      <c r="D63" s="7">
        <f t="shared" si="0"/>
        <v>13.759999999999998</v>
      </c>
      <c r="E63" s="8">
        <v>24</v>
      </c>
      <c r="F63" s="5">
        <v>18</v>
      </c>
      <c r="G63" s="5">
        <v>219</v>
      </c>
      <c r="H63" s="5">
        <v>2</v>
      </c>
      <c r="I63" s="5">
        <v>1</v>
      </c>
      <c r="J63" s="9">
        <v>0</v>
      </c>
      <c r="K63" s="8">
        <v>6</v>
      </c>
      <c r="L63" s="5">
        <v>10</v>
      </c>
      <c r="M63" s="5">
        <v>0</v>
      </c>
      <c r="N63" s="9">
        <v>0</v>
      </c>
      <c r="O63" s="8">
        <v>0</v>
      </c>
      <c r="P63" s="5">
        <v>0</v>
      </c>
      <c r="Q63" s="5">
        <v>0</v>
      </c>
      <c r="R63" s="9">
        <v>0</v>
      </c>
      <c r="S63" s="8">
        <v>1</v>
      </c>
      <c r="T63" s="5">
        <v>0</v>
      </c>
    </row>
    <row r="64" spans="1:20" x14ac:dyDescent="0.2">
      <c r="A64" s="5" t="s">
        <v>574</v>
      </c>
      <c r="B64" s="5" t="s">
        <v>75</v>
      </c>
      <c r="C64" s="10" t="s">
        <v>569</v>
      </c>
      <c r="D64" s="7">
        <f t="shared" si="0"/>
        <v>13.600000000000001</v>
      </c>
      <c r="E64" s="8">
        <v>0</v>
      </c>
      <c r="F64" s="5">
        <v>0</v>
      </c>
      <c r="G64" s="5">
        <v>0</v>
      </c>
      <c r="H64" s="5">
        <v>0</v>
      </c>
      <c r="I64" s="5">
        <v>0</v>
      </c>
      <c r="J64" s="9">
        <v>0</v>
      </c>
      <c r="K64" s="8">
        <v>18</v>
      </c>
      <c r="L64" s="5">
        <v>61</v>
      </c>
      <c r="M64" s="5">
        <v>1</v>
      </c>
      <c r="N64" s="9">
        <v>0</v>
      </c>
      <c r="O64" s="8">
        <v>1</v>
      </c>
      <c r="P64" s="5">
        <v>5</v>
      </c>
      <c r="Q64" s="5">
        <v>0</v>
      </c>
      <c r="R64" s="9">
        <v>0</v>
      </c>
      <c r="S64" s="8">
        <v>0</v>
      </c>
      <c r="T64" s="5">
        <v>0</v>
      </c>
    </row>
    <row r="65" spans="1:20" x14ac:dyDescent="0.2">
      <c r="A65" s="5" t="s">
        <v>86</v>
      </c>
      <c r="B65" s="5" t="s">
        <v>75</v>
      </c>
      <c r="C65" s="17" t="s">
        <v>561</v>
      </c>
      <c r="D65" s="7">
        <f t="shared" si="0"/>
        <v>13.5</v>
      </c>
      <c r="E65" s="8">
        <v>0</v>
      </c>
      <c r="F65" s="5">
        <v>0</v>
      </c>
      <c r="G65" s="5">
        <v>0</v>
      </c>
      <c r="H65" s="5">
        <v>0</v>
      </c>
      <c r="I65" s="5">
        <v>0</v>
      </c>
      <c r="J65" s="9">
        <v>0</v>
      </c>
      <c r="K65" s="8">
        <v>7</v>
      </c>
      <c r="L65" s="5">
        <v>75</v>
      </c>
      <c r="M65" s="5">
        <v>1</v>
      </c>
      <c r="N65" s="9">
        <v>0</v>
      </c>
      <c r="O65" s="8">
        <v>0</v>
      </c>
      <c r="P65" s="5">
        <v>0</v>
      </c>
      <c r="Q65" s="5">
        <v>0</v>
      </c>
      <c r="R65" s="9">
        <v>0</v>
      </c>
      <c r="S65" s="8">
        <v>0</v>
      </c>
      <c r="T65" s="5">
        <v>0</v>
      </c>
    </row>
    <row r="66" spans="1:20" x14ac:dyDescent="0.2">
      <c r="A66" s="5" t="s">
        <v>235</v>
      </c>
      <c r="B66" s="5" t="s">
        <v>162</v>
      </c>
      <c r="C66" s="10" t="s">
        <v>563</v>
      </c>
      <c r="D66" s="7">
        <f t="shared" si="0"/>
        <v>13.4</v>
      </c>
      <c r="E66" s="8">
        <v>0</v>
      </c>
      <c r="F66" s="5">
        <v>0</v>
      </c>
      <c r="G66" s="5">
        <v>0</v>
      </c>
      <c r="H66" s="5">
        <v>0</v>
      </c>
      <c r="I66" s="5">
        <v>0</v>
      </c>
      <c r="J66" s="9">
        <v>0</v>
      </c>
      <c r="K66" s="8">
        <v>0</v>
      </c>
      <c r="L66" s="5">
        <v>0</v>
      </c>
      <c r="M66" s="5">
        <v>0</v>
      </c>
      <c r="N66" s="9">
        <v>0</v>
      </c>
      <c r="O66" s="8">
        <v>8</v>
      </c>
      <c r="P66" s="5">
        <v>54</v>
      </c>
      <c r="Q66" s="5">
        <v>0</v>
      </c>
      <c r="R66" s="9">
        <v>0</v>
      </c>
      <c r="S66" s="8">
        <v>0</v>
      </c>
      <c r="T66" s="5">
        <v>0</v>
      </c>
    </row>
    <row r="67" spans="1:20" x14ac:dyDescent="0.2">
      <c r="A67" s="5" t="s">
        <v>195</v>
      </c>
      <c r="B67" s="5" t="s">
        <v>162</v>
      </c>
      <c r="C67" s="10" t="s">
        <v>566</v>
      </c>
      <c r="D67" s="7">
        <f t="shared" si="0"/>
        <v>13.2</v>
      </c>
      <c r="E67" s="8">
        <v>0</v>
      </c>
      <c r="F67" s="5">
        <v>0</v>
      </c>
      <c r="G67" s="5">
        <v>0</v>
      </c>
      <c r="H67" s="5">
        <v>0</v>
      </c>
      <c r="I67" s="5">
        <v>0</v>
      </c>
      <c r="J67" s="9">
        <v>0</v>
      </c>
      <c r="K67" s="8">
        <v>0</v>
      </c>
      <c r="L67" s="5">
        <v>0</v>
      </c>
      <c r="M67" s="5">
        <v>0</v>
      </c>
      <c r="N67" s="9">
        <v>0</v>
      </c>
      <c r="O67" s="8">
        <v>3</v>
      </c>
      <c r="P67" s="5">
        <v>42</v>
      </c>
      <c r="Q67" s="5">
        <v>1</v>
      </c>
      <c r="R67" s="9">
        <v>0</v>
      </c>
      <c r="S67" s="8">
        <v>0</v>
      </c>
      <c r="T67" s="5">
        <v>0</v>
      </c>
    </row>
    <row r="68" spans="1:20" x14ac:dyDescent="0.2">
      <c r="A68" s="5" t="s">
        <v>100</v>
      </c>
      <c r="B68" s="5" t="s">
        <v>75</v>
      </c>
      <c r="C68" s="10" t="s">
        <v>573</v>
      </c>
      <c r="D68" s="7">
        <f t="shared" si="0"/>
        <v>13.1</v>
      </c>
      <c r="E68" s="8">
        <v>0</v>
      </c>
      <c r="F68" s="5">
        <v>0</v>
      </c>
      <c r="G68" s="5">
        <v>0</v>
      </c>
      <c r="H68" s="5">
        <v>0</v>
      </c>
      <c r="I68" s="5">
        <v>0</v>
      </c>
      <c r="J68" s="9">
        <v>0</v>
      </c>
      <c r="K68" s="8">
        <v>26</v>
      </c>
      <c r="L68" s="5">
        <v>105</v>
      </c>
      <c r="M68" s="5">
        <v>0</v>
      </c>
      <c r="N68" s="9">
        <v>0</v>
      </c>
      <c r="O68" s="8">
        <v>2</v>
      </c>
      <c r="P68" s="5">
        <v>6</v>
      </c>
      <c r="Q68" s="5">
        <v>0</v>
      </c>
      <c r="R68" s="9">
        <v>0</v>
      </c>
      <c r="S68" s="8">
        <v>0</v>
      </c>
      <c r="T68" s="5">
        <v>0</v>
      </c>
    </row>
    <row r="69" spans="1:20" x14ac:dyDescent="0.2">
      <c r="A69" s="5" t="s">
        <v>298</v>
      </c>
      <c r="B69" s="5" t="s">
        <v>69</v>
      </c>
      <c r="C69" s="17" t="s">
        <v>564</v>
      </c>
      <c r="D69" s="7">
        <f t="shared" si="0"/>
        <v>13</v>
      </c>
      <c r="E69" s="8">
        <v>0</v>
      </c>
      <c r="F69" s="5">
        <v>0</v>
      </c>
      <c r="G69" s="5">
        <v>0</v>
      </c>
      <c r="H69" s="5">
        <v>0</v>
      </c>
      <c r="I69" s="5">
        <v>0</v>
      </c>
      <c r="J69" s="9">
        <v>0</v>
      </c>
      <c r="K69" s="8">
        <v>1</v>
      </c>
      <c r="L69" s="5">
        <v>2</v>
      </c>
      <c r="M69" s="5">
        <v>0</v>
      </c>
      <c r="N69" s="9">
        <v>0</v>
      </c>
      <c r="O69" s="8">
        <v>5</v>
      </c>
      <c r="P69" s="5">
        <v>78</v>
      </c>
      <c r="Q69" s="5">
        <v>0</v>
      </c>
      <c r="R69" s="9">
        <v>0</v>
      </c>
      <c r="S69" s="8">
        <v>0</v>
      </c>
      <c r="T69" s="5">
        <v>0</v>
      </c>
    </row>
    <row r="70" spans="1:20" x14ac:dyDescent="0.2">
      <c r="A70" s="5" t="s">
        <v>214</v>
      </c>
      <c r="B70" s="5" t="s">
        <v>162</v>
      </c>
      <c r="C70" s="17" t="s">
        <v>569</v>
      </c>
      <c r="D70" s="7">
        <f t="shared" si="0"/>
        <v>12.9</v>
      </c>
      <c r="E70" s="8">
        <v>0</v>
      </c>
      <c r="F70" s="5">
        <v>0</v>
      </c>
      <c r="G70" s="5">
        <v>0</v>
      </c>
      <c r="H70" s="5">
        <v>0</v>
      </c>
      <c r="I70" s="5">
        <v>0</v>
      </c>
      <c r="J70" s="9">
        <v>0</v>
      </c>
      <c r="K70" s="8">
        <v>0</v>
      </c>
      <c r="L70" s="5">
        <v>0</v>
      </c>
      <c r="M70" s="5">
        <v>0</v>
      </c>
      <c r="N70" s="9">
        <v>0</v>
      </c>
      <c r="O70" s="8">
        <v>5</v>
      </c>
      <c r="P70" s="5">
        <v>79</v>
      </c>
      <c r="Q70" s="5">
        <v>0</v>
      </c>
      <c r="R70" s="9">
        <v>0</v>
      </c>
      <c r="S70" s="8">
        <v>0</v>
      </c>
      <c r="T70" s="5">
        <v>0</v>
      </c>
    </row>
    <row r="71" spans="1:20" x14ac:dyDescent="0.2">
      <c r="A71" s="5" t="s">
        <v>548</v>
      </c>
      <c r="B71" s="5" t="s">
        <v>17</v>
      </c>
      <c r="C71" s="10" t="s">
        <v>563</v>
      </c>
      <c r="D71" s="7">
        <f t="shared" si="0"/>
        <v>12.88</v>
      </c>
      <c r="E71" s="8">
        <v>29</v>
      </c>
      <c r="F71" s="5">
        <v>21</v>
      </c>
      <c r="G71" s="5">
        <v>162</v>
      </c>
      <c r="H71" s="5">
        <v>1</v>
      </c>
      <c r="I71" s="5">
        <v>0</v>
      </c>
      <c r="J71" s="9">
        <v>0</v>
      </c>
      <c r="K71" s="8">
        <v>3</v>
      </c>
      <c r="L71" s="5">
        <v>24</v>
      </c>
      <c r="M71" s="5">
        <v>0</v>
      </c>
      <c r="N71" s="9">
        <v>0</v>
      </c>
      <c r="O71" s="8">
        <v>0</v>
      </c>
      <c r="P71" s="5">
        <v>0</v>
      </c>
      <c r="Q71" s="5">
        <v>0</v>
      </c>
      <c r="R71" s="9">
        <v>0</v>
      </c>
      <c r="S71" s="8">
        <v>0</v>
      </c>
      <c r="T71" s="5">
        <v>0</v>
      </c>
    </row>
    <row r="72" spans="1:20" x14ac:dyDescent="0.2">
      <c r="A72" s="5" t="s">
        <v>33</v>
      </c>
      <c r="B72" s="5" t="s">
        <v>17</v>
      </c>
      <c r="C72" s="17" t="s">
        <v>564</v>
      </c>
      <c r="D72" s="7">
        <f t="shared" si="0"/>
        <v>12.780000000000001</v>
      </c>
      <c r="E72" s="8">
        <v>30</v>
      </c>
      <c r="F72" s="5">
        <v>21</v>
      </c>
      <c r="G72" s="5">
        <v>272</v>
      </c>
      <c r="H72" s="5">
        <v>1</v>
      </c>
      <c r="I72" s="5">
        <v>2</v>
      </c>
      <c r="J72" s="9">
        <v>0</v>
      </c>
      <c r="K72" s="8">
        <v>5</v>
      </c>
      <c r="L72" s="5">
        <v>19</v>
      </c>
      <c r="M72" s="5">
        <v>0</v>
      </c>
      <c r="N72" s="9">
        <v>0</v>
      </c>
      <c r="O72" s="8">
        <v>0</v>
      </c>
      <c r="P72" s="5">
        <v>0</v>
      </c>
      <c r="Q72" s="5">
        <v>0</v>
      </c>
      <c r="R72" s="9">
        <v>0</v>
      </c>
      <c r="S72" s="8">
        <v>0</v>
      </c>
      <c r="T72" s="5">
        <v>0</v>
      </c>
    </row>
    <row r="73" spans="1:20" x14ac:dyDescent="0.2">
      <c r="A73" s="5" t="s">
        <v>190</v>
      </c>
      <c r="B73" s="5" t="s">
        <v>162</v>
      </c>
      <c r="C73" s="17" t="s">
        <v>563</v>
      </c>
      <c r="D73" s="7">
        <f t="shared" si="0"/>
        <v>12.7</v>
      </c>
      <c r="E73" s="8">
        <v>0</v>
      </c>
      <c r="F73" s="5">
        <v>0</v>
      </c>
      <c r="G73" s="5">
        <v>0</v>
      </c>
      <c r="H73" s="5">
        <v>0</v>
      </c>
      <c r="I73" s="5">
        <v>0</v>
      </c>
      <c r="J73" s="9">
        <v>0</v>
      </c>
      <c r="K73" s="8">
        <v>0</v>
      </c>
      <c r="L73" s="5">
        <v>0</v>
      </c>
      <c r="M73" s="5">
        <v>0</v>
      </c>
      <c r="N73" s="9">
        <v>0</v>
      </c>
      <c r="O73" s="8">
        <v>7</v>
      </c>
      <c r="P73" s="5">
        <v>57</v>
      </c>
      <c r="Q73" s="5">
        <v>0</v>
      </c>
      <c r="R73" s="9">
        <v>0</v>
      </c>
      <c r="S73" s="8">
        <v>0</v>
      </c>
      <c r="T73" s="5">
        <v>0</v>
      </c>
    </row>
    <row r="74" spans="1:20" x14ac:dyDescent="0.2">
      <c r="A74" s="5" t="s">
        <v>171</v>
      </c>
      <c r="B74" s="5" t="s">
        <v>162</v>
      </c>
      <c r="C74" s="10" t="s">
        <v>566</v>
      </c>
      <c r="D74" s="7">
        <f t="shared" si="0"/>
        <v>12.7</v>
      </c>
      <c r="E74" s="8">
        <v>0</v>
      </c>
      <c r="F74" s="5">
        <v>0</v>
      </c>
      <c r="G74" s="5">
        <v>0</v>
      </c>
      <c r="H74" s="5">
        <v>0</v>
      </c>
      <c r="I74" s="5">
        <v>0</v>
      </c>
      <c r="J74" s="9">
        <v>0</v>
      </c>
      <c r="K74" s="8">
        <v>0</v>
      </c>
      <c r="L74" s="5">
        <v>0</v>
      </c>
      <c r="M74" s="5">
        <v>0</v>
      </c>
      <c r="N74" s="9">
        <v>0</v>
      </c>
      <c r="O74" s="8">
        <v>7</v>
      </c>
      <c r="P74" s="5">
        <v>57</v>
      </c>
      <c r="Q74" s="5">
        <v>0</v>
      </c>
      <c r="R74" s="9">
        <v>0</v>
      </c>
      <c r="S74" s="8">
        <v>0</v>
      </c>
      <c r="T74" s="5">
        <v>0</v>
      </c>
    </row>
    <row r="75" spans="1:20" x14ac:dyDescent="0.2">
      <c r="A75" s="5" t="s">
        <v>105</v>
      </c>
      <c r="B75" s="5" t="s">
        <v>75</v>
      </c>
      <c r="C75" s="10" t="s">
        <v>572</v>
      </c>
      <c r="D75" s="7">
        <f t="shared" si="0"/>
        <v>12.600000000000001</v>
      </c>
      <c r="E75" s="8">
        <v>0</v>
      </c>
      <c r="F75" s="5">
        <v>0</v>
      </c>
      <c r="G75" s="5">
        <v>0</v>
      </c>
      <c r="H75" s="5">
        <v>0</v>
      </c>
      <c r="I75" s="5">
        <v>0</v>
      </c>
      <c r="J75" s="9">
        <v>0</v>
      </c>
      <c r="K75" s="8">
        <v>15</v>
      </c>
      <c r="L75" s="5">
        <v>82</v>
      </c>
      <c r="M75" s="5">
        <v>0</v>
      </c>
      <c r="N75" s="9">
        <v>0</v>
      </c>
      <c r="O75" s="8">
        <v>3</v>
      </c>
      <c r="P75" s="5">
        <v>14</v>
      </c>
      <c r="Q75" s="5">
        <v>0</v>
      </c>
      <c r="R75" s="9">
        <v>0</v>
      </c>
      <c r="S75" s="8">
        <v>0</v>
      </c>
      <c r="T75" s="5">
        <v>0</v>
      </c>
    </row>
    <row r="76" spans="1:20" x14ac:dyDescent="0.2">
      <c r="A76" s="5" t="s">
        <v>198</v>
      </c>
      <c r="B76" s="5" t="s">
        <v>162</v>
      </c>
      <c r="C76" s="10" t="s">
        <v>571</v>
      </c>
      <c r="D76" s="7">
        <f t="shared" si="0"/>
        <v>12.600000000000001</v>
      </c>
      <c r="E76" s="8">
        <v>0</v>
      </c>
      <c r="F76" s="5">
        <v>0</v>
      </c>
      <c r="G76" s="5">
        <v>0</v>
      </c>
      <c r="H76" s="5">
        <v>0</v>
      </c>
      <c r="I76" s="5">
        <v>0</v>
      </c>
      <c r="J76" s="9">
        <v>0</v>
      </c>
      <c r="K76" s="8">
        <v>0</v>
      </c>
      <c r="L76" s="5">
        <v>0</v>
      </c>
      <c r="M76" s="5">
        <v>0</v>
      </c>
      <c r="N76" s="9">
        <v>0</v>
      </c>
      <c r="O76" s="8">
        <v>6</v>
      </c>
      <c r="P76" s="5">
        <v>66</v>
      </c>
      <c r="Q76" s="5">
        <v>0</v>
      </c>
      <c r="R76" s="9">
        <v>0</v>
      </c>
      <c r="S76" s="8">
        <v>0</v>
      </c>
      <c r="T76" s="5">
        <v>0</v>
      </c>
    </row>
    <row r="77" spans="1:20" x14ac:dyDescent="0.2">
      <c r="A77" s="5" t="s">
        <v>196</v>
      </c>
      <c r="B77" s="5" t="s">
        <v>162</v>
      </c>
      <c r="C77" s="17" t="s">
        <v>565</v>
      </c>
      <c r="D77" s="7">
        <f t="shared" si="0"/>
        <v>12.3</v>
      </c>
      <c r="E77" s="8">
        <v>0</v>
      </c>
      <c r="F77" s="5">
        <v>0</v>
      </c>
      <c r="G77" s="5">
        <v>0</v>
      </c>
      <c r="H77" s="5">
        <v>0</v>
      </c>
      <c r="I77" s="5">
        <v>0</v>
      </c>
      <c r="J77" s="9">
        <v>0</v>
      </c>
      <c r="K77" s="8">
        <v>0</v>
      </c>
      <c r="L77" s="5">
        <v>0</v>
      </c>
      <c r="M77" s="5">
        <v>0</v>
      </c>
      <c r="N77" s="9">
        <v>0</v>
      </c>
      <c r="O77" s="8">
        <v>6</v>
      </c>
      <c r="P77" s="5">
        <v>63</v>
      </c>
      <c r="Q77" s="5">
        <v>0</v>
      </c>
      <c r="R77" s="9">
        <v>0</v>
      </c>
      <c r="S77" s="8">
        <v>0</v>
      </c>
      <c r="T77" s="5">
        <v>0</v>
      </c>
    </row>
    <row r="78" spans="1:20" x14ac:dyDescent="0.2">
      <c r="A78" s="5" t="s">
        <v>297</v>
      </c>
      <c r="B78" s="5" t="s">
        <v>69</v>
      </c>
      <c r="C78" s="17" t="s">
        <v>561</v>
      </c>
      <c r="D78" s="7">
        <f t="shared" si="0"/>
        <v>11.6</v>
      </c>
      <c r="E78" s="8">
        <v>0</v>
      </c>
      <c r="F78" s="5">
        <v>0</v>
      </c>
      <c r="G78" s="5">
        <v>0</v>
      </c>
      <c r="H78" s="5">
        <v>0</v>
      </c>
      <c r="I78" s="5">
        <v>0</v>
      </c>
      <c r="J78" s="9">
        <v>0</v>
      </c>
      <c r="K78" s="8">
        <v>0</v>
      </c>
      <c r="L78" s="5">
        <v>0</v>
      </c>
      <c r="M78" s="5">
        <v>0</v>
      </c>
      <c r="N78" s="9">
        <v>0</v>
      </c>
      <c r="O78" s="8">
        <v>3</v>
      </c>
      <c r="P78" s="5">
        <v>26</v>
      </c>
      <c r="Q78" s="5">
        <v>1</v>
      </c>
      <c r="R78" s="9">
        <v>0</v>
      </c>
      <c r="S78" s="8">
        <v>0</v>
      </c>
      <c r="T78" s="5">
        <v>0</v>
      </c>
    </row>
    <row r="79" spans="1:20" x14ac:dyDescent="0.2">
      <c r="A79" s="5" t="s">
        <v>122</v>
      </c>
      <c r="B79" s="5" t="s">
        <v>75</v>
      </c>
      <c r="C79" s="17" t="s">
        <v>572</v>
      </c>
      <c r="D79" s="7">
        <f t="shared" si="0"/>
        <v>11.500000000000002</v>
      </c>
      <c r="E79" s="8">
        <v>0</v>
      </c>
      <c r="F79" s="5">
        <v>0</v>
      </c>
      <c r="G79" s="5">
        <v>0</v>
      </c>
      <c r="H79" s="5">
        <v>0</v>
      </c>
      <c r="I79" s="5">
        <v>0</v>
      </c>
      <c r="J79" s="9">
        <v>0</v>
      </c>
      <c r="K79" s="8">
        <v>15</v>
      </c>
      <c r="L79" s="5">
        <v>61</v>
      </c>
      <c r="M79" s="5">
        <v>0</v>
      </c>
      <c r="N79" s="9">
        <v>0</v>
      </c>
      <c r="O79" s="8">
        <v>2</v>
      </c>
      <c r="P79" s="5">
        <v>34</v>
      </c>
      <c r="Q79" s="5">
        <v>0</v>
      </c>
      <c r="R79" s="9">
        <v>0</v>
      </c>
      <c r="S79" s="8">
        <v>0</v>
      </c>
      <c r="T79" s="5">
        <v>0</v>
      </c>
    </row>
    <row r="80" spans="1:20" x14ac:dyDescent="0.2">
      <c r="A80" s="5" t="s">
        <v>370</v>
      </c>
      <c r="B80" s="5" t="s">
        <v>75</v>
      </c>
      <c r="C80" s="17" t="s">
        <v>573</v>
      </c>
      <c r="D80" s="7">
        <f t="shared" si="0"/>
        <v>11.5</v>
      </c>
      <c r="E80" s="8">
        <v>0</v>
      </c>
      <c r="F80" s="5">
        <v>0</v>
      </c>
      <c r="G80" s="5">
        <v>0</v>
      </c>
      <c r="H80" s="5">
        <v>0</v>
      </c>
      <c r="I80" s="5">
        <v>0</v>
      </c>
      <c r="J80" s="9">
        <v>0</v>
      </c>
      <c r="K80" s="8">
        <v>13</v>
      </c>
      <c r="L80" s="5">
        <v>58</v>
      </c>
      <c r="M80" s="5">
        <v>0</v>
      </c>
      <c r="N80" s="9">
        <v>0</v>
      </c>
      <c r="O80" s="8">
        <v>4</v>
      </c>
      <c r="P80" s="5">
        <v>17</v>
      </c>
      <c r="Q80" s="5">
        <v>0</v>
      </c>
      <c r="R80" s="9">
        <v>0</v>
      </c>
      <c r="S80" s="8">
        <v>0</v>
      </c>
      <c r="T80" s="5">
        <v>0</v>
      </c>
    </row>
    <row r="81" spans="1:20" x14ac:dyDescent="0.2">
      <c r="A81" s="5" t="s">
        <v>179</v>
      </c>
      <c r="B81" s="5" t="s">
        <v>162</v>
      </c>
      <c r="C81" s="10" t="s">
        <v>562</v>
      </c>
      <c r="D81" s="7">
        <f t="shared" si="0"/>
        <v>11.5</v>
      </c>
      <c r="E81" s="8">
        <v>0</v>
      </c>
      <c r="F81" s="5">
        <v>0</v>
      </c>
      <c r="G81" s="5">
        <v>0</v>
      </c>
      <c r="H81" s="5">
        <v>0</v>
      </c>
      <c r="I81" s="5">
        <v>0</v>
      </c>
      <c r="J81" s="9">
        <v>0</v>
      </c>
      <c r="K81" s="8">
        <v>0</v>
      </c>
      <c r="L81" s="5">
        <v>0</v>
      </c>
      <c r="M81" s="5">
        <v>0</v>
      </c>
      <c r="N81" s="9">
        <v>0</v>
      </c>
      <c r="O81" s="8">
        <v>4</v>
      </c>
      <c r="P81" s="5">
        <v>75</v>
      </c>
      <c r="Q81" s="5">
        <v>0</v>
      </c>
      <c r="R81" s="9">
        <v>0</v>
      </c>
      <c r="S81" s="8">
        <v>0</v>
      </c>
      <c r="T81" s="5">
        <v>0</v>
      </c>
    </row>
    <row r="82" spans="1:20" x14ac:dyDescent="0.2">
      <c r="A82" s="5" t="s">
        <v>207</v>
      </c>
      <c r="B82" s="5" t="s">
        <v>162</v>
      </c>
      <c r="C82" s="10" t="s">
        <v>568</v>
      </c>
      <c r="D82" s="7">
        <f t="shared" si="0"/>
        <v>11.4</v>
      </c>
      <c r="E82" s="8">
        <v>0</v>
      </c>
      <c r="F82" s="5">
        <v>0</v>
      </c>
      <c r="G82" s="5">
        <v>0</v>
      </c>
      <c r="H82" s="5">
        <v>0</v>
      </c>
      <c r="I82" s="5">
        <v>0</v>
      </c>
      <c r="J82" s="9">
        <v>0</v>
      </c>
      <c r="K82" s="8">
        <v>1</v>
      </c>
      <c r="L82" s="5">
        <v>20</v>
      </c>
      <c r="M82" s="5">
        <v>0</v>
      </c>
      <c r="N82" s="9">
        <v>0</v>
      </c>
      <c r="O82" s="8">
        <v>4</v>
      </c>
      <c r="P82" s="5">
        <v>54</v>
      </c>
      <c r="Q82" s="5">
        <v>0</v>
      </c>
      <c r="R82" s="9">
        <v>0</v>
      </c>
      <c r="S82" s="8">
        <v>0</v>
      </c>
      <c r="T82" s="5">
        <v>0</v>
      </c>
    </row>
    <row r="83" spans="1:20" x14ac:dyDescent="0.2">
      <c r="A83" s="5" t="s">
        <v>360</v>
      </c>
      <c r="B83" s="5" t="s">
        <v>162</v>
      </c>
      <c r="C83" s="10" t="s">
        <v>572</v>
      </c>
      <c r="D83" s="7">
        <f t="shared" si="0"/>
        <v>11.4</v>
      </c>
      <c r="E83" s="8">
        <v>0</v>
      </c>
      <c r="F83" s="5">
        <v>0</v>
      </c>
      <c r="G83" s="5">
        <v>0</v>
      </c>
      <c r="H83" s="5">
        <v>0</v>
      </c>
      <c r="I83" s="5">
        <v>0</v>
      </c>
      <c r="J83" s="9">
        <v>0</v>
      </c>
      <c r="K83" s="8">
        <v>0</v>
      </c>
      <c r="L83" s="5">
        <v>0</v>
      </c>
      <c r="M83" s="5">
        <v>0</v>
      </c>
      <c r="N83" s="9">
        <v>0</v>
      </c>
      <c r="O83" s="8">
        <v>5</v>
      </c>
      <c r="P83" s="5">
        <v>64</v>
      </c>
      <c r="Q83" s="5">
        <v>0</v>
      </c>
      <c r="R83" s="9">
        <v>0</v>
      </c>
      <c r="S83" s="8">
        <v>0</v>
      </c>
      <c r="T83" s="5">
        <v>0</v>
      </c>
    </row>
    <row r="84" spans="1:20" x14ac:dyDescent="0.2">
      <c r="A84" s="5" t="s">
        <v>339</v>
      </c>
      <c r="B84" s="5" t="s">
        <v>162</v>
      </c>
      <c r="C84" s="17" t="s">
        <v>571</v>
      </c>
      <c r="D84" s="7">
        <f t="shared" si="0"/>
        <v>11.4</v>
      </c>
      <c r="E84" s="8">
        <v>0</v>
      </c>
      <c r="F84" s="5">
        <v>0</v>
      </c>
      <c r="G84" s="5">
        <v>0</v>
      </c>
      <c r="H84" s="5">
        <v>0</v>
      </c>
      <c r="I84" s="5">
        <v>0</v>
      </c>
      <c r="J84" s="9">
        <v>0</v>
      </c>
      <c r="K84" s="8">
        <v>0</v>
      </c>
      <c r="L84" s="5">
        <v>0</v>
      </c>
      <c r="M84" s="5">
        <v>0</v>
      </c>
      <c r="N84" s="9">
        <v>0</v>
      </c>
      <c r="O84" s="8">
        <v>6</v>
      </c>
      <c r="P84" s="5">
        <v>54</v>
      </c>
      <c r="Q84" s="5">
        <v>0</v>
      </c>
      <c r="R84" s="9">
        <v>0</v>
      </c>
      <c r="S84" s="8">
        <v>0</v>
      </c>
      <c r="T84" s="5">
        <v>0</v>
      </c>
    </row>
    <row r="85" spans="1:20" x14ac:dyDescent="0.2">
      <c r="A85" s="5" t="s">
        <v>280</v>
      </c>
      <c r="B85" s="5" t="s">
        <v>69</v>
      </c>
      <c r="C85" s="17" t="s">
        <v>562</v>
      </c>
      <c r="D85" s="7">
        <f t="shared" si="0"/>
        <v>11.2</v>
      </c>
      <c r="E85" s="8">
        <v>0</v>
      </c>
      <c r="F85" s="5">
        <v>0</v>
      </c>
      <c r="G85" s="5">
        <v>0</v>
      </c>
      <c r="H85" s="5">
        <v>0</v>
      </c>
      <c r="I85" s="5">
        <v>0</v>
      </c>
      <c r="J85" s="9">
        <v>0</v>
      </c>
      <c r="K85" s="8">
        <v>0</v>
      </c>
      <c r="L85" s="5">
        <v>0</v>
      </c>
      <c r="M85" s="5">
        <v>0</v>
      </c>
      <c r="N85" s="9">
        <v>0</v>
      </c>
      <c r="O85" s="8">
        <v>6</v>
      </c>
      <c r="P85" s="5">
        <v>52</v>
      </c>
      <c r="Q85" s="5">
        <v>0</v>
      </c>
      <c r="R85" s="9">
        <v>0</v>
      </c>
      <c r="S85" s="8">
        <v>0</v>
      </c>
      <c r="T85" s="5">
        <v>0</v>
      </c>
    </row>
    <row r="86" spans="1:20" x14ac:dyDescent="0.2">
      <c r="A86" s="5" t="s">
        <v>225</v>
      </c>
      <c r="B86" s="5" t="s">
        <v>162</v>
      </c>
      <c r="C86" s="17" t="s">
        <v>572</v>
      </c>
      <c r="D86" s="7">
        <f t="shared" si="0"/>
        <v>11.1</v>
      </c>
      <c r="E86" s="8">
        <v>0</v>
      </c>
      <c r="F86" s="5">
        <v>0</v>
      </c>
      <c r="G86" s="5">
        <v>0</v>
      </c>
      <c r="H86" s="5">
        <v>0</v>
      </c>
      <c r="I86" s="5">
        <v>0</v>
      </c>
      <c r="J86" s="9">
        <v>0</v>
      </c>
      <c r="K86" s="8">
        <v>0</v>
      </c>
      <c r="L86" s="5">
        <v>0</v>
      </c>
      <c r="M86" s="5">
        <v>0</v>
      </c>
      <c r="N86" s="9">
        <v>0</v>
      </c>
      <c r="O86" s="8">
        <v>3</v>
      </c>
      <c r="P86" s="5">
        <v>21</v>
      </c>
      <c r="Q86" s="5">
        <v>1</v>
      </c>
      <c r="R86" s="9">
        <v>0</v>
      </c>
      <c r="S86" s="8">
        <v>0</v>
      </c>
      <c r="T86" s="5">
        <v>0</v>
      </c>
    </row>
    <row r="87" spans="1:20" x14ac:dyDescent="0.2">
      <c r="A87" s="5" t="s">
        <v>174</v>
      </c>
      <c r="B87" s="5" t="s">
        <v>162</v>
      </c>
      <c r="C87" s="17" t="s">
        <v>572</v>
      </c>
      <c r="D87" s="7">
        <f t="shared" si="0"/>
        <v>11</v>
      </c>
      <c r="E87" s="8">
        <v>0</v>
      </c>
      <c r="F87" s="5">
        <v>0</v>
      </c>
      <c r="G87" s="5">
        <v>0</v>
      </c>
      <c r="H87" s="5">
        <v>0</v>
      </c>
      <c r="I87" s="5">
        <v>0</v>
      </c>
      <c r="J87" s="9">
        <v>0</v>
      </c>
      <c r="K87" s="8">
        <v>0</v>
      </c>
      <c r="L87" s="5">
        <v>0</v>
      </c>
      <c r="M87" s="5">
        <v>0</v>
      </c>
      <c r="N87" s="9">
        <v>0</v>
      </c>
      <c r="O87" s="8">
        <v>2</v>
      </c>
      <c r="P87" s="5">
        <v>30</v>
      </c>
      <c r="Q87" s="5">
        <v>1</v>
      </c>
      <c r="R87" s="9">
        <v>0</v>
      </c>
      <c r="S87" s="8">
        <v>0</v>
      </c>
      <c r="T87" s="5">
        <v>0</v>
      </c>
    </row>
    <row r="88" spans="1:20" x14ac:dyDescent="0.2">
      <c r="A88" s="5" t="s">
        <v>400</v>
      </c>
      <c r="B88" s="5" t="s">
        <v>162</v>
      </c>
      <c r="C88" s="10" t="s">
        <v>564</v>
      </c>
      <c r="D88" s="7">
        <f t="shared" si="0"/>
        <v>10.9</v>
      </c>
      <c r="E88" s="8">
        <v>0</v>
      </c>
      <c r="F88" s="5">
        <v>0</v>
      </c>
      <c r="G88" s="5">
        <v>0</v>
      </c>
      <c r="H88" s="5">
        <v>0</v>
      </c>
      <c r="I88" s="5">
        <v>0</v>
      </c>
      <c r="J88" s="9">
        <v>0</v>
      </c>
      <c r="K88" s="8">
        <v>1</v>
      </c>
      <c r="L88" s="5">
        <v>5</v>
      </c>
      <c r="M88" s="5">
        <v>0</v>
      </c>
      <c r="N88" s="9">
        <v>0</v>
      </c>
      <c r="O88" s="8">
        <v>4</v>
      </c>
      <c r="P88" s="5">
        <v>64</v>
      </c>
      <c r="Q88" s="5">
        <v>0</v>
      </c>
      <c r="R88" s="9">
        <v>0</v>
      </c>
      <c r="S88" s="8">
        <v>0</v>
      </c>
      <c r="T88" s="5">
        <v>0</v>
      </c>
    </row>
    <row r="89" spans="1:20" x14ac:dyDescent="0.2">
      <c r="A89" s="5" t="s">
        <v>25</v>
      </c>
      <c r="B89" s="5" t="s">
        <v>17</v>
      </c>
      <c r="C89" s="17" t="s">
        <v>561</v>
      </c>
      <c r="D89" s="7">
        <f t="shared" si="0"/>
        <v>10.86</v>
      </c>
      <c r="E89" s="8">
        <v>30</v>
      </c>
      <c r="F89" s="5">
        <v>17</v>
      </c>
      <c r="G89" s="5">
        <v>259</v>
      </c>
      <c r="H89" s="5">
        <v>1</v>
      </c>
      <c r="I89" s="5">
        <v>2</v>
      </c>
      <c r="J89" s="9">
        <v>0</v>
      </c>
      <c r="K89" s="8">
        <v>2</v>
      </c>
      <c r="L89" s="5">
        <v>5</v>
      </c>
      <c r="M89" s="5">
        <v>0</v>
      </c>
      <c r="N89" s="9">
        <v>0</v>
      </c>
      <c r="O89" s="8">
        <v>0</v>
      </c>
      <c r="P89" s="5">
        <v>0</v>
      </c>
      <c r="Q89" s="5">
        <v>0</v>
      </c>
      <c r="R89" s="9">
        <v>0</v>
      </c>
      <c r="S89" s="8">
        <v>0</v>
      </c>
      <c r="T89" s="5">
        <v>0</v>
      </c>
    </row>
    <row r="90" spans="1:20" x14ac:dyDescent="0.2">
      <c r="A90" s="5" t="s">
        <v>163</v>
      </c>
      <c r="B90" s="5" t="s">
        <v>162</v>
      </c>
      <c r="C90" s="17" t="s">
        <v>564</v>
      </c>
      <c r="D90" s="7">
        <f t="shared" si="0"/>
        <v>10.7</v>
      </c>
      <c r="E90" s="8">
        <v>0</v>
      </c>
      <c r="F90" s="5">
        <v>0</v>
      </c>
      <c r="G90" s="5">
        <v>0</v>
      </c>
      <c r="H90" s="5">
        <v>0</v>
      </c>
      <c r="I90" s="5">
        <v>0</v>
      </c>
      <c r="J90" s="9">
        <v>0</v>
      </c>
      <c r="K90" s="8">
        <v>0</v>
      </c>
      <c r="L90" s="5">
        <v>0</v>
      </c>
      <c r="M90" s="5">
        <v>0</v>
      </c>
      <c r="N90" s="9">
        <v>0</v>
      </c>
      <c r="O90" s="8">
        <v>5</v>
      </c>
      <c r="P90" s="5">
        <v>57</v>
      </c>
      <c r="Q90" s="5">
        <v>0</v>
      </c>
      <c r="R90" s="9">
        <v>0</v>
      </c>
      <c r="S90" s="8">
        <v>0</v>
      </c>
      <c r="T90" s="5">
        <v>0</v>
      </c>
    </row>
    <row r="91" spans="1:20" x14ac:dyDescent="0.2">
      <c r="A91" s="5" t="s">
        <v>152</v>
      </c>
      <c r="B91" s="5" t="s">
        <v>75</v>
      </c>
      <c r="C91" s="10" t="s">
        <v>565</v>
      </c>
      <c r="D91" s="7">
        <f t="shared" si="0"/>
        <v>10.5</v>
      </c>
      <c r="E91" s="8">
        <v>0</v>
      </c>
      <c r="F91" s="5">
        <v>0</v>
      </c>
      <c r="G91" s="5">
        <v>0</v>
      </c>
      <c r="H91" s="5">
        <v>0</v>
      </c>
      <c r="I91" s="5">
        <v>0</v>
      </c>
      <c r="J91" s="9">
        <v>0</v>
      </c>
      <c r="K91" s="8">
        <v>15</v>
      </c>
      <c r="L91" s="5">
        <v>62</v>
      </c>
      <c r="M91" s="5">
        <v>0</v>
      </c>
      <c r="N91" s="9">
        <v>0</v>
      </c>
      <c r="O91" s="8">
        <v>3</v>
      </c>
      <c r="P91" s="5">
        <v>13</v>
      </c>
      <c r="Q91" s="5">
        <v>0</v>
      </c>
      <c r="R91" s="9">
        <v>0</v>
      </c>
      <c r="S91" s="8">
        <v>0</v>
      </c>
      <c r="T91" s="5">
        <v>0</v>
      </c>
    </row>
    <row r="92" spans="1:20" x14ac:dyDescent="0.2">
      <c r="A92" s="5" t="s">
        <v>353</v>
      </c>
      <c r="B92" s="5" t="s">
        <v>162</v>
      </c>
      <c r="C92" s="17" t="s">
        <v>564</v>
      </c>
      <c r="D92" s="7">
        <f t="shared" si="0"/>
        <v>10.4</v>
      </c>
      <c r="E92" s="8">
        <v>0</v>
      </c>
      <c r="F92" s="5">
        <v>0</v>
      </c>
      <c r="G92" s="5">
        <v>0</v>
      </c>
      <c r="H92" s="5">
        <v>0</v>
      </c>
      <c r="I92" s="5">
        <v>0</v>
      </c>
      <c r="J92" s="9">
        <v>0</v>
      </c>
      <c r="K92" s="8">
        <v>0</v>
      </c>
      <c r="L92" s="5">
        <v>0</v>
      </c>
      <c r="M92" s="5">
        <v>0</v>
      </c>
      <c r="N92" s="9">
        <v>0</v>
      </c>
      <c r="O92" s="8">
        <v>5</v>
      </c>
      <c r="P92" s="5">
        <v>54</v>
      </c>
      <c r="Q92" s="5">
        <v>0</v>
      </c>
      <c r="R92" s="9">
        <v>0</v>
      </c>
      <c r="S92" s="8">
        <v>0</v>
      </c>
      <c r="T92" s="5">
        <v>0</v>
      </c>
    </row>
    <row r="93" spans="1:20" x14ac:dyDescent="0.2">
      <c r="A93" s="5" t="s">
        <v>300</v>
      </c>
      <c r="B93" s="5" t="s">
        <v>69</v>
      </c>
      <c r="C93" s="17" t="s">
        <v>567</v>
      </c>
      <c r="D93" s="7">
        <f t="shared" si="0"/>
        <v>10.4</v>
      </c>
      <c r="E93" s="8">
        <v>0</v>
      </c>
      <c r="F93" s="5">
        <v>0</v>
      </c>
      <c r="G93" s="5">
        <v>0</v>
      </c>
      <c r="H93" s="5">
        <v>0</v>
      </c>
      <c r="I93" s="5">
        <v>0</v>
      </c>
      <c r="J93" s="9">
        <v>0</v>
      </c>
      <c r="K93" s="8">
        <v>0</v>
      </c>
      <c r="L93" s="5">
        <v>0</v>
      </c>
      <c r="M93" s="5">
        <v>0</v>
      </c>
      <c r="N93" s="9">
        <v>0</v>
      </c>
      <c r="O93" s="8">
        <v>5</v>
      </c>
      <c r="P93" s="5">
        <v>54</v>
      </c>
      <c r="Q93" s="5">
        <v>0</v>
      </c>
      <c r="R93" s="9">
        <v>0</v>
      </c>
      <c r="S93" s="8">
        <v>0</v>
      </c>
      <c r="T93" s="5">
        <v>0</v>
      </c>
    </row>
    <row r="94" spans="1:20" x14ac:dyDescent="0.2">
      <c r="A94" s="5" t="s">
        <v>16</v>
      </c>
      <c r="B94" s="5" t="s">
        <v>17</v>
      </c>
      <c r="C94" s="17" t="s">
        <v>565</v>
      </c>
      <c r="D94" s="7">
        <f t="shared" si="0"/>
        <v>10.34</v>
      </c>
      <c r="E94" s="8">
        <v>32</v>
      </c>
      <c r="F94" s="5">
        <v>23</v>
      </c>
      <c r="G94" s="5">
        <v>216</v>
      </c>
      <c r="H94" s="5">
        <v>1</v>
      </c>
      <c r="I94" s="5">
        <v>1</v>
      </c>
      <c r="J94" s="9">
        <v>0</v>
      </c>
      <c r="K94" s="8">
        <v>1</v>
      </c>
      <c r="L94" s="5">
        <v>-3</v>
      </c>
      <c r="M94" s="5">
        <v>0</v>
      </c>
      <c r="N94" s="9">
        <v>0</v>
      </c>
      <c r="O94" s="8">
        <v>0</v>
      </c>
      <c r="P94" s="5">
        <v>0</v>
      </c>
      <c r="Q94" s="5">
        <v>0</v>
      </c>
      <c r="R94" s="9">
        <v>0</v>
      </c>
      <c r="S94" s="8">
        <v>0</v>
      </c>
      <c r="T94" s="5">
        <v>0</v>
      </c>
    </row>
    <row r="95" spans="1:20" x14ac:dyDescent="0.2">
      <c r="A95" s="5" t="s">
        <v>113</v>
      </c>
      <c r="B95" s="5" t="s">
        <v>75</v>
      </c>
      <c r="C95" s="17" t="s">
        <v>569</v>
      </c>
      <c r="D95" s="7">
        <f t="shared" si="0"/>
        <v>10.1</v>
      </c>
      <c r="E95" s="8">
        <v>0</v>
      </c>
      <c r="F95" s="5">
        <v>0</v>
      </c>
      <c r="G95" s="5">
        <v>0</v>
      </c>
      <c r="H95" s="5">
        <v>0</v>
      </c>
      <c r="I95" s="5">
        <v>0</v>
      </c>
      <c r="J95" s="9">
        <v>0</v>
      </c>
      <c r="K95" s="8">
        <v>6</v>
      </c>
      <c r="L95" s="5">
        <v>32</v>
      </c>
      <c r="M95" s="5">
        <v>1</v>
      </c>
      <c r="N95" s="9">
        <v>0</v>
      </c>
      <c r="O95" s="8">
        <v>1</v>
      </c>
      <c r="P95" s="5">
        <v>-1</v>
      </c>
      <c r="Q95" s="5">
        <v>0</v>
      </c>
      <c r="R95" s="9">
        <v>0</v>
      </c>
      <c r="S95" s="8">
        <v>0</v>
      </c>
      <c r="T95" s="5">
        <v>0</v>
      </c>
    </row>
    <row r="96" spans="1:20" x14ac:dyDescent="0.2">
      <c r="A96" s="5" t="s">
        <v>176</v>
      </c>
      <c r="B96" s="5" t="s">
        <v>162</v>
      </c>
      <c r="C96" s="10" t="s">
        <v>569</v>
      </c>
      <c r="D96" s="7">
        <f t="shared" si="0"/>
        <v>10.1</v>
      </c>
      <c r="E96" s="8">
        <v>0</v>
      </c>
      <c r="F96" s="5">
        <v>0</v>
      </c>
      <c r="G96" s="5">
        <v>0</v>
      </c>
      <c r="H96" s="5">
        <v>0</v>
      </c>
      <c r="I96" s="5">
        <v>0</v>
      </c>
      <c r="J96" s="9">
        <v>0</v>
      </c>
      <c r="K96" s="8">
        <v>0</v>
      </c>
      <c r="L96" s="5">
        <v>0</v>
      </c>
      <c r="M96" s="5">
        <v>0</v>
      </c>
      <c r="N96" s="9">
        <v>0</v>
      </c>
      <c r="O96" s="8">
        <v>1</v>
      </c>
      <c r="P96" s="5">
        <v>31</v>
      </c>
      <c r="Q96" s="5">
        <v>1</v>
      </c>
      <c r="R96" s="9">
        <v>0</v>
      </c>
      <c r="S96" s="8">
        <v>0</v>
      </c>
      <c r="T96" s="5">
        <v>0</v>
      </c>
    </row>
    <row r="97" spans="1:20" x14ac:dyDescent="0.2">
      <c r="A97" s="5" t="s">
        <v>228</v>
      </c>
      <c r="B97" s="5" t="s">
        <v>162</v>
      </c>
      <c r="C97" s="10" t="s">
        <v>562</v>
      </c>
      <c r="D97" s="7">
        <f t="shared" si="0"/>
        <v>9.9</v>
      </c>
      <c r="E97" s="8">
        <v>0</v>
      </c>
      <c r="F97" s="5">
        <v>0</v>
      </c>
      <c r="G97" s="5">
        <v>0</v>
      </c>
      <c r="H97" s="5">
        <v>0</v>
      </c>
      <c r="I97" s="5">
        <v>0</v>
      </c>
      <c r="J97" s="9">
        <v>0</v>
      </c>
      <c r="K97" s="8">
        <v>0</v>
      </c>
      <c r="L97" s="5">
        <v>0</v>
      </c>
      <c r="M97" s="5">
        <v>0</v>
      </c>
      <c r="N97" s="9">
        <v>0</v>
      </c>
      <c r="O97" s="8">
        <v>5</v>
      </c>
      <c r="P97" s="5">
        <v>49</v>
      </c>
      <c r="Q97" s="5">
        <v>0</v>
      </c>
      <c r="R97" s="9">
        <v>0</v>
      </c>
      <c r="S97" s="8">
        <v>0</v>
      </c>
      <c r="T97" s="5">
        <v>0</v>
      </c>
    </row>
    <row r="98" spans="1:20" x14ac:dyDescent="0.2">
      <c r="A98" s="5" t="s">
        <v>208</v>
      </c>
      <c r="B98" s="5" t="s">
        <v>162</v>
      </c>
      <c r="C98" s="17" t="s">
        <v>567</v>
      </c>
      <c r="D98" s="7">
        <f t="shared" si="0"/>
        <v>9.9</v>
      </c>
      <c r="E98" s="8">
        <v>0</v>
      </c>
      <c r="F98" s="5">
        <v>0</v>
      </c>
      <c r="G98" s="5">
        <v>0</v>
      </c>
      <c r="H98" s="5">
        <v>0</v>
      </c>
      <c r="I98" s="5">
        <v>0</v>
      </c>
      <c r="J98" s="9">
        <v>0</v>
      </c>
      <c r="K98" s="8">
        <v>0</v>
      </c>
      <c r="L98" s="5">
        <v>0</v>
      </c>
      <c r="M98" s="5">
        <v>0</v>
      </c>
      <c r="N98" s="9">
        <v>0</v>
      </c>
      <c r="O98" s="8">
        <v>4</v>
      </c>
      <c r="P98" s="5">
        <v>59</v>
      </c>
      <c r="Q98" s="5">
        <v>0</v>
      </c>
      <c r="R98" s="9">
        <v>0</v>
      </c>
      <c r="S98" s="8">
        <v>0</v>
      </c>
      <c r="T98" s="5">
        <v>0</v>
      </c>
    </row>
    <row r="99" spans="1:20" x14ac:dyDescent="0.2">
      <c r="A99" s="5" t="s">
        <v>224</v>
      </c>
      <c r="B99" s="5" t="s">
        <v>162</v>
      </c>
      <c r="C99" s="10" t="s">
        <v>564</v>
      </c>
      <c r="D99" s="7">
        <f t="shared" si="0"/>
        <v>9.6999999999999993</v>
      </c>
      <c r="E99" s="8">
        <v>0</v>
      </c>
      <c r="F99" s="5">
        <v>0</v>
      </c>
      <c r="G99" s="5">
        <v>0</v>
      </c>
      <c r="H99" s="5">
        <v>0</v>
      </c>
      <c r="I99" s="5">
        <v>0</v>
      </c>
      <c r="J99" s="9">
        <v>0</v>
      </c>
      <c r="K99" s="8">
        <v>0</v>
      </c>
      <c r="L99" s="5">
        <v>0</v>
      </c>
      <c r="M99" s="5">
        <v>0</v>
      </c>
      <c r="N99" s="9">
        <v>0</v>
      </c>
      <c r="O99" s="8">
        <v>5</v>
      </c>
      <c r="P99" s="5">
        <v>47</v>
      </c>
      <c r="Q99" s="5">
        <v>0</v>
      </c>
      <c r="R99" s="9">
        <v>0</v>
      </c>
      <c r="S99" s="8">
        <v>0</v>
      </c>
      <c r="T99" s="5">
        <v>0</v>
      </c>
    </row>
    <row r="100" spans="1:20" x14ac:dyDescent="0.2">
      <c r="A100" s="5" t="s">
        <v>185</v>
      </c>
      <c r="B100" s="5" t="s">
        <v>162</v>
      </c>
      <c r="C100" s="17" t="s">
        <v>561</v>
      </c>
      <c r="D100" s="7">
        <f t="shared" si="0"/>
        <v>9.5</v>
      </c>
      <c r="E100" s="8">
        <v>0</v>
      </c>
      <c r="F100" s="5">
        <v>0</v>
      </c>
      <c r="G100" s="5">
        <v>0</v>
      </c>
      <c r="H100" s="5">
        <v>0</v>
      </c>
      <c r="I100" s="5">
        <v>0</v>
      </c>
      <c r="J100" s="9">
        <v>0</v>
      </c>
      <c r="K100" s="8">
        <v>0</v>
      </c>
      <c r="L100" s="5">
        <v>0</v>
      </c>
      <c r="M100" s="5">
        <v>0</v>
      </c>
      <c r="N100" s="9">
        <v>0</v>
      </c>
      <c r="O100" s="8">
        <v>4</v>
      </c>
      <c r="P100" s="5">
        <v>55</v>
      </c>
      <c r="Q100" s="5">
        <v>0</v>
      </c>
      <c r="R100" s="9">
        <v>0</v>
      </c>
      <c r="S100" s="8">
        <v>0</v>
      </c>
      <c r="T100" s="5">
        <v>0</v>
      </c>
    </row>
    <row r="101" spans="1:20" x14ac:dyDescent="0.2">
      <c r="A101" s="5" t="s">
        <v>346</v>
      </c>
      <c r="B101" s="5" t="s">
        <v>162</v>
      </c>
      <c r="C101" s="10" t="s">
        <v>570</v>
      </c>
      <c r="D101" s="7">
        <f t="shared" si="0"/>
        <v>9.5</v>
      </c>
      <c r="E101" s="8">
        <v>0</v>
      </c>
      <c r="F101" s="5">
        <v>0</v>
      </c>
      <c r="G101" s="5">
        <v>0</v>
      </c>
      <c r="H101" s="5">
        <v>0</v>
      </c>
      <c r="I101" s="5">
        <v>0</v>
      </c>
      <c r="J101" s="9">
        <v>0</v>
      </c>
      <c r="K101" s="8">
        <v>0</v>
      </c>
      <c r="L101" s="5">
        <v>0</v>
      </c>
      <c r="M101" s="5">
        <v>0</v>
      </c>
      <c r="N101" s="9">
        <v>0</v>
      </c>
      <c r="O101" s="8">
        <v>2</v>
      </c>
      <c r="P101" s="5">
        <v>75</v>
      </c>
      <c r="Q101" s="5">
        <v>0</v>
      </c>
      <c r="R101" s="9">
        <v>0</v>
      </c>
      <c r="S101" s="8">
        <v>0</v>
      </c>
      <c r="T101" s="5">
        <v>0</v>
      </c>
    </row>
    <row r="102" spans="1:20" x14ac:dyDescent="0.2">
      <c r="A102" s="5" t="s">
        <v>276</v>
      </c>
      <c r="B102" s="5" t="s">
        <v>69</v>
      </c>
      <c r="C102" s="17" t="s">
        <v>566</v>
      </c>
      <c r="D102" s="7">
        <f t="shared" si="0"/>
        <v>9.5</v>
      </c>
      <c r="E102" s="8">
        <v>0</v>
      </c>
      <c r="F102" s="5">
        <v>0</v>
      </c>
      <c r="G102" s="5">
        <v>0</v>
      </c>
      <c r="H102" s="5">
        <v>0</v>
      </c>
      <c r="I102" s="5">
        <v>0</v>
      </c>
      <c r="J102" s="9">
        <v>0</v>
      </c>
      <c r="K102" s="8">
        <v>0</v>
      </c>
      <c r="L102" s="5">
        <v>0</v>
      </c>
      <c r="M102" s="5">
        <v>0</v>
      </c>
      <c r="N102" s="9">
        <v>0</v>
      </c>
      <c r="O102" s="8">
        <v>5</v>
      </c>
      <c r="P102" s="5">
        <v>45</v>
      </c>
      <c r="Q102" s="5">
        <v>0</v>
      </c>
      <c r="R102" s="9">
        <v>0</v>
      </c>
      <c r="S102" s="8">
        <v>0</v>
      </c>
      <c r="T102" s="5">
        <v>0</v>
      </c>
    </row>
    <row r="103" spans="1:20" x14ac:dyDescent="0.2">
      <c r="A103" s="5" t="s">
        <v>39</v>
      </c>
      <c r="B103" s="5" t="s">
        <v>17</v>
      </c>
      <c r="C103" s="17" t="s">
        <v>570</v>
      </c>
      <c r="D103" s="7">
        <f t="shared" si="0"/>
        <v>9.4600000000000009</v>
      </c>
      <c r="E103" s="8">
        <v>42</v>
      </c>
      <c r="F103" s="5">
        <v>22</v>
      </c>
      <c r="G103" s="5">
        <v>249</v>
      </c>
      <c r="H103" s="5">
        <v>0</v>
      </c>
      <c r="I103" s="5">
        <v>1</v>
      </c>
      <c r="J103" s="9">
        <v>0</v>
      </c>
      <c r="K103" s="8">
        <v>2</v>
      </c>
      <c r="L103" s="5">
        <v>15</v>
      </c>
      <c r="M103" s="5">
        <v>0</v>
      </c>
      <c r="N103" s="9">
        <v>0</v>
      </c>
      <c r="O103" s="8">
        <v>0</v>
      </c>
      <c r="P103" s="5">
        <v>0</v>
      </c>
      <c r="Q103" s="5">
        <v>0</v>
      </c>
      <c r="R103" s="9">
        <v>0</v>
      </c>
      <c r="S103" s="8">
        <v>0</v>
      </c>
      <c r="T103" s="5">
        <v>0</v>
      </c>
    </row>
    <row r="104" spans="1:20" x14ac:dyDescent="0.2">
      <c r="A104" s="5" t="s">
        <v>44</v>
      </c>
      <c r="B104" s="5" t="s">
        <v>17</v>
      </c>
      <c r="C104" s="17" t="s">
        <v>562</v>
      </c>
      <c r="D104" s="7">
        <f t="shared" si="0"/>
        <v>9.36</v>
      </c>
      <c r="E104" s="8">
        <v>53</v>
      </c>
      <c r="F104" s="5">
        <v>33</v>
      </c>
      <c r="G104" s="5">
        <v>284</v>
      </c>
      <c r="H104" s="5">
        <v>0</v>
      </c>
      <c r="I104" s="5">
        <v>1</v>
      </c>
      <c r="J104" s="9">
        <v>0</v>
      </c>
      <c r="K104" s="8">
        <v>0</v>
      </c>
      <c r="L104" s="5">
        <v>0</v>
      </c>
      <c r="M104" s="5">
        <v>0</v>
      </c>
      <c r="N104" s="9">
        <v>0</v>
      </c>
      <c r="O104" s="8">
        <v>0</v>
      </c>
      <c r="P104" s="5">
        <v>0</v>
      </c>
      <c r="Q104" s="5">
        <v>0</v>
      </c>
      <c r="R104" s="9">
        <v>0</v>
      </c>
      <c r="S104" s="8">
        <v>0</v>
      </c>
      <c r="T104" s="5">
        <v>0</v>
      </c>
    </row>
    <row r="105" spans="1:20" x14ac:dyDescent="0.2">
      <c r="A105" s="5" t="s">
        <v>203</v>
      </c>
      <c r="B105" s="5" t="s">
        <v>162</v>
      </c>
      <c r="C105" s="17" t="s">
        <v>570</v>
      </c>
      <c r="D105" s="7">
        <f t="shared" si="0"/>
        <v>9.3000000000000007</v>
      </c>
      <c r="E105" s="8">
        <v>0</v>
      </c>
      <c r="F105" s="5">
        <v>0</v>
      </c>
      <c r="G105" s="5">
        <v>0</v>
      </c>
      <c r="H105" s="5">
        <v>0</v>
      </c>
      <c r="I105" s="5">
        <v>0</v>
      </c>
      <c r="J105" s="9">
        <v>0</v>
      </c>
      <c r="K105" s="8">
        <v>0</v>
      </c>
      <c r="L105" s="5">
        <v>0</v>
      </c>
      <c r="M105" s="5">
        <v>0</v>
      </c>
      <c r="N105" s="9">
        <v>0</v>
      </c>
      <c r="O105" s="8">
        <v>5</v>
      </c>
      <c r="P105" s="5">
        <v>43</v>
      </c>
      <c r="Q105" s="5">
        <v>0</v>
      </c>
      <c r="R105" s="9">
        <v>0</v>
      </c>
      <c r="S105" s="8">
        <v>0</v>
      </c>
      <c r="T105" s="5">
        <v>0</v>
      </c>
    </row>
    <row r="106" spans="1:20" x14ac:dyDescent="0.2">
      <c r="A106" s="5" t="s">
        <v>309</v>
      </c>
      <c r="B106" s="5" t="s">
        <v>69</v>
      </c>
      <c r="C106" s="10" t="s">
        <v>571</v>
      </c>
      <c r="D106" s="7">
        <f t="shared" si="0"/>
        <v>9.3000000000000007</v>
      </c>
      <c r="E106" s="8">
        <v>0</v>
      </c>
      <c r="F106" s="5">
        <v>0</v>
      </c>
      <c r="G106" s="5">
        <v>0</v>
      </c>
      <c r="H106" s="5">
        <v>0</v>
      </c>
      <c r="I106" s="5">
        <v>0</v>
      </c>
      <c r="J106" s="9">
        <v>0</v>
      </c>
      <c r="K106" s="8">
        <v>0</v>
      </c>
      <c r="L106" s="5">
        <v>0</v>
      </c>
      <c r="M106" s="5">
        <v>0</v>
      </c>
      <c r="N106" s="9">
        <v>0</v>
      </c>
      <c r="O106" s="8">
        <v>5</v>
      </c>
      <c r="P106" s="5">
        <v>43</v>
      </c>
      <c r="Q106" s="5">
        <v>0</v>
      </c>
      <c r="R106" s="9">
        <v>0</v>
      </c>
      <c r="S106" s="8">
        <v>0</v>
      </c>
      <c r="T106" s="5">
        <v>0</v>
      </c>
    </row>
    <row r="107" spans="1:20" x14ac:dyDescent="0.2">
      <c r="A107" s="5" t="s">
        <v>282</v>
      </c>
      <c r="B107" s="5" t="s">
        <v>69</v>
      </c>
      <c r="C107" s="17" t="s">
        <v>570</v>
      </c>
      <c r="D107" s="7">
        <f t="shared" si="0"/>
        <v>9.1000000000000014</v>
      </c>
      <c r="E107" s="8">
        <v>0</v>
      </c>
      <c r="F107" s="5">
        <v>0</v>
      </c>
      <c r="G107" s="5">
        <v>0</v>
      </c>
      <c r="H107" s="5">
        <v>0</v>
      </c>
      <c r="I107" s="5">
        <v>0</v>
      </c>
      <c r="J107" s="9">
        <v>0</v>
      </c>
      <c r="K107" s="8">
        <v>0</v>
      </c>
      <c r="L107" s="5">
        <v>0</v>
      </c>
      <c r="M107" s="5">
        <v>0</v>
      </c>
      <c r="N107" s="9">
        <v>0</v>
      </c>
      <c r="O107" s="8">
        <v>4</v>
      </c>
      <c r="P107" s="5">
        <v>51</v>
      </c>
      <c r="Q107" s="5">
        <v>0</v>
      </c>
      <c r="R107" s="9">
        <v>0</v>
      </c>
      <c r="S107" s="8">
        <v>0</v>
      </c>
      <c r="T107" s="5">
        <v>0</v>
      </c>
    </row>
    <row r="108" spans="1:20" x14ac:dyDescent="0.2">
      <c r="A108" s="5" t="s">
        <v>110</v>
      </c>
      <c r="B108" s="5" t="s">
        <v>75</v>
      </c>
      <c r="C108" s="10" t="s">
        <v>568</v>
      </c>
      <c r="D108" s="7">
        <f t="shared" si="0"/>
        <v>9.1</v>
      </c>
      <c r="E108" s="8">
        <v>0</v>
      </c>
      <c r="F108" s="5">
        <v>0</v>
      </c>
      <c r="G108" s="5">
        <v>0</v>
      </c>
      <c r="H108" s="5">
        <v>0</v>
      </c>
      <c r="I108" s="5">
        <v>0</v>
      </c>
      <c r="J108" s="9">
        <v>0</v>
      </c>
      <c r="K108" s="8">
        <v>11</v>
      </c>
      <c r="L108" s="5">
        <v>31</v>
      </c>
      <c r="M108" s="5">
        <v>1</v>
      </c>
      <c r="N108" s="9">
        <v>0</v>
      </c>
      <c r="O108" s="8">
        <v>0</v>
      </c>
      <c r="P108" s="5">
        <v>0</v>
      </c>
      <c r="Q108" s="5">
        <v>0</v>
      </c>
      <c r="R108" s="9">
        <v>0</v>
      </c>
      <c r="S108" s="8">
        <v>0</v>
      </c>
      <c r="T108" s="5">
        <v>0</v>
      </c>
    </row>
    <row r="109" spans="1:20" x14ac:dyDescent="0.2">
      <c r="A109" s="5" t="s">
        <v>177</v>
      </c>
      <c r="B109" s="5" t="s">
        <v>162</v>
      </c>
      <c r="C109" s="10" t="s">
        <v>565</v>
      </c>
      <c r="D109" s="7">
        <f t="shared" si="0"/>
        <v>8.9</v>
      </c>
      <c r="E109" s="8">
        <v>0</v>
      </c>
      <c r="F109" s="5">
        <v>0</v>
      </c>
      <c r="G109" s="5">
        <v>0</v>
      </c>
      <c r="H109" s="5">
        <v>0</v>
      </c>
      <c r="I109" s="5">
        <v>0</v>
      </c>
      <c r="J109" s="9">
        <v>0</v>
      </c>
      <c r="K109" s="8">
        <v>0</v>
      </c>
      <c r="L109" s="5">
        <v>0</v>
      </c>
      <c r="M109" s="5">
        <v>0</v>
      </c>
      <c r="N109" s="9">
        <v>0</v>
      </c>
      <c r="O109" s="8">
        <v>4</v>
      </c>
      <c r="P109" s="5">
        <v>49</v>
      </c>
      <c r="Q109" s="5">
        <v>0</v>
      </c>
      <c r="R109" s="9">
        <v>0</v>
      </c>
      <c r="S109" s="8">
        <v>0</v>
      </c>
      <c r="T109" s="5">
        <v>0</v>
      </c>
    </row>
    <row r="110" spans="1:20" x14ac:dyDescent="0.2">
      <c r="A110" s="5" t="s">
        <v>74</v>
      </c>
      <c r="B110" s="5" t="s">
        <v>75</v>
      </c>
      <c r="C110" s="17" t="s">
        <v>572</v>
      </c>
      <c r="D110" s="7">
        <f t="shared" si="0"/>
        <v>8.6999999999999993</v>
      </c>
      <c r="E110" s="8">
        <v>0</v>
      </c>
      <c r="F110" s="5">
        <v>0</v>
      </c>
      <c r="G110" s="5">
        <v>0</v>
      </c>
      <c r="H110" s="5">
        <v>0</v>
      </c>
      <c r="I110" s="5">
        <v>0</v>
      </c>
      <c r="J110" s="9">
        <v>0</v>
      </c>
      <c r="K110" s="8">
        <v>8</v>
      </c>
      <c r="L110" s="5">
        <v>35</v>
      </c>
      <c r="M110" s="5">
        <v>0</v>
      </c>
      <c r="N110" s="9">
        <v>0</v>
      </c>
      <c r="O110" s="8">
        <v>3</v>
      </c>
      <c r="P110" s="5">
        <v>22</v>
      </c>
      <c r="Q110" s="5">
        <v>0</v>
      </c>
      <c r="R110" s="9">
        <v>0</v>
      </c>
      <c r="S110" s="8">
        <v>0</v>
      </c>
      <c r="T110" s="5">
        <v>0</v>
      </c>
    </row>
    <row r="111" spans="1:20" x14ac:dyDescent="0.2">
      <c r="A111" s="5" t="s">
        <v>288</v>
      </c>
      <c r="B111" s="5" t="s">
        <v>69</v>
      </c>
      <c r="C111" s="10" t="s">
        <v>568</v>
      </c>
      <c r="D111" s="7">
        <f t="shared" si="0"/>
        <v>8.5</v>
      </c>
      <c r="E111" s="8">
        <v>0</v>
      </c>
      <c r="F111" s="5">
        <v>0</v>
      </c>
      <c r="G111" s="5">
        <v>0</v>
      </c>
      <c r="H111" s="5">
        <v>0</v>
      </c>
      <c r="I111" s="5">
        <v>0</v>
      </c>
      <c r="J111" s="9">
        <v>0</v>
      </c>
      <c r="K111" s="8">
        <v>0</v>
      </c>
      <c r="L111" s="5">
        <v>0</v>
      </c>
      <c r="M111" s="5">
        <v>0</v>
      </c>
      <c r="N111" s="9">
        <v>0</v>
      </c>
      <c r="O111" s="8">
        <v>2</v>
      </c>
      <c r="P111" s="5">
        <v>5</v>
      </c>
      <c r="Q111" s="5">
        <v>1</v>
      </c>
      <c r="R111" s="9">
        <v>0</v>
      </c>
      <c r="S111" s="8">
        <v>0</v>
      </c>
      <c r="T111" s="5">
        <v>0</v>
      </c>
    </row>
    <row r="112" spans="1:20" x14ac:dyDescent="0.2">
      <c r="A112" s="5" t="s">
        <v>93</v>
      </c>
      <c r="B112" s="5" t="s">
        <v>75</v>
      </c>
      <c r="C112" s="17" t="s">
        <v>570</v>
      </c>
      <c r="D112" s="7">
        <f t="shared" si="0"/>
        <v>8.3000000000000007</v>
      </c>
      <c r="E112" s="8">
        <v>0</v>
      </c>
      <c r="F112" s="5">
        <v>0</v>
      </c>
      <c r="G112" s="5">
        <v>0</v>
      </c>
      <c r="H112" s="5">
        <v>0</v>
      </c>
      <c r="I112" s="5">
        <v>0</v>
      </c>
      <c r="J112" s="9">
        <v>0</v>
      </c>
      <c r="K112" s="8">
        <v>8</v>
      </c>
      <c r="L112" s="5">
        <v>23</v>
      </c>
      <c r="M112" s="5">
        <v>1</v>
      </c>
      <c r="N112" s="9">
        <v>0</v>
      </c>
      <c r="O112" s="8">
        <v>0</v>
      </c>
      <c r="P112" s="5">
        <v>0</v>
      </c>
      <c r="Q112" s="5">
        <v>0</v>
      </c>
      <c r="R112" s="9">
        <v>0</v>
      </c>
      <c r="S112" s="8">
        <v>0</v>
      </c>
      <c r="T112" s="5">
        <v>0</v>
      </c>
    </row>
    <row r="113" spans="1:20" x14ac:dyDescent="0.2">
      <c r="A113" s="5" t="s">
        <v>265</v>
      </c>
      <c r="B113" s="5" t="s">
        <v>162</v>
      </c>
      <c r="C113" s="10" t="s">
        <v>567</v>
      </c>
      <c r="D113" s="7">
        <f t="shared" si="0"/>
        <v>8.3000000000000007</v>
      </c>
      <c r="E113" s="8">
        <v>0</v>
      </c>
      <c r="F113" s="5">
        <v>0</v>
      </c>
      <c r="G113" s="5">
        <v>0</v>
      </c>
      <c r="H113" s="5">
        <v>0</v>
      </c>
      <c r="I113" s="5">
        <v>0</v>
      </c>
      <c r="J113" s="9">
        <v>0</v>
      </c>
      <c r="K113" s="8">
        <v>0</v>
      </c>
      <c r="L113" s="5">
        <v>0</v>
      </c>
      <c r="M113" s="5">
        <v>0</v>
      </c>
      <c r="N113" s="9">
        <v>0</v>
      </c>
      <c r="O113" s="8">
        <v>3</v>
      </c>
      <c r="P113" s="5">
        <v>53</v>
      </c>
      <c r="Q113" s="5">
        <v>0</v>
      </c>
      <c r="R113" s="9">
        <v>0</v>
      </c>
      <c r="S113" s="8">
        <v>0</v>
      </c>
      <c r="T113" s="5">
        <v>0</v>
      </c>
    </row>
    <row r="114" spans="1:20" x14ac:dyDescent="0.2">
      <c r="A114" s="5" t="s">
        <v>340</v>
      </c>
      <c r="B114" s="5" t="s">
        <v>162</v>
      </c>
      <c r="C114" s="10" t="s">
        <v>562</v>
      </c>
      <c r="D114" s="7">
        <f t="shared" si="0"/>
        <v>8.1999999999999993</v>
      </c>
      <c r="E114" s="8">
        <v>0</v>
      </c>
      <c r="F114" s="5">
        <v>0</v>
      </c>
      <c r="G114" s="5">
        <v>0</v>
      </c>
      <c r="H114" s="5">
        <v>0</v>
      </c>
      <c r="I114" s="5">
        <v>0</v>
      </c>
      <c r="J114" s="9">
        <v>0</v>
      </c>
      <c r="K114" s="8">
        <v>0</v>
      </c>
      <c r="L114" s="5">
        <v>0</v>
      </c>
      <c r="M114" s="5">
        <v>0</v>
      </c>
      <c r="N114" s="9">
        <v>0</v>
      </c>
      <c r="O114" s="8">
        <v>1</v>
      </c>
      <c r="P114" s="5">
        <v>12</v>
      </c>
      <c r="Q114" s="5">
        <v>1</v>
      </c>
      <c r="R114" s="9">
        <v>0</v>
      </c>
      <c r="S114" s="8">
        <v>0</v>
      </c>
      <c r="T114" s="5">
        <v>0</v>
      </c>
    </row>
    <row r="115" spans="1:20" x14ac:dyDescent="0.2">
      <c r="A115" s="5" t="s">
        <v>106</v>
      </c>
      <c r="B115" s="5" t="s">
        <v>75</v>
      </c>
      <c r="C115" s="10" t="s">
        <v>564</v>
      </c>
      <c r="D115" s="7">
        <f t="shared" si="0"/>
        <v>8.1</v>
      </c>
      <c r="E115" s="8">
        <v>0</v>
      </c>
      <c r="F115" s="5">
        <v>0</v>
      </c>
      <c r="G115" s="5">
        <v>0</v>
      </c>
      <c r="H115" s="5">
        <v>0</v>
      </c>
      <c r="I115" s="5">
        <v>0</v>
      </c>
      <c r="J115" s="9">
        <v>0</v>
      </c>
      <c r="K115" s="8">
        <v>10</v>
      </c>
      <c r="L115" s="5">
        <v>31</v>
      </c>
      <c r="M115" s="5">
        <v>0</v>
      </c>
      <c r="N115" s="9">
        <v>0</v>
      </c>
      <c r="O115" s="8">
        <v>2</v>
      </c>
      <c r="P115" s="5">
        <v>30</v>
      </c>
      <c r="Q115" s="5">
        <v>0</v>
      </c>
      <c r="R115" s="9">
        <v>0</v>
      </c>
      <c r="S115" s="8">
        <v>0</v>
      </c>
      <c r="T115" s="5">
        <v>0</v>
      </c>
    </row>
    <row r="116" spans="1:20" x14ac:dyDescent="0.2">
      <c r="A116" s="5" t="s">
        <v>213</v>
      </c>
      <c r="B116" s="5" t="s">
        <v>162</v>
      </c>
      <c r="C116" s="17" t="s">
        <v>573</v>
      </c>
      <c r="D116" s="7">
        <f t="shared" si="0"/>
        <v>7.9</v>
      </c>
      <c r="E116" s="8">
        <v>0</v>
      </c>
      <c r="F116" s="5">
        <v>0</v>
      </c>
      <c r="G116" s="5">
        <v>0</v>
      </c>
      <c r="H116" s="5">
        <v>0</v>
      </c>
      <c r="I116" s="5">
        <v>0</v>
      </c>
      <c r="J116" s="9">
        <v>0</v>
      </c>
      <c r="K116" s="8">
        <v>0</v>
      </c>
      <c r="L116" s="5">
        <v>0</v>
      </c>
      <c r="M116" s="5">
        <v>0</v>
      </c>
      <c r="N116" s="9">
        <v>0</v>
      </c>
      <c r="O116" s="8">
        <v>3</v>
      </c>
      <c r="P116" s="5">
        <v>49</v>
      </c>
      <c r="Q116" s="5">
        <v>0</v>
      </c>
      <c r="R116" s="9">
        <v>0</v>
      </c>
      <c r="S116" s="8">
        <v>0</v>
      </c>
      <c r="T116" s="5">
        <v>0</v>
      </c>
    </row>
    <row r="117" spans="1:20" x14ac:dyDescent="0.2">
      <c r="A117" s="5" t="s">
        <v>241</v>
      </c>
      <c r="B117" s="5" t="s">
        <v>162</v>
      </c>
      <c r="C117" s="10" t="s">
        <v>573</v>
      </c>
      <c r="D117" s="7">
        <f t="shared" si="0"/>
        <v>7.8000000000000007</v>
      </c>
      <c r="E117" s="8">
        <v>0</v>
      </c>
      <c r="F117" s="5">
        <v>0</v>
      </c>
      <c r="G117" s="5">
        <v>0</v>
      </c>
      <c r="H117" s="5">
        <v>0</v>
      </c>
      <c r="I117" s="5">
        <v>0</v>
      </c>
      <c r="J117" s="9">
        <v>0</v>
      </c>
      <c r="K117" s="8">
        <v>0</v>
      </c>
      <c r="L117" s="5">
        <v>0</v>
      </c>
      <c r="M117" s="5">
        <v>0</v>
      </c>
      <c r="N117" s="9">
        <v>0</v>
      </c>
      <c r="O117" s="8">
        <v>4</v>
      </c>
      <c r="P117" s="5">
        <v>38</v>
      </c>
      <c r="Q117" s="5">
        <v>0</v>
      </c>
      <c r="R117" s="9">
        <v>0</v>
      </c>
      <c r="S117" s="8">
        <v>0</v>
      </c>
      <c r="T117" s="5">
        <v>0</v>
      </c>
    </row>
    <row r="118" spans="1:20" x14ac:dyDescent="0.2">
      <c r="A118" s="5" t="s">
        <v>293</v>
      </c>
      <c r="B118" s="5" t="s">
        <v>69</v>
      </c>
      <c r="C118" s="17" t="s">
        <v>571</v>
      </c>
      <c r="D118" s="7">
        <f t="shared" si="0"/>
        <v>7.7</v>
      </c>
      <c r="E118" s="8">
        <v>0</v>
      </c>
      <c r="F118" s="5">
        <v>0</v>
      </c>
      <c r="G118" s="5">
        <v>0</v>
      </c>
      <c r="H118" s="5">
        <v>0</v>
      </c>
      <c r="I118" s="5">
        <v>0</v>
      </c>
      <c r="J118" s="9">
        <v>0</v>
      </c>
      <c r="K118" s="8">
        <v>0</v>
      </c>
      <c r="L118" s="5">
        <v>0</v>
      </c>
      <c r="M118" s="5">
        <v>0</v>
      </c>
      <c r="N118" s="9">
        <v>0</v>
      </c>
      <c r="O118" s="8">
        <v>3</v>
      </c>
      <c r="P118" s="5">
        <v>47</v>
      </c>
      <c r="Q118" s="5">
        <v>0</v>
      </c>
      <c r="R118" s="9">
        <v>0</v>
      </c>
      <c r="S118" s="8">
        <v>0</v>
      </c>
      <c r="T118" s="5">
        <v>0</v>
      </c>
    </row>
    <row r="119" spans="1:20" x14ac:dyDescent="0.2">
      <c r="A119" s="5" t="s">
        <v>97</v>
      </c>
      <c r="B119" s="5" t="s">
        <v>75</v>
      </c>
      <c r="C119" s="10" t="s">
        <v>565</v>
      </c>
      <c r="D119" s="7">
        <f t="shared" si="0"/>
        <v>7.6</v>
      </c>
      <c r="E119" s="8">
        <v>0</v>
      </c>
      <c r="F119" s="5">
        <v>0</v>
      </c>
      <c r="G119" s="5">
        <v>0</v>
      </c>
      <c r="H119" s="5">
        <v>0</v>
      </c>
      <c r="I119" s="5">
        <v>0</v>
      </c>
      <c r="J119" s="9">
        <v>0</v>
      </c>
      <c r="K119" s="8">
        <v>8</v>
      </c>
      <c r="L119" s="5">
        <v>16</v>
      </c>
      <c r="M119" s="5">
        <v>1</v>
      </c>
      <c r="N119" s="9">
        <v>0</v>
      </c>
      <c r="O119" s="8">
        <v>0</v>
      </c>
      <c r="P119" s="5">
        <v>0</v>
      </c>
      <c r="Q119" s="5">
        <v>0</v>
      </c>
      <c r="R119" s="9">
        <v>0</v>
      </c>
      <c r="S119" s="8">
        <v>0</v>
      </c>
      <c r="T119" s="5">
        <v>0</v>
      </c>
    </row>
    <row r="120" spans="1:20" x14ac:dyDescent="0.2">
      <c r="A120" s="5" t="s">
        <v>268</v>
      </c>
      <c r="B120" s="5" t="s">
        <v>162</v>
      </c>
      <c r="C120" s="17" t="s">
        <v>566</v>
      </c>
      <c r="D120" s="7">
        <f t="shared" si="0"/>
        <v>7.5</v>
      </c>
      <c r="E120" s="8">
        <v>0</v>
      </c>
      <c r="F120" s="5">
        <v>0</v>
      </c>
      <c r="G120" s="5">
        <v>0</v>
      </c>
      <c r="H120" s="5">
        <v>0</v>
      </c>
      <c r="I120" s="5">
        <v>0</v>
      </c>
      <c r="J120" s="9">
        <v>0</v>
      </c>
      <c r="K120" s="8">
        <v>1</v>
      </c>
      <c r="L120" s="5">
        <v>-1</v>
      </c>
      <c r="M120" s="5">
        <v>0</v>
      </c>
      <c r="N120" s="9">
        <v>0</v>
      </c>
      <c r="O120" s="8">
        <v>4</v>
      </c>
      <c r="P120" s="5">
        <v>36</v>
      </c>
      <c r="Q120" s="5">
        <v>0</v>
      </c>
      <c r="R120" s="9">
        <v>0</v>
      </c>
      <c r="S120" s="8">
        <v>0</v>
      </c>
      <c r="T120" s="5">
        <v>0</v>
      </c>
    </row>
    <row r="121" spans="1:20" x14ac:dyDescent="0.2">
      <c r="A121" s="5" t="s">
        <v>350</v>
      </c>
      <c r="B121" s="5" t="s">
        <v>162</v>
      </c>
      <c r="C121" s="17" t="s">
        <v>568</v>
      </c>
      <c r="D121" s="7">
        <f t="shared" si="0"/>
        <v>7.5</v>
      </c>
      <c r="E121" s="8">
        <v>0</v>
      </c>
      <c r="F121" s="5">
        <v>0</v>
      </c>
      <c r="G121" s="5">
        <v>0</v>
      </c>
      <c r="H121" s="5">
        <v>0</v>
      </c>
      <c r="I121" s="5">
        <v>0</v>
      </c>
      <c r="J121" s="9">
        <v>0</v>
      </c>
      <c r="K121" s="8">
        <v>0</v>
      </c>
      <c r="L121" s="5">
        <v>0</v>
      </c>
      <c r="M121" s="5">
        <v>0</v>
      </c>
      <c r="N121" s="9">
        <v>0</v>
      </c>
      <c r="O121" s="8">
        <v>4</v>
      </c>
      <c r="P121" s="5">
        <v>35</v>
      </c>
      <c r="Q121" s="5">
        <v>0</v>
      </c>
      <c r="R121" s="9">
        <v>0</v>
      </c>
      <c r="S121" s="8">
        <v>0</v>
      </c>
      <c r="T121" s="5">
        <v>0</v>
      </c>
    </row>
    <row r="122" spans="1:20" x14ac:dyDescent="0.2">
      <c r="A122" s="5" t="s">
        <v>181</v>
      </c>
      <c r="B122" s="5" t="s">
        <v>162</v>
      </c>
      <c r="C122" s="10" t="s">
        <v>563</v>
      </c>
      <c r="D122" s="7">
        <f t="shared" si="0"/>
        <v>7.4</v>
      </c>
      <c r="E122" s="8">
        <v>0</v>
      </c>
      <c r="F122" s="5">
        <v>0</v>
      </c>
      <c r="G122" s="5">
        <v>0</v>
      </c>
      <c r="H122" s="5">
        <v>0</v>
      </c>
      <c r="I122" s="5">
        <v>0</v>
      </c>
      <c r="J122" s="9">
        <v>0</v>
      </c>
      <c r="K122" s="8">
        <v>1</v>
      </c>
      <c r="L122" s="5">
        <v>2</v>
      </c>
      <c r="M122" s="5">
        <v>0</v>
      </c>
      <c r="N122" s="9">
        <v>0</v>
      </c>
      <c r="O122" s="8">
        <v>4</v>
      </c>
      <c r="P122" s="5">
        <v>32</v>
      </c>
      <c r="Q122" s="5">
        <v>0</v>
      </c>
      <c r="R122" s="9">
        <v>0</v>
      </c>
      <c r="S122" s="8">
        <v>0</v>
      </c>
      <c r="T122" s="5">
        <v>0</v>
      </c>
    </row>
    <row r="123" spans="1:20" x14ac:dyDescent="0.2">
      <c r="A123" s="5" t="s">
        <v>172</v>
      </c>
      <c r="B123" s="5" t="s">
        <v>162</v>
      </c>
      <c r="C123" s="10" t="s">
        <v>566</v>
      </c>
      <c r="D123" s="7">
        <f t="shared" si="0"/>
        <v>7.2000000000000011</v>
      </c>
      <c r="E123" s="8">
        <v>0</v>
      </c>
      <c r="F123" s="5">
        <v>0</v>
      </c>
      <c r="G123" s="5">
        <v>0</v>
      </c>
      <c r="H123" s="5">
        <v>0</v>
      </c>
      <c r="I123" s="5">
        <v>0</v>
      </c>
      <c r="J123" s="9">
        <v>0</v>
      </c>
      <c r="K123" s="8">
        <v>1</v>
      </c>
      <c r="L123" s="5">
        <v>4</v>
      </c>
      <c r="M123" s="5">
        <v>0</v>
      </c>
      <c r="N123" s="9">
        <v>0</v>
      </c>
      <c r="O123" s="8">
        <v>4</v>
      </c>
      <c r="P123" s="5">
        <v>28</v>
      </c>
      <c r="Q123" s="5">
        <v>0</v>
      </c>
      <c r="R123" s="9">
        <v>0</v>
      </c>
      <c r="S123" s="8">
        <v>0</v>
      </c>
      <c r="T123" s="5">
        <v>0</v>
      </c>
    </row>
    <row r="124" spans="1:20" x14ac:dyDescent="0.2">
      <c r="A124" s="5" t="s">
        <v>337</v>
      </c>
      <c r="B124" s="5" t="s">
        <v>75</v>
      </c>
      <c r="C124" s="10" t="s">
        <v>567</v>
      </c>
      <c r="D124" s="7">
        <f t="shared" si="0"/>
        <v>7.2</v>
      </c>
      <c r="E124" s="8">
        <v>0</v>
      </c>
      <c r="F124" s="5">
        <v>0</v>
      </c>
      <c r="G124" s="5">
        <v>0</v>
      </c>
      <c r="H124" s="5">
        <v>0</v>
      </c>
      <c r="I124" s="5">
        <v>0</v>
      </c>
      <c r="J124" s="9">
        <v>0</v>
      </c>
      <c r="K124" s="8">
        <v>18</v>
      </c>
      <c r="L124" s="5">
        <v>57</v>
      </c>
      <c r="M124" s="5">
        <v>0</v>
      </c>
      <c r="N124" s="9">
        <v>0</v>
      </c>
      <c r="O124" s="8">
        <v>1</v>
      </c>
      <c r="P124" s="5">
        <v>5</v>
      </c>
      <c r="Q124" s="5">
        <v>0</v>
      </c>
      <c r="R124" s="9">
        <v>0</v>
      </c>
      <c r="S124" s="8">
        <v>0</v>
      </c>
      <c r="T124" s="5">
        <v>0</v>
      </c>
    </row>
    <row r="125" spans="1:20" x14ac:dyDescent="0.2">
      <c r="A125" s="5" t="s">
        <v>417</v>
      </c>
      <c r="B125" s="5" t="s">
        <v>69</v>
      </c>
      <c r="C125" s="10" t="s">
        <v>568</v>
      </c>
      <c r="D125" s="7">
        <f t="shared" si="0"/>
        <v>7.1000000000000005</v>
      </c>
      <c r="E125" s="8">
        <v>0</v>
      </c>
      <c r="F125" s="5">
        <v>0</v>
      </c>
      <c r="G125" s="5">
        <v>0</v>
      </c>
      <c r="H125" s="5">
        <v>0</v>
      </c>
      <c r="I125" s="5">
        <v>0</v>
      </c>
      <c r="J125" s="9">
        <v>0</v>
      </c>
      <c r="K125" s="8">
        <v>0</v>
      </c>
      <c r="L125" s="5">
        <v>0</v>
      </c>
      <c r="M125" s="5">
        <v>0</v>
      </c>
      <c r="N125" s="9">
        <v>0</v>
      </c>
      <c r="O125" s="8">
        <v>2</v>
      </c>
      <c r="P125" s="5">
        <v>51</v>
      </c>
      <c r="Q125" s="5">
        <v>0</v>
      </c>
      <c r="R125" s="9">
        <v>0</v>
      </c>
      <c r="S125" s="8">
        <v>0</v>
      </c>
      <c r="T125" s="5">
        <v>0</v>
      </c>
    </row>
    <row r="126" spans="1:20" x14ac:dyDescent="0.2">
      <c r="A126" s="5" t="s">
        <v>98</v>
      </c>
      <c r="B126" s="5" t="s">
        <v>75</v>
      </c>
      <c r="C126" s="10" t="s">
        <v>572</v>
      </c>
      <c r="D126" s="7">
        <f t="shared" si="0"/>
        <v>7.1</v>
      </c>
      <c r="E126" s="8">
        <v>0</v>
      </c>
      <c r="F126" s="5">
        <v>0</v>
      </c>
      <c r="G126" s="5">
        <v>0</v>
      </c>
      <c r="H126" s="5">
        <v>0</v>
      </c>
      <c r="I126" s="5">
        <v>0</v>
      </c>
      <c r="J126" s="9">
        <v>0</v>
      </c>
      <c r="K126" s="8">
        <v>2</v>
      </c>
      <c r="L126" s="5">
        <v>10</v>
      </c>
      <c r="M126" s="5">
        <v>0</v>
      </c>
      <c r="N126" s="9">
        <v>0</v>
      </c>
      <c r="O126" s="8">
        <v>3</v>
      </c>
      <c r="P126" s="5">
        <v>31</v>
      </c>
      <c r="Q126" s="5">
        <v>0</v>
      </c>
      <c r="R126" s="9">
        <v>0</v>
      </c>
      <c r="S126" s="8">
        <v>0</v>
      </c>
      <c r="T126" s="5">
        <v>0</v>
      </c>
    </row>
    <row r="127" spans="1:20" x14ac:dyDescent="0.2">
      <c r="A127" s="5" t="s">
        <v>281</v>
      </c>
      <c r="B127" s="5" t="s">
        <v>69</v>
      </c>
      <c r="C127" s="17" t="s">
        <v>572</v>
      </c>
      <c r="D127" s="7">
        <f t="shared" si="0"/>
        <v>7</v>
      </c>
      <c r="E127" s="8">
        <v>0</v>
      </c>
      <c r="F127" s="5">
        <v>0</v>
      </c>
      <c r="G127" s="5">
        <v>0</v>
      </c>
      <c r="H127" s="5">
        <v>0</v>
      </c>
      <c r="I127" s="5">
        <v>0</v>
      </c>
      <c r="J127" s="9">
        <v>0</v>
      </c>
      <c r="K127" s="8">
        <v>0</v>
      </c>
      <c r="L127" s="5">
        <v>0</v>
      </c>
      <c r="M127" s="5">
        <v>0</v>
      </c>
      <c r="N127" s="9">
        <v>0</v>
      </c>
      <c r="O127" s="8">
        <v>4</v>
      </c>
      <c r="P127" s="5">
        <v>30</v>
      </c>
      <c r="Q127" s="5">
        <v>0</v>
      </c>
      <c r="R127" s="9">
        <v>0</v>
      </c>
      <c r="S127" s="8">
        <v>0</v>
      </c>
      <c r="T127" s="5">
        <v>0</v>
      </c>
    </row>
    <row r="128" spans="1:20" x14ac:dyDescent="0.2">
      <c r="A128" s="5" t="s">
        <v>513</v>
      </c>
      <c r="B128" s="5" t="s">
        <v>162</v>
      </c>
      <c r="C128" s="10" t="s">
        <v>569</v>
      </c>
      <c r="D128" s="7">
        <f t="shared" si="0"/>
        <v>6.9</v>
      </c>
      <c r="E128" s="8">
        <v>0</v>
      </c>
      <c r="F128" s="5">
        <v>0</v>
      </c>
      <c r="G128" s="5">
        <v>0</v>
      </c>
      <c r="H128" s="5">
        <v>0</v>
      </c>
      <c r="I128" s="5">
        <v>0</v>
      </c>
      <c r="J128" s="9">
        <v>0</v>
      </c>
      <c r="K128" s="8">
        <v>0</v>
      </c>
      <c r="L128" s="5">
        <v>0</v>
      </c>
      <c r="M128" s="5">
        <v>0</v>
      </c>
      <c r="N128" s="9">
        <v>0</v>
      </c>
      <c r="O128" s="8">
        <v>2</v>
      </c>
      <c r="P128" s="5">
        <v>29</v>
      </c>
      <c r="Q128" s="5">
        <v>0</v>
      </c>
      <c r="R128" s="9">
        <v>1</v>
      </c>
      <c r="S128" s="8">
        <v>0</v>
      </c>
      <c r="T128" s="5">
        <v>0</v>
      </c>
    </row>
    <row r="129" spans="1:20" x14ac:dyDescent="0.2">
      <c r="A129" s="5" t="s">
        <v>485</v>
      </c>
      <c r="B129" s="5" t="s">
        <v>162</v>
      </c>
      <c r="C129" s="17" t="s">
        <v>565</v>
      </c>
      <c r="D129" s="7">
        <f t="shared" si="0"/>
        <v>6.8000000000000007</v>
      </c>
      <c r="E129" s="8">
        <v>0</v>
      </c>
      <c r="F129" s="5">
        <v>0</v>
      </c>
      <c r="G129" s="5">
        <v>0</v>
      </c>
      <c r="H129" s="5">
        <v>0</v>
      </c>
      <c r="I129" s="5">
        <v>0</v>
      </c>
      <c r="J129" s="9">
        <v>0</v>
      </c>
      <c r="K129" s="8">
        <v>0</v>
      </c>
      <c r="L129" s="5">
        <v>0</v>
      </c>
      <c r="M129" s="5">
        <v>0</v>
      </c>
      <c r="N129" s="9">
        <v>0</v>
      </c>
      <c r="O129" s="8">
        <v>2</v>
      </c>
      <c r="P129" s="5">
        <v>48</v>
      </c>
      <c r="Q129" s="5">
        <v>0</v>
      </c>
      <c r="R129" s="9">
        <v>0</v>
      </c>
      <c r="S129" s="8">
        <v>0</v>
      </c>
      <c r="T129" s="5">
        <v>0</v>
      </c>
    </row>
    <row r="130" spans="1:20" x14ac:dyDescent="0.2">
      <c r="A130" s="5" t="s">
        <v>575</v>
      </c>
      <c r="B130" s="5" t="s">
        <v>75</v>
      </c>
      <c r="C130" s="10" t="s">
        <v>569</v>
      </c>
      <c r="D130" s="7">
        <f t="shared" si="0"/>
        <v>6.6000000000000005</v>
      </c>
      <c r="E130" s="8">
        <v>0</v>
      </c>
      <c r="F130" s="5">
        <v>0</v>
      </c>
      <c r="G130" s="5">
        <v>0</v>
      </c>
      <c r="H130" s="5">
        <v>0</v>
      </c>
      <c r="I130" s="5">
        <v>0</v>
      </c>
      <c r="J130" s="9">
        <v>0</v>
      </c>
      <c r="K130" s="8">
        <v>12</v>
      </c>
      <c r="L130" s="5">
        <v>66</v>
      </c>
      <c r="M130" s="5">
        <v>0</v>
      </c>
      <c r="N130" s="9">
        <v>0</v>
      </c>
      <c r="O130" s="8">
        <v>0</v>
      </c>
      <c r="P130" s="5">
        <v>0</v>
      </c>
      <c r="Q130" s="5">
        <v>0</v>
      </c>
      <c r="R130" s="9">
        <v>0</v>
      </c>
      <c r="S130" s="8">
        <v>0</v>
      </c>
      <c r="T130" s="5">
        <v>0</v>
      </c>
    </row>
    <row r="131" spans="1:20" x14ac:dyDescent="0.2">
      <c r="A131" s="5" t="s">
        <v>199</v>
      </c>
      <c r="B131" s="5" t="s">
        <v>162</v>
      </c>
      <c r="C131" s="17" t="s">
        <v>570</v>
      </c>
      <c r="D131" s="7">
        <f t="shared" si="0"/>
        <v>6.5</v>
      </c>
      <c r="E131" s="8">
        <v>0</v>
      </c>
      <c r="F131" s="5">
        <v>0</v>
      </c>
      <c r="G131" s="5">
        <v>0</v>
      </c>
      <c r="H131" s="5">
        <v>0</v>
      </c>
      <c r="I131" s="5">
        <v>0</v>
      </c>
      <c r="J131" s="9">
        <v>0</v>
      </c>
      <c r="K131" s="8">
        <v>0</v>
      </c>
      <c r="L131" s="5">
        <v>0</v>
      </c>
      <c r="M131" s="5">
        <v>0</v>
      </c>
      <c r="N131" s="9">
        <v>0</v>
      </c>
      <c r="O131" s="8">
        <v>4</v>
      </c>
      <c r="P131" s="5">
        <v>25</v>
      </c>
      <c r="Q131" s="5">
        <v>0</v>
      </c>
      <c r="R131" s="9">
        <v>0</v>
      </c>
      <c r="S131" s="8">
        <v>0</v>
      </c>
      <c r="T131" s="5">
        <v>0</v>
      </c>
    </row>
    <row r="132" spans="1:20" x14ac:dyDescent="0.2">
      <c r="A132" s="5" t="s">
        <v>551</v>
      </c>
      <c r="B132" s="5" t="s">
        <v>75</v>
      </c>
      <c r="C132" s="10" t="s">
        <v>563</v>
      </c>
      <c r="D132" s="7">
        <f t="shared" si="0"/>
        <v>6.4</v>
      </c>
      <c r="E132" s="8">
        <v>0</v>
      </c>
      <c r="F132" s="5">
        <v>0</v>
      </c>
      <c r="G132" s="5">
        <v>0</v>
      </c>
      <c r="H132" s="5">
        <v>0</v>
      </c>
      <c r="I132" s="5">
        <v>0</v>
      </c>
      <c r="J132" s="9">
        <v>0</v>
      </c>
      <c r="K132" s="8">
        <v>14</v>
      </c>
      <c r="L132" s="5">
        <v>48</v>
      </c>
      <c r="M132" s="5">
        <v>0</v>
      </c>
      <c r="N132" s="9">
        <v>0</v>
      </c>
      <c r="O132" s="8">
        <v>1</v>
      </c>
      <c r="P132" s="5">
        <v>6</v>
      </c>
      <c r="Q132" s="5">
        <v>0</v>
      </c>
      <c r="R132" s="9">
        <v>0</v>
      </c>
      <c r="S132" s="8">
        <v>0</v>
      </c>
      <c r="T132" s="5">
        <v>0</v>
      </c>
    </row>
    <row r="133" spans="1:20" x14ac:dyDescent="0.2">
      <c r="A133" s="5" t="s">
        <v>363</v>
      </c>
      <c r="B133" s="5" t="s">
        <v>69</v>
      </c>
      <c r="C133" s="10" t="s">
        <v>566</v>
      </c>
      <c r="D133" s="7">
        <f t="shared" si="0"/>
        <v>6.3000000000000007</v>
      </c>
      <c r="E133" s="8">
        <v>0</v>
      </c>
      <c r="F133" s="5">
        <v>0</v>
      </c>
      <c r="G133" s="5">
        <v>0</v>
      </c>
      <c r="H133" s="5">
        <v>0</v>
      </c>
      <c r="I133" s="5">
        <v>0</v>
      </c>
      <c r="J133" s="9">
        <v>0</v>
      </c>
      <c r="K133" s="8">
        <v>0</v>
      </c>
      <c r="L133" s="5">
        <v>0</v>
      </c>
      <c r="M133" s="5">
        <v>0</v>
      </c>
      <c r="N133" s="9">
        <v>0</v>
      </c>
      <c r="O133" s="8">
        <v>3</v>
      </c>
      <c r="P133" s="5">
        <v>33</v>
      </c>
      <c r="Q133" s="5">
        <v>0</v>
      </c>
      <c r="R133" s="9">
        <v>0</v>
      </c>
      <c r="S133" s="8">
        <v>0</v>
      </c>
      <c r="T133" s="5">
        <v>0</v>
      </c>
    </row>
    <row r="134" spans="1:20" x14ac:dyDescent="0.2">
      <c r="A134" s="5" t="s">
        <v>191</v>
      </c>
      <c r="B134" s="5" t="s">
        <v>162</v>
      </c>
      <c r="C134" s="17" t="s">
        <v>562</v>
      </c>
      <c r="D134" s="7">
        <f t="shared" si="0"/>
        <v>6.3</v>
      </c>
      <c r="E134" s="8">
        <v>0</v>
      </c>
      <c r="F134" s="5">
        <v>0</v>
      </c>
      <c r="G134" s="5">
        <v>0</v>
      </c>
      <c r="H134" s="5">
        <v>0</v>
      </c>
      <c r="I134" s="5">
        <v>0</v>
      </c>
      <c r="J134" s="9">
        <v>0</v>
      </c>
      <c r="K134" s="8">
        <v>0</v>
      </c>
      <c r="L134" s="5">
        <v>0</v>
      </c>
      <c r="M134" s="5">
        <v>0</v>
      </c>
      <c r="N134" s="9">
        <v>0</v>
      </c>
      <c r="O134" s="8">
        <v>2</v>
      </c>
      <c r="P134" s="5">
        <v>43</v>
      </c>
      <c r="Q134" s="5">
        <v>0</v>
      </c>
      <c r="R134" s="9">
        <v>0</v>
      </c>
      <c r="S134" s="8">
        <v>0</v>
      </c>
      <c r="T134" s="5">
        <v>0</v>
      </c>
    </row>
    <row r="135" spans="1:20" x14ac:dyDescent="0.2">
      <c r="A135" s="5" t="s">
        <v>89</v>
      </c>
      <c r="B135" s="5" t="s">
        <v>75</v>
      </c>
      <c r="C135" s="10" t="s">
        <v>564</v>
      </c>
      <c r="D135" s="7">
        <f t="shared" si="0"/>
        <v>6.2</v>
      </c>
      <c r="E135" s="8">
        <v>0</v>
      </c>
      <c r="F135" s="5">
        <v>0</v>
      </c>
      <c r="G135" s="5">
        <v>0</v>
      </c>
      <c r="H135" s="5">
        <v>0</v>
      </c>
      <c r="I135" s="5">
        <v>0</v>
      </c>
      <c r="J135" s="9">
        <v>0</v>
      </c>
      <c r="K135" s="8">
        <v>8</v>
      </c>
      <c r="L135" s="5">
        <v>39</v>
      </c>
      <c r="M135" s="5">
        <v>0</v>
      </c>
      <c r="N135" s="9">
        <v>0</v>
      </c>
      <c r="O135" s="8">
        <v>2</v>
      </c>
      <c r="P135" s="5">
        <v>3</v>
      </c>
      <c r="Q135" s="5">
        <v>0</v>
      </c>
      <c r="R135" s="9">
        <v>0</v>
      </c>
      <c r="S135" s="8">
        <v>0</v>
      </c>
      <c r="T135" s="5">
        <v>0</v>
      </c>
    </row>
    <row r="136" spans="1:20" x14ac:dyDescent="0.2">
      <c r="A136" s="5" t="s">
        <v>92</v>
      </c>
      <c r="B136" s="5" t="s">
        <v>75</v>
      </c>
      <c r="C136" s="17" t="s">
        <v>565</v>
      </c>
      <c r="D136" s="7">
        <f t="shared" si="0"/>
        <v>6.1</v>
      </c>
      <c r="E136" s="8">
        <v>0</v>
      </c>
      <c r="F136" s="5">
        <v>0</v>
      </c>
      <c r="G136" s="5">
        <v>0</v>
      </c>
      <c r="H136" s="5">
        <v>0</v>
      </c>
      <c r="I136" s="5">
        <v>0</v>
      </c>
      <c r="J136" s="9">
        <v>0</v>
      </c>
      <c r="K136" s="8">
        <v>9</v>
      </c>
      <c r="L136" s="5">
        <v>45</v>
      </c>
      <c r="M136" s="5">
        <v>0</v>
      </c>
      <c r="N136" s="9">
        <v>0</v>
      </c>
      <c r="O136" s="8">
        <v>1</v>
      </c>
      <c r="P136" s="5">
        <v>6</v>
      </c>
      <c r="Q136" s="5">
        <v>0</v>
      </c>
      <c r="R136" s="9">
        <v>0</v>
      </c>
      <c r="S136" s="8">
        <v>0</v>
      </c>
      <c r="T136" s="5">
        <v>0</v>
      </c>
    </row>
    <row r="137" spans="1:20" x14ac:dyDescent="0.2">
      <c r="A137" s="5" t="s">
        <v>299</v>
      </c>
      <c r="B137" s="5" t="s">
        <v>69</v>
      </c>
      <c r="C137" s="17" t="s">
        <v>573</v>
      </c>
      <c r="D137" s="7">
        <f t="shared" si="0"/>
        <v>5.9</v>
      </c>
      <c r="E137" s="8">
        <v>0</v>
      </c>
      <c r="F137" s="5">
        <v>0</v>
      </c>
      <c r="G137" s="5">
        <v>0</v>
      </c>
      <c r="H137" s="5">
        <v>0</v>
      </c>
      <c r="I137" s="5">
        <v>0</v>
      </c>
      <c r="J137" s="9">
        <v>0</v>
      </c>
      <c r="K137" s="8">
        <v>0</v>
      </c>
      <c r="L137" s="5">
        <v>0</v>
      </c>
      <c r="M137" s="5">
        <v>0</v>
      </c>
      <c r="N137" s="9">
        <v>0</v>
      </c>
      <c r="O137" s="8">
        <v>3</v>
      </c>
      <c r="P137" s="5">
        <v>29</v>
      </c>
      <c r="Q137" s="5">
        <v>0</v>
      </c>
      <c r="R137" s="9">
        <v>0</v>
      </c>
      <c r="S137" s="8">
        <v>0</v>
      </c>
      <c r="T137" s="5">
        <v>0</v>
      </c>
    </row>
    <row r="138" spans="1:20" x14ac:dyDescent="0.2">
      <c r="A138" s="5" t="s">
        <v>91</v>
      </c>
      <c r="B138" s="5" t="s">
        <v>75</v>
      </c>
      <c r="C138" s="10" t="s">
        <v>562</v>
      </c>
      <c r="D138" s="7">
        <f t="shared" si="0"/>
        <v>5.8000000000000007</v>
      </c>
      <c r="E138" s="8">
        <v>0</v>
      </c>
      <c r="F138" s="5">
        <v>0</v>
      </c>
      <c r="G138" s="5">
        <v>0</v>
      </c>
      <c r="H138" s="5">
        <v>0</v>
      </c>
      <c r="I138" s="5">
        <v>0</v>
      </c>
      <c r="J138" s="9">
        <v>0</v>
      </c>
      <c r="K138" s="8">
        <v>4</v>
      </c>
      <c r="L138" s="5">
        <v>46</v>
      </c>
      <c r="M138" s="5">
        <v>0</v>
      </c>
      <c r="N138" s="9">
        <v>0</v>
      </c>
      <c r="O138" s="8">
        <v>1</v>
      </c>
      <c r="P138" s="5">
        <v>2</v>
      </c>
      <c r="Q138" s="5">
        <v>0</v>
      </c>
      <c r="R138" s="9">
        <v>0</v>
      </c>
      <c r="S138" s="8">
        <v>0</v>
      </c>
      <c r="T138" s="5">
        <v>0</v>
      </c>
    </row>
    <row r="139" spans="1:20" x14ac:dyDescent="0.2">
      <c r="A139" s="5" t="s">
        <v>153</v>
      </c>
      <c r="B139" s="5" t="s">
        <v>75</v>
      </c>
      <c r="C139" s="17" t="s">
        <v>563</v>
      </c>
      <c r="D139" s="7">
        <f t="shared" si="0"/>
        <v>5.8000000000000007</v>
      </c>
      <c r="E139" s="8">
        <v>0</v>
      </c>
      <c r="F139" s="5">
        <v>0</v>
      </c>
      <c r="G139" s="5">
        <v>0</v>
      </c>
      <c r="H139" s="5">
        <v>0</v>
      </c>
      <c r="I139" s="5">
        <v>0</v>
      </c>
      <c r="J139" s="9">
        <v>0</v>
      </c>
      <c r="K139" s="8">
        <v>2</v>
      </c>
      <c r="L139" s="5">
        <v>2</v>
      </c>
      <c r="M139" s="5">
        <v>0</v>
      </c>
      <c r="N139" s="9">
        <v>0</v>
      </c>
      <c r="O139" s="8">
        <v>3</v>
      </c>
      <c r="P139" s="5">
        <v>26</v>
      </c>
      <c r="Q139" s="5">
        <v>0</v>
      </c>
      <c r="R139" s="9">
        <v>0</v>
      </c>
      <c r="S139" s="8">
        <v>0</v>
      </c>
      <c r="T139" s="5">
        <v>0</v>
      </c>
    </row>
    <row r="140" spans="1:20" x14ac:dyDescent="0.2">
      <c r="A140" s="5" t="s">
        <v>475</v>
      </c>
      <c r="B140" s="5" t="s">
        <v>162</v>
      </c>
      <c r="C140" s="17" t="s">
        <v>572</v>
      </c>
      <c r="D140" s="7">
        <f t="shared" si="0"/>
        <v>5.7</v>
      </c>
      <c r="E140" s="8">
        <v>0</v>
      </c>
      <c r="F140" s="5">
        <v>0</v>
      </c>
      <c r="G140" s="5">
        <v>0</v>
      </c>
      <c r="H140" s="5">
        <v>0</v>
      </c>
      <c r="I140" s="5">
        <v>0</v>
      </c>
      <c r="J140" s="9">
        <v>0</v>
      </c>
      <c r="K140" s="8">
        <v>0</v>
      </c>
      <c r="L140" s="5">
        <v>0</v>
      </c>
      <c r="M140" s="5">
        <v>0</v>
      </c>
      <c r="N140" s="9">
        <v>0</v>
      </c>
      <c r="O140" s="8">
        <v>3</v>
      </c>
      <c r="P140" s="5">
        <v>27</v>
      </c>
      <c r="Q140" s="5">
        <v>0</v>
      </c>
      <c r="R140" s="9">
        <v>0</v>
      </c>
      <c r="S140" s="8">
        <v>0</v>
      </c>
      <c r="T140" s="5">
        <v>0</v>
      </c>
    </row>
    <row r="141" spans="1:20" x14ac:dyDescent="0.2">
      <c r="A141" s="5" t="s">
        <v>348</v>
      </c>
      <c r="B141" s="5" t="s">
        <v>69</v>
      </c>
      <c r="C141" s="17" t="s">
        <v>571</v>
      </c>
      <c r="D141" s="7">
        <f t="shared" si="0"/>
        <v>5.7</v>
      </c>
      <c r="E141" s="8">
        <v>0</v>
      </c>
      <c r="F141" s="5">
        <v>0</v>
      </c>
      <c r="G141" s="5">
        <v>0</v>
      </c>
      <c r="H141" s="5">
        <v>0</v>
      </c>
      <c r="I141" s="5">
        <v>0</v>
      </c>
      <c r="J141" s="9">
        <v>0</v>
      </c>
      <c r="K141" s="8">
        <v>0</v>
      </c>
      <c r="L141" s="5">
        <v>0</v>
      </c>
      <c r="M141" s="5">
        <v>0</v>
      </c>
      <c r="N141" s="9">
        <v>0</v>
      </c>
      <c r="O141" s="8">
        <v>3</v>
      </c>
      <c r="P141" s="5">
        <v>27</v>
      </c>
      <c r="Q141" s="5">
        <v>0</v>
      </c>
      <c r="R141" s="9">
        <v>0</v>
      </c>
      <c r="S141" s="8">
        <v>0</v>
      </c>
      <c r="T141" s="5">
        <v>0</v>
      </c>
    </row>
    <row r="142" spans="1:20" x14ac:dyDescent="0.2">
      <c r="A142" s="5" t="s">
        <v>528</v>
      </c>
      <c r="B142" s="5" t="s">
        <v>75</v>
      </c>
      <c r="C142" s="17" t="s">
        <v>571</v>
      </c>
      <c r="D142" s="7">
        <f t="shared" si="0"/>
        <v>5.6000000000000005</v>
      </c>
      <c r="E142" s="8">
        <v>0</v>
      </c>
      <c r="F142" s="5">
        <v>0</v>
      </c>
      <c r="G142" s="5">
        <v>0</v>
      </c>
      <c r="H142" s="5">
        <v>0</v>
      </c>
      <c r="I142" s="5">
        <v>0</v>
      </c>
      <c r="J142" s="9">
        <v>0</v>
      </c>
      <c r="K142" s="8">
        <v>10</v>
      </c>
      <c r="L142" s="5">
        <v>56</v>
      </c>
      <c r="M142" s="5">
        <v>0</v>
      </c>
      <c r="N142" s="9">
        <v>0</v>
      </c>
      <c r="O142" s="8">
        <v>0</v>
      </c>
      <c r="P142" s="5">
        <v>0</v>
      </c>
      <c r="Q142" s="5">
        <v>0</v>
      </c>
      <c r="R142" s="9">
        <v>0</v>
      </c>
      <c r="S142" s="8">
        <v>0</v>
      </c>
      <c r="T142" s="5">
        <v>0</v>
      </c>
    </row>
    <row r="143" spans="1:20" x14ac:dyDescent="0.2">
      <c r="A143" s="5" t="s">
        <v>521</v>
      </c>
      <c r="B143" s="5" t="s">
        <v>162</v>
      </c>
      <c r="C143" s="17" t="s">
        <v>571</v>
      </c>
      <c r="D143" s="7">
        <f t="shared" si="0"/>
        <v>5.6000000000000005</v>
      </c>
      <c r="E143" s="8">
        <v>0</v>
      </c>
      <c r="F143" s="5">
        <v>0</v>
      </c>
      <c r="G143" s="5">
        <v>0</v>
      </c>
      <c r="H143" s="5">
        <v>0</v>
      </c>
      <c r="I143" s="5">
        <v>0</v>
      </c>
      <c r="J143" s="9">
        <v>0</v>
      </c>
      <c r="K143" s="8">
        <v>0</v>
      </c>
      <c r="L143" s="5">
        <v>0</v>
      </c>
      <c r="M143" s="5">
        <v>0</v>
      </c>
      <c r="N143" s="9">
        <v>0</v>
      </c>
      <c r="O143" s="8">
        <v>1</v>
      </c>
      <c r="P143" s="5">
        <v>46</v>
      </c>
      <c r="Q143" s="5">
        <v>0</v>
      </c>
      <c r="R143" s="9">
        <v>0</v>
      </c>
      <c r="S143" s="8">
        <v>0</v>
      </c>
      <c r="T143" s="5">
        <v>0</v>
      </c>
    </row>
    <row r="144" spans="1:20" x14ac:dyDescent="0.2">
      <c r="A144" s="5" t="s">
        <v>76</v>
      </c>
      <c r="B144" s="5" t="s">
        <v>75</v>
      </c>
      <c r="C144" s="17" t="s">
        <v>561</v>
      </c>
      <c r="D144" s="7">
        <f t="shared" si="0"/>
        <v>5.6</v>
      </c>
      <c r="E144" s="8">
        <v>0</v>
      </c>
      <c r="F144" s="5">
        <v>0</v>
      </c>
      <c r="G144" s="5">
        <v>0</v>
      </c>
      <c r="H144" s="5">
        <v>0</v>
      </c>
      <c r="I144" s="5">
        <v>0</v>
      </c>
      <c r="J144" s="9">
        <v>0</v>
      </c>
      <c r="K144" s="8">
        <v>14</v>
      </c>
      <c r="L144" s="5">
        <v>45</v>
      </c>
      <c r="M144" s="5">
        <v>0</v>
      </c>
      <c r="N144" s="9">
        <v>0</v>
      </c>
      <c r="O144" s="8">
        <v>1</v>
      </c>
      <c r="P144" s="5">
        <v>1</v>
      </c>
      <c r="Q144" s="5">
        <v>0</v>
      </c>
      <c r="R144" s="9">
        <v>0</v>
      </c>
      <c r="S144" s="8">
        <v>0</v>
      </c>
      <c r="T144" s="5">
        <v>0</v>
      </c>
    </row>
    <row r="145" spans="1:20" x14ac:dyDescent="0.2">
      <c r="A145" s="5" t="s">
        <v>147</v>
      </c>
      <c r="B145" s="5" t="s">
        <v>75</v>
      </c>
      <c r="C145" s="10" t="s">
        <v>572</v>
      </c>
      <c r="D145" s="7">
        <f t="shared" si="0"/>
        <v>5.6</v>
      </c>
      <c r="E145" s="8">
        <v>0</v>
      </c>
      <c r="F145" s="5">
        <v>0</v>
      </c>
      <c r="G145" s="5">
        <v>0</v>
      </c>
      <c r="H145" s="5">
        <v>0</v>
      </c>
      <c r="I145" s="5">
        <v>0</v>
      </c>
      <c r="J145" s="9">
        <v>0</v>
      </c>
      <c r="K145" s="8">
        <v>5</v>
      </c>
      <c r="L145" s="5">
        <v>45</v>
      </c>
      <c r="M145" s="5">
        <v>0</v>
      </c>
      <c r="N145" s="9">
        <v>0</v>
      </c>
      <c r="O145" s="8">
        <v>1</v>
      </c>
      <c r="P145" s="5">
        <v>1</v>
      </c>
      <c r="Q145" s="5">
        <v>0</v>
      </c>
      <c r="R145" s="9">
        <v>0</v>
      </c>
      <c r="S145" s="8">
        <v>0</v>
      </c>
      <c r="T145" s="5">
        <v>0</v>
      </c>
    </row>
    <row r="146" spans="1:20" x14ac:dyDescent="0.2">
      <c r="A146" s="5" t="s">
        <v>217</v>
      </c>
      <c r="B146" s="5" t="s">
        <v>162</v>
      </c>
      <c r="C146" s="10" t="s">
        <v>562</v>
      </c>
      <c r="D146" s="7">
        <f t="shared" si="0"/>
        <v>5.6</v>
      </c>
      <c r="E146" s="8">
        <v>0</v>
      </c>
      <c r="F146" s="5">
        <v>0</v>
      </c>
      <c r="G146" s="5">
        <v>0</v>
      </c>
      <c r="H146" s="5">
        <v>0</v>
      </c>
      <c r="I146" s="5">
        <v>0</v>
      </c>
      <c r="J146" s="9">
        <v>0</v>
      </c>
      <c r="K146" s="8">
        <v>0</v>
      </c>
      <c r="L146" s="5">
        <v>0</v>
      </c>
      <c r="M146" s="5">
        <v>0</v>
      </c>
      <c r="N146" s="9">
        <v>0</v>
      </c>
      <c r="O146" s="8">
        <v>2</v>
      </c>
      <c r="P146" s="5">
        <v>36</v>
      </c>
      <c r="Q146" s="5">
        <v>0</v>
      </c>
      <c r="R146" s="9">
        <v>0</v>
      </c>
      <c r="S146" s="8">
        <v>0</v>
      </c>
      <c r="T146" s="5">
        <v>0</v>
      </c>
    </row>
    <row r="147" spans="1:20" x14ac:dyDescent="0.2">
      <c r="A147" s="5" t="s">
        <v>250</v>
      </c>
      <c r="B147" s="5" t="s">
        <v>162</v>
      </c>
      <c r="C147" s="17" t="s">
        <v>573</v>
      </c>
      <c r="D147" s="7">
        <f t="shared" si="0"/>
        <v>5.6</v>
      </c>
      <c r="E147" s="8">
        <v>0</v>
      </c>
      <c r="F147" s="5">
        <v>0</v>
      </c>
      <c r="G147" s="5">
        <v>0</v>
      </c>
      <c r="H147" s="5">
        <v>0</v>
      </c>
      <c r="I147" s="5">
        <v>0</v>
      </c>
      <c r="J147" s="9">
        <v>0</v>
      </c>
      <c r="K147" s="8">
        <v>0</v>
      </c>
      <c r="L147" s="5">
        <v>0</v>
      </c>
      <c r="M147" s="5">
        <v>0</v>
      </c>
      <c r="N147" s="9">
        <v>0</v>
      </c>
      <c r="O147" s="8">
        <v>3</v>
      </c>
      <c r="P147" s="5">
        <v>26</v>
      </c>
      <c r="Q147" s="5">
        <v>0</v>
      </c>
      <c r="R147" s="9">
        <v>0</v>
      </c>
      <c r="S147" s="8">
        <v>0</v>
      </c>
      <c r="T147" s="5">
        <v>0</v>
      </c>
    </row>
    <row r="148" spans="1:20" x14ac:dyDescent="0.2">
      <c r="A148" s="5" t="s">
        <v>553</v>
      </c>
      <c r="B148" s="5" t="s">
        <v>17</v>
      </c>
      <c r="C148" s="17" t="s">
        <v>567</v>
      </c>
      <c r="D148" s="7">
        <f t="shared" si="0"/>
        <v>5.42</v>
      </c>
      <c r="E148" s="8">
        <v>32</v>
      </c>
      <c r="F148" s="5">
        <v>15</v>
      </c>
      <c r="G148" s="5">
        <v>178</v>
      </c>
      <c r="H148" s="5">
        <v>0</v>
      </c>
      <c r="I148" s="5">
        <v>1</v>
      </c>
      <c r="J148" s="9">
        <v>0</v>
      </c>
      <c r="K148" s="8">
        <v>3</v>
      </c>
      <c r="L148" s="5">
        <v>3</v>
      </c>
      <c r="M148" s="5">
        <v>0</v>
      </c>
      <c r="N148" s="9">
        <v>0</v>
      </c>
      <c r="O148" s="8">
        <v>0</v>
      </c>
      <c r="P148" s="5">
        <v>0</v>
      </c>
      <c r="Q148" s="5">
        <v>0</v>
      </c>
      <c r="R148" s="9">
        <v>0</v>
      </c>
      <c r="S148" s="8">
        <v>0</v>
      </c>
      <c r="T148" s="5">
        <v>0</v>
      </c>
    </row>
    <row r="149" spans="1:20" x14ac:dyDescent="0.2">
      <c r="A149" s="5" t="s">
        <v>244</v>
      </c>
      <c r="B149" s="5" t="s">
        <v>162</v>
      </c>
      <c r="C149" s="10" t="s">
        <v>563</v>
      </c>
      <c r="D149" s="7">
        <f t="shared" si="0"/>
        <v>5.3000000000000007</v>
      </c>
      <c r="E149" s="8">
        <v>0</v>
      </c>
      <c r="F149" s="5">
        <v>0</v>
      </c>
      <c r="G149" s="5">
        <v>0</v>
      </c>
      <c r="H149" s="5">
        <v>0</v>
      </c>
      <c r="I149" s="5">
        <v>0</v>
      </c>
      <c r="J149" s="9">
        <v>0</v>
      </c>
      <c r="K149" s="8">
        <v>2</v>
      </c>
      <c r="L149" s="5">
        <v>14</v>
      </c>
      <c r="M149" s="5">
        <v>0</v>
      </c>
      <c r="N149" s="9">
        <v>0</v>
      </c>
      <c r="O149" s="8">
        <v>2</v>
      </c>
      <c r="P149" s="5">
        <v>19</v>
      </c>
      <c r="Q149" s="5">
        <v>0</v>
      </c>
      <c r="R149" s="9">
        <v>0</v>
      </c>
      <c r="S149" s="8">
        <v>0</v>
      </c>
      <c r="T149" s="5">
        <v>0</v>
      </c>
    </row>
    <row r="150" spans="1:20" x14ac:dyDescent="0.2">
      <c r="A150" s="5" t="s">
        <v>145</v>
      </c>
      <c r="B150" s="5" t="s">
        <v>75</v>
      </c>
      <c r="C150" s="17" t="s">
        <v>570</v>
      </c>
      <c r="D150" s="7">
        <f t="shared" si="0"/>
        <v>5.1000000000000005</v>
      </c>
      <c r="E150" s="8">
        <v>0</v>
      </c>
      <c r="F150" s="5">
        <v>0</v>
      </c>
      <c r="G150" s="5">
        <v>0</v>
      </c>
      <c r="H150" s="5">
        <v>0</v>
      </c>
      <c r="I150" s="5">
        <v>0</v>
      </c>
      <c r="J150" s="9">
        <v>0</v>
      </c>
      <c r="K150" s="8">
        <v>2</v>
      </c>
      <c r="L150" s="5">
        <v>7</v>
      </c>
      <c r="M150" s="5">
        <v>0</v>
      </c>
      <c r="N150" s="9">
        <v>0</v>
      </c>
      <c r="O150" s="8">
        <v>2</v>
      </c>
      <c r="P150" s="5">
        <v>24</v>
      </c>
      <c r="Q150" s="5">
        <v>0</v>
      </c>
      <c r="R150" s="9">
        <v>0</v>
      </c>
      <c r="S150" s="8">
        <v>0</v>
      </c>
      <c r="T150" s="5">
        <v>0</v>
      </c>
    </row>
    <row r="151" spans="1:20" x14ac:dyDescent="0.2">
      <c r="A151" s="5" t="s">
        <v>487</v>
      </c>
      <c r="B151" s="5" t="s">
        <v>75</v>
      </c>
      <c r="C151" s="10" t="s">
        <v>562</v>
      </c>
      <c r="D151" s="7">
        <f t="shared" si="0"/>
        <v>5.0999999999999996</v>
      </c>
      <c r="E151" s="8">
        <v>0</v>
      </c>
      <c r="F151" s="5">
        <v>0</v>
      </c>
      <c r="G151" s="5">
        <v>0</v>
      </c>
      <c r="H151" s="5">
        <v>0</v>
      </c>
      <c r="I151" s="5">
        <v>0</v>
      </c>
      <c r="J151" s="9">
        <v>0</v>
      </c>
      <c r="K151" s="8">
        <v>0</v>
      </c>
      <c r="L151" s="5">
        <v>0</v>
      </c>
      <c r="M151" s="5">
        <v>0</v>
      </c>
      <c r="N151" s="9">
        <v>0</v>
      </c>
      <c r="O151" s="8">
        <v>2</v>
      </c>
      <c r="P151" s="5">
        <v>31</v>
      </c>
      <c r="Q151" s="5">
        <v>0</v>
      </c>
      <c r="R151" s="9">
        <v>0</v>
      </c>
      <c r="S151" s="8">
        <v>0</v>
      </c>
      <c r="T151" s="5">
        <v>0</v>
      </c>
    </row>
    <row r="152" spans="1:20" x14ac:dyDescent="0.2">
      <c r="A152" s="5" t="s">
        <v>109</v>
      </c>
      <c r="B152" s="5" t="s">
        <v>75</v>
      </c>
      <c r="C152" s="17" t="s">
        <v>563</v>
      </c>
      <c r="D152" s="7">
        <f t="shared" si="0"/>
        <v>5.0999999999999996</v>
      </c>
      <c r="E152" s="8">
        <v>0</v>
      </c>
      <c r="F152" s="5">
        <v>0</v>
      </c>
      <c r="G152" s="5">
        <v>0</v>
      </c>
      <c r="H152" s="5">
        <v>0</v>
      </c>
      <c r="I152" s="5">
        <v>0</v>
      </c>
      <c r="J152" s="9">
        <v>0</v>
      </c>
      <c r="K152" s="8">
        <v>11</v>
      </c>
      <c r="L152" s="5">
        <v>35</v>
      </c>
      <c r="M152" s="5">
        <v>0</v>
      </c>
      <c r="N152" s="9">
        <v>0</v>
      </c>
      <c r="O152" s="8">
        <v>1</v>
      </c>
      <c r="P152" s="5">
        <v>6</v>
      </c>
      <c r="Q152" s="5">
        <v>0</v>
      </c>
      <c r="R152" s="9">
        <v>0</v>
      </c>
      <c r="S152" s="8">
        <v>0</v>
      </c>
      <c r="T152" s="5">
        <v>0</v>
      </c>
    </row>
    <row r="153" spans="1:20" x14ac:dyDescent="0.2">
      <c r="A153" s="5" t="s">
        <v>476</v>
      </c>
      <c r="B153" s="5" t="s">
        <v>17</v>
      </c>
      <c r="C153" s="17" t="s">
        <v>563</v>
      </c>
      <c r="D153" s="7">
        <f t="shared" si="0"/>
        <v>5</v>
      </c>
      <c r="E153" s="8">
        <v>13</v>
      </c>
      <c r="F153" s="5">
        <v>10</v>
      </c>
      <c r="G153" s="5">
        <v>75</v>
      </c>
      <c r="H153" s="5">
        <v>1</v>
      </c>
      <c r="I153" s="5">
        <v>1</v>
      </c>
      <c r="J153" s="9">
        <v>0</v>
      </c>
      <c r="K153" s="8">
        <v>0</v>
      </c>
      <c r="L153" s="5">
        <v>0</v>
      </c>
      <c r="M153" s="5">
        <v>0</v>
      </c>
      <c r="N153" s="9">
        <v>0</v>
      </c>
      <c r="O153" s="8">
        <v>0</v>
      </c>
      <c r="P153" s="5">
        <v>0</v>
      </c>
      <c r="Q153" s="5">
        <v>0</v>
      </c>
      <c r="R153" s="9">
        <v>0</v>
      </c>
      <c r="S153" s="8">
        <v>0</v>
      </c>
      <c r="T153" s="5">
        <v>0</v>
      </c>
    </row>
    <row r="154" spans="1:20" x14ac:dyDescent="0.2">
      <c r="A154" s="5" t="s">
        <v>279</v>
      </c>
      <c r="B154" s="5" t="s">
        <v>69</v>
      </c>
      <c r="C154" s="17" t="s">
        <v>573</v>
      </c>
      <c r="D154" s="7">
        <f t="shared" si="0"/>
        <v>4.9000000000000004</v>
      </c>
      <c r="E154" s="8">
        <v>0</v>
      </c>
      <c r="F154" s="5">
        <v>0</v>
      </c>
      <c r="G154" s="5">
        <v>0</v>
      </c>
      <c r="H154" s="5">
        <v>0</v>
      </c>
      <c r="I154" s="5">
        <v>0</v>
      </c>
      <c r="J154" s="9">
        <v>0</v>
      </c>
      <c r="K154" s="8">
        <v>0</v>
      </c>
      <c r="L154" s="5">
        <v>0</v>
      </c>
      <c r="M154" s="5">
        <v>0</v>
      </c>
      <c r="N154" s="9">
        <v>0</v>
      </c>
      <c r="O154" s="8">
        <v>3</v>
      </c>
      <c r="P154" s="5">
        <v>19</v>
      </c>
      <c r="Q154" s="5">
        <v>0</v>
      </c>
      <c r="R154" s="9">
        <v>0</v>
      </c>
      <c r="S154" s="8">
        <v>0</v>
      </c>
      <c r="T154" s="5">
        <v>0</v>
      </c>
    </row>
    <row r="155" spans="1:20" x14ac:dyDescent="0.2">
      <c r="A155" s="5" t="s">
        <v>149</v>
      </c>
      <c r="B155" s="5" t="s">
        <v>75</v>
      </c>
      <c r="C155" s="17" t="s">
        <v>568</v>
      </c>
      <c r="D155" s="7">
        <f t="shared" si="0"/>
        <v>4.8</v>
      </c>
      <c r="E155" s="8">
        <v>0</v>
      </c>
      <c r="F155" s="5">
        <v>0</v>
      </c>
      <c r="G155" s="5">
        <v>0</v>
      </c>
      <c r="H155" s="5">
        <v>0</v>
      </c>
      <c r="I155" s="5">
        <v>0</v>
      </c>
      <c r="J155" s="9">
        <v>0</v>
      </c>
      <c r="K155" s="8">
        <v>4</v>
      </c>
      <c r="L155" s="5">
        <v>8</v>
      </c>
      <c r="M155" s="5">
        <v>0</v>
      </c>
      <c r="N155" s="9">
        <v>0</v>
      </c>
      <c r="O155" s="8">
        <v>2</v>
      </c>
      <c r="P155" s="5">
        <v>20</v>
      </c>
      <c r="Q155" s="5">
        <v>0</v>
      </c>
      <c r="R155" s="9">
        <v>0</v>
      </c>
      <c r="S155" s="8">
        <v>0</v>
      </c>
      <c r="T155" s="5">
        <v>0</v>
      </c>
    </row>
    <row r="156" spans="1:20" x14ac:dyDescent="0.2">
      <c r="A156" s="5" t="s">
        <v>391</v>
      </c>
      <c r="B156" s="5" t="s">
        <v>75</v>
      </c>
      <c r="C156" s="17" t="s">
        <v>572</v>
      </c>
      <c r="D156" s="7">
        <f t="shared" si="0"/>
        <v>4.7</v>
      </c>
      <c r="E156" s="8">
        <v>0</v>
      </c>
      <c r="F156" s="5">
        <v>0</v>
      </c>
      <c r="G156" s="5">
        <v>0</v>
      </c>
      <c r="H156" s="5">
        <v>0</v>
      </c>
      <c r="I156" s="5">
        <v>0</v>
      </c>
      <c r="J156" s="9">
        <v>0</v>
      </c>
      <c r="K156" s="8">
        <v>2</v>
      </c>
      <c r="L156" s="5">
        <v>19</v>
      </c>
      <c r="M156" s="5">
        <v>0</v>
      </c>
      <c r="N156" s="9">
        <v>0</v>
      </c>
      <c r="O156" s="8">
        <v>2</v>
      </c>
      <c r="P156" s="5">
        <v>8</v>
      </c>
      <c r="Q156" s="5">
        <v>0</v>
      </c>
      <c r="R156" s="9">
        <v>0</v>
      </c>
      <c r="S156" s="8">
        <v>0</v>
      </c>
      <c r="T156" s="5">
        <v>0</v>
      </c>
    </row>
    <row r="157" spans="1:20" x14ac:dyDescent="0.2">
      <c r="A157" s="5" t="s">
        <v>271</v>
      </c>
      <c r="B157" s="5" t="s">
        <v>69</v>
      </c>
      <c r="C157" s="10" t="s">
        <v>568</v>
      </c>
      <c r="D157" s="7">
        <f t="shared" si="0"/>
        <v>4.7</v>
      </c>
      <c r="E157" s="8">
        <v>0</v>
      </c>
      <c r="F157" s="5">
        <v>0</v>
      </c>
      <c r="G157" s="5">
        <v>0</v>
      </c>
      <c r="H157" s="5">
        <v>0</v>
      </c>
      <c r="I157" s="5">
        <v>0</v>
      </c>
      <c r="J157" s="9">
        <v>0</v>
      </c>
      <c r="K157" s="8">
        <v>0</v>
      </c>
      <c r="L157" s="5">
        <v>0</v>
      </c>
      <c r="M157" s="5">
        <v>0</v>
      </c>
      <c r="N157" s="9">
        <v>0</v>
      </c>
      <c r="O157" s="8">
        <v>2</v>
      </c>
      <c r="P157" s="5">
        <v>27</v>
      </c>
      <c r="Q157" s="5">
        <v>0</v>
      </c>
      <c r="R157" s="9">
        <v>0</v>
      </c>
      <c r="S157" s="8">
        <v>0</v>
      </c>
      <c r="T157" s="5">
        <v>0</v>
      </c>
    </row>
    <row r="158" spans="1:20" x14ac:dyDescent="0.2">
      <c r="A158" s="5" t="s">
        <v>138</v>
      </c>
      <c r="B158" s="5" t="s">
        <v>75</v>
      </c>
      <c r="C158" s="10" t="s">
        <v>561</v>
      </c>
      <c r="D158" s="7">
        <f t="shared" si="0"/>
        <v>4.6000000000000005</v>
      </c>
      <c r="E158" s="8">
        <v>0</v>
      </c>
      <c r="F158" s="5">
        <v>0</v>
      </c>
      <c r="G158" s="5">
        <v>0</v>
      </c>
      <c r="H158" s="5">
        <v>0</v>
      </c>
      <c r="I158" s="5">
        <v>0</v>
      </c>
      <c r="J158" s="9">
        <v>0</v>
      </c>
      <c r="K158" s="8">
        <v>2</v>
      </c>
      <c r="L158" s="5">
        <v>2</v>
      </c>
      <c r="M158" s="5">
        <v>0</v>
      </c>
      <c r="N158" s="9">
        <v>0</v>
      </c>
      <c r="O158" s="8">
        <v>2</v>
      </c>
      <c r="P158" s="5">
        <v>24</v>
      </c>
      <c r="Q158" s="5">
        <v>0</v>
      </c>
      <c r="R158" s="9">
        <v>0</v>
      </c>
      <c r="S158" s="8">
        <v>0</v>
      </c>
      <c r="T158" s="5">
        <v>0</v>
      </c>
    </row>
    <row r="159" spans="1:20" x14ac:dyDescent="0.2">
      <c r="A159" s="5" t="s">
        <v>215</v>
      </c>
      <c r="B159" s="5" t="s">
        <v>162</v>
      </c>
      <c r="C159" s="17" t="s">
        <v>573</v>
      </c>
      <c r="D159" s="7">
        <f t="shared" si="0"/>
        <v>4.6000000000000005</v>
      </c>
      <c r="E159" s="8">
        <v>0</v>
      </c>
      <c r="F159" s="5">
        <v>0</v>
      </c>
      <c r="G159" s="5">
        <v>0</v>
      </c>
      <c r="H159" s="5">
        <v>0</v>
      </c>
      <c r="I159" s="5">
        <v>0</v>
      </c>
      <c r="J159" s="9">
        <v>0</v>
      </c>
      <c r="K159" s="8">
        <v>4</v>
      </c>
      <c r="L159" s="5">
        <v>24</v>
      </c>
      <c r="M159" s="5">
        <v>0</v>
      </c>
      <c r="N159" s="9">
        <v>0</v>
      </c>
      <c r="O159" s="8">
        <v>2</v>
      </c>
      <c r="P159" s="5">
        <v>2</v>
      </c>
      <c r="Q159" s="5">
        <v>0</v>
      </c>
      <c r="R159" s="9">
        <v>0</v>
      </c>
      <c r="S159" s="8">
        <v>0</v>
      </c>
      <c r="T159" s="5">
        <v>0</v>
      </c>
    </row>
    <row r="160" spans="1:20" x14ac:dyDescent="0.2">
      <c r="A160" s="5" t="s">
        <v>318</v>
      </c>
      <c r="B160" s="5" t="s">
        <v>69</v>
      </c>
      <c r="C160" s="10" t="s">
        <v>573</v>
      </c>
      <c r="D160" s="7">
        <f t="shared" si="0"/>
        <v>4.5999999999999996</v>
      </c>
      <c r="E160" s="8">
        <v>0</v>
      </c>
      <c r="F160" s="5">
        <v>0</v>
      </c>
      <c r="G160" s="5">
        <v>0</v>
      </c>
      <c r="H160" s="5">
        <v>0</v>
      </c>
      <c r="I160" s="5">
        <v>0</v>
      </c>
      <c r="J160" s="9">
        <v>0</v>
      </c>
      <c r="K160" s="8">
        <v>0</v>
      </c>
      <c r="L160" s="5">
        <v>0</v>
      </c>
      <c r="M160" s="5">
        <v>0</v>
      </c>
      <c r="N160" s="9">
        <v>0</v>
      </c>
      <c r="O160" s="8">
        <v>2</v>
      </c>
      <c r="P160" s="5">
        <v>26</v>
      </c>
      <c r="Q160" s="5">
        <v>0</v>
      </c>
      <c r="R160" s="9">
        <v>0</v>
      </c>
      <c r="S160" s="8">
        <v>0</v>
      </c>
      <c r="T160" s="5">
        <v>0</v>
      </c>
    </row>
    <row r="161" spans="1:20" x14ac:dyDescent="0.2">
      <c r="A161" s="5" t="s">
        <v>305</v>
      </c>
      <c r="B161" s="5" t="s">
        <v>69</v>
      </c>
      <c r="C161" s="17" t="s">
        <v>569</v>
      </c>
      <c r="D161" s="7">
        <f t="shared" si="0"/>
        <v>4.3000000000000007</v>
      </c>
      <c r="E161" s="8">
        <v>0</v>
      </c>
      <c r="F161" s="5">
        <v>0</v>
      </c>
      <c r="G161" s="5">
        <v>0</v>
      </c>
      <c r="H161" s="5">
        <v>0</v>
      </c>
      <c r="I161" s="5">
        <v>0</v>
      </c>
      <c r="J161" s="9">
        <v>0</v>
      </c>
      <c r="K161" s="8">
        <v>0</v>
      </c>
      <c r="L161" s="5">
        <v>0</v>
      </c>
      <c r="M161" s="5">
        <v>0</v>
      </c>
      <c r="N161" s="9">
        <v>0</v>
      </c>
      <c r="O161" s="8">
        <v>2</v>
      </c>
      <c r="P161" s="5">
        <v>23</v>
      </c>
      <c r="Q161" s="5">
        <v>0</v>
      </c>
      <c r="R161" s="9">
        <v>0</v>
      </c>
      <c r="S161" s="8">
        <v>0</v>
      </c>
      <c r="T161" s="5">
        <v>0</v>
      </c>
    </row>
    <row r="162" spans="1:20" x14ac:dyDescent="0.2">
      <c r="A162" s="5" t="s">
        <v>218</v>
      </c>
      <c r="B162" s="5" t="s">
        <v>162</v>
      </c>
      <c r="C162" s="17" t="s">
        <v>567</v>
      </c>
      <c r="D162" s="7">
        <f t="shared" si="0"/>
        <v>4.2</v>
      </c>
      <c r="E162" s="8">
        <v>0</v>
      </c>
      <c r="F162" s="5">
        <v>0</v>
      </c>
      <c r="G162" s="5">
        <v>0</v>
      </c>
      <c r="H162" s="5">
        <v>0</v>
      </c>
      <c r="I162" s="5">
        <v>0</v>
      </c>
      <c r="J162" s="9">
        <v>0</v>
      </c>
      <c r="K162" s="8">
        <v>0</v>
      </c>
      <c r="L162" s="5">
        <v>0</v>
      </c>
      <c r="M162" s="5">
        <v>0</v>
      </c>
      <c r="N162" s="9">
        <v>0</v>
      </c>
      <c r="O162" s="8">
        <v>2</v>
      </c>
      <c r="P162" s="5">
        <v>22</v>
      </c>
      <c r="Q162" s="5">
        <v>0</v>
      </c>
      <c r="R162" s="9">
        <v>0</v>
      </c>
      <c r="S162" s="8">
        <v>0</v>
      </c>
      <c r="T162" s="5">
        <v>0</v>
      </c>
    </row>
    <row r="163" spans="1:20" x14ac:dyDescent="0.2">
      <c r="A163" s="5" t="s">
        <v>255</v>
      </c>
      <c r="B163" s="5" t="s">
        <v>162</v>
      </c>
      <c r="C163" s="17" t="s">
        <v>567</v>
      </c>
      <c r="D163" s="7">
        <f t="shared" si="0"/>
        <v>4.2</v>
      </c>
      <c r="E163" s="8">
        <v>0</v>
      </c>
      <c r="F163" s="5">
        <v>0</v>
      </c>
      <c r="G163" s="5">
        <v>0</v>
      </c>
      <c r="H163" s="5">
        <v>0</v>
      </c>
      <c r="I163" s="5">
        <v>0</v>
      </c>
      <c r="J163" s="9">
        <v>0</v>
      </c>
      <c r="K163" s="8">
        <v>0</v>
      </c>
      <c r="L163" s="5">
        <v>0</v>
      </c>
      <c r="M163" s="5">
        <v>0</v>
      </c>
      <c r="N163" s="9">
        <v>0</v>
      </c>
      <c r="O163" s="8">
        <v>2</v>
      </c>
      <c r="P163" s="5">
        <v>22</v>
      </c>
      <c r="Q163" s="5">
        <v>0</v>
      </c>
      <c r="R163" s="9">
        <v>0</v>
      </c>
      <c r="S163" s="8">
        <v>0</v>
      </c>
      <c r="T163" s="5">
        <v>0</v>
      </c>
    </row>
    <row r="164" spans="1:20" x14ac:dyDescent="0.2">
      <c r="A164" s="5" t="s">
        <v>478</v>
      </c>
      <c r="B164" s="5" t="s">
        <v>162</v>
      </c>
      <c r="C164" s="17" t="s">
        <v>564</v>
      </c>
      <c r="D164" s="7">
        <f t="shared" si="0"/>
        <v>4</v>
      </c>
      <c r="E164" s="8">
        <v>0</v>
      </c>
      <c r="F164" s="5">
        <v>0</v>
      </c>
      <c r="G164" s="5">
        <v>0</v>
      </c>
      <c r="H164" s="5">
        <v>0</v>
      </c>
      <c r="I164" s="5">
        <v>0</v>
      </c>
      <c r="J164" s="9">
        <v>0</v>
      </c>
      <c r="K164" s="8">
        <v>0</v>
      </c>
      <c r="L164" s="5">
        <v>0</v>
      </c>
      <c r="M164" s="5">
        <v>0</v>
      </c>
      <c r="N164" s="9">
        <v>0</v>
      </c>
      <c r="O164" s="8">
        <v>2</v>
      </c>
      <c r="P164" s="5">
        <v>20</v>
      </c>
      <c r="Q164" s="5">
        <v>0</v>
      </c>
      <c r="R164" s="9">
        <v>0</v>
      </c>
      <c r="S164" s="8">
        <v>0</v>
      </c>
      <c r="T164" s="5">
        <v>0</v>
      </c>
    </row>
    <row r="165" spans="1:20" x14ac:dyDescent="0.2">
      <c r="A165" s="5" t="s">
        <v>243</v>
      </c>
      <c r="B165" s="5" t="s">
        <v>162</v>
      </c>
      <c r="C165" s="17" t="s">
        <v>562</v>
      </c>
      <c r="D165" s="7">
        <f t="shared" si="0"/>
        <v>4</v>
      </c>
      <c r="E165" s="8">
        <v>0</v>
      </c>
      <c r="F165" s="5">
        <v>0</v>
      </c>
      <c r="G165" s="5">
        <v>0</v>
      </c>
      <c r="H165" s="5">
        <v>0</v>
      </c>
      <c r="I165" s="5">
        <v>0</v>
      </c>
      <c r="J165" s="9">
        <v>0</v>
      </c>
      <c r="K165" s="8">
        <v>0</v>
      </c>
      <c r="L165" s="5">
        <v>0</v>
      </c>
      <c r="M165" s="5">
        <v>0</v>
      </c>
      <c r="N165" s="9">
        <v>0</v>
      </c>
      <c r="O165" s="8">
        <v>2</v>
      </c>
      <c r="P165" s="5">
        <v>20</v>
      </c>
      <c r="Q165" s="5">
        <v>0</v>
      </c>
      <c r="R165" s="9">
        <v>0</v>
      </c>
      <c r="S165" s="8">
        <v>0</v>
      </c>
      <c r="T165" s="5">
        <v>0</v>
      </c>
    </row>
    <row r="166" spans="1:20" x14ac:dyDescent="0.2">
      <c r="A166" s="5" t="s">
        <v>295</v>
      </c>
      <c r="B166" s="5" t="s">
        <v>69</v>
      </c>
      <c r="C166" s="17" t="s">
        <v>568</v>
      </c>
      <c r="D166" s="7">
        <f t="shared" si="0"/>
        <v>4</v>
      </c>
      <c r="E166" s="8">
        <v>0</v>
      </c>
      <c r="F166" s="5">
        <v>0</v>
      </c>
      <c r="G166" s="5">
        <v>0</v>
      </c>
      <c r="H166" s="5">
        <v>0</v>
      </c>
      <c r="I166" s="5">
        <v>0</v>
      </c>
      <c r="J166" s="9">
        <v>0</v>
      </c>
      <c r="K166" s="8">
        <v>0</v>
      </c>
      <c r="L166" s="5">
        <v>0</v>
      </c>
      <c r="M166" s="5">
        <v>0</v>
      </c>
      <c r="N166" s="9">
        <v>0</v>
      </c>
      <c r="O166" s="8">
        <v>1</v>
      </c>
      <c r="P166" s="5">
        <v>10</v>
      </c>
      <c r="Q166" s="5">
        <v>0</v>
      </c>
      <c r="R166" s="9">
        <v>1</v>
      </c>
      <c r="S166" s="8">
        <v>0</v>
      </c>
      <c r="T166" s="5">
        <v>0</v>
      </c>
    </row>
    <row r="167" spans="1:20" x14ac:dyDescent="0.2">
      <c r="A167" s="5" t="s">
        <v>365</v>
      </c>
      <c r="B167" s="5" t="s">
        <v>162</v>
      </c>
      <c r="C167" s="17" t="s">
        <v>563</v>
      </c>
      <c r="D167" s="7">
        <f t="shared" si="0"/>
        <v>3.8000000000000003</v>
      </c>
      <c r="E167" s="8">
        <v>0</v>
      </c>
      <c r="F167" s="5">
        <v>0</v>
      </c>
      <c r="G167" s="5">
        <v>0</v>
      </c>
      <c r="H167" s="5">
        <v>0</v>
      </c>
      <c r="I167" s="5">
        <v>0</v>
      </c>
      <c r="J167" s="9">
        <v>0</v>
      </c>
      <c r="K167" s="8">
        <v>1</v>
      </c>
      <c r="L167" s="5">
        <v>2</v>
      </c>
      <c r="M167" s="5">
        <v>0</v>
      </c>
      <c r="N167" s="9">
        <v>0</v>
      </c>
      <c r="O167" s="8">
        <v>2</v>
      </c>
      <c r="P167" s="5">
        <v>16</v>
      </c>
      <c r="Q167" s="5">
        <v>0</v>
      </c>
      <c r="R167" s="9">
        <v>0</v>
      </c>
      <c r="S167" s="8">
        <v>0</v>
      </c>
      <c r="T167" s="5">
        <v>0</v>
      </c>
    </row>
    <row r="168" spans="1:20" x14ac:dyDescent="0.2">
      <c r="A168" s="5" t="s">
        <v>306</v>
      </c>
      <c r="B168" s="5" t="s">
        <v>69</v>
      </c>
      <c r="C168" s="17" t="s">
        <v>563</v>
      </c>
      <c r="D168" s="7">
        <f t="shared" si="0"/>
        <v>3.8</v>
      </c>
      <c r="E168" s="8">
        <v>0</v>
      </c>
      <c r="F168" s="5">
        <v>0</v>
      </c>
      <c r="G168" s="5">
        <v>0</v>
      </c>
      <c r="H168" s="5">
        <v>0</v>
      </c>
      <c r="I168" s="5">
        <v>0</v>
      </c>
      <c r="J168" s="9">
        <v>0</v>
      </c>
      <c r="K168" s="8">
        <v>0</v>
      </c>
      <c r="L168" s="5">
        <v>0</v>
      </c>
      <c r="M168" s="5">
        <v>0</v>
      </c>
      <c r="N168" s="9">
        <v>0</v>
      </c>
      <c r="O168" s="8">
        <v>2</v>
      </c>
      <c r="P168" s="5">
        <v>18</v>
      </c>
      <c r="Q168" s="5">
        <v>0</v>
      </c>
      <c r="R168" s="9">
        <v>0</v>
      </c>
      <c r="S168" s="8">
        <v>0</v>
      </c>
      <c r="T168" s="5">
        <v>0</v>
      </c>
    </row>
    <row r="169" spans="1:20" x14ac:dyDescent="0.2">
      <c r="A169" s="5" t="s">
        <v>435</v>
      </c>
      <c r="B169" s="5" t="s">
        <v>162</v>
      </c>
      <c r="C169" s="17" t="s">
        <v>566</v>
      </c>
      <c r="D169" s="7">
        <f t="shared" si="0"/>
        <v>3.7</v>
      </c>
      <c r="E169" s="8">
        <v>0</v>
      </c>
      <c r="F169" s="5">
        <v>0</v>
      </c>
      <c r="G169" s="5">
        <v>0</v>
      </c>
      <c r="H169" s="5">
        <v>0</v>
      </c>
      <c r="I169" s="5">
        <v>0</v>
      </c>
      <c r="J169" s="9">
        <v>0</v>
      </c>
      <c r="K169" s="8">
        <v>0</v>
      </c>
      <c r="L169" s="5">
        <v>0</v>
      </c>
      <c r="M169" s="5">
        <v>0</v>
      </c>
      <c r="N169" s="9">
        <v>0</v>
      </c>
      <c r="O169" s="8">
        <v>2</v>
      </c>
      <c r="P169" s="5">
        <v>17</v>
      </c>
      <c r="Q169" s="5">
        <v>0</v>
      </c>
      <c r="R169" s="9">
        <v>0</v>
      </c>
      <c r="S169" s="8">
        <v>0</v>
      </c>
      <c r="T169" s="5">
        <v>0</v>
      </c>
    </row>
    <row r="170" spans="1:20" x14ac:dyDescent="0.2">
      <c r="A170" s="5" t="s">
        <v>379</v>
      </c>
      <c r="B170" s="5" t="s">
        <v>75</v>
      </c>
      <c r="C170" s="17" t="s">
        <v>562</v>
      </c>
      <c r="D170" s="7">
        <f t="shared" si="0"/>
        <v>3.5</v>
      </c>
      <c r="E170" s="8">
        <v>0</v>
      </c>
      <c r="F170" s="5">
        <v>0</v>
      </c>
      <c r="G170" s="5">
        <v>0</v>
      </c>
      <c r="H170" s="5">
        <v>0</v>
      </c>
      <c r="I170" s="5">
        <v>0</v>
      </c>
      <c r="J170" s="9">
        <v>0</v>
      </c>
      <c r="K170" s="8">
        <v>3</v>
      </c>
      <c r="L170" s="5">
        <v>16</v>
      </c>
      <c r="M170" s="5">
        <v>0</v>
      </c>
      <c r="N170" s="9">
        <v>0</v>
      </c>
      <c r="O170" s="8">
        <v>1</v>
      </c>
      <c r="P170" s="5">
        <v>9</v>
      </c>
      <c r="Q170" s="5">
        <v>0</v>
      </c>
      <c r="R170" s="9">
        <v>0</v>
      </c>
      <c r="S170" s="8">
        <v>0</v>
      </c>
      <c r="T170" s="5">
        <v>0</v>
      </c>
    </row>
    <row r="171" spans="1:20" x14ac:dyDescent="0.2">
      <c r="A171" s="5" t="s">
        <v>270</v>
      </c>
      <c r="B171" s="5" t="s">
        <v>162</v>
      </c>
      <c r="C171" s="10" t="s">
        <v>561</v>
      </c>
      <c r="D171" s="7">
        <f t="shared" si="0"/>
        <v>3.5</v>
      </c>
      <c r="E171" s="8">
        <v>0</v>
      </c>
      <c r="F171" s="5">
        <v>0</v>
      </c>
      <c r="G171" s="5">
        <v>0</v>
      </c>
      <c r="H171" s="5">
        <v>0</v>
      </c>
      <c r="I171" s="5">
        <v>0</v>
      </c>
      <c r="J171" s="9">
        <v>0</v>
      </c>
      <c r="K171" s="8">
        <v>0</v>
      </c>
      <c r="L171" s="5">
        <v>0</v>
      </c>
      <c r="M171" s="5">
        <v>0</v>
      </c>
      <c r="N171" s="9">
        <v>0</v>
      </c>
      <c r="O171" s="8">
        <v>2</v>
      </c>
      <c r="P171" s="5">
        <v>15</v>
      </c>
      <c r="Q171" s="5">
        <v>0</v>
      </c>
      <c r="R171" s="9">
        <v>0</v>
      </c>
      <c r="S171" s="8">
        <v>0</v>
      </c>
      <c r="T171" s="5">
        <v>0</v>
      </c>
    </row>
    <row r="172" spans="1:20" x14ac:dyDescent="0.2">
      <c r="A172" s="5" t="s">
        <v>347</v>
      </c>
      <c r="B172" s="5" t="s">
        <v>69</v>
      </c>
      <c r="C172" s="10" t="s">
        <v>573</v>
      </c>
      <c r="D172" s="7">
        <f t="shared" si="0"/>
        <v>3.5</v>
      </c>
      <c r="E172" s="8">
        <v>0</v>
      </c>
      <c r="F172" s="5">
        <v>0</v>
      </c>
      <c r="G172" s="5">
        <v>0</v>
      </c>
      <c r="H172" s="5">
        <v>0</v>
      </c>
      <c r="I172" s="5">
        <v>0</v>
      </c>
      <c r="J172" s="9">
        <v>0</v>
      </c>
      <c r="K172" s="8">
        <v>0</v>
      </c>
      <c r="L172" s="5">
        <v>0</v>
      </c>
      <c r="M172" s="5">
        <v>0</v>
      </c>
      <c r="N172" s="9">
        <v>0</v>
      </c>
      <c r="O172" s="8">
        <v>1</v>
      </c>
      <c r="P172" s="5">
        <v>25</v>
      </c>
      <c r="Q172" s="5">
        <v>0</v>
      </c>
      <c r="R172" s="9">
        <v>0</v>
      </c>
      <c r="S172" s="8">
        <v>0</v>
      </c>
      <c r="T172" s="5">
        <v>0</v>
      </c>
    </row>
    <row r="173" spans="1:20" x14ac:dyDescent="0.2">
      <c r="A173" s="5" t="s">
        <v>258</v>
      </c>
      <c r="B173" s="5" t="s">
        <v>162</v>
      </c>
      <c r="C173" s="17" t="s">
        <v>561</v>
      </c>
      <c r="D173" s="7">
        <f t="shared" si="0"/>
        <v>3.4000000000000004</v>
      </c>
      <c r="E173" s="8">
        <v>0</v>
      </c>
      <c r="F173" s="5">
        <v>0</v>
      </c>
      <c r="G173" s="5">
        <v>0</v>
      </c>
      <c r="H173" s="5">
        <v>0</v>
      </c>
      <c r="I173" s="5">
        <v>0</v>
      </c>
      <c r="J173" s="9">
        <v>0</v>
      </c>
      <c r="K173" s="8">
        <v>3</v>
      </c>
      <c r="L173" s="5">
        <v>14</v>
      </c>
      <c r="M173" s="5">
        <v>0</v>
      </c>
      <c r="N173" s="9">
        <v>0</v>
      </c>
      <c r="O173" s="8">
        <v>1</v>
      </c>
      <c r="P173" s="5">
        <v>10</v>
      </c>
      <c r="Q173" s="5">
        <v>0</v>
      </c>
      <c r="R173" s="9">
        <v>0</v>
      </c>
      <c r="S173" s="8">
        <v>0</v>
      </c>
      <c r="T173" s="5">
        <v>0</v>
      </c>
    </row>
    <row r="174" spans="1:20" x14ac:dyDescent="0.2">
      <c r="A174" s="5" t="s">
        <v>367</v>
      </c>
      <c r="B174" s="5" t="s">
        <v>162</v>
      </c>
      <c r="C174" s="17" t="s">
        <v>563</v>
      </c>
      <c r="D174" s="7">
        <f t="shared" si="0"/>
        <v>3.4000000000000004</v>
      </c>
      <c r="E174" s="8">
        <v>0</v>
      </c>
      <c r="F174" s="5">
        <v>0</v>
      </c>
      <c r="G174" s="5">
        <v>0</v>
      </c>
      <c r="H174" s="5">
        <v>0</v>
      </c>
      <c r="I174" s="5">
        <v>0</v>
      </c>
      <c r="J174" s="9">
        <v>0</v>
      </c>
      <c r="K174" s="8">
        <v>0</v>
      </c>
      <c r="L174" s="5">
        <v>0</v>
      </c>
      <c r="M174" s="5">
        <v>0</v>
      </c>
      <c r="N174" s="9">
        <v>0</v>
      </c>
      <c r="O174" s="8">
        <v>2</v>
      </c>
      <c r="P174" s="5">
        <v>14</v>
      </c>
      <c r="Q174" s="5">
        <v>0</v>
      </c>
      <c r="R174" s="9">
        <v>0</v>
      </c>
      <c r="S174" s="8">
        <v>0</v>
      </c>
      <c r="T174" s="5">
        <v>0</v>
      </c>
    </row>
    <row r="175" spans="1:20" x14ac:dyDescent="0.2">
      <c r="A175" s="5" t="s">
        <v>344</v>
      </c>
      <c r="B175" s="5" t="s">
        <v>162</v>
      </c>
      <c r="C175" s="17" t="s">
        <v>572</v>
      </c>
      <c r="D175" s="7">
        <f t="shared" si="0"/>
        <v>3.3600000000000003</v>
      </c>
      <c r="E175" s="8">
        <v>1</v>
      </c>
      <c r="F175" s="5">
        <v>1</v>
      </c>
      <c r="G175" s="5">
        <v>14</v>
      </c>
      <c r="H175" s="5">
        <v>0</v>
      </c>
      <c r="I175" s="5">
        <v>0</v>
      </c>
      <c r="J175" s="9">
        <v>0</v>
      </c>
      <c r="K175" s="8">
        <v>1</v>
      </c>
      <c r="L175" s="5">
        <v>1</v>
      </c>
      <c r="M175" s="5">
        <v>0</v>
      </c>
      <c r="N175" s="9">
        <v>0</v>
      </c>
      <c r="O175" s="8">
        <v>1</v>
      </c>
      <c r="P175" s="5">
        <v>17</v>
      </c>
      <c r="Q175" s="5">
        <v>0</v>
      </c>
      <c r="R175" s="9">
        <v>0</v>
      </c>
      <c r="S175" s="8">
        <v>0</v>
      </c>
      <c r="T175" s="5">
        <v>0</v>
      </c>
    </row>
    <row r="176" spans="1:20" x14ac:dyDescent="0.2">
      <c r="A176" s="5" t="s">
        <v>454</v>
      </c>
      <c r="B176" s="5" t="s">
        <v>162</v>
      </c>
      <c r="C176" s="17" t="s">
        <v>567</v>
      </c>
      <c r="D176" s="7">
        <f t="shared" si="0"/>
        <v>3.3000000000000003</v>
      </c>
      <c r="E176" s="8">
        <v>0</v>
      </c>
      <c r="F176" s="5">
        <v>0</v>
      </c>
      <c r="G176" s="5">
        <v>0</v>
      </c>
      <c r="H176" s="5">
        <v>0</v>
      </c>
      <c r="I176" s="5">
        <v>0</v>
      </c>
      <c r="J176" s="9">
        <v>0</v>
      </c>
      <c r="K176" s="8">
        <v>1</v>
      </c>
      <c r="L176" s="5">
        <v>17</v>
      </c>
      <c r="M176" s="5">
        <v>0</v>
      </c>
      <c r="N176" s="9">
        <v>0</v>
      </c>
      <c r="O176" s="8">
        <v>1</v>
      </c>
      <c r="P176" s="5">
        <v>6</v>
      </c>
      <c r="Q176" s="5">
        <v>0</v>
      </c>
      <c r="R176" s="9">
        <v>0</v>
      </c>
      <c r="S176" s="8">
        <v>0</v>
      </c>
      <c r="T176" s="5">
        <v>0</v>
      </c>
    </row>
    <row r="177" spans="1:20" x14ac:dyDescent="0.2">
      <c r="A177" s="5" t="s">
        <v>252</v>
      </c>
      <c r="B177" s="5" t="s">
        <v>162</v>
      </c>
      <c r="C177" s="10" t="s">
        <v>570</v>
      </c>
      <c r="D177" s="7">
        <f t="shared" si="0"/>
        <v>3.3</v>
      </c>
      <c r="E177" s="8">
        <v>0</v>
      </c>
      <c r="F177" s="5">
        <v>0</v>
      </c>
      <c r="G177" s="5">
        <v>0</v>
      </c>
      <c r="H177" s="5">
        <v>0</v>
      </c>
      <c r="I177" s="5">
        <v>0</v>
      </c>
      <c r="J177" s="9">
        <v>0</v>
      </c>
      <c r="K177" s="8">
        <v>0</v>
      </c>
      <c r="L177" s="5">
        <v>0</v>
      </c>
      <c r="M177" s="5">
        <v>0</v>
      </c>
      <c r="N177" s="9">
        <v>0</v>
      </c>
      <c r="O177" s="8">
        <v>2</v>
      </c>
      <c r="P177" s="5">
        <v>13</v>
      </c>
      <c r="Q177" s="5">
        <v>0</v>
      </c>
      <c r="R177" s="9">
        <v>0</v>
      </c>
      <c r="S177" s="8">
        <v>0</v>
      </c>
      <c r="T177" s="5">
        <v>0</v>
      </c>
    </row>
    <row r="178" spans="1:20" x14ac:dyDescent="0.2">
      <c r="A178" s="5" t="s">
        <v>389</v>
      </c>
      <c r="B178" s="5" t="s">
        <v>69</v>
      </c>
      <c r="C178" s="17" t="s">
        <v>563</v>
      </c>
      <c r="D178" s="7">
        <f t="shared" si="0"/>
        <v>3.3</v>
      </c>
      <c r="E178" s="8">
        <v>0</v>
      </c>
      <c r="F178" s="5">
        <v>0</v>
      </c>
      <c r="G178" s="5">
        <v>0</v>
      </c>
      <c r="H178" s="5">
        <v>0</v>
      </c>
      <c r="I178" s="5">
        <v>0</v>
      </c>
      <c r="J178" s="9">
        <v>0</v>
      </c>
      <c r="K178" s="8">
        <v>0</v>
      </c>
      <c r="L178" s="5">
        <v>0</v>
      </c>
      <c r="M178" s="5">
        <v>0</v>
      </c>
      <c r="N178" s="9">
        <v>0</v>
      </c>
      <c r="O178" s="8">
        <v>2</v>
      </c>
      <c r="P178" s="5">
        <v>13</v>
      </c>
      <c r="Q178" s="5">
        <v>0</v>
      </c>
      <c r="R178" s="9">
        <v>0</v>
      </c>
      <c r="S178" s="8">
        <v>0</v>
      </c>
      <c r="T178" s="5">
        <v>0</v>
      </c>
    </row>
    <row r="179" spans="1:20" x14ac:dyDescent="0.2">
      <c r="A179" s="5" t="s">
        <v>427</v>
      </c>
      <c r="B179" s="5" t="s">
        <v>162</v>
      </c>
      <c r="C179" s="10" t="s">
        <v>570</v>
      </c>
      <c r="D179" s="7">
        <f t="shared" si="0"/>
        <v>3.2</v>
      </c>
      <c r="E179" s="8">
        <v>0</v>
      </c>
      <c r="F179" s="5">
        <v>0</v>
      </c>
      <c r="G179" s="5">
        <v>0</v>
      </c>
      <c r="H179" s="5">
        <v>0</v>
      </c>
      <c r="I179" s="5">
        <v>0</v>
      </c>
      <c r="J179" s="9">
        <v>0</v>
      </c>
      <c r="K179" s="8">
        <v>0</v>
      </c>
      <c r="L179" s="5">
        <v>0</v>
      </c>
      <c r="M179" s="5">
        <v>0</v>
      </c>
      <c r="N179" s="9">
        <v>0</v>
      </c>
      <c r="O179" s="8">
        <v>1</v>
      </c>
      <c r="P179" s="5">
        <v>22</v>
      </c>
      <c r="Q179" s="5">
        <v>0</v>
      </c>
      <c r="R179" s="9">
        <v>0</v>
      </c>
      <c r="S179" s="8">
        <v>0</v>
      </c>
      <c r="T179" s="5">
        <v>0</v>
      </c>
    </row>
    <row r="180" spans="1:20" x14ac:dyDescent="0.2">
      <c r="A180" s="5" t="s">
        <v>236</v>
      </c>
      <c r="B180" s="5" t="s">
        <v>162</v>
      </c>
      <c r="C180" s="10" t="s">
        <v>570</v>
      </c>
      <c r="D180" s="7">
        <f t="shared" si="0"/>
        <v>3.2</v>
      </c>
      <c r="E180" s="8">
        <v>0</v>
      </c>
      <c r="F180" s="5">
        <v>0</v>
      </c>
      <c r="G180" s="5">
        <v>0</v>
      </c>
      <c r="H180" s="5">
        <v>0</v>
      </c>
      <c r="I180" s="5">
        <v>0</v>
      </c>
      <c r="J180" s="9">
        <v>0</v>
      </c>
      <c r="K180" s="8">
        <v>0</v>
      </c>
      <c r="L180" s="5">
        <v>0</v>
      </c>
      <c r="M180" s="5">
        <v>0</v>
      </c>
      <c r="N180" s="9">
        <v>0</v>
      </c>
      <c r="O180" s="8">
        <v>1</v>
      </c>
      <c r="P180" s="5">
        <v>22</v>
      </c>
      <c r="Q180" s="5">
        <v>0</v>
      </c>
      <c r="R180" s="9">
        <v>0</v>
      </c>
      <c r="S180" s="8">
        <v>0</v>
      </c>
      <c r="T180" s="5">
        <v>0</v>
      </c>
    </row>
    <row r="181" spans="1:20" x14ac:dyDescent="0.2">
      <c r="A181" s="5" t="s">
        <v>158</v>
      </c>
      <c r="B181" s="5" t="s">
        <v>75</v>
      </c>
      <c r="C181" s="17" t="s">
        <v>570</v>
      </c>
      <c r="D181" s="7">
        <f t="shared" si="0"/>
        <v>3.1</v>
      </c>
      <c r="E181" s="8">
        <v>0</v>
      </c>
      <c r="F181" s="5">
        <v>0</v>
      </c>
      <c r="G181" s="5">
        <v>0</v>
      </c>
      <c r="H181" s="5">
        <v>0</v>
      </c>
      <c r="I181" s="5">
        <v>0</v>
      </c>
      <c r="J181" s="9">
        <v>0</v>
      </c>
      <c r="K181" s="8">
        <v>7</v>
      </c>
      <c r="L181" s="5">
        <v>31</v>
      </c>
      <c r="M181" s="5">
        <v>0</v>
      </c>
      <c r="N181" s="9">
        <v>0</v>
      </c>
      <c r="O181" s="8">
        <v>0</v>
      </c>
      <c r="P181" s="5">
        <v>0</v>
      </c>
      <c r="Q181" s="5">
        <v>0</v>
      </c>
      <c r="R181" s="9">
        <v>0</v>
      </c>
      <c r="S181" s="8">
        <v>0</v>
      </c>
      <c r="T181" s="5">
        <v>0</v>
      </c>
    </row>
    <row r="182" spans="1:20" x14ac:dyDescent="0.2">
      <c r="A182" s="5" t="s">
        <v>253</v>
      </c>
      <c r="B182" s="5" t="s">
        <v>162</v>
      </c>
      <c r="C182" s="17" t="s">
        <v>561</v>
      </c>
      <c r="D182" s="7">
        <f t="shared" si="0"/>
        <v>3</v>
      </c>
      <c r="E182" s="8">
        <v>0</v>
      </c>
      <c r="F182" s="5">
        <v>0</v>
      </c>
      <c r="G182" s="5">
        <v>0</v>
      </c>
      <c r="H182" s="5">
        <v>0</v>
      </c>
      <c r="I182" s="5">
        <v>0</v>
      </c>
      <c r="J182" s="9">
        <v>0</v>
      </c>
      <c r="K182" s="8">
        <v>0</v>
      </c>
      <c r="L182" s="5">
        <v>0</v>
      </c>
      <c r="M182" s="5">
        <v>0</v>
      </c>
      <c r="N182" s="9">
        <v>0</v>
      </c>
      <c r="O182" s="8">
        <v>1</v>
      </c>
      <c r="P182" s="5">
        <v>20</v>
      </c>
      <c r="Q182" s="5">
        <v>0</v>
      </c>
      <c r="R182" s="9">
        <v>0</v>
      </c>
      <c r="S182" s="8">
        <v>0</v>
      </c>
      <c r="T182" s="5">
        <v>0</v>
      </c>
    </row>
    <row r="183" spans="1:20" x14ac:dyDescent="0.2">
      <c r="A183" s="5" t="s">
        <v>439</v>
      </c>
      <c r="B183" s="5" t="s">
        <v>162</v>
      </c>
      <c r="C183" s="17" t="s">
        <v>571</v>
      </c>
      <c r="D183" s="7">
        <f t="shared" si="0"/>
        <v>2.9000000000000004</v>
      </c>
      <c r="E183" s="8">
        <v>0</v>
      </c>
      <c r="F183" s="5">
        <v>0</v>
      </c>
      <c r="G183" s="5">
        <v>0</v>
      </c>
      <c r="H183" s="5">
        <v>0</v>
      </c>
      <c r="I183" s="5">
        <v>0</v>
      </c>
      <c r="J183" s="9">
        <v>0</v>
      </c>
      <c r="K183" s="8">
        <v>0</v>
      </c>
      <c r="L183" s="5">
        <v>0</v>
      </c>
      <c r="M183" s="5">
        <v>0</v>
      </c>
      <c r="N183" s="9">
        <v>0</v>
      </c>
      <c r="O183" s="8">
        <v>1</v>
      </c>
      <c r="P183" s="5">
        <v>19</v>
      </c>
      <c r="Q183" s="5">
        <v>0</v>
      </c>
      <c r="R183" s="9">
        <v>0</v>
      </c>
      <c r="S183" s="8">
        <v>0</v>
      </c>
      <c r="T183" s="5">
        <v>0</v>
      </c>
    </row>
    <row r="184" spans="1:20" x14ac:dyDescent="0.2">
      <c r="A184" s="5" t="s">
        <v>384</v>
      </c>
      <c r="B184" s="5" t="s">
        <v>162</v>
      </c>
      <c r="C184" s="17" t="s">
        <v>570</v>
      </c>
      <c r="D184" s="7">
        <f t="shared" si="0"/>
        <v>2.6</v>
      </c>
      <c r="E184" s="8">
        <v>0</v>
      </c>
      <c r="F184" s="5">
        <v>0</v>
      </c>
      <c r="G184" s="5">
        <v>0</v>
      </c>
      <c r="H184" s="5">
        <v>0</v>
      </c>
      <c r="I184" s="5">
        <v>0</v>
      </c>
      <c r="J184" s="9">
        <v>0</v>
      </c>
      <c r="K184" s="8">
        <v>0</v>
      </c>
      <c r="L184" s="5">
        <v>0</v>
      </c>
      <c r="M184" s="5">
        <v>0</v>
      </c>
      <c r="N184" s="9">
        <v>0</v>
      </c>
      <c r="O184" s="8">
        <v>1</v>
      </c>
      <c r="P184" s="5">
        <v>16</v>
      </c>
      <c r="Q184" s="5">
        <v>0</v>
      </c>
      <c r="R184" s="9">
        <v>0</v>
      </c>
      <c r="S184" s="8">
        <v>0</v>
      </c>
      <c r="T184" s="5">
        <v>0</v>
      </c>
    </row>
    <row r="185" spans="1:20" x14ac:dyDescent="0.2">
      <c r="A185" s="5" t="s">
        <v>494</v>
      </c>
      <c r="B185" s="5" t="s">
        <v>69</v>
      </c>
      <c r="C185" s="10" t="s">
        <v>563</v>
      </c>
      <c r="D185" s="7">
        <f t="shared" si="0"/>
        <v>2.6</v>
      </c>
      <c r="E185" s="8">
        <v>0</v>
      </c>
      <c r="F185" s="5">
        <v>0</v>
      </c>
      <c r="G185" s="5">
        <v>0</v>
      </c>
      <c r="H185" s="5">
        <v>0</v>
      </c>
      <c r="I185" s="5">
        <v>0</v>
      </c>
      <c r="J185" s="9">
        <v>0</v>
      </c>
      <c r="K185" s="8">
        <v>0</v>
      </c>
      <c r="L185" s="5">
        <v>0</v>
      </c>
      <c r="M185" s="5">
        <v>0</v>
      </c>
      <c r="N185" s="9">
        <v>0</v>
      </c>
      <c r="O185" s="8">
        <v>1</v>
      </c>
      <c r="P185" s="5">
        <v>16</v>
      </c>
      <c r="Q185" s="5">
        <v>0</v>
      </c>
      <c r="R185" s="9">
        <v>0</v>
      </c>
      <c r="S185" s="8">
        <v>0</v>
      </c>
      <c r="T185" s="5">
        <v>0</v>
      </c>
    </row>
    <row r="186" spans="1:20" x14ac:dyDescent="0.2">
      <c r="A186" s="5" t="s">
        <v>292</v>
      </c>
      <c r="B186" s="5" t="s">
        <v>69</v>
      </c>
      <c r="C186" s="10" t="s">
        <v>564</v>
      </c>
      <c r="D186" s="7">
        <f t="shared" si="0"/>
        <v>2.6</v>
      </c>
      <c r="E186" s="8">
        <v>0</v>
      </c>
      <c r="F186" s="5">
        <v>0</v>
      </c>
      <c r="G186" s="5">
        <v>0</v>
      </c>
      <c r="H186" s="5">
        <v>0</v>
      </c>
      <c r="I186" s="5">
        <v>0</v>
      </c>
      <c r="J186" s="9">
        <v>0</v>
      </c>
      <c r="K186" s="8">
        <v>0</v>
      </c>
      <c r="L186" s="5">
        <v>0</v>
      </c>
      <c r="M186" s="5">
        <v>0</v>
      </c>
      <c r="N186" s="9">
        <v>0</v>
      </c>
      <c r="O186" s="8">
        <v>2</v>
      </c>
      <c r="P186" s="5">
        <v>6</v>
      </c>
      <c r="Q186" s="5">
        <v>0</v>
      </c>
      <c r="R186" s="9">
        <v>0</v>
      </c>
      <c r="S186" s="8">
        <v>0</v>
      </c>
      <c r="T186" s="5">
        <v>0</v>
      </c>
    </row>
    <row r="187" spans="1:20" x14ac:dyDescent="0.2">
      <c r="A187" s="5" t="s">
        <v>356</v>
      </c>
      <c r="B187" s="5" t="s">
        <v>75</v>
      </c>
      <c r="C187" s="17" t="s">
        <v>567</v>
      </c>
      <c r="D187" s="7">
        <f t="shared" si="0"/>
        <v>2.5</v>
      </c>
      <c r="E187" s="8">
        <v>0</v>
      </c>
      <c r="F187" s="5">
        <v>0</v>
      </c>
      <c r="G187" s="5">
        <v>0</v>
      </c>
      <c r="H187" s="5">
        <v>0</v>
      </c>
      <c r="I187" s="5">
        <v>0</v>
      </c>
      <c r="J187" s="9">
        <v>0</v>
      </c>
      <c r="K187" s="8">
        <v>8</v>
      </c>
      <c r="L187" s="5">
        <v>25</v>
      </c>
      <c r="M187" s="5">
        <v>0</v>
      </c>
      <c r="N187" s="9">
        <v>0</v>
      </c>
      <c r="O187" s="8">
        <v>0</v>
      </c>
      <c r="P187" s="5">
        <v>0</v>
      </c>
      <c r="Q187" s="5">
        <v>0</v>
      </c>
      <c r="R187" s="9">
        <v>0</v>
      </c>
      <c r="S187" s="8">
        <v>0</v>
      </c>
      <c r="T187" s="5">
        <v>0</v>
      </c>
    </row>
    <row r="188" spans="1:20" x14ac:dyDescent="0.2">
      <c r="A188" s="5" t="s">
        <v>247</v>
      </c>
      <c r="B188" s="5" t="s">
        <v>162</v>
      </c>
      <c r="C188" s="10" t="s">
        <v>571</v>
      </c>
      <c r="D188" s="7">
        <f t="shared" si="0"/>
        <v>2.4000000000000004</v>
      </c>
      <c r="E188" s="8">
        <v>0</v>
      </c>
      <c r="F188" s="5">
        <v>0</v>
      </c>
      <c r="G188" s="5">
        <v>0</v>
      </c>
      <c r="H188" s="5">
        <v>0</v>
      </c>
      <c r="I188" s="5">
        <v>0</v>
      </c>
      <c r="J188" s="9">
        <v>0</v>
      </c>
      <c r="K188" s="8">
        <v>0</v>
      </c>
      <c r="L188" s="5">
        <v>0</v>
      </c>
      <c r="M188" s="5">
        <v>0</v>
      </c>
      <c r="N188" s="9">
        <v>0</v>
      </c>
      <c r="O188" s="8">
        <v>3</v>
      </c>
      <c r="P188" s="5">
        <v>14</v>
      </c>
      <c r="Q188" s="5">
        <v>0</v>
      </c>
      <c r="R188" s="9">
        <v>0</v>
      </c>
      <c r="S188" s="8">
        <v>1</v>
      </c>
      <c r="T188" s="5">
        <v>0</v>
      </c>
    </row>
    <row r="189" spans="1:20" x14ac:dyDescent="0.2">
      <c r="A189" s="5" t="s">
        <v>267</v>
      </c>
      <c r="B189" s="5" t="s">
        <v>162</v>
      </c>
      <c r="C189" s="10" t="s">
        <v>561</v>
      </c>
      <c r="D189" s="7">
        <f t="shared" si="0"/>
        <v>2.2999999999999998</v>
      </c>
      <c r="E189" s="8">
        <v>0</v>
      </c>
      <c r="F189" s="5">
        <v>0</v>
      </c>
      <c r="G189" s="5">
        <v>0</v>
      </c>
      <c r="H189" s="5">
        <v>0</v>
      </c>
      <c r="I189" s="5">
        <v>0</v>
      </c>
      <c r="J189" s="9">
        <v>0</v>
      </c>
      <c r="K189" s="8">
        <v>0</v>
      </c>
      <c r="L189" s="5">
        <v>0</v>
      </c>
      <c r="M189" s="5">
        <v>0</v>
      </c>
      <c r="N189" s="9">
        <v>0</v>
      </c>
      <c r="O189" s="8">
        <v>1</v>
      </c>
      <c r="P189" s="5">
        <v>13</v>
      </c>
      <c r="Q189" s="5">
        <v>0</v>
      </c>
      <c r="R189" s="9">
        <v>0</v>
      </c>
      <c r="S189" s="8">
        <v>0</v>
      </c>
      <c r="T189" s="5">
        <v>0</v>
      </c>
    </row>
    <row r="190" spans="1:20" x14ac:dyDescent="0.2">
      <c r="A190" s="5" t="s">
        <v>132</v>
      </c>
      <c r="B190" s="5" t="s">
        <v>75</v>
      </c>
      <c r="C190" s="10" t="s">
        <v>564</v>
      </c>
      <c r="D190" s="7">
        <f t="shared" si="0"/>
        <v>2.2000000000000002</v>
      </c>
      <c r="E190" s="8">
        <v>0</v>
      </c>
      <c r="F190" s="5">
        <v>0</v>
      </c>
      <c r="G190" s="5">
        <v>0</v>
      </c>
      <c r="H190" s="5">
        <v>0</v>
      </c>
      <c r="I190" s="5">
        <v>0</v>
      </c>
      <c r="J190" s="9">
        <v>0</v>
      </c>
      <c r="K190" s="8">
        <v>0</v>
      </c>
      <c r="L190" s="5">
        <v>0</v>
      </c>
      <c r="M190" s="5">
        <v>0</v>
      </c>
      <c r="N190" s="9">
        <v>0</v>
      </c>
      <c r="O190" s="8">
        <v>1</v>
      </c>
      <c r="P190" s="5">
        <v>12</v>
      </c>
      <c r="Q190" s="5">
        <v>0</v>
      </c>
      <c r="R190" s="9">
        <v>0</v>
      </c>
      <c r="S190" s="8">
        <v>0</v>
      </c>
      <c r="T190" s="5">
        <v>0</v>
      </c>
    </row>
    <row r="191" spans="1:20" x14ac:dyDescent="0.2">
      <c r="A191" s="5" t="s">
        <v>576</v>
      </c>
      <c r="B191" s="5" t="s">
        <v>69</v>
      </c>
      <c r="C191" s="17" t="s">
        <v>564</v>
      </c>
      <c r="D191" s="7">
        <f t="shared" si="0"/>
        <v>2.2000000000000002</v>
      </c>
      <c r="E191" s="8">
        <v>0</v>
      </c>
      <c r="F191" s="5">
        <v>0</v>
      </c>
      <c r="G191" s="5">
        <v>0</v>
      </c>
      <c r="H191" s="5">
        <v>0</v>
      </c>
      <c r="I191" s="5">
        <v>0</v>
      </c>
      <c r="J191" s="9">
        <v>0</v>
      </c>
      <c r="K191" s="8">
        <v>0</v>
      </c>
      <c r="L191" s="5">
        <v>0</v>
      </c>
      <c r="M191" s="5">
        <v>0</v>
      </c>
      <c r="N191" s="9">
        <v>0</v>
      </c>
      <c r="O191" s="8">
        <v>1</v>
      </c>
      <c r="P191" s="5">
        <v>12</v>
      </c>
      <c r="Q191" s="5">
        <v>0</v>
      </c>
      <c r="R191" s="9">
        <v>0</v>
      </c>
      <c r="S191" s="8">
        <v>0</v>
      </c>
      <c r="T191" s="5">
        <v>0</v>
      </c>
    </row>
    <row r="192" spans="1:20" x14ac:dyDescent="0.2">
      <c r="A192" s="5" t="s">
        <v>577</v>
      </c>
      <c r="B192" s="5" t="s">
        <v>162</v>
      </c>
      <c r="C192" s="10" t="s">
        <v>568</v>
      </c>
      <c r="D192" s="7">
        <f t="shared" si="0"/>
        <v>2.1</v>
      </c>
      <c r="E192" s="8">
        <v>0</v>
      </c>
      <c r="F192" s="5">
        <v>0</v>
      </c>
      <c r="G192" s="5">
        <v>0</v>
      </c>
      <c r="H192" s="5">
        <v>0</v>
      </c>
      <c r="I192" s="5">
        <v>0</v>
      </c>
      <c r="J192" s="9">
        <v>0</v>
      </c>
      <c r="K192" s="8">
        <v>0</v>
      </c>
      <c r="L192" s="5">
        <v>0</v>
      </c>
      <c r="M192" s="5">
        <v>0</v>
      </c>
      <c r="N192" s="9">
        <v>0</v>
      </c>
      <c r="O192" s="8">
        <v>1</v>
      </c>
      <c r="P192" s="5">
        <v>11</v>
      </c>
      <c r="Q192" s="5">
        <v>0</v>
      </c>
      <c r="R192" s="9">
        <v>0</v>
      </c>
      <c r="S192" s="8">
        <v>0</v>
      </c>
      <c r="T192" s="5">
        <v>0</v>
      </c>
    </row>
    <row r="193" spans="1:20" x14ac:dyDescent="0.2">
      <c r="A193" s="5" t="s">
        <v>240</v>
      </c>
      <c r="B193" s="5" t="s">
        <v>162</v>
      </c>
      <c r="C193" s="17" t="s">
        <v>568</v>
      </c>
      <c r="D193" s="7">
        <f t="shared" si="0"/>
        <v>2</v>
      </c>
      <c r="E193" s="8">
        <v>0</v>
      </c>
      <c r="F193" s="5">
        <v>0</v>
      </c>
      <c r="G193" s="5">
        <v>0</v>
      </c>
      <c r="H193" s="5">
        <v>0</v>
      </c>
      <c r="I193" s="5">
        <v>0</v>
      </c>
      <c r="J193" s="9">
        <v>0</v>
      </c>
      <c r="K193" s="8">
        <v>0</v>
      </c>
      <c r="L193" s="5">
        <v>0</v>
      </c>
      <c r="M193" s="5">
        <v>0</v>
      </c>
      <c r="N193" s="9">
        <v>0</v>
      </c>
      <c r="O193" s="8">
        <v>1</v>
      </c>
      <c r="P193" s="5">
        <v>10</v>
      </c>
      <c r="Q193" s="5">
        <v>0</v>
      </c>
      <c r="R193" s="9">
        <v>0</v>
      </c>
      <c r="S193" s="8">
        <v>0</v>
      </c>
      <c r="T193" s="5">
        <v>0</v>
      </c>
    </row>
    <row r="194" spans="1:20" x14ac:dyDescent="0.2">
      <c r="A194" s="5" t="s">
        <v>142</v>
      </c>
      <c r="B194" s="5" t="s">
        <v>75</v>
      </c>
      <c r="C194" s="10" t="s">
        <v>570</v>
      </c>
      <c r="D194" s="7">
        <f t="shared" si="0"/>
        <v>1.9</v>
      </c>
      <c r="E194" s="8">
        <v>0</v>
      </c>
      <c r="F194" s="5">
        <v>0</v>
      </c>
      <c r="G194" s="5">
        <v>0</v>
      </c>
      <c r="H194" s="5">
        <v>0</v>
      </c>
      <c r="I194" s="5">
        <v>0</v>
      </c>
      <c r="J194" s="9">
        <v>0</v>
      </c>
      <c r="K194" s="8">
        <v>3</v>
      </c>
      <c r="L194" s="5">
        <v>4</v>
      </c>
      <c r="M194" s="5">
        <v>0</v>
      </c>
      <c r="N194" s="9">
        <v>0</v>
      </c>
      <c r="O194" s="8">
        <v>1</v>
      </c>
      <c r="P194" s="5">
        <v>5</v>
      </c>
      <c r="Q194" s="5">
        <v>0</v>
      </c>
      <c r="R194" s="9">
        <v>0</v>
      </c>
      <c r="S194" s="8">
        <v>0</v>
      </c>
      <c r="T194" s="5">
        <v>0</v>
      </c>
    </row>
    <row r="195" spans="1:20" x14ac:dyDescent="0.2">
      <c r="A195" s="5" t="s">
        <v>578</v>
      </c>
      <c r="B195" s="5" t="s">
        <v>75</v>
      </c>
      <c r="C195" s="10" t="s">
        <v>562</v>
      </c>
      <c r="D195" s="7">
        <f t="shared" si="0"/>
        <v>1.9</v>
      </c>
      <c r="E195" s="8">
        <v>0</v>
      </c>
      <c r="F195" s="5">
        <v>0</v>
      </c>
      <c r="G195" s="5">
        <v>0</v>
      </c>
      <c r="H195" s="5">
        <v>0</v>
      </c>
      <c r="I195" s="5">
        <v>0</v>
      </c>
      <c r="J195" s="9">
        <v>0</v>
      </c>
      <c r="K195" s="8">
        <v>0</v>
      </c>
      <c r="L195" s="5">
        <v>0</v>
      </c>
      <c r="M195" s="5">
        <v>0</v>
      </c>
      <c r="N195" s="9">
        <v>0</v>
      </c>
      <c r="O195" s="8">
        <v>1</v>
      </c>
      <c r="P195" s="5">
        <v>9</v>
      </c>
      <c r="Q195" s="5">
        <v>0</v>
      </c>
      <c r="R195" s="9">
        <v>0</v>
      </c>
      <c r="S195" s="8">
        <v>0</v>
      </c>
      <c r="T195" s="5">
        <v>0</v>
      </c>
    </row>
    <row r="196" spans="1:20" x14ac:dyDescent="0.2">
      <c r="A196" s="5" t="s">
        <v>274</v>
      </c>
      <c r="B196" s="5" t="s">
        <v>69</v>
      </c>
      <c r="C196" s="17" t="s">
        <v>561</v>
      </c>
      <c r="D196" s="7">
        <f t="shared" si="0"/>
        <v>1.9</v>
      </c>
      <c r="E196" s="8">
        <v>0</v>
      </c>
      <c r="F196" s="5">
        <v>0</v>
      </c>
      <c r="G196" s="5">
        <v>0</v>
      </c>
      <c r="H196" s="5">
        <v>0</v>
      </c>
      <c r="I196" s="5">
        <v>0</v>
      </c>
      <c r="J196" s="9">
        <v>0</v>
      </c>
      <c r="K196" s="8">
        <v>0</v>
      </c>
      <c r="L196" s="5">
        <v>0</v>
      </c>
      <c r="M196" s="5">
        <v>0</v>
      </c>
      <c r="N196" s="9">
        <v>0</v>
      </c>
      <c r="O196" s="8">
        <v>1</v>
      </c>
      <c r="P196" s="5">
        <v>9</v>
      </c>
      <c r="Q196" s="5">
        <v>0</v>
      </c>
      <c r="R196" s="9">
        <v>0</v>
      </c>
      <c r="S196" s="8">
        <v>0</v>
      </c>
      <c r="T196" s="5">
        <v>0</v>
      </c>
    </row>
    <row r="197" spans="1:20" x14ac:dyDescent="0.2">
      <c r="A197" s="5" t="s">
        <v>345</v>
      </c>
      <c r="B197" s="5" t="s">
        <v>162</v>
      </c>
      <c r="C197" s="10" t="s">
        <v>568</v>
      </c>
      <c r="D197" s="7">
        <f t="shared" si="0"/>
        <v>1.8</v>
      </c>
      <c r="E197" s="8">
        <v>0</v>
      </c>
      <c r="F197" s="5">
        <v>0</v>
      </c>
      <c r="G197" s="5">
        <v>0</v>
      </c>
      <c r="H197" s="5">
        <v>0</v>
      </c>
      <c r="I197" s="5">
        <v>0</v>
      </c>
      <c r="J197" s="9">
        <v>0</v>
      </c>
      <c r="K197" s="8">
        <v>0</v>
      </c>
      <c r="L197" s="5">
        <v>0</v>
      </c>
      <c r="M197" s="5">
        <v>0</v>
      </c>
      <c r="N197" s="9">
        <v>0</v>
      </c>
      <c r="O197" s="8">
        <v>1</v>
      </c>
      <c r="P197" s="5">
        <v>8</v>
      </c>
      <c r="Q197" s="5">
        <v>0</v>
      </c>
      <c r="R197" s="9">
        <v>0</v>
      </c>
      <c r="S197" s="8">
        <v>0</v>
      </c>
      <c r="T197" s="5">
        <v>0</v>
      </c>
    </row>
    <row r="198" spans="1:20" x14ac:dyDescent="0.2">
      <c r="A198" s="5" t="s">
        <v>289</v>
      </c>
      <c r="B198" s="5" t="s">
        <v>69</v>
      </c>
      <c r="C198" s="10" t="s">
        <v>561</v>
      </c>
      <c r="D198" s="7">
        <f t="shared" si="0"/>
        <v>1.8</v>
      </c>
      <c r="E198" s="8">
        <v>0</v>
      </c>
      <c r="F198" s="5">
        <v>0</v>
      </c>
      <c r="G198" s="5">
        <v>0</v>
      </c>
      <c r="H198" s="5">
        <v>0</v>
      </c>
      <c r="I198" s="5">
        <v>0</v>
      </c>
      <c r="J198" s="9">
        <v>0</v>
      </c>
      <c r="K198" s="8">
        <v>0</v>
      </c>
      <c r="L198" s="5">
        <v>0</v>
      </c>
      <c r="M198" s="5">
        <v>0</v>
      </c>
      <c r="N198" s="9">
        <v>0</v>
      </c>
      <c r="O198" s="8">
        <v>1</v>
      </c>
      <c r="P198" s="5">
        <v>8</v>
      </c>
      <c r="Q198" s="5">
        <v>0</v>
      </c>
      <c r="R198" s="9">
        <v>0</v>
      </c>
      <c r="S198" s="8">
        <v>0</v>
      </c>
      <c r="T198" s="5">
        <v>0</v>
      </c>
    </row>
    <row r="199" spans="1:20" x14ac:dyDescent="0.2">
      <c r="A199" s="5" t="s">
        <v>516</v>
      </c>
      <c r="B199" s="5" t="s">
        <v>69</v>
      </c>
      <c r="C199" s="17" t="s">
        <v>573</v>
      </c>
      <c r="D199" s="7">
        <f t="shared" si="0"/>
        <v>1.8</v>
      </c>
      <c r="E199" s="8">
        <v>0</v>
      </c>
      <c r="F199" s="5">
        <v>0</v>
      </c>
      <c r="G199" s="5">
        <v>0</v>
      </c>
      <c r="H199" s="5">
        <v>0</v>
      </c>
      <c r="I199" s="5">
        <v>0</v>
      </c>
      <c r="J199" s="9">
        <v>0</v>
      </c>
      <c r="K199" s="8">
        <v>0</v>
      </c>
      <c r="L199" s="5">
        <v>0</v>
      </c>
      <c r="M199" s="5">
        <v>0</v>
      </c>
      <c r="N199" s="9">
        <v>0</v>
      </c>
      <c r="O199" s="8">
        <v>1</v>
      </c>
      <c r="P199" s="5">
        <v>8</v>
      </c>
      <c r="Q199" s="5">
        <v>0</v>
      </c>
      <c r="R199" s="9">
        <v>0</v>
      </c>
      <c r="S199" s="8">
        <v>0</v>
      </c>
      <c r="T199" s="5">
        <v>0</v>
      </c>
    </row>
    <row r="200" spans="1:20" x14ac:dyDescent="0.2">
      <c r="A200" s="5" t="s">
        <v>212</v>
      </c>
      <c r="B200" s="5" t="s">
        <v>162</v>
      </c>
      <c r="C200" s="17" t="s">
        <v>565</v>
      </c>
      <c r="D200" s="7">
        <f t="shared" si="0"/>
        <v>1.7000000000000002</v>
      </c>
      <c r="E200" s="8">
        <v>0</v>
      </c>
      <c r="F200" s="5">
        <v>0</v>
      </c>
      <c r="G200" s="5">
        <v>0</v>
      </c>
      <c r="H200" s="5">
        <v>0</v>
      </c>
      <c r="I200" s="5">
        <v>0</v>
      </c>
      <c r="J200" s="9">
        <v>0</v>
      </c>
      <c r="K200" s="8">
        <v>0</v>
      </c>
      <c r="L200" s="5">
        <v>0</v>
      </c>
      <c r="M200" s="5">
        <v>0</v>
      </c>
      <c r="N200" s="9">
        <v>0</v>
      </c>
      <c r="O200" s="8">
        <v>1</v>
      </c>
      <c r="P200" s="5">
        <v>7</v>
      </c>
      <c r="Q200" s="5">
        <v>0</v>
      </c>
      <c r="R200" s="9">
        <v>0</v>
      </c>
      <c r="S200" s="8">
        <v>0</v>
      </c>
      <c r="T200" s="5">
        <v>0</v>
      </c>
    </row>
    <row r="201" spans="1:20" x14ac:dyDescent="0.2">
      <c r="A201" s="5" t="s">
        <v>579</v>
      </c>
      <c r="B201" s="5" t="s">
        <v>162</v>
      </c>
      <c r="C201" s="10" t="s">
        <v>564</v>
      </c>
      <c r="D201" s="7">
        <f t="shared" si="0"/>
        <v>1.7000000000000002</v>
      </c>
      <c r="E201" s="8">
        <v>0</v>
      </c>
      <c r="F201" s="5">
        <v>0</v>
      </c>
      <c r="G201" s="5">
        <v>0</v>
      </c>
      <c r="H201" s="5">
        <v>0</v>
      </c>
      <c r="I201" s="5">
        <v>0</v>
      </c>
      <c r="J201" s="9">
        <v>0</v>
      </c>
      <c r="K201" s="8">
        <v>0</v>
      </c>
      <c r="L201" s="5">
        <v>0</v>
      </c>
      <c r="M201" s="5">
        <v>0</v>
      </c>
      <c r="N201" s="9">
        <v>0</v>
      </c>
      <c r="O201" s="8">
        <v>1</v>
      </c>
      <c r="P201" s="5">
        <v>7</v>
      </c>
      <c r="Q201" s="5">
        <v>0</v>
      </c>
      <c r="R201" s="9">
        <v>0</v>
      </c>
      <c r="S201" s="8">
        <v>0</v>
      </c>
      <c r="T201" s="5">
        <v>0</v>
      </c>
    </row>
    <row r="202" spans="1:20" x14ac:dyDescent="0.2">
      <c r="A202" s="5" t="s">
        <v>194</v>
      </c>
      <c r="B202" s="5" t="s">
        <v>162</v>
      </c>
      <c r="C202" s="17" t="s">
        <v>569</v>
      </c>
      <c r="D202" s="7">
        <f t="shared" si="0"/>
        <v>1.7000000000000002</v>
      </c>
      <c r="E202" s="8">
        <v>0</v>
      </c>
      <c r="F202" s="5">
        <v>0</v>
      </c>
      <c r="G202" s="5">
        <v>0</v>
      </c>
      <c r="H202" s="5">
        <v>0</v>
      </c>
      <c r="I202" s="5">
        <v>0</v>
      </c>
      <c r="J202" s="9">
        <v>0</v>
      </c>
      <c r="K202" s="8">
        <v>0</v>
      </c>
      <c r="L202" s="5">
        <v>0</v>
      </c>
      <c r="M202" s="5">
        <v>0</v>
      </c>
      <c r="N202" s="9">
        <v>0</v>
      </c>
      <c r="O202" s="8">
        <v>1</v>
      </c>
      <c r="P202" s="5">
        <v>7</v>
      </c>
      <c r="Q202" s="5">
        <v>0</v>
      </c>
      <c r="R202" s="9">
        <v>0</v>
      </c>
      <c r="S202" s="8">
        <v>0</v>
      </c>
      <c r="T202" s="5">
        <v>0</v>
      </c>
    </row>
    <row r="203" spans="1:20" x14ac:dyDescent="0.2">
      <c r="A203" s="5" t="s">
        <v>286</v>
      </c>
      <c r="B203" s="5" t="s">
        <v>69</v>
      </c>
      <c r="C203" s="10" t="s">
        <v>569</v>
      </c>
      <c r="D203" s="7">
        <f t="shared" si="0"/>
        <v>1.7000000000000002</v>
      </c>
      <c r="E203" s="8">
        <v>0</v>
      </c>
      <c r="F203" s="5">
        <v>0</v>
      </c>
      <c r="G203" s="5">
        <v>0</v>
      </c>
      <c r="H203" s="5">
        <v>0</v>
      </c>
      <c r="I203" s="5">
        <v>0</v>
      </c>
      <c r="J203" s="9">
        <v>0</v>
      </c>
      <c r="K203" s="8">
        <v>0</v>
      </c>
      <c r="L203" s="5">
        <v>0</v>
      </c>
      <c r="M203" s="5">
        <v>0</v>
      </c>
      <c r="N203" s="9">
        <v>0</v>
      </c>
      <c r="O203" s="8">
        <v>1</v>
      </c>
      <c r="P203" s="5">
        <v>7</v>
      </c>
      <c r="Q203" s="5">
        <v>0</v>
      </c>
      <c r="R203" s="9">
        <v>0</v>
      </c>
      <c r="S203" s="8">
        <v>0</v>
      </c>
      <c r="T203" s="5">
        <v>0</v>
      </c>
    </row>
    <row r="204" spans="1:20" x14ac:dyDescent="0.2">
      <c r="A204" s="5" t="s">
        <v>230</v>
      </c>
      <c r="B204" s="5" t="s">
        <v>162</v>
      </c>
      <c r="C204" s="17" t="s">
        <v>568</v>
      </c>
      <c r="D204" s="7">
        <f t="shared" si="0"/>
        <v>1.6</v>
      </c>
      <c r="E204" s="8">
        <v>0</v>
      </c>
      <c r="F204" s="5">
        <v>0</v>
      </c>
      <c r="G204" s="5">
        <v>0</v>
      </c>
      <c r="H204" s="5">
        <v>0</v>
      </c>
      <c r="I204" s="5">
        <v>0</v>
      </c>
      <c r="J204" s="9">
        <v>0</v>
      </c>
      <c r="K204" s="8">
        <v>0</v>
      </c>
      <c r="L204" s="5">
        <v>0</v>
      </c>
      <c r="M204" s="5">
        <v>0</v>
      </c>
      <c r="N204" s="9">
        <v>0</v>
      </c>
      <c r="O204" s="8">
        <v>1</v>
      </c>
      <c r="P204" s="5">
        <v>6</v>
      </c>
      <c r="Q204" s="5">
        <v>0</v>
      </c>
      <c r="R204" s="9">
        <v>0</v>
      </c>
      <c r="S204" s="8">
        <v>0</v>
      </c>
      <c r="T204" s="5">
        <v>0</v>
      </c>
    </row>
    <row r="205" spans="1:20" x14ac:dyDescent="0.2">
      <c r="A205" s="5" t="s">
        <v>378</v>
      </c>
      <c r="B205" s="5" t="s">
        <v>162</v>
      </c>
      <c r="C205" s="10" t="s">
        <v>561</v>
      </c>
      <c r="D205" s="7">
        <f t="shared" si="0"/>
        <v>1.6</v>
      </c>
      <c r="E205" s="8">
        <v>0</v>
      </c>
      <c r="F205" s="5">
        <v>0</v>
      </c>
      <c r="G205" s="5">
        <v>0</v>
      </c>
      <c r="H205" s="5">
        <v>0</v>
      </c>
      <c r="I205" s="5">
        <v>0</v>
      </c>
      <c r="J205" s="9">
        <v>0</v>
      </c>
      <c r="K205" s="8">
        <v>0</v>
      </c>
      <c r="L205" s="5">
        <v>0</v>
      </c>
      <c r="M205" s="5">
        <v>0</v>
      </c>
      <c r="N205" s="9">
        <v>0</v>
      </c>
      <c r="O205" s="8">
        <v>1</v>
      </c>
      <c r="P205" s="5">
        <v>6</v>
      </c>
      <c r="Q205" s="5">
        <v>0</v>
      </c>
      <c r="R205" s="9">
        <v>0</v>
      </c>
      <c r="S205" s="8">
        <v>0</v>
      </c>
      <c r="T205" s="5">
        <v>0</v>
      </c>
    </row>
    <row r="206" spans="1:20" x14ac:dyDescent="0.2">
      <c r="A206" s="5" t="s">
        <v>222</v>
      </c>
      <c r="B206" s="5" t="s">
        <v>162</v>
      </c>
      <c r="C206" s="17" t="s">
        <v>571</v>
      </c>
      <c r="D206" s="7">
        <f t="shared" si="0"/>
        <v>1.5</v>
      </c>
      <c r="E206" s="8">
        <v>0</v>
      </c>
      <c r="F206" s="5">
        <v>0</v>
      </c>
      <c r="G206" s="5">
        <v>0</v>
      </c>
      <c r="H206" s="5">
        <v>0</v>
      </c>
      <c r="I206" s="5">
        <v>0</v>
      </c>
      <c r="J206" s="9">
        <v>0</v>
      </c>
      <c r="K206" s="8">
        <v>0</v>
      </c>
      <c r="L206" s="5">
        <v>0</v>
      </c>
      <c r="M206" s="5">
        <v>0</v>
      </c>
      <c r="N206" s="9">
        <v>0</v>
      </c>
      <c r="O206" s="8">
        <v>1</v>
      </c>
      <c r="P206" s="5">
        <v>5</v>
      </c>
      <c r="Q206" s="5">
        <v>0</v>
      </c>
      <c r="R206" s="9">
        <v>0</v>
      </c>
      <c r="S206" s="8">
        <v>0</v>
      </c>
      <c r="T206" s="5">
        <v>0</v>
      </c>
    </row>
    <row r="207" spans="1:20" x14ac:dyDescent="0.2">
      <c r="A207" s="5" t="s">
        <v>209</v>
      </c>
      <c r="B207" s="5" t="s">
        <v>162</v>
      </c>
      <c r="C207" s="10" t="s">
        <v>571</v>
      </c>
      <c r="D207" s="7">
        <f t="shared" si="0"/>
        <v>1.5</v>
      </c>
      <c r="E207" s="8">
        <v>0</v>
      </c>
      <c r="F207" s="5">
        <v>0</v>
      </c>
      <c r="G207" s="5">
        <v>0</v>
      </c>
      <c r="H207" s="5">
        <v>0</v>
      </c>
      <c r="I207" s="5">
        <v>0</v>
      </c>
      <c r="J207" s="9">
        <v>0</v>
      </c>
      <c r="K207" s="8">
        <v>0</v>
      </c>
      <c r="L207" s="5">
        <v>0</v>
      </c>
      <c r="M207" s="5">
        <v>0</v>
      </c>
      <c r="N207" s="9">
        <v>0</v>
      </c>
      <c r="O207" s="8">
        <v>1</v>
      </c>
      <c r="P207" s="5">
        <v>5</v>
      </c>
      <c r="Q207" s="5">
        <v>0</v>
      </c>
      <c r="R207" s="9">
        <v>0</v>
      </c>
      <c r="S207" s="8">
        <v>0</v>
      </c>
      <c r="T207" s="5">
        <v>0</v>
      </c>
    </row>
    <row r="208" spans="1:20" x14ac:dyDescent="0.2">
      <c r="A208" s="5" t="s">
        <v>168</v>
      </c>
      <c r="B208" s="5" t="s">
        <v>162</v>
      </c>
      <c r="C208" s="17" t="s">
        <v>566</v>
      </c>
      <c r="D208" s="7">
        <f t="shared" si="0"/>
        <v>1.5</v>
      </c>
      <c r="E208" s="8">
        <v>0</v>
      </c>
      <c r="F208" s="5">
        <v>0</v>
      </c>
      <c r="G208" s="5">
        <v>0</v>
      </c>
      <c r="H208" s="5">
        <v>0</v>
      </c>
      <c r="I208" s="5">
        <v>0</v>
      </c>
      <c r="J208" s="9">
        <v>0</v>
      </c>
      <c r="K208" s="8">
        <v>1</v>
      </c>
      <c r="L208" s="5">
        <v>0</v>
      </c>
      <c r="M208" s="5">
        <v>0</v>
      </c>
      <c r="N208" s="9">
        <v>0</v>
      </c>
      <c r="O208" s="8">
        <v>1</v>
      </c>
      <c r="P208" s="5">
        <v>5</v>
      </c>
      <c r="Q208" s="5">
        <v>0</v>
      </c>
      <c r="R208" s="9">
        <v>0</v>
      </c>
      <c r="S208" s="8">
        <v>0</v>
      </c>
      <c r="T208" s="5">
        <v>0</v>
      </c>
    </row>
    <row r="209" spans="1:20" x14ac:dyDescent="0.2">
      <c r="A209" s="5" t="s">
        <v>432</v>
      </c>
      <c r="B209" s="5" t="s">
        <v>162</v>
      </c>
      <c r="C209" s="17" t="s">
        <v>568</v>
      </c>
      <c r="D209" s="7">
        <f t="shared" si="0"/>
        <v>1.5</v>
      </c>
      <c r="E209" s="8">
        <v>0</v>
      </c>
      <c r="F209" s="5">
        <v>0</v>
      </c>
      <c r="G209" s="5">
        <v>0</v>
      </c>
      <c r="H209" s="5">
        <v>0</v>
      </c>
      <c r="I209" s="5">
        <v>0</v>
      </c>
      <c r="J209" s="9">
        <v>0</v>
      </c>
      <c r="K209" s="8">
        <v>0</v>
      </c>
      <c r="L209" s="5">
        <v>0</v>
      </c>
      <c r="M209" s="5">
        <v>0</v>
      </c>
      <c r="N209" s="9">
        <v>0</v>
      </c>
      <c r="O209" s="8">
        <v>1</v>
      </c>
      <c r="P209" s="5">
        <v>5</v>
      </c>
      <c r="Q209" s="5">
        <v>0</v>
      </c>
      <c r="R209" s="9">
        <v>0</v>
      </c>
      <c r="S209" s="8">
        <v>0</v>
      </c>
      <c r="T209" s="5">
        <v>0</v>
      </c>
    </row>
    <row r="210" spans="1:20" x14ac:dyDescent="0.2">
      <c r="A210" s="5" t="s">
        <v>307</v>
      </c>
      <c r="B210" s="5" t="s">
        <v>69</v>
      </c>
      <c r="C210" s="10" t="s">
        <v>569</v>
      </c>
      <c r="D210" s="7">
        <f t="shared" si="0"/>
        <v>1.5</v>
      </c>
      <c r="E210" s="8">
        <v>0</v>
      </c>
      <c r="F210" s="5">
        <v>0</v>
      </c>
      <c r="G210" s="5">
        <v>0</v>
      </c>
      <c r="H210" s="5">
        <v>0</v>
      </c>
      <c r="I210" s="5">
        <v>0</v>
      </c>
      <c r="J210" s="9">
        <v>0</v>
      </c>
      <c r="K210" s="8">
        <v>0</v>
      </c>
      <c r="L210" s="5">
        <v>0</v>
      </c>
      <c r="M210" s="5">
        <v>0</v>
      </c>
      <c r="N210" s="9">
        <v>0</v>
      </c>
      <c r="O210" s="8">
        <v>1</v>
      </c>
      <c r="P210" s="5">
        <v>5</v>
      </c>
      <c r="Q210" s="5">
        <v>0</v>
      </c>
      <c r="R210" s="9">
        <v>0</v>
      </c>
      <c r="S210" s="8">
        <v>0</v>
      </c>
      <c r="T210" s="5">
        <v>0</v>
      </c>
    </row>
    <row r="211" spans="1:20" x14ac:dyDescent="0.2">
      <c r="A211" s="5" t="s">
        <v>366</v>
      </c>
      <c r="B211" s="5" t="s">
        <v>69</v>
      </c>
      <c r="C211" s="17" t="s">
        <v>561</v>
      </c>
      <c r="D211" s="7">
        <f t="shared" si="0"/>
        <v>1.5</v>
      </c>
      <c r="E211" s="8">
        <v>0</v>
      </c>
      <c r="F211" s="5">
        <v>0</v>
      </c>
      <c r="G211" s="5">
        <v>0</v>
      </c>
      <c r="H211" s="5">
        <v>0</v>
      </c>
      <c r="I211" s="5">
        <v>0</v>
      </c>
      <c r="J211" s="9">
        <v>0</v>
      </c>
      <c r="K211" s="8">
        <v>0</v>
      </c>
      <c r="L211" s="5">
        <v>0</v>
      </c>
      <c r="M211" s="5">
        <v>0</v>
      </c>
      <c r="N211" s="9">
        <v>0</v>
      </c>
      <c r="O211" s="8">
        <v>1</v>
      </c>
      <c r="P211" s="5">
        <v>5</v>
      </c>
      <c r="Q211" s="5">
        <v>0</v>
      </c>
      <c r="R211" s="9">
        <v>0</v>
      </c>
      <c r="S211" s="8">
        <v>0</v>
      </c>
      <c r="T211" s="5">
        <v>0</v>
      </c>
    </row>
    <row r="212" spans="1:20" x14ac:dyDescent="0.2">
      <c r="A212" s="5" t="s">
        <v>283</v>
      </c>
      <c r="B212" s="5" t="s">
        <v>69</v>
      </c>
      <c r="C212" s="10" t="s">
        <v>572</v>
      </c>
      <c r="D212" s="7">
        <f t="shared" si="0"/>
        <v>1.5</v>
      </c>
      <c r="E212" s="8">
        <v>0</v>
      </c>
      <c r="F212" s="5">
        <v>0</v>
      </c>
      <c r="G212" s="5">
        <v>0</v>
      </c>
      <c r="H212" s="5">
        <v>0</v>
      </c>
      <c r="I212" s="5">
        <v>0</v>
      </c>
      <c r="J212" s="9">
        <v>0</v>
      </c>
      <c r="K212" s="8">
        <v>0</v>
      </c>
      <c r="L212" s="5">
        <v>0</v>
      </c>
      <c r="M212" s="5">
        <v>0</v>
      </c>
      <c r="N212" s="9">
        <v>0</v>
      </c>
      <c r="O212" s="8">
        <v>1</v>
      </c>
      <c r="P212" s="5">
        <v>5</v>
      </c>
      <c r="Q212" s="5">
        <v>0</v>
      </c>
      <c r="R212" s="9">
        <v>0</v>
      </c>
      <c r="S212" s="8">
        <v>0</v>
      </c>
      <c r="T212" s="5">
        <v>0</v>
      </c>
    </row>
    <row r="213" spans="1:20" x14ac:dyDescent="0.2">
      <c r="A213" s="5" t="s">
        <v>115</v>
      </c>
      <c r="B213" s="5" t="s">
        <v>75</v>
      </c>
      <c r="C213" s="10" t="s">
        <v>566</v>
      </c>
      <c r="D213" s="7">
        <f t="shared" si="0"/>
        <v>1.4000000000000001</v>
      </c>
      <c r="E213" s="8">
        <v>0</v>
      </c>
      <c r="F213" s="5">
        <v>0</v>
      </c>
      <c r="G213" s="5">
        <v>0</v>
      </c>
      <c r="H213" s="5">
        <v>0</v>
      </c>
      <c r="I213" s="5">
        <v>0</v>
      </c>
      <c r="J213" s="9">
        <v>0</v>
      </c>
      <c r="K213" s="8">
        <v>5</v>
      </c>
      <c r="L213" s="5">
        <v>14</v>
      </c>
      <c r="M213" s="5">
        <v>0</v>
      </c>
      <c r="N213" s="9">
        <v>0</v>
      </c>
      <c r="O213" s="8">
        <v>0</v>
      </c>
      <c r="P213" s="5">
        <v>0</v>
      </c>
      <c r="Q213" s="5">
        <v>0</v>
      </c>
      <c r="R213" s="9">
        <v>0</v>
      </c>
      <c r="S213" s="8">
        <v>0</v>
      </c>
      <c r="T213" s="5">
        <v>0</v>
      </c>
    </row>
    <row r="214" spans="1:20" x14ac:dyDescent="0.2">
      <c r="A214" s="5" t="s">
        <v>522</v>
      </c>
      <c r="B214" s="5" t="s">
        <v>75</v>
      </c>
      <c r="C214" s="10" t="s">
        <v>563</v>
      </c>
      <c r="D214" s="7">
        <f t="shared" si="0"/>
        <v>1.4</v>
      </c>
      <c r="E214" s="8">
        <v>0</v>
      </c>
      <c r="F214" s="5">
        <v>0</v>
      </c>
      <c r="G214" s="5">
        <v>0</v>
      </c>
      <c r="H214" s="5">
        <v>0</v>
      </c>
      <c r="I214" s="5">
        <v>0</v>
      </c>
      <c r="J214" s="9">
        <v>0</v>
      </c>
      <c r="K214" s="8">
        <v>0</v>
      </c>
      <c r="L214" s="5">
        <v>0</v>
      </c>
      <c r="M214" s="5">
        <v>0</v>
      </c>
      <c r="N214" s="9">
        <v>0</v>
      </c>
      <c r="O214" s="8">
        <v>1</v>
      </c>
      <c r="P214" s="5">
        <v>4</v>
      </c>
      <c r="Q214" s="5">
        <v>0</v>
      </c>
      <c r="R214" s="9">
        <v>0</v>
      </c>
      <c r="S214" s="8">
        <v>0</v>
      </c>
      <c r="T214" s="5">
        <v>0</v>
      </c>
    </row>
    <row r="215" spans="1:20" x14ac:dyDescent="0.2">
      <c r="A215" s="5" t="s">
        <v>580</v>
      </c>
      <c r="B215" s="5" t="s">
        <v>75</v>
      </c>
      <c r="C215" s="17" t="s">
        <v>565</v>
      </c>
      <c r="D215" s="7">
        <f t="shared" si="0"/>
        <v>1.4</v>
      </c>
      <c r="E215" s="8">
        <v>0</v>
      </c>
      <c r="F215" s="5">
        <v>0</v>
      </c>
      <c r="G215" s="5">
        <v>0</v>
      </c>
      <c r="H215" s="5">
        <v>0</v>
      </c>
      <c r="I215" s="5">
        <v>0</v>
      </c>
      <c r="J215" s="9">
        <v>0</v>
      </c>
      <c r="K215" s="8">
        <v>0</v>
      </c>
      <c r="L215" s="5">
        <v>0</v>
      </c>
      <c r="M215" s="5">
        <v>0</v>
      </c>
      <c r="N215" s="9">
        <v>0</v>
      </c>
      <c r="O215" s="8">
        <v>1</v>
      </c>
      <c r="P215" s="5">
        <v>4</v>
      </c>
      <c r="Q215" s="5">
        <v>0</v>
      </c>
      <c r="R215" s="9">
        <v>0</v>
      </c>
      <c r="S215" s="8">
        <v>0</v>
      </c>
      <c r="T215" s="5">
        <v>0</v>
      </c>
    </row>
    <row r="216" spans="1:20" x14ac:dyDescent="0.2">
      <c r="A216" s="5" t="s">
        <v>581</v>
      </c>
      <c r="B216" s="5" t="s">
        <v>69</v>
      </c>
      <c r="C216" s="17" t="s">
        <v>563</v>
      </c>
      <c r="D216" s="7">
        <f t="shared" si="0"/>
        <v>1.4</v>
      </c>
      <c r="E216" s="8">
        <v>0</v>
      </c>
      <c r="F216" s="5">
        <v>0</v>
      </c>
      <c r="G216" s="5">
        <v>0</v>
      </c>
      <c r="H216" s="5">
        <v>0</v>
      </c>
      <c r="I216" s="5">
        <v>0</v>
      </c>
      <c r="J216" s="9">
        <v>0</v>
      </c>
      <c r="K216" s="8">
        <v>0</v>
      </c>
      <c r="L216" s="5">
        <v>0</v>
      </c>
      <c r="M216" s="5">
        <v>0</v>
      </c>
      <c r="N216" s="9">
        <v>0</v>
      </c>
      <c r="O216" s="8">
        <v>1</v>
      </c>
      <c r="P216" s="5">
        <v>4</v>
      </c>
      <c r="Q216" s="5">
        <v>0</v>
      </c>
      <c r="R216" s="9">
        <v>0</v>
      </c>
      <c r="S216" s="8">
        <v>0</v>
      </c>
      <c r="T216" s="5">
        <v>0</v>
      </c>
    </row>
    <row r="217" spans="1:20" x14ac:dyDescent="0.2">
      <c r="A217" s="5" t="s">
        <v>141</v>
      </c>
      <c r="B217" s="5" t="s">
        <v>75</v>
      </c>
      <c r="C217" s="17" t="s">
        <v>565</v>
      </c>
      <c r="D217" s="7">
        <f t="shared" si="0"/>
        <v>1.3</v>
      </c>
      <c r="E217" s="8">
        <v>0</v>
      </c>
      <c r="F217" s="5">
        <v>0</v>
      </c>
      <c r="G217" s="5">
        <v>0</v>
      </c>
      <c r="H217" s="5">
        <v>0</v>
      </c>
      <c r="I217" s="5">
        <v>0</v>
      </c>
      <c r="J217" s="9">
        <v>0</v>
      </c>
      <c r="K217" s="8">
        <v>2</v>
      </c>
      <c r="L217" s="5">
        <v>3</v>
      </c>
      <c r="M217" s="5">
        <v>0</v>
      </c>
      <c r="N217" s="9">
        <v>0</v>
      </c>
      <c r="O217" s="8">
        <v>1</v>
      </c>
      <c r="P217" s="5">
        <v>0</v>
      </c>
      <c r="Q217" s="5">
        <v>0</v>
      </c>
      <c r="R217" s="9">
        <v>0</v>
      </c>
      <c r="S217" s="8">
        <v>0</v>
      </c>
      <c r="T217" s="5">
        <v>0</v>
      </c>
    </row>
    <row r="218" spans="1:20" x14ac:dyDescent="0.2">
      <c r="A218" s="5" t="s">
        <v>582</v>
      </c>
      <c r="B218" s="5" t="s">
        <v>162</v>
      </c>
      <c r="C218" s="10" t="s">
        <v>565</v>
      </c>
      <c r="D218" s="7">
        <f t="shared" si="0"/>
        <v>1.3</v>
      </c>
      <c r="E218" s="8">
        <v>0</v>
      </c>
      <c r="F218" s="5">
        <v>0</v>
      </c>
      <c r="G218" s="5">
        <v>0</v>
      </c>
      <c r="H218" s="5">
        <v>0</v>
      </c>
      <c r="I218" s="5">
        <v>0</v>
      </c>
      <c r="J218" s="9">
        <v>0</v>
      </c>
      <c r="K218" s="8">
        <v>0</v>
      </c>
      <c r="L218" s="5">
        <v>0</v>
      </c>
      <c r="M218" s="5">
        <v>0</v>
      </c>
      <c r="N218" s="9">
        <v>0</v>
      </c>
      <c r="O218" s="8">
        <v>1</v>
      </c>
      <c r="P218" s="5">
        <v>3</v>
      </c>
      <c r="Q218" s="5">
        <v>0</v>
      </c>
      <c r="R218" s="9">
        <v>0</v>
      </c>
      <c r="S218" s="8">
        <v>0</v>
      </c>
      <c r="T218" s="5">
        <v>0</v>
      </c>
    </row>
    <row r="219" spans="1:20" x14ac:dyDescent="0.2">
      <c r="A219" s="5" t="s">
        <v>248</v>
      </c>
      <c r="B219" s="5" t="s">
        <v>162</v>
      </c>
      <c r="C219" s="17" t="s">
        <v>572</v>
      </c>
      <c r="D219" s="7">
        <f t="shared" si="0"/>
        <v>1.3</v>
      </c>
      <c r="E219" s="8">
        <v>0</v>
      </c>
      <c r="F219" s="5">
        <v>0</v>
      </c>
      <c r="G219" s="5">
        <v>0</v>
      </c>
      <c r="H219" s="5">
        <v>0</v>
      </c>
      <c r="I219" s="5">
        <v>0</v>
      </c>
      <c r="J219" s="9">
        <v>0</v>
      </c>
      <c r="K219" s="8">
        <v>0</v>
      </c>
      <c r="L219" s="5">
        <v>0</v>
      </c>
      <c r="M219" s="5">
        <v>0</v>
      </c>
      <c r="N219" s="9">
        <v>0</v>
      </c>
      <c r="O219" s="8">
        <v>1</v>
      </c>
      <c r="P219" s="5">
        <v>3</v>
      </c>
      <c r="Q219" s="5">
        <v>0</v>
      </c>
      <c r="R219" s="9">
        <v>0</v>
      </c>
      <c r="S219" s="8">
        <v>0</v>
      </c>
      <c r="T219" s="5">
        <v>0</v>
      </c>
    </row>
    <row r="220" spans="1:20" x14ac:dyDescent="0.2">
      <c r="A220" s="5" t="s">
        <v>442</v>
      </c>
      <c r="B220" s="5" t="s">
        <v>69</v>
      </c>
      <c r="C220" s="10" t="s">
        <v>572</v>
      </c>
      <c r="D220" s="7">
        <f t="shared" si="0"/>
        <v>1.3</v>
      </c>
      <c r="E220" s="8">
        <v>0</v>
      </c>
      <c r="F220" s="5">
        <v>0</v>
      </c>
      <c r="G220" s="5">
        <v>0</v>
      </c>
      <c r="H220" s="5">
        <v>0</v>
      </c>
      <c r="I220" s="5">
        <v>0</v>
      </c>
      <c r="J220" s="9">
        <v>0</v>
      </c>
      <c r="K220" s="8">
        <v>0</v>
      </c>
      <c r="L220" s="5">
        <v>0</v>
      </c>
      <c r="M220" s="5">
        <v>0</v>
      </c>
      <c r="N220" s="9">
        <v>0</v>
      </c>
      <c r="O220" s="8">
        <v>1</v>
      </c>
      <c r="P220" s="5">
        <v>3</v>
      </c>
      <c r="Q220" s="5">
        <v>0</v>
      </c>
      <c r="R220" s="9">
        <v>0</v>
      </c>
      <c r="S220" s="8">
        <v>0</v>
      </c>
      <c r="T220" s="5">
        <v>0</v>
      </c>
    </row>
    <row r="221" spans="1:20" x14ac:dyDescent="0.2">
      <c r="A221" s="5" t="s">
        <v>557</v>
      </c>
      <c r="B221" s="5" t="s">
        <v>162</v>
      </c>
      <c r="C221" s="10" t="s">
        <v>568</v>
      </c>
      <c r="D221" s="7">
        <f t="shared" si="0"/>
        <v>1.2</v>
      </c>
      <c r="E221" s="8">
        <v>0</v>
      </c>
      <c r="F221" s="5">
        <v>0</v>
      </c>
      <c r="G221" s="5">
        <v>0</v>
      </c>
      <c r="H221" s="5">
        <v>0</v>
      </c>
      <c r="I221" s="5">
        <v>0</v>
      </c>
      <c r="J221" s="9">
        <v>0</v>
      </c>
      <c r="K221" s="8">
        <v>0</v>
      </c>
      <c r="L221" s="5">
        <v>0</v>
      </c>
      <c r="M221" s="5">
        <v>0</v>
      </c>
      <c r="N221" s="9">
        <v>0</v>
      </c>
      <c r="O221" s="8">
        <v>1</v>
      </c>
      <c r="P221" s="5">
        <v>2</v>
      </c>
      <c r="Q221" s="5">
        <v>0</v>
      </c>
      <c r="R221" s="9">
        <v>0</v>
      </c>
      <c r="S221" s="8">
        <v>0</v>
      </c>
      <c r="T221" s="5">
        <v>0</v>
      </c>
    </row>
    <row r="222" spans="1:20" x14ac:dyDescent="0.2">
      <c r="A222" s="5" t="s">
        <v>524</v>
      </c>
      <c r="B222" s="5" t="s">
        <v>69</v>
      </c>
      <c r="C222" s="17" t="s">
        <v>572</v>
      </c>
      <c r="D222" s="7">
        <f t="shared" si="0"/>
        <v>1.2</v>
      </c>
      <c r="E222" s="8">
        <v>0</v>
      </c>
      <c r="F222" s="5">
        <v>0</v>
      </c>
      <c r="G222" s="5">
        <v>0</v>
      </c>
      <c r="H222" s="5">
        <v>0</v>
      </c>
      <c r="I222" s="5">
        <v>0</v>
      </c>
      <c r="J222" s="9">
        <v>0</v>
      </c>
      <c r="K222" s="8">
        <v>0</v>
      </c>
      <c r="L222" s="5">
        <v>0</v>
      </c>
      <c r="M222" s="5">
        <v>0</v>
      </c>
      <c r="N222" s="9">
        <v>0</v>
      </c>
      <c r="O222" s="8">
        <v>1</v>
      </c>
      <c r="P222" s="5">
        <v>2</v>
      </c>
      <c r="Q222" s="5">
        <v>0</v>
      </c>
      <c r="R222" s="9">
        <v>0</v>
      </c>
      <c r="S222" s="8">
        <v>0</v>
      </c>
      <c r="T222" s="5">
        <v>0</v>
      </c>
    </row>
    <row r="223" spans="1:20" x14ac:dyDescent="0.2">
      <c r="A223" s="5" t="s">
        <v>552</v>
      </c>
      <c r="B223" s="5" t="s">
        <v>17</v>
      </c>
      <c r="C223" s="17" t="s">
        <v>563</v>
      </c>
      <c r="D223" s="7">
        <f t="shared" si="0"/>
        <v>1.1600000000000001</v>
      </c>
      <c r="E223" s="8">
        <v>32</v>
      </c>
      <c r="F223" s="5">
        <v>17</v>
      </c>
      <c r="G223" s="5">
        <v>129</v>
      </c>
      <c r="H223" s="5">
        <v>0</v>
      </c>
      <c r="I223" s="5">
        <v>2</v>
      </c>
      <c r="J223" s="9">
        <v>0</v>
      </c>
      <c r="K223" s="8">
        <v>0</v>
      </c>
      <c r="L223" s="5">
        <v>0</v>
      </c>
      <c r="M223" s="5">
        <v>0</v>
      </c>
      <c r="N223" s="9">
        <v>0</v>
      </c>
      <c r="O223" s="8">
        <v>0</v>
      </c>
      <c r="P223" s="5">
        <v>0</v>
      </c>
      <c r="Q223" s="5">
        <v>0</v>
      </c>
      <c r="R223" s="9">
        <v>0</v>
      </c>
      <c r="S223" s="8">
        <v>0</v>
      </c>
      <c r="T223" s="5">
        <v>0</v>
      </c>
    </row>
    <row r="224" spans="1:20" x14ac:dyDescent="0.2">
      <c r="A224" s="5" t="s">
        <v>398</v>
      </c>
      <c r="B224" s="5" t="s">
        <v>162</v>
      </c>
      <c r="C224" s="10" t="s">
        <v>563</v>
      </c>
      <c r="D224" s="7">
        <f t="shared" si="0"/>
        <v>1</v>
      </c>
      <c r="E224" s="8">
        <v>0</v>
      </c>
      <c r="F224" s="5">
        <v>0</v>
      </c>
      <c r="G224" s="5">
        <v>0</v>
      </c>
      <c r="H224" s="5">
        <v>0</v>
      </c>
      <c r="I224" s="5">
        <v>0</v>
      </c>
      <c r="J224" s="9">
        <v>0</v>
      </c>
      <c r="K224" s="8">
        <v>0</v>
      </c>
      <c r="L224" s="5">
        <v>0</v>
      </c>
      <c r="M224" s="5">
        <v>0</v>
      </c>
      <c r="N224" s="9">
        <v>0</v>
      </c>
      <c r="O224" s="8">
        <v>1</v>
      </c>
      <c r="P224" s="5">
        <v>0</v>
      </c>
      <c r="Q224" s="5">
        <v>0</v>
      </c>
      <c r="R224" s="9">
        <v>0</v>
      </c>
      <c r="S224" s="8">
        <v>0</v>
      </c>
      <c r="T224" s="5">
        <v>0</v>
      </c>
    </row>
    <row r="225" spans="1:20" x14ac:dyDescent="0.2">
      <c r="A225" s="5" t="s">
        <v>583</v>
      </c>
      <c r="B225" s="5" t="s">
        <v>69</v>
      </c>
      <c r="C225" s="17" t="s">
        <v>573</v>
      </c>
      <c r="D225" s="7">
        <f t="shared" si="0"/>
        <v>1</v>
      </c>
      <c r="E225" s="8">
        <v>0</v>
      </c>
      <c r="F225" s="5">
        <v>0</v>
      </c>
      <c r="G225" s="5">
        <v>0</v>
      </c>
      <c r="H225" s="5">
        <v>0</v>
      </c>
      <c r="I225" s="5">
        <v>0</v>
      </c>
      <c r="J225" s="9">
        <v>0</v>
      </c>
      <c r="K225" s="8">
        <v>0</v>
      </c>
      <c r="L225" s="5">
        <v>0</v>
      </c>
      <c r="M225" s="5">
        <v>0</v>
      </c>
      <c r="N225" s="9">
        <v>0</v>
      </c>
      <c r="O225" s="8">
        <v>1</v>
      </c>
      <c r="P225" s="5">
        <v>0</v>
      </c>
      <c r="Q225" s="5">
        <v>0</v>
      </c>
      <c r="R225" s="9">
        <v>0</v>
      </c>
      <c r="S225" s="8">
        <v>0</v>
      </c>
      <c r="T225" s="5">
        <v>0</v>
      </c>
    </row>
    <row r="226" spans="1:20" x14ac:dyDescent="0.2">
      <c r="A226" s="5" t="s">
        <v>518</v>
      </c>
      <c r="B226" s="5" t="s">
        <v>75</v>
      </c>
      <c r="C226" s="17" t="s">
        <v>571</v>
      </c>
      <c r="D226" s="7">
        <f t="shared" si="0"/>
        <v>0.9</v>
      </c>
      <c r="E226" s="8">
        <v>0</v>
      </c>
      <c r="F226" s="5">
        <v>0</v>
      </c>
      <c r="G226" s="5">
        <v>0</v>
      </c>
      <c r="H226" s="5">
        <v>0</v>
      </c>
      <c r="I226" s="5">
        <v>0</v>
      </c>
      <c r="J226" s="9">
        <v>0</v>
      </c>
      <c r="K226" s="8">
        <v>0</v>
      </c>
      <c r="L226" s="5">
        <v>0</v>
      </c>
      <c r="M226" s="5">
        <v>0</v>
      </c>
      <c r="N226" s="9">
        <v>0</v>
      </c>
      <c r="O226" s="8">
        <v>1</v>
      </c>
      <c r="P226" s="5">
        <v>-1</v>
      </c>
      <c r="Q226" s="5">
        <v>0</v>
      </c>
      <c r="R226" s="9">
        <v>0</v>
      </c>
      <c r="S226" s="8">
        <v>0</v>
      </c>
      <c r="T226" s="5">
        <v>0</v>
      </c>
    </row>
    <row r="227" spans="1:20" x14ac:dyDescent="0.2">
      <c r="A227" s="5" t="s">
        <v>482</v>
      </c>
      <c r="B227" s="5" t="s">
        <v>75</v>
      </c>
      <c r="C227" s="10" t="s">
        <v>571</v>
      </c>
      <c r="D227" s="7">
        <f t="shared" si="0"/>
        <v>0.70000000000000007</v>
      </c>
      <c r="E227" s="8">
        <v>0</v>
      </c>
      <c r="F227" s="5">
        <v>0</v>
      </c>
      <c r="G227" s="5">
        <v>0</v>
      </c>
      <c r="H227" s="5">
        <v>0</v>
      </c>
      <c r="I227" s="5">
        <v>0</v>
      </c>
      <c r="J227" s="9">
        <v>0</v>
      </c>
      <c r="K227" s="8">
        <v>4</v>
      </c>
      <c r="L227" s="5">
        <v>7</v>
      </c>
      <c r="M227" s="5">
        <v>0</v>
      </c>
      <c r="N227" s="9">
        <v>0</v>
      </c>
      <c r="O227" s="8">
        <v>0</v>
      </c>
      <c r="P227" s="5">
        <v>0</v>
      </c>
      <c r="Q227" s="5">
        <v>0</v>
      </c>
      <c r="R227" s="9">
        <v>0</v>
      </c>
      <c r="S227" s="8">
        <v>0</v>
      </c>
      <c r="T227" s="5">
        <v>0</v>
      </c>
    </row>
    <row r="228" spans="1:20" x14ac:dyDescent="0.2">
      <c r="A228" s="5" t="s">
        <v>377</v>
      </c>
      <c r="B228" s="5" t="s">
        <v>162</v>
      </c>
      <c r="C228" s="10" t="s">
        <v>567</v>
      </c>
      <c r="D228" s="7">
        <f t="shared" si="0"/>
        <v>0.70000000000000007</v>
      </c>
      <c r="E228" s="8">
        <v>0</v>
      </c>
      <c r="F228" s="5">
        <v>0</v>
      </c>
      <c r="G228" s="5">
        <v>0</v>
      </c>
      <c r="H228" s="5">
        <v>0</v>
      </c>
      <c r="I228" s="5">
        <v>0</v>
      </c>
      <c r="J228" s="9">
        <v>0</v>
      </c>
      <c r="K228" s="8">
        <v>1</v>
      </c>
      <c r="L228" s="5">
        <v>7</v>
      </c>
      <c r="M228" s="5">
        <v>0</v>
      </c>
      <c r="N228" s="9">
        <v>0</v>
      </c>
      <c r="O228" s="8">
        <v>0</v>
      </c>
      <c r="P228" s="5">
        <v>0</v>
      </c>
      <c r="Q228" s="5">
        <v>0</v>
      </c>
      <c r="R228" s="9">
        <v>0</v>
      </c>
      <c r="S228" s="8">
        <v>0</v>
      </c>
      <c r="T228" s="5">
        <v>0</v>
      </c>
    </row>
    <row r="229" spans="1:20" x14ac:dyDescent="0.2">
      <c r="A229" s="5" t="s">
        <v>124</v>
      </c>
      <c r="B229" s="5" t="s">
        <v>75</v>
      </c>
      <c r="C229" s="10" t="s">
        <v>561</v>
      </c>
      <c r="D229" s="7">
        <f t="shared" si="0"/>
        <v>0.5</v>
      </c>
      <c r="E229" s="8">
        <v>0</v>
      </c>
      <c r="F229" s="5">
        <v>0</v>
      </c>
      <c r="G229" s="5">
        <v>0</v>
      </c>
      <c r="H229" s="5">
        <v>0</v>
      </c>
      <c r="I229" s="5">
        <v>0</v>
      </c>
      <c r="J229" s="9">
        <v>0</v>
      </c>
      <c r="K229" s="8">
        <v>2</v>
      </c>
      <c r="L229" s="5">
        <v>5</v>
      </c>
      <c r="M229" s="5">
        <v>0</v>
      </c>
      <c r="N229" s="9">
        <v>0</v>
      </c>
      <c r="O229" s="8">
        <v>0</v>
      </c>
      <c r="P229" s="5">
        <v>0</v>
      </c>
      <c r="Q229" s="5">
        <v>0</v>
      </c>
      <c r="R229" s="9">
        <v>0</v>
      </c>
      <c r="S229" s="8">
        <v>0</v>
      </c>
      <c r="T229" s="5">
        <v>0</v>
      </c>
    </row>
    <row r="230" spans="1:20" x14ac:dyDescent="0.2">
      <c r="A230" s="5" t="s">
        <v>372</v>
      </c>
      <c r="B230" s="5" t="s">
        <v>69</v>
      </c>
      <c r="C230" s="10" t="s">
        <v>567</v>
      </c>
      <c r="D230" s="7">
        <f t="shared" si="0"/>
        <v>0.39999999999999991</v>
      </c>
      <c r="E230" s="8">
        <v>0</v>
      </c>
      <c r="F230" s="5">
        <v>0</v>
      </c>
      <c r="G230" s="5">
        <v>0</v>
      </c>
      <c r="H230" s="5">
        <v>0</v>
      </c>
      <c r="I230" s="5">
        <v>0</v>
      </c>
      <c r="J230" s="9">
        <v>0</v>
      </c>
      <c r="K230" s="8">
        <v>0</v>
      </c>
      <c r="L230" s="5">
        <v>0</v>
      </c>
      <c r="M230" s="5">
        <v>0</v>
      </c>
      <c r="N230" s="9">
        <v>0</v>
      </c>
      <c r="O230" s="8">
        <v>1</v>
      </c>
      <c r="P230" s="5">
        <v>-6</v>
      </c>
      <c r="Q230" s="5">
        <v>0</v>
      </c>
      <c r="R230" s="9">
        <v>0</v>
      </c>
      <c r="S230" s="8">
        <v>0</v>
      </c>
      <c r="T230" s="5">
        <v>0</v>
      </c>
    </row>
    <row r="231" spans="1:20" x14ac:dyDescent="0.2">
      <c r="A231" s="5" t="s">
        <v>81</v>
      </c>
      <c r="B231" s="5" t="s">
        <v>75</v>
      </c>
      <c r="C231" s="17" t="s">
        <v>571</v>
      </c>
      <c r="D231" s="7">
        <f t="shared" si="0"/>
        <v>0.30000000000000004</v>
      </c>
      <c r="E231" s="8">
        <v>0</v>
      </c>
      <c r="F231" s="5">
        <v>0</v>
      </c>
      <c r="G231" s="5">
        <v>0</v>
      </c>
      <c r="H231" s="5">
        <v>0</v>
      </c>
      <c r="I231" s="5">
        <v>0</v>
      </c>
      <c r="J231" s="9">
        <v>0</v>
      </c>
      <c r="K231" s="8">
        <v>1</v>
      </c>
      <c r="L231" s="5">
        <v>3</v>
      </c>
      <c r="M231" s="5">
        <v>0</v>
      </c>
      <c r="N231" s="9">
        <v>0</v>
      </c>
      <c r="O231" s="8">
        <v>0</v>
      </c>
      <c r="P231" s="5">
        <v>0</v>
      </c>
      <c r="Q231" s="5">
        <v>0</v>
      </c>
      <c r="R231" s="9">
        <v>0</v>
      </c>
      <c r="S231" s="8">
        <v>0</v>
      </c>
      <c r="T231" s="5">
        <v>0</v>
      </c>
    </row>
    <row r="232" spans="1:20" x14ac:dyDescent="0.2">
      <c r="A232" s="5" t="s">
        <v>112</v>
      </c>
      <c r="B232" s="5" t="s">
        <v>75</v>
      </c>
      <c r="C232" s="17" t="s">
        <v>566</v>
      </c>
      <c r="D232" s="7">
        <f t="shared" si="0"/>
        <v>0.2</v>
      </c>
      <c r="E232" s="8">
        <v>0</v>
      </c>
      <c r="F232" s="5">
        <v>0</v>
      </c>
      <c r="G232" s="5">
        <v>0</v>
      </c>
      <c r="H232" s="5">
        <v>0</v>
      </c>
      <c r="I232" s="5">
        <v>0</v>
      </c>
      <c r="J232" s="9">
        <v>0</v>
      </c>
      <c r="K232" s="8">
        <v>2</v>
      </c>
      <c r="L232" s="5">
        <v>2</v>
      </c>
      <c r="M232" s="5">
        <v>0</v>
      </c>
      <c r="N232" s="9">
        <v>0</v>
      </c>
      <c r="O232" s="8">
        <v>0</v>
      </c>
      <c r="P232" s="5">
        <v>0</v>
      </c>
      <c r="Q232" s="5">
        <v>0</v>
      </c>
      <c r="R232" s="9">
        <v>0</v>
      </c>
      <c r="S232" s="8">
        <v>0</v>
      </c>
      <c r="T232" s="5">
        <v>0</v>
      </c>
    </row>
    <row r="233" spans="1:20" x14ac:dyDescent="0.2">
      <c r="A233" s="5" t="s">
        <v>549</v>
      </c>
      <c r="B233" s="5" t="s">
        <v>75</v>
      </c>
      <c r="C233" s="17" t="s">
        <v>573</v>
      </c>
      <c r="D233" s="7">
        <f t="shared" si="0"/>
        <v>0.2</v>
      </c>
      <c r="E233" s="8">
        <v>0</v>
      </c>
      <c r="F233" s="5">
        <v>0</v>
      </c>
      <c r="G233" s="5">
        <v>0</v>
      </c>
      <c r="H233" s="5">
        <v>0</v>
      </c>
      <c r="I233" s="5">
        <v>0</v>
      </c>
      <c r="J233" s="9">
        <v>0</v>
      </c>
      <c r="K233" s="8">
        <v>1</v>
      </c>
      <c r="L233" s="5">
        <v>2</v>
      </c>
      <c r="M233" s="5">
        <v>0</v>
      </c>
      <c r="N233" s="9">
        <v>0</v>
      </c>
      <c r="O233" s="8">
        <v>0</v>
      </c>
      <c r="P233" s="5">
        <v>0</v>
      </c>
      <c r="Q233" s="5">
        <v>0</v>
      </c>
      <c r="R233" s="9">
        <v>0</v>
      </c>
      <c r="S233" s="8">
        <v>0</v>
      </c>
      <c r="T233" s="5">
        <v>0</v>
      </c>
    </row>
    <row r="234" spans="1:20" x14ac:dyDescent="0.2">
      <c r="A234" s="5" t="s">
        <v>584</v>
      </c>
      <c r="B234" s="5" t="s">
        <v>17</v>
      </c>
      <c r="C234" s="17" t="s">
        <v>573</v>
      </c>
      <c r="D234" s="7">
        <f t="shared" si="0"/>
        <v>0.16</v>
      </c>
      <c r="E234" s="8">
        <v>1</v>
      </c>
      <c r="F234" s="5">
        <v>1</v>
      </c>
      <c r="G234" s="5">
        <v>4</v>
      </c>
      <c r="H234" s="5">
        <v>0</v>
      </c>
      <c r="I234" s="5">
        <v>0</v>
      </c>
      <c r="J234" s="9">
        <v>0</v>
      </c>
      <c r="K234" s="8">
        <v>0</v>
      </c>
      <c r="L234" s="5">
        <v>0</v>
      </c>
      <c r="M234" s="5">
        <v>0</v>
      </c>
      <c r="N234" s="9">
        <v>0</v>
      </c>
      <c r="O234" s="8">
        <v>0</v>
      </c>
      <c r="P234" s="5">
        <v>0</v>
      </c>
      <c r="Q234" s="5">
        <v>0</v>
      </c>
      <c r="R234" s="9">
        <v>0</v>
      </c>
      <c r="S234" s="8">
        <v>0</v>
      </c>
      <c r="T234" s="5">
        <v>0</v>
      </c>
    </row>
    <row r="235" spans="1:20" x14ac:dyDescent="0.2">
      <c r="A235" s="5" t="s">
        <v>202</v>
      </c>
      <c r="B235" s="5" t="s">
        <v>162</v>
      </c>
      <c r="C235" s="17" t="s">
        <v>569</v>
      </c>
      <c r="D235" s="7">
        <f t="shared" si="0"/>
        <v>0.1</v>
      </c>
      <c r="E235" s="8">
        <v>0</v>
      </c>
      <c r="F235" s="5">
        <v>0</v>
      </c>
      <c r="G235" s="5">
        <v>0</v>
      </c>
      <c r="H235" s="5">
        <v>0</v>
      </c>
      <c r="I235" s="5">
        <v>0</v>
      </c>
      <c r="J235" s="9">
        <v>0</v>
      </c>
      <c r="K235" s="8">
        <v>1</v>
      </c>
      <c r="L235" s="5">
        <v>1</v>
      </c>
      <c r="M235" s="5">
        <v>0</v>
      </c>
      <c r="N235" s="9">
        <v>0</v>
      </c>
      <c r="O235" s="8">
        <v>0</v>
      </c>
      <c r="P235" s="5">
        <v>0</v>
      </c>
      <c r="Q235" s="5">
        <v>0</v>
      </c>
      <c r="R235" s="9">
        <v>0</v>
      </c>
      <c r="S235" s="8">
        <v>0</v>
      </c>
      <c r="T235" s="5">
        <v>0</v>
      </c>
    </row>
    <row r="236" spans="1:20" x14ac:dyDescent="0.2">
      <c r="A236" s="5" t="s">
        <v>497</v>
      </c>
      <c r="B236" s="5" t="s">
        <v>17</v>
      </c>
      <c r="C236" s="10" t="s">
        <v>562</v>
      </c>
      <c r="D236" s="7">
        <f t="shared" si="0"/>
        <v>0</v>
      </c>
      <c r="E236" s="8">
        <v>1</v>
      </c>
      <c r="F236" s="5">
        <v>0</v>
      </c>
      <c r="G236" s="5">
        <v>0</v>
      </c>
      <c r="H236" s="5">
        <v>0</v>
      </c>
      <c r="I236" s="5">
        <v>0</v>
      </c>
      <c r="J236" s="9">
        <v>0</v>
      </c>
      <c r="K236" s="8">
        <v>0</v>
      </c>
      <c r="L236" s="5">
        <v>0</v>
      </c>
      <c r="M236" s="5">
        <v>0</v>
      </c>
      <c r="N236" s="9">
        <v>0</v>
      </c>
      <c r="O236" s="8">
        <v>0</v>
      </c>
      <c r="P236" s="5">
        <v>0</v>
      </c>
      <c r="Q236" s="5">
        <v>0</v>
      </c>
      <c r="R236" s="9">
        <v>0</v>
      </c>
      <c r="S236" s="8">
        <v>0</v>
      </c>
      <c r="T236" s="5">
        <v>0</v>
      </c>
    </row>
    <row r="237" spans="1:20" x14ac:dyDescent="0.2">
      <c r="A237" s="5" t="s">
        <v>148</v>
      </c>
      <c r="B237" s="5" t="s">
        <v>75</v>
      </c>
      <c r="C237" s="17" t="s">
        <v>564</v>
      </c>
      <c r="D237" s="7">
        <f t="shared" si="0"/>
        <v>-0.1</v>
      </c>
      <c r="E237" s="8">
        <v>0</v>
      </c>
      <c r="F237" s="5">
        <v>0</v>
      </c>
      <c r="G237" s="5">
        <v>0</v>
      </c>
      <c r="H237" s="5">
        <v>0</v>
      </c>
      <c r="I237" s="5">
        <v>0</v>
      </c>
      <c r="J237" s="9">
        <v>0</v>
      </c>
      <c r="K237" s="8">
        <v>1</v>
      </c>
      <c r="L237" s="5">
        <v>-1</v>
      </c>
      <c r="M237" s="5">
        <v>0</v>
      </c>
      <c r="N237" s="9">
        <v>0</v>
      </c>
      <c r="O237" s="8">
        <v>0</v>
      </c>
      <c r="P237" s="5">
        <v>0</v>
      </c>
      <c r="Q237" s="5">
        <v>0</v>
      </c>
      <c r="R237" s="9">
        <v>0</v>
      </c>
      <c r="S237" s="8">
        <v>0</v>
      </c>
      <c r="T237" s="5">
        <v>0</v>
      </c>
    </row>
    <row r="238" spans="1:20" x14ac:dyDescent="0.2">
      <c r="A238" s="5" t="s">
        <v>143</v>
      </c>
      <c r="B238" s="5" t="s">
        <v>75</v>
      </c>
      <c r="C238" s="10" t="s">
        <v>572</v>
      </c>
      <c r="D238" s="7">
        <f t="shared" si="0"/>
        <v>-0.2</v>
      </c>
      <c r="E238" s="8">
        <v>0</v>
      </c>
      <c r="F238" s="5">
        <v>0</v>
      </c>
      <c r="G238" s="5">
        <v>0</v>
      </c>
      <c r="H238" s="5">
        <v>0</v>
      </c>
      <c r="I238" s="5">
        <v>0</v>
      </c>
      <c r="J238" s="9">
        <v>0</v>
      </c>
      <c r="K238" s="8">
        <v>1</v>
      </c>
      <c r="L238" s="5">
        <v>-2</v>
      </c>
      <c r="M238" s="5">
        <v>0</v>
      </c>
      <c r="N238" s="9">
        <v>0</v>
      </c>
      <c r="O238" s="8">
        <v>0</v>
      </c>
      <c r="P238" s="5">
        <v>0</v>
      </c>
      <c r="Q238" s="5">
        <v>0</v>
      </c>
      <c r="R238" s="9">
        <v>0</v>
      </c>
      <c r="S238" s="8">
        <v>0</v>
      </c>
      <c r="T238" s="5">
        <v>0</v>
      </c>
    </row>
    <row r="239" spans="1:20" x14ac:dyDescent="0.2">
      <c r="A239" s="5" t="s">
        <v>275</v>
      </c>
      <c r="B239" s="5" t="s">
        <v>69</v>
      </c>
      <c r="C239" s="10" t="s">
        <v>561</v>
      </c>
      <c r="D239" s="7">
        <f t="shared" si="0"/>
        <v>-0.29999999999999982</v>
      </c>
      <c r="E239" s="8">
        <v>0</v>
      </c>
      <c r="F239" s="5">
        <v>0</v>
      </c>
      <c r="G239" s="5">
        <v>0</v>
      </c>
      <c r="H239" s="5">
        <v>0</v>
      </c>
      <c r="I239" s="5">
        <v>0</v>
      </c>
      <c r="J239" s="9">
        <v>0</v>
      </c>
      <c r="K239" s="8">
        <v>0</v>
      </c>
      <c r="L239" s="5">
        <v>0</v>
      </c>
      <c r="M239" s="5">
        <v>0</v>
      </c>
      <c r="N239" s="9">
        <v>0</v>
      </c>
      <c r="O239" s="8">
        <v>1</v>
      </c>
      <c r="P239" s="5">
        <v>7</v>
      </c>
      <c r="Q239" s="5">
        <v>0</v>
      </c>
      <c r="R239" s="9">
        <v>0</v>
      </c>
      <c r="S239" s="8">
        <v>1</v>
      </c>
      <c r="T239" s="5">
        <v>0</v>
      </c>
    </row>
    <row r="240" spans="1:20" x14ac:dyDescent="0.2">
      <c r="A240" s="5" t="s">
        <v>585</v>
      </c>
      <c r="B240" s="5" t="s">
        <v>17</v>
      </c>
      <c r="C240" s="10" t="s">
        <v>563</v>
      </c>
      <c r="D240" s="7">
        <f t="shared" si="0"/>
        <v>-0.4</v>
      </c>
      <c r="E240" s="8">
        <v>0</v>
      </c>
      <c r="F240" s="5">
        <v>0</v>
      </c>
      <c r="G240" s="5">
        <v>0</v>
      </c>
      <c r="H240" s="5">
        <v>0</v>
      </c>
      <c r="I240" s="5">
        <v>0</v>
      </c>
      <c r="J240" s="9">
        <v>0</v>
      </c>
      <c r="K240" s="8">
        <v>2</v>
      </c>
      <c r="L240" s="5">
        <v>-4</v>
      </c>
      <c r="M240" s="5">
        <v>0</v>
      </c>
      <c r="N240" s="9">
        <v>0</v>
      </c>
      <c r="O240" s="8">
        <v>0</v>
      </c>
      <c r="P240" s="5">
        <v>0</v>
      </c>
      <c r="Q240" s="5">
        <v>0</v>
      </c>
      <c r="R240" s="9">
        <v>0</v>
      </c>
      <c r="S240" s="8">
        <v>0</v>
      </c>
      <c r="T240" s="5">
        <v>0</v>
      </c>
    </row>
    <row r="241" spans="1:20" x14ac:dyDescent="0.2">
      <c r="A241" s="5" t="s">
        <v>385</v>
      </c>
      <c r="B241" s="5" t="s">
        <v>162</v>
      </c>
      <c r="C241" s="10" t="s">
        <v>570</v>
      </c>
      <c r="D241" s="7">
        <f t="shared" si="0"/>
        <v>-0.7</v>
      </c>
      <c r="E241" s="8">
        <v>0</v>
      </c>
      <c r="F241" s="5">
        <v>0</v>
      </c>
      <c r="G241" s="5">
        <v>0</v>
      </c>
      <c r="H241" s="5">
        <v>0</v>
      </c>
      <c r="I241" s="5">
        <v>0</v>
      </c>
      <c r="J241" s="9">
        <v>0</v>
      </c>
      <c r="K241" s="8">
        <v>0</v>
      </c>
      <c r="L241" s="5">
        <v>0</v>
      </c>
      <c r="M241" s="5">
        <v>0</v>
      </c>
      <c r="N241" s="9">
        <v>0</v>
      </c>
      <c r="O241" s="8">
        <v>1</v>
      </c>
      <c r="P241" s="5">
        <v>3</v>
      </c>
      <c r="Q241" s="5">
        <v>0</v>
      </c>
      <c r="R241" s="9">
        <v>0</v>
      </c>
      <c r="S241" s="8">
        <v>1</v>
      </c>
      <c r="T241" s="5">
        <v>0</v>
      </c>
    </row>
    <row r="242" spans="1:20" x14ac:dyDescent="0.2">
      <c r="A242" s="5" t="s">
        <v>133</v>
      </c>
      <c r="B242" s="5" t="s">
        <v>75</v>
      </c>
      <c r="C242" s="10" t="s">
        <v>573</v>
      </c>
      <c r="D242" s="7">
        <f t="shared" si="0"/>
        <v>-1</v>
      </c>
      <c r="E242" s="8">
        <v>0</v>
      </c>
      <c r="F242" s="5">
        <v>0</v>
      </c>
      <c r="G242" s="5">
        <v>0</v>
      </c>
      <c r="H242" s="5">
        <v>0</v>
      </c>
      <c r="I242" s="5">
        <v>0</v>
      </c>
      <c r="J242" s="9">
        <v>0</v>
      </c>
      <c r="K242" s="8">
        <v>0</v>
      </c>
      <c r="L242" s="5">
        <v>0</v>
      </c>
      <c r="M242" s="5">
        <v>0</v>
      </c>
      <c r="N242" s="9">
        <v>0</v>
      </c>
      <c r="O242" s="8">
        <v>1</v>
      </c>
      <c r="P242" s="5">
        <v>0</v>
      </c>
      <c r="Q242" s="5">
        <v>0</v>
      </c>
      <c r="R242" s="9">
        <v>0</v>
      </c>
      <c r="S242" s="8">
        <v>1</v>
      </c>
      <c r="T242" s="5">
        <v>0</v>
      </c>
    </row>
    <row r="243" spans="1:20" x14ac:dyDescent="0.2">
      <c r="A243" s="5" t="s">
        <v>254</v>
      </c>
      <c r="B243" s="5" t="s">
        <v>162</v>
      </c>
      <c r="C243" s="10" t="s">
        <v>572</v>
      </c>
      <c r="D243" s="7">
        <f t="shared" si="0"/>
        <v>-1.1000000000000001</v>
      </c>
      <c r="E243" s="8">
        <v>0</v>
      </c>
      <c r="F243" s="5">
        <v>0</v>
      </c>
      <c r="G243" s="5">
        <v>0</v>
      </c>
      <c r="H243" s="5">
        <v>0</v>
      </c>
      <c r="I243" s="5">
        <v>0</v>
      </c>
      <c r="J243" s="9">
        <v>0</v>
      </c>
      <c r="K243" s="8">
        <v>1</v>
      </c>
      <c r="L243" s="5">
        <v>-11</v>
      </c>
      <c r="M243" s="5">
        <v>0</v>
      </c>
      <c r="N243" s="9">
        <v>0</v>
      </c>
      <c r="O243" s="8">
        <v>0</v>
      </c>
      <c r="P243" s="5">
        <v>0</v>
      </c>
      <c r="Q243" s="5">
        <v>0</v>
      </c>
      <c r="R243" s="9">
        <v>0</v>
      </c>
      <c r="S243" s="8">
        <v>0</v>
      </c>
      <c r="T243" s="5">
        <v>0</v>
      </c>
    </row>
    <row r="244" spans="1:20" x14ac:dyDescent="0.2">
      <c r="A244" s="5" t="s">
        <v>28</v>
      </c>
      <c r="B244" s="5" t="s">
        <v>17</v>
      </c>
      <c r="C244" s="17" t="s">
        <v>567</v>
      </c>
      <c r="D244" s="7">
        <f t="shared" si="0"/>
        <v>-1.8</v>
      </c>
      <c r="E244" s="8">
        <v>5</v>
      </c>
      <c r="F244" s="5">
        <v>1</v>
      </c>
      <c r="G244" s="5">
        <v>5</v>
      </c>
      <c r="H244" s="5">
        <v>0</v>
      </c>
      <c r="I244" s="5">
        <v>1</v>
      </c>
      <c r="J244" s="9">
        <v>0</v>
      </c>
      <c r="K244" s="8">
        <v>0</v>
      </c>
      <c r="L244" s="5">
        <v>0</v>
      </c>
      <c r="M244" s="5">
        <v>0</v>
      </c>
      <c r="N244" s="9">
        <v>0</v>
      </c>
      <c r="O244" s="8">
        <v>0</v>
      </c>
      <c r="P244" s="5">
        <v>0</v>
      </c>
      <c r="Q244" s="5">
        <v>0</v>
      </c>
      <c r="R244" s="9">
        <v>0</v>
      </c>
      <c r="S244" s="8">
        <v>0</v>
      </c>
      <c r="T244" s="5">
        <v>0</v>
      </c>
    </row>
    <row r="245" spans="1:20" x14ac:dyDescent="0.2">
      <c r="A245" s="5" t="s">
        <v>320</v>
      </c>
      <c r="B245" s="5"/>
      <c r="C245" s="10"/>
      <c r="D245" s="5">
        <v>0</v>
      </c>
      <c r="E245" s="8"/>
      <c r="F245" s="5"/>
      <c r="G245" s="5"/>
      <c r="H245" s="5"/>
      <c r="I245" s="5"/>
      <c r="J245" s="9"/>
      <c r="K245" s="8"/>
      <c r="L245" s="5"/>
      <c r="M245" s="5"/>
      <c r="N245" s="9"/>
      <c r="O245" s="8"/>
      <c r="P245" s="5"/>
      <c r="Q245" s="5"/>
      <c r="R245" s="9"/>
      <c r="S245" s="8"/>
      <c r="T245" s="9"/>
    </row>
    <row r="246" spans="1:20" x14ac:dyDescent="0.2">
      <c r="A246" s="5"/>
      <c r="B246" s="5"/>
      <c r="C246" s="10"/>
      <c r="D246" s="10"/>
      <c r="E246" s="8"/>
      <c r="F246" s="5"/>
      <c r="G246" s="5"/>
      <c r="H246" s="5"/>
      <c r="I246" s="5"/>
      <c r="J246" s="9"/>
      <c r="K246" s="8"/>
      <c r="L246" s="5"/>
      <c r="M246" s="5"/>
      <c r="N246" s="9"/>
      <c r="O246" s="8"/>
      <c r="P246" s="5"/>
      <c r="Q246" s="5"/>
      <c r="R246" s="9"/>
      <c r="S246" s="8"/>
      <c r="T246" s="5"/>
    </row>
    <row r="247" spans="1:20" x14ac:dyDescent="0.2">
      <c r="A247" s="5"/>
      <c r="B247" s="5"/>
      <c r="C247" s="10"/>
      <c r="D247" s="10"/>
      <c r="E247" s="8"/>
      <c r="F247" s="5"/>
      <c r="G247" s="5"/>
      <c r="H247" s="5"/>
      <c r="I247" s="5"/>
      <c r="J247" s="9"/>
      <c r="K247" s="8"/>
      <c r="L247" s="5"/>
      <c r="M247" s="5"/>
      <c r="N247" s="9"/>
      <c r="O247" s="8"/>
      <c r="P247" s="5"/>
      <c r="Q247" s="5"/>
      <c r="R247" s="9"/>
      <c r="S247" s="8"/>
      <c r="T247" s="5"/>
    </row>
    <row r="248" spans="1:20" x14ac:dyDescent="0.2">
      <c r="A248" s="5"/>
      <c r="B248" s="5"/>
      <c r="C248" s="10"/>
      <c r="D248" s="10"/>
      <c r="E248" s="8"/>
      <c r="F248" s="5"/>
      <c r="G248" s="5"/>
      <c r="H248" s="5"/>
      <c r="I248" s="5"/>
      <c r="J248" s="9"/>
      <c r="K248" s="8"/>
      <c r="L248" s="5"/>
      <c r="M248" s="5"/>
      <c r="N248" s="9"/>
      <c r="O248" s="8"/>
      <c r="P248" s="5"/>
      <c r="Q248" s="5"/>
      <c r="R248" s="9"/>
      <c r="S248" s="8"/>
      <c r="T248" s="5"/>
    </row>
    <row r="249" spans="1:20" x14ac:dyDescent="0.2">
      <c r="A249" s="5"/>
      <c r="B249" s="5"/>
      <c r="C249" s="10"/>
      <c r="D249" s="10"/>
      <c r="E249" s="8"/>
      <c r="F249" s="5"/>
      <c r="G249" s="5"/>
      <c r="H249" s="5"/>
      <c r="I249" s="5"/>
      <c r="J249" s="9"/>
      <c r="K249" s="8"/>
      <c r="L249" s="5"/>
      <c r="M249" s="5"/>
      <c r="N249" s="9"/>
      <c r="O249" s="8"/>
      <c r="P249" s="5"/>
      <c r="Q249" s="5"/>
      <c r="R249" s="9"/>
      <c r="S249" s="8"/>
      <c r="T249" s="5"/>
    </row>
    <row r="250" spans="1:20" x14ac:dyDescent="0.2">
      <c r="A250" s="5"/>
      <c r="B250" s="5"/>
      <c r="C250" s="10"/>
      <c r="D250" s="10"/>
      <c r="E250" s="8"/>
      <c r="F250" s="5"/>
      <c r="G250" s="5"/>
      <c r="H250" s="5"/>
      <c r="I250" s="5"/>
      <c r="J250" s="9"/>
      <c r="K250" s="8"/>
      <c r="L250" s="5"/>
      <c r="M250" s="5"/>
      <c r="N250" s="9"/>
      <c r="O250" s="8"/>
      <c r="P250" s="5"/>
      <c r="Q250" s="5"/>
      <c r="R250" s="9"/>
      <c r="S250" s="8"/>
      <c r="T250" s="5"/>
    </row>
  </sheetData>
  <autoFilter ref="A2:T245" xr:uid="{00000000-0009-0000-0000-000006000000}">
    <sortState xmlns:xlrd2="http://schemas.microsoft.com/office/spreadsheetml/2017/richdata2" ref="A2:T245">
      <sortCondition descending="1" ref="D2:D245"/>
    </sortState>
  </autoFilter>
  <mergeCells count="4">
    <mergeCell ref="E1:J1"/>
    <mergeCell ref="K1:N1"/>
    <mergeCell ref="O1:R1"/>
    <mergeCell ref="S1:T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300"/>
  <sheetViews>
    <sheetView workbookViewId="0"/>
  </sheetViews>
  <sheetFormatPr defaultColWidth="12.5703125" defaultRowHeight="15.75" customHeight="1" x14ac:dyDescent="0.2"/>
  <cols>
    <col min="1" max="1" width="20.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11"/>
      <c r="D1" s="11"/>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192</v>
      </c>
      <c r="B3" s="5" t="s">
        <v>162</v>
      </c>
      <c r="C3" s="10" t="s">
        <v>586</v>
      </c>
      <c r="D3" s="7">
        <f t="shared" ref="D3:D257" si="0">0.04*G3+4*H3-2*I3+2*J3+0.1*L3+6*M3+2*N3+1*O3+0.1*P3+6*Q3+2*R3-2*S3</f>
        <v>41</v>
      </c>
      <c r="E3" s="8">
        <v>0</v>
      </c>
      <c r="F3" s="5">
        <v>0</v>
      </c>
      <c r="G3" s="5">
        <v>0</v>
      </c>
      <c r="H3" s="5">
        <v>0</v>
      </c>
      <c r="I3" s="5">
        <v>0</v>
      </c>
      <c r="J3" s="9">
        <v>0</v>
      </c>
      <c r="K3" s="8">
        <v>1</v>
      </c>
      <c r="L3" s="5">
        <v>12</v>
      </c>
      <c r="M3" s="5">
        <v>0</v>
      </c>
      <c r="N3" s="9">
        <v>0</v>
      </c>
      <c r="O3" s="8">
        <v>12</v>
      </c>
      <c r="P3" s="5">
        <v>158</v>
      </c>
      <c r="Q3" s="5">
        <v>2</v>
      </c>
      <c r="R3" s="9">
        <v>0</v>
      </c>
      <c r="S3" s="8">
        <v>0</v>
      </c>
      <c r="T3" s="9">
        <v>0</v>
      </c>
    </row>
    <row r="4" spans="1:20" x14ac:dyDescent="0.2">
      <c r="A4" s="5" t="s">
        <v>187</v>
      </c>
      <c r="B4" s="5" t="s">
        <v>162</v>
      </c>
      <c r="C4" s="10" t="s">
        <v>587</v>
      </c>
      <c r="D4" s="7">
        <f t="shared" si="0"/>
        <v>34.799999999999997</v>
      </c>
      <c r="E4" s="8">
        <v>0</v>
      </c>
      <c r="F4" s="5">
        <v>0</v>
      </c>
      <c r="G4" s="5">
        <v>0</v>
      </c>
      <c r="H4" s="5">
        <v>0</v>
      </c>
      <c r="I4" s="5">
        <v>0</v>
      </c>
      <c r="J4" s="9">
        <v>0</v>
      </c>
      <c r="K4" s="8">
        <v>0</v>
      </c>
      <c r="L4" s="5">
        <v>0</v>
      </c>
      <c r="M4" s="5">
        <v>0</v>
      </c>
      <c r="N4" s="9">
        <v>0</v>
      </c>
      <c r="O4" s="8">
        <v>4</v>
      </c>
      <c r="P4" s="5">
        <v>128</v>
      </c>
      <c r="Q4" s="5">
        <v>3</v>
      </c>
      <c r="R4" s="9">
        <v>0</v>
      </c>
      <c r="S4" s="8">
        <v>0</v>
      </c>
      <c r="T4" s="9">
        <v>0</v>
      </c>
    </row>
    <row r="5" spans="1:20" x14ac:dyDescent="0.2">
      <c r="A5" s="5" t="s">
        <v>182</v>
      </c>
      <c r="B5" s="5" t="s">
        <v>162</v>
      </c>
      <c r="C5" s="17" t="s">
        <v>588</v>
      </c>
      <c r="D5" s="7">
        <f t="shared" si="0"/>
        <v>33</v>
      </c>
      <c r="E5" s="8">
        <v>0</v>
      </c>
      <c r="F5" s="5">
        <v>0</v>
      </c>
      <c r="G5" s="5">
        <v>0</v>
      </c>
      <c r="H5" s="5">
        <v>0</v>
      </c>
      <c r="I5" s="5">
        <v>0</v>
      </c>
      <c r="J5" s="9">
        <v>0</v>
      </c>
      <c r="K5" s="8">
        <v>0</v>
      </c>
      <c r="L5" s="5">
        <v>0</v>
      </c>
      <c r="M5" s="5">
        <v>0</v>
      </c>
      <c r="N5" s="9">
        <v>0</v>
      </c>
      <c r="O5" s="8">
        <v>8</v>
      </c>
      <c r="P5" s="5">
        <v>130</v>
      </c>
      <c r="Q5" s="5">
        <v>2</v>
      </c>
      <c r="R5" s="9">
        <v>0</v>
      </c>
      <c r="S5" s="8">
        <v>0</v>
      </c>
      <c r="T5" s="9">
        <v>0</v>
      </c>
    </row>
    <row r="6" spans="1:20" x14ac:dyDescent="0.2">
      <c r="A6" s="5" t="s">
        <v>39</v>
      </c>
      <c r="B6" s="5" t="s">
        <v>17</v>
      </c>
      <c r="C6" s="10" t="s">
        <v>588</v>
      </c>
      <c r="D6" s="7">
        <f t="shared" si="0"/>
        <v>30.980000000000004</v>
      </c>
      <c r="E6" s="8">
        <v>52</v>
      </c>
      <c r="F6" s="5">
        <v>39</v>
      </c>
      <c r="G6" s="5">
        <v>397</v>
      </c>
      <c r="H6" s="5">
        <v>4</v>
      </c>
      <c r="I6" s="5">
        <v>1</v>
      </c>
      <c r="J6" s="9">
        <v>0</v>
      </c>
      <c r="K6" s="8">
        <v>3</v>
      </c>
      <c r="L6" s="5">
        <v>11</v>
      </c>
      <c r="M6" s="5">
        <v>0</v>
      </c>
      <c r="N6" s="9">
        <v>0</v>
      </c>
      <c r="O6" s="8">
        <v>0</v>
      </c>
      <c r="P6" s="5">
        <v>0</v>
      </c>
      <c r="Q6" s="5">
        <v>0</v>
      </c>
      <c r="R6" s="9">
        <v>0</v>
      </c>
      <c r="S6" s="8">
        <v>0</v>
      </c>
      <c r="T6" s="9">
        <v>0</v>
      </c>
    </row>
    <row r="7" spans="1:20" x14ac:dyDescent="0.2">
      <c r="A7" s="5" t="s">
        <v>111</v>
      </c>
      <c r="B7" s="5" t="s">
        <v>75</v>
      </c>
      <c r="C7" s="10" t="s">
        <v>589</v>
      </c>
      <c r="D7" s="7">
        <f t="shared" si="0"/>
        <v>29.900000000000002</v>
      </c>
      <c r="E7" s="8">
        <v>0</v>
      </c>
      <c r="F7" s="5">
        <v>0</v>
      </c>
      <c r="G7" s="5">
        <v>0</v>
      </c>
      <c r="H7" s="5">
        <v>0</v>
      </c>
      <c r="I7" s="5">
        <v>0</v>
      </c>
      <c r="J7" s="9">
        <v>0</v>
      </c>
      <c r="K7" s="8">
        <v>26</v>
      </c>
      <c r="L7" s="5">
        <v>152</v>
      </c>
      <c r="M7" s="5">
        <v>1</v>
      </c>
      <c r="N7" s="9">
        <v>0</v>
      </c>
      <c r="O7" s="8">
        <v>5</v>
      </c>
      <c r="P7" s="5">
        <v>37</v>
      </c>
      <c r="Q7" s="5">
        <v>0</v>
      </c>
      <c r="R7" s="9">
        <v>0</v>
      </c>
      <c r="S7" s="8">
        <v>0</v>
      </c>
      <c r="T7" s="9">
        <v>0</v>
      </c>
    </row>
    <row r="8" spans="1:20" x14ac:dyDescent="0.2">
      <c r="A8" s="5" t="s">
        <v>77</v>
      </c>
      <c r="B8" s="5" t="s">
        <v>75</v>
      </c>
      <c r="C8" s="10" t="s">
        <v>590</v>
      </c>
      <c r="D8" s="7">
        <f t="shared" si="0"/>
        <v>29.799999999999997</v>
      </c>
      <c r="E8" s="8">
        <v>0</v>
      </c>
      <c r="F8" s="5">
        <v>0</v>
      </c>
      <c r="G8" s="5">
        <v>0</v>
      </c>
      <c r="H8" s="5">
        <v>0</v>
      </c>
      <c r="I8" s="5">
        <v>0</v>
      </c>
      <c r="J8" s="9">
        <v>0</v>
      </c>
      <c r="K8" s="8">
        <v>12</v>
      </c>
      <c r="L8" s="5">
        <v>54</v>
      </c>
      <c r="M8" s="5">
        <v>1</v>
      </c>
      <c r="N8" s="9">
        <v>0</v>
      </c>
      <c r="O8" s="8">
        <v>6</v>
      </c>
      <c r="P8" s="5">
        <v>64</v>
      </c>
      <c r="Q8" s="5">
        <v>1</v>
      </c>
      <c r="R8" s="9">
        <v>0</v>
      </c>
      <c r="S8" s="8">
        <v>0</v>
      </c>
      <c r="T8" s="9">
        <v>0</v>
      </c>
    </row>
    <row r="9" spans="1:20" x14ac:dyDescent="0.2">
      <c r="A9" s="5" t="s">
        <v>116</v>
      </c>
      <c r="B9" s="5" t="s">
        <v>75</v>
      </c>
      <c r="C9" s="17" t="s">
        <v>591</v>
      </c>
      <c r="D9" s="7">
        <f t="shared" si="0"/>
        <v>29.4</v>
      </c>
      <c r="E9" s="8">
        <v>0</v>
      </c>
      <c r="F9" s="5">
        <v>0</v>
      </c>
      <c r="G9" s="5">
        <v>0</v>
      </c>
      <c r="H9" s="5">
        <v>0</v>
      </c>
      <c r="I9" s="5">
        <v>0</v>
      </c>
      <c r="J9" s="9">
        <v>0</v>
      </c>
      <c r="K9" s="8">
        <v>19</v>
      </c>
      <c r="L9" s="5">
        <v>80</v>
      </c>
      <c r="M9" s="5">
        <v>3</v>
      </c>
      <c r="N9" s="9">
        <v>0</v>
      </c>
      <c r="O9" s="8">
        <v>2</v>
      </c>
      <c r="P9" s="5">
        <v>14</v>
      </c>
      <c r="Q9" s="5">
        <v>0</v>
      </c>
      <c r="R9" s="9">
        <v>0</v>
      </c>
      <c r="S9" s="8">
        <v>0</v>
      </c>
      <c r="T9" s="9">
        <v>0</v>
      </c>
    </row>
    <row r="10" spans="1:20" x14ac:dyDescent="0.2">
      <c r="A10" s="5" t="s">
        <v>48</v>
      </c>
      <c r="B10" s="5" t="s">
        <v>17</v>
      </c>
      <c r="C10" s="10" t="s">
        <v>592</v>
      </c>
      <c r="D10" s="7">
        <f t="shared" si="0"/>
        <v>29.060000000000002</v>
      </c>
      <c r="E10" s="8">
        <v>40</v>
      </c>
      <c r="F10" s="5">
        <v>31</v>
      </c>
      <c r="G10" s="5">
        <v>324</v>
      </c>
      <c r="H10" s="5">
        <v>2</v>
      </c>
      <c r="I10" s="5">
        <v>1</v>
      </c>
      <c r="J10" s="9">
        <v>0</v>
      </c>
      <c r="K10" s="8">
        <v>7</v>
      </c>
      <c r="L10" s="5">
        <v>41</v>
      </c>
      <c r="M10" s="5">
        <v>1</v>
      </c>
      <c r="N10" s="9">
        <v>0</v>
      </c>
      <c r="O10" s="8">
        <v>0</v>
      </c>
      <c r="P10" s="5">
        <v>0</v>
      </c>
      <c r="Q10" s="5">
        <v>0</v>
      </c>
      <c r="R10" s="9">
        <v>0</v>
      </c>
      <c r="S10" s="8">
        <v>0</v>
      </c>
      <c r="T10" s="9">
        <v>0</v>
      </c>
    </row>
    <row r="11" spans="1:20" x14ac:dyDescent="0.2">
      <c r="A11" s="5" t="s">
        <v>59</v>
      </c>
      <c r="B11" s="5" t="s">
        <v>17</v>
      </c>
      <c r="C11" s="10" t="s">
        <v>586</v>
      </c>
      <c r="D11" s="7">
        <f t="shared" si="0"/>
        <v>28.06</v>
      </c>
      <c r="E11" s="8">
        <v>31</v>
      </c>
      <c r="F11" s="5">
        <v>25</v>
      </c>
      <c r="G11" s="5">
        <v>304</v>
      </c>
      <c r="H11" s="5">
        <v>4</v>
      </c>
      <c r="I11" s="5">
        <v>1</v>
      </c>
      <c r="J11" s="9">
        <v>0</v>
      </c>
      <c r="K11" s="8">
        <v>4</v>
      </c>
      <c r="L11" s="5">
        <v>19</v>
      </c>
      <c r="M11" s="5">
        <v>0</v>
      </c>
      <c r="N11" s="9">
        <v>0</v>
      </c>
      <c r="O11" s="8">
        <v>0</v>
      </c>
      <c r="P11" s="5">
        <v>0</v>
      </c>
      <c r="Q11" s="5">
        <v>0</v>
      </c>
      <c r="R11" s="9">
        <v>0</v>
      </c>
      <c r="S11" s="8">
        <v>0</v>
      </c>
      <c r="T11" s="9">
        <v>0</v>
      </c>
    </row>
    <row r="12" spans="1:20" x14ac:dyDescent="0.2">
      <c r="A12" s="5" t="s">
        <v>62</v>
      </c>
      <c r="B12" s="5" t="s">
        <v>17</v>
      </c>
      <c r="C12" s="17" t="s">
        <v>590</v>
      </c>
      <c r="D12" s="7">
        <f t="shared" si="0"/>
        <v>27.62</v>
      </c>
      <c r="E12" s="8">
        <v>32</v>
      </c>
      <c r="F12" s="5">
        <v>28</v>
      </c>
      <c r="G12" s="5">
        <v>283</v>
      </c>
      <c r="H12" s="5">
        <v>3</v>
      </c>
      <c r="I12" s="5">
        <v>0</v>
      </c>
      <c r="J12" s="9">
        <v>0</v>
      </c>
      <c r="K12" s="8">
        <v>6</v>
      </c>
      <c r="L12" s="5">
        <v>43</v>
      </c>
      <c r="M12" s="5">
        <v>0</v>
      </c>
      <c r="N12" s="9">
        <v>0</v>
      </c>
      <c r="O12" s="8">
        <v>0</v>
      </c>
      <c r="P12" s="5">
        <v>0</v>
      </c>
      <c r="Q12" s="5">
        <v>0</v>
      </c>
      <c r="R12" s="9">
        <v>0</v>
      </c>
      <c r="S12" s="8">
        <v>0</v>
      </c>
      <c r="T12" s="9">
        <v>0</v>
      </c>
    </row>
    <row r="13" spans="1:20" x14ac:dyDescent="0.2">
      <c r="A13" s="5" t="s">
        <v>45</v>
      </c>
      <c r="B13" s="5" t="s">
        <v>17</v>
      </c>
      <c r="C13" s="17" t="s">
        <v>588</v>
      </c>
      <c r="D13" s="7">
        <f t="shared" si="0"/>
        <v>27.36</v>
      </c>
      <c r="E13" s="8">
        <v>38</v>
      </c>
      <c r="F13" s="5">
        <v>29</v>
      </c>
      <c r="G13" s="5">
        <v>319</v>
      </c>
      <c r="H13" s="5">
        <v>4</v>
      </c>
      <c r="I13" s="5">
        <v>0</v>
      </c>
      <c r="J13" s="9">
        <v>0</v>
      </c>
      <c r="K13" s="8">
        <v>4</v>
      </c>
      <c r="L13" s="5">
        <v>6</v>
      </c>
      <c r="M13" s="5">
        <v>0</v>
      </c>
      <c r="N13" s="9">
        <v>0</v>
      </c>
      <c r="O13" s="8">
        <v>0</v>
      </c>
      <c r="P13" s="5">
        <v>0</v>
      </c>
      <c r="Q13" s="5">
        <v>0</v>
      </c>
      <c r="R13" s="9">
        <v>0</v>
      </c>
      <c r="S13" s="8">
        <v>1</v>
      </c>
      <c r="T13" s="9">
        <v>0</v>
      </c>
    </row>
    <row r="14" spans="1:20" x14ac:dyDescent="0.2">
      <c r="A14" s="5" t="s">
        <v>470</v>
      </c>
      <c r="B14" s="5" t="s">
        <v>75</v>
      </c>
      <c r="C14" s="17" t="s">
        <v>593</v>
      </c>
      <c r="D14" s="7">
        <f t="shared" si="0"/>
        <v>27</v>
      </c>
      <c r="E14" s="8">
        <v>0</v>
      </c>
      <c r="F14" s="5">
        <v>0</v>
      </c>
      <c r="G14" s="5">
        <v>0</v>
      </c>
      <c r="H14" s="5">
        <v>0</v>
      </c>
      <c r="I14" s="5">
        <v>0</v>
      </c>
      <c r="J14" s="9">
        <v>0</v>
      </c>
      <c r="K14" s="8">
        <v>17</v>
      </c>
      <c r="L14" s="5">
        <v>59</v>
      </c>
      <c r="M14" s="5">
        <v>1</v>
      </c>
      <c r="N14" s="9">
        <v>0</v>
      </c>
      <c r="O14" s="8">
        <v>4</v>
      </c>
      <c r="P14" s="5">
        <v>51</v>
      </c>
      <c r="Q14" s="5">
        <v>1</v>
      </c>
      <c r="R14" s="9">
        <v>0</v>
      </c>
      <c r="S14" s="8">
        <v>0</v>
      </c>
      <c r="T14" s="9">
        <v>0</v>
      </c>
    </row>
    <row r="15" spans="1:20" x14ac:dyDescent="0.2">
      <c r="A15" s="5" t="s">
        <v>594</v>
      </c>
      <c r="B15" s="5" t="s">
        <v>17</v>
      </c>
      <c r="C15" s="10" t="s">
        <v>587</v>
      </c>
      <c r="D15" s="7">
        <f t="shared" si="0"/>
        <v>26.62</v>
      </c>
      <c r="E15" s="8">
        <v>29</v>
      </c>
      <c r="F15" s="5">
        <v>19</v>
      </c>
      <c r="G15" s="5">
        <v>238</v>
      </c>
      <c r="H15" s="5">
        <v>4</v>
      </c>
      <c r="I15" s="5">
        <v>0</v>
      </c>
      <c r="J15" s="9">
        <v>0</v>
      </c>
      <c r="K15" s="8">
        <v>7</v>
      </c>
      <c r="L15" s="5">
        <v>11</v>
      </c>
      <c r="M15" s="5">
        <v>0</v>
      </c>
      <c r="N15" s="9">
        <v>0</v>
      </c>
      <c r="O15" s="8">
        <v>0</v>
      </c>
      <c r="P15" s="5">
        <v>0</v>
      </c>
      <c r="Q15" s="5">
        <v>0</v>
      </c>
      <c r="R15" s="9">
        <v>0</v>
      </c>
      <c r="S15" s="8">
        <v>0</v>
      </c>
      <c r="T15" s="9">
        <v>0</v>
      </c>
    </row>
    <row r="16" spans="1:20" x14ac:dyDescent="0.2">
      <c r="A16" s="5" t="s">
        <v>80</v>
      </c>
      <c r="B16" s="5" t="s">
        <v>75</v>
      </c>
      <c r="C16" s="17" t="s">
        <v>595</v>
      </c>
      <c r="D16" s="7">
        <f t="shared" si="0"/>
        <v>25.9</v>
      </c>
      <c r="E16" s="8">
        <v>0</v>
      </c>
      <c r="F16" s="5">
        <v>0</v>
      </c>
      <c r="G16" s="5">
        <v>0</v>
      </c>
      <c r="H16" s="5">
        <v>0</v>
      </c>
      <c r="I16" s="5">
        <v>0</v>
      </c>
      <c r="J16" s="9">
        <v>0</v>
      </c>
      <c r="K16" s="8">
        <v>24</v>
      </c>
      <c r="L16" s="5">
        <v>79</v>
      </c>
      <c r="M16" s="5">
        <v>0</v>
      </c>
      <c r="N16" s="9">
        <v>1</v>
      </c>
      <c r="O16" s="8">
        <v>3</v>
      </c>
      <c r="P16" s="5">
        <v>70</v>
      </c>
      <c r="Q16" s="5">
        <v>1</v>
      </c>
      <c r="R16" s="9">
        <v>0</v>
      </c>
      <c r="S16" s="8">
        <v>0</v>
      </c>
      <c r="T16" s="9">
        <v>0</v>
      </c>
    </row>
    <row r="17" spans="1:20" x14ac:dyDescent="0.2">
      <c r="A17" s="5" t="s">
        <v>299</v>
      </c>
      <c r="B17" s="5" t="s">
        <v>69</v>
      </c>
      <c r="C17" s="10" t="s">
        <v>591</v>
      </c>
      <c r="D17" s="7">
        <f t="shared" si="0"/>
        <v>25.5</v>
      </c>
      <c r="E17" s="8">
        <v>0</v>
      </c>
      <c r="F17" s="5">
        <v>0</v>
      </c>
      <c r="G17" s="5">
        <v>0</v>
      </c>
      <c r="H17" s="5">
        <v>0</v>
      </c>
      <c r="I17" s="5">
        <v>0</v>
      </c>
      <c r="J17" s="9">
        <v>0</v>
      </c>
      <c r="K17" s="8">
        <v>0</v>
      </c>
      <c r="L17" s="5">
        <v>0</v>
      </c>
      <c r="M17" s="5">
        <v>0</v>
      </c>
      <c r="N17" s="9">
        <v>0</v>
      </c>
      <c r="O17" s="8">
        <v>10</v>
      </c>
      <c r="P17" s="5">
        <v>95</v>
      </c>
      <c r="Q17" s="5">
        <v>1</v>
      </c>
      <c r="R17" s="9">
        <v>0</v>
      </c>
      <c r="S17" s="8">
        <v>0</v>
      </c>
      <c r="T17" s="9">
        <v>0</v>
      </c>
    </row>
    <row r="18" spans="1:20" x14ac:dyDescent="0.2">
      <c r="A18" s="5" t="s">
        <v>161</v>
      </c>
      <c r="B18" s="5" t="s">
        <v>162</v>
      </c>
      <c r="C18" s="10" t="s">
        <v>596</v>
      </c>
      <c r="D18" s="7">
        <f t="shared" si="0"/>
        <v>25.200000000000003</v>
      </c>
      <c r="E18" s="8">
        <v>0</v>
      </c>
      <c r="F18" s="5">
        <v>0</v>
      </c>
      <c r="G18" s="5">
        <v>0</v>
      </c>
      <c r="H18" s="5">
        <v>0</v>
      </c>
      <c r="I18" s="5">
        <v>0</v>
      </c>
      <c r="J18" s="9">
        <v>0</v>
      </c>
      <c r="K18" s="8">
        <v>0</v>
      </c>
      <c r="L18" s="5">
        <v>0</v>
      </c>
      <c r="M18" s="5">
        <v>0</v>
      </c>
      <c r="N18" s="9">
        <v>0</v>
      </c>
      <c r="O18" s="8">
        <v>8</v>
      </c>
      <c r="P18" s="5">
        <v>112</v>
      </c>
      <c r="Q18" s="5">
        <v>1</v>
      </c>
      <c r="R18" s="9">
        <v>0</v>
      </c>
      <c r="S18" s="8">
        <v>0</v>
      </c>
      <c r="T18" s="9">
        <v>0</v>
      </c>
    </row>
    <row r="19" spans="1:20" x14ac:dyDescent="0.2">
      <c r="A19" s="5" t="s">
        <v>206</v>
      </c>
      <c r="B19" s="5" t="s">
        <v>162</v>
      </c>
      <c r="C19" s="17" t="s">
        <v>590</v>
      </c>
      <c r="D19" s="7">
        <f t="shared" si="0"/>
        <v>25.2</v>
      </c>
      <c r="E19" s="8">
        <v>0</v>
      </c>
      <c r="F19" s="5">
        <v>0</v>
      </c>
      <c r="G19" s="5">
        <v>0</v>
      </c>
      <c r="H19" s="5">
        <v>0</v>
      </c>
      <c r="I19" s="5">
        <v>0</v>
      </c>
      <c r="J19" s="9">
        <v>0</v>
      </c>
      <c r="K19" s="8">
        <v>2</v>
      </c>
      <c r="L19" s="5">
        <v>-8</v>
      </c>
      <c r="M19" s="5">
        <v>0</v>
      </c>
      <c r="N19" s="9">
        <v>0</v>
      </c>
      <c r="O19" s="8">
        <v>10</v>
      </c>
      <c r="P19" s="5">
        <v>100</v>
      </c>
      <c r="Q19" s="5">
        <v>1</v>
      </c>
      <c r="R19" s="9">
        <v>0</v>
      </c>
      <c r="S19" s="8">
        <v>0</v>
      </c>
      <c r="T19" s="9">
        <v>0</v>
      </c>
    </row>
    <row r="20" spans="1:20" x14ac:dyDescent="0.2">
      <c r="A20" s="5" t="s">
        <v>196</v>
      </c>
      <c r="B20" s="5" t="s">
        <v>162</v>
      </c>
      <c r="C20" s="10" t="s">
        <v>596</v>
      </c>
      <c r="D20" s="7">
        <f t="shared" si="0"/>
        <v>25.1</v>
      </c>
      <c r="E20" s="8">
        <v>0</v>
      </c>
      <c r="F20" s="5">
        <v>0</v>
      </c>
      <c r="G20" s="5">
        <v>0</v>
      </c>
      <c r="H20" s="5">
        <v>0</v>
      </c>
      <c r="I20" s="5">
        <v>0</v>
      </c>
      <c r="J20" s="9">
        <v>0</v>
      </c>
      <c r="K20" s="8">
        <v>0</v>
      </c>
      <c r="L20" s="5">
        <v>0</v>
      </c>
      <c r="M20" s="5">
        <v>0</v>
      </c>
      <c r="N20" s="9">
        <v>0</v>
      </c>
      <c r="O20" s="8">
        <v>7</v>
      </c>
      <c r="P20" s="5">
        <v>121</v>
      </c>
      <c r="Q20" s="5">
        <v>1</v>
      </c>
      <c r="R20" s="9">
        <v>0</v>
      </c>
      <c r="S20" s="8">
        <v>0</v>
      </c>
      <c r="T20" s="9">
        <v>0</v>
      </c>
    </row>
    <row r="21" spans="1:20" x14ac:dyDescent="0.2">
      <c r="A21" s="5" t="s">
        <v>203</v>
      </c>
      <c r="B21" s="5" t="s">
        <v>162</v>
      </c>
      <c r="C21" s="10" t="s">
        <v>588</v>
      </c>
      <c r="D21" s="7">
        <f t="shared" si="0"/>
        <v>24.8</v>
      </c>
      <c r="E21" s="8">
        <v>0</v>
      </c>
      <c r="F21" s="5">
        <v>0</v>
      </c>
      <c r="G21" s="5">
        <v>0</v>
      </c>
      <c r="H21" s="5">
        <v>0</v>
      </c>
      <c r="I21" s="5">
        <v>0</v>
      </c>
      <c r="J21" s="9">
        <v>0</v>
      </c>
      <c r="K21" s="8">
        <v>0</v>
      </c>
      <c r="L21" s="5">
        <v>0</v>
      </c>
      <c r="M21" s="5">
        <v>0</v>
      </c>
      <c r="N21" s="9">
        <v>0</v>
      </c>
      <c r="O21" s="8">
        <v>8</v>
      </c>
      <c r="P21" s="5">
        <v>108</v>
      </c>
      <c r="Q21" s="5">
        <v>1</v>
      </c>
      <c r="R21" s="9">
        <v>0</v>
      </c>
      <c r="S21" s="8">
        <v>0</v>
      </c>
      <c r="T21" s="9">
        <v>0</v>
      </c>
    </row>
    <row r="22" spans="1:20" x14ac:dyDescent="0.2">
      <c r="A22" s="5" t="s">
        <v>172</v>
      </c>
      <c r="B22" s="5" t="s">
        <v>162</v>
      </c>
      <c r="C22" s="17" t="s">
        <v>593</v>
      </c>
      <c r="D22" s="7">
        <f t="shared" si="0"/>
        <v>24.3</v>
      </c>
      <c r="E22" s="8">
        <v>0</v>
      </c>
      <c r="F22" s="5">
        <v>0</v>
      </c>
      <c r="G22" s="5">
        <v>0</v>
      </c>
      <c r="H22" s="5">
        <v>0</v>
      </c>
      <c r="I22" s="5">
        <v>0</v>
      </c>
      <c r="J22" s="9">
        <v>0</v>
      </c>
      <c r="K22" s="8">
        <v>0</v>
      </c>
      <c r="L22" s="5">
        <v>0</v>
      </c>
      <c r="M22" s="5">
        <v>0</v>
      </c>
      <c r="N22" s="9">
        <v>0</v>
      </c>
      <c r="O22" s="8">
        <v>3</v>
      </c>
      <c r="P22" s="5">
        <v>153</v>
      </c>
      <c r="Q22" s="5">
        <v>1</v>
      </c>
      <c r="R22" s="9">
        <v>0</v>
      </c>
      <c r="S22" s="8">
        <v>0</v>
      </c>
      <c r="T22" s="9">
        <v>0</v>
      </c>
    </row>
    <row r="23" spans="1:20" x14ac:dyDescent="0.2">
      <c r="A23" s="5" t="s">
        <v>25</v>
      </c>
      <c r="B23" s="5" t="s">
        <v>17</v>
      </c>
      <c r="C23" s="10" t="s">
        <v>597</v>
      </c>
      <c r="D23" s="7">
        <f t="shared" si="0"/>
        <v>24.020000000000003</v>
      </c>
      <c r="E23" s="8">
        <v>40</v>
      </c>
      <c r="F23" s="5">
        <v>31</v>
      </c>
      <c r="G23" s="5">
        <v>298</v>
      </c>
      <c r="H23" s="5">
        <v>3</v>
      </c>
      <c r="I23" s="5">
        <v>0</v>
      </c>
      <c r="J23" s="9">
        <v>0</v>
      </c>
      <c r="K23" s="8">
        <v>1</v>
      </c>
      <c r="L23" s="5">
        <v>1</v>
      </c>
      <c r="M23" s="5">
        <v>0</v>
      </c>
      <c r="N23" s="9">
        <v>0</v>
      </c>
      <c r="O23" s="8">
        <v>0</v>
      </c>
      <c r="P23" s="5">
        <v>0</v>
      </c>
      <c r="Q23" s="5">
        <v>0</v>
      </c>
      <c r="R23" s="9">
        <v>0</v>
      </c>
      <c r="S23" s="8">
        <v>0</v>
      </c>
      <c r="T23" s="9">
        <v>0</v>
      </c>
    </row>
    <row r="24" spans="1:20" x14ac:dyDescent="0.2">
      <c r="A24" s="5" t="s">
        <v>298</v>
      </c>
      <c r="B24" s="5" t="s">
        <v>69</v>
      </c>
      <c r="C24" s="10" t="s">
        <v>590</v>
      </c>
      <c r="D24" s="7">
        <f t="shared" si="0"/>
        <v>23.9</v>
      </c>
      <c r="E24" s="8">
        <v>0</v>
      </c>
      <c r="F24" s="5">
        <v>0</v>
      </c>
      <c r="G24" s="5">
        <v>0</v>
      </c>
      <c r="H24" s="5">
        <v>0</v>
      </c>
      <c r="I24" s="5">
        <v>0</v>
      </c>
      <c r="J24" s="9">
        <v>0</v>
      </c>
      <c r="K24" s="8">
        <v>0</v>
      </c>
      <c r="L24" s="5">
        <v>0</v>
      </c>
      <c r="M24" s="5">
        <v>0</v>
      </c>
      <c r="N24" s="9">
        <v>0</v>
      </c>
      <c r="O24" s="8">
        <v>9</v>
      </c>
      <c r="P24" s="5">
        <v>149</v>
      </c>
      <c r="Q24" s="5">
        <v>0</v>
      </c>
      <c r="R24" s="9">
        <v>0</v>
      </c>
      <c r="S24" s="8">
        <v>0</v>
      </c>
      <c r="T24" s="9">
        <v>0</v>
      </c>
    </row>
    <row r="25" spans="1:20" x14ac:dyDescent="0.2">
      <c r="A25" s="5" t="s">
        <v>230</v>
      </c>
      <c r="B25" s="5" t="s">
        <v>162</v>
      </c>
      <c r="C25" s="10" t="s">
        <v>592</v>
      </c>
      <c r="D25" s="7">
        <f t="shared" si="0"/>
        <v>23.700000000000003</v>
      </c>
      <c r="E25" s="8">
        <v>0</v>
      </c>
      <c r="F25" s="5">
        <v>0</v>
      </c>
      <c r="G25" s="5">
        <v>0</v>
      </c>
      <c r="H25" s="5">
        <v>0</v>
      </c>
      <c r="I25" s="5">
        <v>0</v>
      </c>
      <c r="J25" s="9">
        <v>0</v>
      </c>
      <c r="K25" s="8">
        <v>0</v>
      </c>
      <c r="L25" s="5">
        <v>0</v>
      </c>
      <c r="M25" s="5">
        <v>0</v>
      </c>
      <c r="N25" s="9">
        <v>0</v>
      </c>
      <c r="O25" s="8">
        <v>9</v>
      </c>
      <c r="P25" s="5">
        <v>87</v>
      </c>
      <c r="Q25" s="5">
        <v>1</v>
      </c>
      <c r="R25" s="9">
        <v>0</v>
      </c>
      <c r="S25" s="8">
        <v>0</v>
      </c>
      <c r="T25" s="9">
        <v>0</v>
      </c>
    </row>
    <row r="26" spans="1:20" x14ac:dyDescent="0.2">
      <c r="A26" s="5" t="s">
        <v>76</v>
      </c>
      <c r="B26" s="5" t="s">
        <v>75</v>
      </c>
      <c r="C26" s="10" t="s">
        <v>597</v>
      </c>
      <c r="D26" s="7">
        <f t="shared" si="0"/>
        <v>23.3</v>
      </c>
      <c r="E26" s="8">
        <v>0</v>
      </c>
      <c r="F26" s="5">
        <v>0</v>
      </c>
      <c r="G26" s="5">
        <v>0</v>
      </c>
      <c r="H26" s="5">
        <v>0</v>
      </c>
      <c r="I26" s="5">
        <v>0</v>
      </c>
      <c r="J26" s="9">
        <v>0</v>
      </c>
      <c r="K26" s="8">
        <v>15</v>
      </c>
      <c r="L26" s="5">
        <v>29</v>
      </c>
      <c r="M26" s="5">
        <v>0</v>
      </c>
      <c r="N26" s="9">
        <v>0</v>
      </c>
      <c r="O26" s="8">
        <v>7</v>
      </c>
      <c r="P26" s="5">
        <v>94</v>
      </c>
      <c r="Q26" s="5">
        <v>1</v>
      </c>
      <c r="R26" s="9">
        <v>0</v>
      </c>
      <c r="S26" s="8">
        <v>1</v>
      </c>
      <c r="T26" s="9">
        <v>0</v>
      </c>
    </row>
    <row r="27" spans="1:20" x14ac:dyDescent="0.2">
      <c r="A27" s="5" t="s">
        <v>63</v>
      </c>
      <c r="B27" s="5" t="s">
        <v>17</v>
      </c>
      <c r="C27" s="17" t="s">
        <v>591</v>
      </c>
      <c r="D27" s="7">
        <f t="shared" si="0"/>
        <v>22.92</v>
      </c>
      <c r="E27" s="8">
        <v>37</v>
      </c>
      <c r="F27" s="5">
        <v>25</v>
      </c>
      <c r="G27" s="5">
        <v>208</v>
      </c>
      <c r="H27" s="5">
        <v>2</v>
      </c>
      <c r="I27" s="5">
        <v>2</v>
      </c>
      <c r="J27" s="9">
        <v>0</v>
      </c>
      <c r="K27" s="8">
        <v>6</v>
      </c>
      <c r="L27" s="5">
        <v>26</v>
      </c>
      <c r="M27" s="5">
        <v>1</v>
      </c>
      <c r="N27" s="9">
        <v>1</v>
      </c>
      <c r="O27" s="8">
        <v>0</v>
      </c>
      <c r="P27" s="5">
        <v>0</v>
      </c>
      <c r="Q27" s="5">
        <v>0</v>
      </c>
      <c r="R27" s="9">
        <v>0</v>
      </c>
      <c r="S27" s="8">
        <v>0</v>
      </c>
      <c r="T27" s="9">
        <v>0</v>
      </c>
    </row>
    <row r="28" spans="1:20" x14ac:dyDescent="0.2">
      <c r="A28" s="5" t="s">
        <v>177</v>
      </c>
      <c r="B28" s="5" t="s">
        <v>162</v>
      </c>
      <c r="C28" s="17" t="s">
        <v>588</v>
      </c>
      <c r="D28" s="7">
        <f t="shared" si="0"/>
        <v>22.9</v>
      </c>
      <c r="E28" s="8">
        <v>0</v>
      </c>
      <c r="F28" s="5">
        <v>0</v>
      </c>
      <c r="G28" s="5">
        <v>0</v>
      </c>
      <c r="H28" s="5">
        <v>0</v>
      </c>
      <c r="I28" s="5">
        <v>0</v>
      </c>
      <c r="J28" s="9">
        <v>0</v>
      </c>
      <c r="K28" s="8">
        <v>0</v>
      </c>
      <c r="L28" s="5">
        <v>0</v>
      </c>
      <c r="M28" s="5">
        <v>0</v>
      </c>
      <c r="N28" s="9">
        <v>0</v>
      </c>
      <c r="O28" s="8">
        <v>7</v>
      </c>
      <c r="P28" s="5">
        <v>99</v>
      </c>
      <c r="Q28" s="5">
        <v>1</v>
      </c>
      <c r="R28" s="9">
        <v>0</v>
      </c>
      <c r="S28" s="8">
        <v>0</v>
      </c>
      <c r="T28" s="9">
        <v>0</v>
      </c>
    </row>
    <row r="29" spans="1:20" x14ac:dyDescent="0.2">
      <c r="A29" s="5" t="s">
        <v>517</v>
      </c>
      <c r="B29" s="5" t="s">
        <v>162</v>
      </c>
      <c r="C29" s="10" t="s">
        <v>588</v>
      </c>
      <c r="D29" s="7">
        <f t="shared" si="0"/>
        <v>22.5</v>
      </c>
      <c r="E29" s="8">
        <v>0</v>
      </c>
      <c r="F29" s="5">
        <v>0</v>
      </c>
      <c r="G29" s="5">
        <v>0</v>
      </c>
      <c r="H29" s="5">
        <v>0</v>
      </c>
      <c r="I29" s="5">
        <v>0</v>
      </c>
      <c r="J29" s="9">
        <v>0</v>
      </c>
      <c r="K29" s="8">
        <v>0</v>
      </c>
      <c r="L29" s="5">
        <v>0</v>
      </c>
      <c r="M29" s="5">
        <v>0</v>
      </c>
      <c r="N29" s="9">
        <v>0</v>
      </c>
      <c r="O29" s="8">
        <v>7</v>
      </c>
      <c r="P29" s="5">
        <v>95</v>
      </c>
      <c r="Q29" s="5">
        <v>1</v>
      </c>
      <c r="R29" s="9">
        <v>0</v>
      </c>
      <c r="S29" s="8">
        <v>0</v>
      </c>
      <c r="T29" s="9">
        <v>0</v>
      </c>
    </row>
    <row r="30" spans="1:20" x14ac:dyDescent="0.2">
      <c r="A30" s="5" t="s">
        <v>68</v>
      </c>
      <c r="B30" s="5" t="s">
        <v>69</v>
      </c>
      <c r="C30" s="17" t="s">
        <v>593</v>
      </c>
      <c r="D30" s="7">
        <f t="shared" si="0"/>
        <v>22.46</v>
      </c>
      <c r="E30" s="8">
        <v>2</v>
      </c>
      <c r="F30" s="5">
        <v>1</v>
      </c>
      <c r="G30" s="5">
        <v>44</v>
      </c>
      <c r="H30" s="5">
        <v>0</v>
      </c>
      <c r="I30" s="5">
        <v>0</v>
      </c>
      <c r="J30" s="9">
        <v>0</v>
      </c>
      <c r="K30" s="8">
        <v>9</v>
      </c>
      <c r="L30" s="5">
        <v>63</v>
      </c>
      <c r="M30" s="5">
        <v>2</v>
      </c>
      <c r="N30" s="9">
        <v>0</v>
      </c>
      <c r="O30" s="8">
        <v>1</v>
      </c>
      <c r="P30" s="5">
        <v>14</v>
      </c>
      <c r="Q30" s="5">
        <v>0</v>
      </c>
      <c r="R30" s="9">
        <v>0</v>
      </c>
      <c r="S30" s="8">
        <v>0</v>
      </c>
      <c r="T30" s="9">
        <v>0</v>
      </c>
    </row>
    <row r="31" spans="1:20" x14ac:dyDescent="0.2">
      <c r="A31" s="5" t="s">
        <v>241</v>
      </c>
      <c r="B31" s="5" t="s">
        <v>162</v>
      </c>
      <c r="C31" s="10" t="s">
        <v>598</v>
      </c>
      <c r="D31" s="7">
        <f t="shared" si="0"/>
        <v>22.1</v>
      </c>
      <c r="E31" s="8">
        <v>0</v>
      </c>
      <c r="F31" s="5">
        <v>0</v>
      </c>
      <c r="G31" s="5">
        <v>0</v>
      </c>
      <c r="H31" s="5">
        <v>0</v>
      </c>
      <c r="I31" s="5">
        <v>0</v>
      </c>
      <c r="J31" s="9">
        <v>0</v>
      </c>
      <c r="K31" s="8">
        <v>0</v>
      </c>
      <c r="L31" s="5">
        <v>0</v>
      </c>
      <c r="M31" s="5">
        <v>0</v>
      </c>
      <c r="N31" s="9">
        <v>0</v>
      </c>
      <c r="O31" s="8">
        <v>8</v>
      </c>
      <c r="P31" s="5">
        <v>81</v>
      </c>
      <c r="Q31" s="5">
        <v>1</v>
      </c>
      <c r="R31" s="9">
        <v>0</v>
      </c>
      <c r="S31" s="8">
        <v>0</v>
      </c>
      <c r="T31" s="9">
        <v>0</v>
      </c>
    </row>
    <row r="32" spans="1:20" x14ac:dyDescent="0.2">
      <c r="A32" s="5" t="s">
        <v>16</v>
      </c>
      <c r="B32" s="5" t="s">
        <v>17</v>
      </c>
      <c r="C32" s="10" t="s">
        <v>596</v>
      </c>
      <c r="D32" s="7">
        <f t="shared" si="0"/>
        <v>21.76</v>
      </c>
      <c r="E32" s="8">
        <v>45</v>
      </c>
      <c r="F32" s="5">
        <v>30</v>
      </c>
      <c r="G32" s="5">
        <v>324</v>
      </c>
      <c r="H32" s="5">
        <v>3</v>
      </c>
      <c r="I32" s="5">
        <v>1</v>
      </c>
      <c r="J32" s="9">
        <v>0</v>
      </c>
      <c r="K32" s="8">
        <v>6</v>
      </c>
      <c r="L32" s="5">
        <v>8</v>
      </c>
      <c r="M32" s="5">
        <v>0</v>
      </c>
      <c r="N32" s="9">
        <v>0</v>
      </c>
      <c r="O32" s="8">
        <v>0</v>
      </c>
      <c r="P32" s="5">
        <v>0</v>
      </c>
      <c r="Q32" s="5">
        <v>0</v>
      </c>
      <c r="R32" s="9">
        <v>0</v>
      </c>
      <c r="S32" s="8">
        <v>1</v>
      </c>
      <c r="T32" s="9">
        <v>0</v>
      </c>
    </row>
    <row r="33" spans="1:20" x14ac:dyDescent="0.2">
      <c r="A33" s="5" t="s">
        <v>178</v>
      </c>
      <c r="B33" s="5" t="s">
        <v>162</v>
      </c>
      <c r="C33" s="17" t="s">
        <v>599</v>
      </c>
      <c r="D33" s="7">
        <f t="shared" si="0"/>
        <v>21.400000000000002</v>
      </c>
      <c r="E33" s="8">
        <v>0</v>
      </c>
      <c r="F33" s="5">
        <v>0</v>
      </c>
      <c r="G33" s="5">
        <v>0</v>
      </c>
      <c r="H33" s="5">
        <v>0</v>
      </c>
      <c r="I33" s="5">
        <v>0</v>
      </c>
      <c r="J33" s="9">
        <v>0</v>
      </c>
      <c r="K33" s="8">
        <v>1</v>
      </c>
      <c r="L33" s="5">
        <v>2</v>
      </c>
      <c r="M33" s="5">
        <v>0</v>
      </c>
      <c r="N33" s="9">
        <v>0</v>
      </c>
      <c r="O33" s="8">
        <v>7</v>
      </c>
      <c r="P33" s="5">
        <v>82</v>
      </c>
      <c r="Q33" s="5">
        <v>1</v>
      </c>
      <c r="R33" s="9">
        <v>0</v>
      </c>
      <c r="S33" s="8">
        <v>0</v>
      </c>
      <c r="T33" s="9">
        <v>0</v>
      </c>
    </row>
    <row r="34" spans="1:20" x14ac:dyDescent="0.2">
      <c r="A34" s="5" t="s">
        <v>37</v>
      </c>
      <c r="B34" s="5" t="s">
        <v>17</v>
      </c>
      <c r="C34" s="17" t="s">
        <v>592</v>
      </c>
      <c r="D34" s="7">
        <f t="shared" si="0"/>
        <v>21.38</v>
      </c>
      <c r="E34" s="8">
        <v>42</v>
      </c>
      <c r="F34" s="5">
        <v>25</v>
      </c>
      <c r="G34" s="5">
        <v>237</v>
      </c>
      <c r="H34" s="5">
        <v>2</v>
      </c>
      <c r="I34" s="5">
        <v>0</v>
      </c>
      <c r="J34" s="9">
        <v>1</v>
      </c>
      <c r="K34" s="8">
        <v>3</v>
      </c>
      <c r="L34" s="5">
        <v>19</v>
      </c>
      <c r="M34" s="5">
        <v>0</v>
      </c>
      <c r="N34" s="9">
        <v>0</v>
      </c>
      <c r="O34" s="8">
        <v>0</v>
      </c>
      <c r="P34" s="5">
        <v>0</v>
      </c>
      <c r="Q34" s="5">
        <v>0</v>
      </c>
      <c r="R34" s="9">
        <v>0</v>
      </c>
      <c r="S34" s="8">
        <v>0</v>
      </c>
      <c r="T34" s="9">
        <v>0</v>
      </c>
    </row>
    <row r="35" spans="1:20" x14ac:dyDescent="0.2">
      <c r="A35" s="5" t="s">
        <v>85</v>
      </c>
      <c r="B35" s="5" t="s">
        <v>75</v>
      </c>
      <c r="C35" s="17" t="s">
        <v>600</v>
      </c>
      <c r="D35" s="7">
        <f t="shared" si="0"/>
        <v>21.3</v>
      </c>
      <c r="E35" s="8">
        <v>0</v>
      </c>
      <c r="F35" s="5">
        <v>0</v>
      </c>
      <c r="G35" s="5">
        <v>0</v>
      </c>
      <c r="H35" s="5">
        <v>0</v>
      </c>
      <c r="I35" s="5">
        <v>0</v>
      </c>
      <c r="J35" s="9">
        <v>0</v>
      </c>
      <c r="K35" s="8">
        <v>12</v>
      </c>
      <c r="L35" s="5">
        <v>17</v>
      </c>
      <c r="M35" s="5">
        <v>0</v>
      </c>
      <c r="N35" s="9">
        <v>0</v>
      </c>
      <c r="O35" s="8">
        <v>6</v>
      </c>
      <c r="P35" s="5">
        <v>76</v>
      </c>
      <c r="Q35" s="5">
        <v>1</v>
      </c>
      <c r="R35" s="9">
        <v>0</v>
      </c>
      <c r="S35" s="8">
        <v>0</v>
      </c>
      <c r="T35" s="9">
        <v>0</v>
      </c>
    </row>
    <row r="36" spans="1:20" x14ac:dyDescent="0.2">
      <c r="A36" s="5" t="s">
        <v>273</v>
      </c>
      <c r="B36" s="5" t="s">
        <v>69</v>
      </c>
      <c r="C36" s="17" t="s">
        <v>599</v>
      </c>
      <c r="D36" s="7">
        <f t="shared" si="0"/>
        <v>20.8</v>
      </c>
      <c r="E36" s="8">
        <v>0</v>
      </c>
      <c r="F36" s="5">
        <v>0</v>
      </c>
      <c r="G36" s="5">
        <v>0</v>
      </c>
      <c r="H36" s="5">
        <v>0</v>
      </c>
      <c r="I36" s="5">
        <v>0</v>
      </c>
      <c r="J36" s="9">
        <v>0</v>
      </c>
      <c r="K36" s="8">
        <v>0</v>
      </c>
      <c r="L36" s="5">
        <v>0</v>
      </c>
      <c r="M36" s="5">
        <v>0</v>
      </c>
      <c r="N36" s="9">
        <v>0</v>
      </c>
      <c r="O36" s="8">
        <v>6</v>
      </c>
      <c r="P36" s="5">
        <v>88</v>
      </c>
      <c r="Q36" s="5">
        <v>1</v>
      </c>
      <c r="R36" s="9">
        <v>0</v>
      </c>
      <c r="S36" s="8">
        <v>0</v>
      </c>
      <c r="T36" s="9">
        <v>0</v>
      </c>
    </row>
    <row r="37" spans="1:20" x14ac:dyDescent="0.2">
      <c r="A37" s="5" t="s">
        <v>103</v>
      </c>
      <c r="B37" s="5" t="s">
        <v>75</v>
      </c>
      <c r="C37" s="17" t="s">
        <v>590</v>
      </c>
      <c r="D37" s="7">
        <f t="shared" si="0"/>
        <v>20.000000000000004</v>
      </c>
      <c r="E37" s="8">
        <v>0</v>
      </c>
      <c r="F37" s="5">
        <v>0</v>
      </c>
      <c r="G37" s="5">
        <v>0</v>
      </c>
      <c r="H37" s="5">
        <v>0</v>
      </c>
      <c r="I37" s="5">
        <v>0</v>
      </c>
      <c r="J37" s="9">
        <v>0</v>
      </c>
      <c r="K37" s="8">
        <v>16</v>
      </c>
      <c r="L37" s="5">
        <v>87</v>
      </c>
      <c r="M37" s="5">
        <v>1</v>
      </c>
      <c r="N37" s="9">
        <v>0</v>
      </c>
      <c r="O37" s="8">
        <v>3</v>
      </c>
      <c r="P37" s="5">
        <v>23</v>
      </c>
      <c r="Q37" s="5">
        <v>0</v>
      </c>
      <c r="R37" s="9">
        <v>0</v>
      </c>
      <c r="S37" s="8">
        <v>0</v>
      </c>
      <c r="T37" s="9">
        <v>0</v>
      </c>
    </row>
    <row r="38" spans="1:20" x14ac:dyDescent="0.2">
      <c r="A38" s="5" t="s">
        <v>30</v>
      </c>
      <c r="B38" s="5" t="s">
        <v>17</v>
      </c>
      <c r="C38" s="17" t="s">
        <v>599</v>
      </c>
      <c r="D38" s="7">
        <f t="shared" si="0"/>
        <v>19.86</v>
      </c>
      <c r="E38" s="8">
        <v>31</v>
      </c>
      <c r="F38" s="5">
        <v>23</v>
      </c>
      <c r="G38" s="5">
        <v>274</v>
      </c>
      <c r="H38" s="5">
        <v>2</v>
      </c>
      <c r="I38" s="5">
        <v>0</v>
      </c>
      <c r="J38" s="9">
        <v>0</v>
      </c>
      <c r="K38" s="8">
        <v>2</v>
      </c>
      <c r="L38" s="5">
        <v>9</v>
      </c>
      <c r="M38" s="5">
        <v>0</v>
      </c>
      <c r="N38" s="9">
        <v>0</v>
      </c>
      <c r="O38" s="8">
        <v>0</v>
      </c>
      <c r="P38" s="5">
        <v>0</v>
      </c>
      <c r="Q38" s="5">
        <v>0</v>
      </c>
      <c r="R38" s="9">
        <v>0</v>
      </c>
      <c r="S38" s="8">
        <v>0</v>
      </c>
      <c r="T38" s="9">
        <v>0</v>
      </c>
    </row>
    <row r="39" spans="1:20" x14ac:dyDescent="0.2">
      <c r="A39" s="5" t="s">
        <v>280</v>
      </c>
      <c r="B39" s="5" t="s">
        <v>69</v>
      </c>
      <c r="C39" s="10" t="s">
        <v>589</v>
      </c>
      <c r="D39" s="7">
        <f t="shared" si="0"/>
        <v>19.7</v>
      </c>
      <c r="E39" s="8">
        <v>0</v>
      </c>
      <c r="F39" s="5">
        <v>0</v>
      </c>
      <c r="G39" s="5">
        <v>0</v>
      </c>
      <c r="H39" s="5">
        <v>0</v>
      </c>
      <c r="I39" s="5">
        <v>0</v>
      </c>
      <c r="J39" s="9">
        <v>0</v>
      </c>
      <c r="K39" s="8">
        <v>0</v>
      </c>
      <c r="L39" s="5">
        <v>0</v>
      </c>
      <c r="M39" s="5">
        <v>0</v>
      </c>
      <c r="N39" s="9">
        <v>0</v>
      </c>
      <c r="O39" s="8">
        <v>8</v>
      </c>
      <c r="P39" s="5">
        <v>57</v>
      </c>
      <c r="Q39" s="5">
        <v>1</v>
      </c>
      <c r="R39" s="9">
        <v>0</v>
      </c>
      <c r="S39" s="8">
        <v>0</v>
      </c>
      <c r="T39" s="9">
        <v>0</v>
      </c>
    </row>
    <row r="40" spans="1:20" x14ac:dyDescent="0.2">
      <c r="A40" s="5" t="s">
        <v>105</v>
      </c>
      <c r="B40" s="5" t="s">
        <v>75</v>
      </c>
      <c r="C40" s="10" t="s">
        <v>601</v>
      </c>
      <c r="D40" s="7">
        <f t="shared" si="0"/>
        <v>18.8</v>
      </c>
      <c r="E40" s="8">
        <v>0</v>
      </c>
      <c r="F40" s="5">
        <v>0</v>
      </c>
      <c r="G40" s="5">
        <v>0</v>
      </c>
      <c r="H40" s="5">
        <v>0</v>
      </c>
      <c r="I40" s="5">
        <v>0</v>
      </c>
      <c r="J40" s="9">
        <v>0</v>
      </c>
      <c r="K40" s="8">
        <v>27</v>
      </c>
      <c r="L40" s="5">
        <v>85</v>
      </c>
      <c r="M40" s="5">
        <v>0</v>
      </c>
      <c r="N40" s="9">
        <v>0</v>
      </c>
      <c r="O40" s="8">
        <v>3</v>
      </c>
      <c r="P40" s="5">
        <v>13</v>
      </c>
      <c r="Q40" s="5">
        <v>1</v>
      </c>
      <c r="R40" s="9">
        <v>0</v>
      </c>
      <c r="S40" s="8">
        <v>0</v>
      </c>
      <c r="T40" s="9">
        <v>0</v>
      </c>
    </row>
    <row r="41" spans="1:20" x14ac:dyDescent="0.2">
      <c r="A41" s="5" t="s">
        <v>33</v>
      </c>
      <c r="B41" s="5" t="s">
        <v>17</v>
      </c>
      <c r="C41" s="10" t="s">
        <v>590</v>
      </c>
      <c r="D41" s="7">
        <f t="shared" si="0"/>
        <v>18.3</v>
      </c>
      <c r="E41" s="8">
        <v>31</v>
      </c>
      <c r="F41" s="5">
        <v>22</v>
      </c>
      <c r="G41" s="5">
        <v>365</v>
      </c>
      <c r="H41" s="5">
        <v>1</v>
      </c>
      <c r="I41" s="5">
        <v>2</v>
      </c>
      <c r="J41" s="9">
        <v>0</v>
      </c>
      <c r="K41" s="8">
        <v>6</v>
      </c>
      <c r="L41" s="5">
        <v>57</v>
      </c>
      <c r="M41" s="5">
        <v>0</v>
      </c>
      <c r="N41" s="9">
        <v>0</v>
      </c>
      <c r="O41" s="8">
        <v>0</v>
      </c>
      <c r="P41" s="5">
        <v>0</v>
      </c>
      <c r="Q41" s="5">
        <v>0</v>
      </c>
      <c r="R41" s="9">
        <v>0</v>
      </c>
      <c r="S41" s="8">
        <v>1</v>
      </c>
      <c r="T41" s="9">
        <v>0</v>
      </c>
    </row>
    <row r="42" spans="1:20" x14ac:dyDescent="0.2">
      <c r="A42" s="5" t="s">
        <v>41</v>
      </c>
      <c r="B42" s="5" t="s">
        <v>17</v>
      </c>
      <c r="C42" s="17" t="s">
        <v>593</v>
      </c>
      <c r="D42" s="7">
        <f t="shared" si="0"/>
        <v>18.299999999999997</v>
      </c>
      <c r="E42" s="8">
        <v>27</v>
      </c>
      <c r="F42" s="5">
        <v>19</v>
      </c>
      <c r="G42" s="5">
        <v>310</v>
      </c>
      <c r="H42" s="5">
        <v>2</v>
      </c>
      <c r="I42" s="5">
        <v>0</v>
      </c>
      <c r="J42" s="9">
        <v>0</v>
      </c>
      <c r="K42" s="8">
        <v>1</v>
      </c>
      <c r="L42" s="5">
        <v>-1</v>
      </c>
      <c r="M42" s="5">
        <v>0</v>
      </c>
      <c r="N42" s="9">
        <v>0</v>
      </c>
      <c r="O42" s="8">
        <v>0</v>
      </c>
      <c r="P42" s="5">
        <v>0</v>
      </c>
      <c r="Q42" s="5">
        <v>0</v>
      </c>
      <c r="R42" s="9">
        <v>0</v>
      </c>
      <c r="S42" s="8">
        <v>1</v>
      </c>
      <c r="T42" s="9">
        <v>0</v>
      </c>
    </row>
    <row r="43" spans="1:20" x14ac:dyDescent="0.2">
      <c r="A43" s="5" t="s">
        <v>169</v>
      </c>
      <c r="B43" s="5" t="s">
        <v>162</v>
      </c>
      <c r="C43" s="10" t="s">
        <v>593</v>
      </c>
      <c r="D43" s="7">
        <f t="shared" si="0"/>
        <v>18</v>
      </c>
      <c r="E43" s="8">
        <v>0</v>
      </c>
      <c r="F43" s="5">
        <v>0</v>
      </c>
      <c r="G43" s="5">
        <v>0</v>
      </c>
      <c r="H43" s="5">
        <v>0</v>
      </c>
      <c r="I43" s="5">
        <v>0</v>
      </c>
      <c r="J43" s="9">
        <v>0</v>
      </c>
      <c r="K43" s="8">
        <v>0</v>
      </c>
      <c r="L43" s="5">
        <v>0</v>
      </c>
      <c r="M43" s="5">
        <v>0</v>
      </c>
      <c r="N43" s="9">
        <v>0</v>
      </c>
      <c r="O43" s="8">
        <v>8</v>
      </c>
      <c r="P43" s="5">
        <v>40</v>
      </c>
      <c r="Q43" s="5">
        <v>1</v>
      </c>
      <c r="R43" s="9">
        <v>0</v>
      </c>
      <c r="S43" s="8">
        <v>0</v>
      </c>
      <c r="T43" s="9">
        <v>0</v>
      </c>
    </row>
    <row r="44" spans="1:20" x14ac:dyDescent="0.2">
      <c r="A44" s="5" t="s">
        <v>114</v>
      </c>
      <c r="B44" s="5" t="s">
        <v>75</v>
      </c>
      <c r="C44" s="17" t="s">
        <v>592</v>
      </c>
      <c r="D44" s="7">
        <f t="shared" si="0"/>
        <v>17.899999999999999</v>
      </c>
      <c r="E44" s="8">
        <v>0</v>
      </c>
      <c r="F44" s="5">
        <v>0</v>
      </c>
      <c r="G44" s="5">
        <v>0</v>
      </c>
      <c r="H44" s="5">
        <v>0</v>
      </c>
      <c r="I44" s="5">
        <v>0</v>
      </c>
      <c r="J44" s="9">
        <v>0</v>
      </c>
      <c r="K44" s="8">
        <v>9</v>
      </c>
      <c r="L44" s="5">
        <v>39</v>
      </c>
      <c r="M44" s="5">
        <v>0</v>
      </c>
      <c r="N44" s="9">
        <v>0</v>
      </c>
      <c r="O44" s="8">
        <v>7</v>
      </c>
      <c r="P44" s="5">
        <v>70</v>
      </c>
      <c r="Q44" s="5">
        <v>0</v>
      </c>
      <c r="R44" s="9">
        <v>0</v>
      </c>
      <c r="S44" s="8">
        <v>0</v>
      </c>
      <c r="T44" s="9">
        <v>0</v>
      </c>
    </row>
    <row r="45" spans="1:20" x14ac:dyDescent="0.2">
      <c r="A45" s="5" t="s">
        <v>224</v>
      </c>
      <c r="B45" s="5" t="s">
        <v>162</v>
      </c>
      <c r="C45" s="17" t="s">
        <v>599</v>
      </c>
      <c r="D45" s="7">
        <f t="shared" si="0"/>
        <v>17.899999999999999</v>
      </c>
      <c r="E45" s="8">
        <v>0</v>
      </c>
      <c r="F45" s="5">
        <v>0</v>
      </c>
      <c r="G45" s="5">
        <v>0</v>
      </c>
      <c r="H45" s="5">
        <v>0</v>
      </c>
      <c r="I45" s="5">
        <v>0</v>
      </c>
      <c r="J45" s="9">
        <v>0</v>
      </c>
      <c r="K45" s="8">
        <v>0</v>
      </c>
      <c r="L45" s="5">
        <v>0</v>
      </c>
      <c r="M45" s="5">
        <v>0</v>
      </c>
      <c r="N45" s="9">
        <v>0</v>
      </c>
      <c r="O45" s="8">
        <v>8</v>
      </c>
      <c r="P45" s="5">
        <v>99</v>
      </c>
      <c r="Q45" s="5">
        <v>0</v>
      </c>
      <c r="R45" s="9">
        <v>0</v>
      </c>
      <c r="S45" s="8">
        <v>0</v>
      </c>
      <c r="T45" s="9">
        <v>0</v>
      </c>
    </row>
    <row r="46" spans="1:20" x14ac:dyDescent="0.2">
      <c r="A46" s="5" t="s">
        <v>277</v>
      </c>
      <c r="B46" s="5" t="s">
        <v>69</v>
      </c>
      <c r="C46" s="17" t="s">
        <v>597</v>
      </c>
      <c r="D46" s="7">
        <f t="shared" si="0"/>
        <v>17.899999999999999</v>
      </c>
      <c r="E46" s="8">
        <v>0</v>
      </c>
      <c r="F46" s="5">
        <v>0</v>
      </c>
      <c r="G46" s="5">
        <v>0</v>
      </c>
      <c r="H46" s="5">
        <v>0</v>
      </c>
      <c r="I46" s="5">
        <v>0</v>
      </c>
      <c r="J46" s="9">
        <v>0</v>
      </c>
      <c r="K46" s="8">
        <v>0</v>
      </c>
      <c r="L46" s="5">
        <v>0</v>
      </c>
      <c r="M46" s="5">
        <v>0</v>
      </c>
      <c r="N46" s="9">
        <v>0</v>
      </c>
      <c r="O46" s="8">
        <v>10</v>
      </c>
      <c r="P46" s="5">
        <v>79</v>
      </c>
      <c r="Q46" s="5">
        <v>0</v>
      </c>
      <c r="R46" s="9">
        <v>0</v>
      </c>
      <c r="S46" s="8">
        <v>0</v>
      </c>
      <c r="T46" s="9">
        <v>0</v>
      </c>
    </row>
    <row r="47" spans="1:20" x14ac:dyDescent="0.2">
      <c r="A47" s="5" t="s">
        <v>198</v>
      </c>
      <c r="B47" s="5" t="s">
        <v>162</v>
      </c>
      <c r="C47" s="17" t="s">
        <v>592</v>
      </c>
      <c r="D47" s="7">
        <f t="shared" si="0"/>
        <v>17.8</v>
      </c>
      <c r="E47" s="8">
        <v>0</v>
      </c>
      <c r="F47" s="5">
        <v>0</v>
      </c>
      <c r="G47" s="5">
        <v>0</v>
      </c>
      <c r="H47" s="5">
        <v>0</v>
      </c>
      <c r="I47" s="5">
        <v>0</v>
      </c>
      <c r="J47" s="9">
        <v>0</v>
      </c>
      <c r="K47" s="8">
        <v>1</v>
      </c>
      <c r="L47" s="5">
        <v>14</v>
      </c>
      <c r="M47" s="5">
        <v>0</v>
      </c>
      <c r="N47" s="9">
        <v>0</v>
      </c>
      <c r="O47" s="8">
        <v>5</v>
      </c>
      <c r="P47" s="5">
        <v>54</v>
      </c>
      <c r="Q47" s="5">
        <v>1</v>
      </c>
      <c r="R47" s="9">
        <v>0</v>
      </c>
      <c r="S47" s="8">
        <v>0</v>
      </c>
      <c r="T47" s="9">
        <v>0</v>
      </c>
    </row>
    <row r="48" spans="1:20" x14ac:dyDescent="0.2">
      <c r="A48" s="5" t="s">
        <v>300</v>
      </c>
      <c r="B48" s="5" t="s">
        <v>69</v>
      </c>
      <c r="C48" s="17" t="s">
        <v>598</v>
      </c>
      <c r="D48" s="7">
        <f t="shared" si="0"/>
        <v>17.7</v>
      </c>
      <c r="E48" s="8">
        <v>0</v>
      </c>
      <c r="F48" s="5">
        <v>0</v>
      </c>
      <c r="G48" s="5">
        <v>0</v>
      </c>
      <c r="H48" s="5">
        <v>0</v>
      </c>
      <c r="I48" s="5">
        <v>0</v>
      </c>
      <c r="J48" s="9">
        <v>0</v>
      </c>
      <c r="K48" s="8">
        <v>0</v>
      </c>
      <c r="L48" s="5">
        <v>0</v>
      </c>
      <c r="M48" s="5">
        <v>0</v>
      </c>
      <c r="N48" s="9">
        <v>0</v>
      </c>
      <c r="O48" s="8">
        <v>4</v>
      </c>
      <c r="P48" s="5">
        <v>77</v>
      </c>
      <c r="Q48" s="5">
        <v>1</v>
      </c>
      <c r="R48" s="9">
        <v>0</v>
      </c>
      <c r="S48" s="8">
        <v>0</v>
      </c>
      <c r="T48" s="9">
        <v>0</v>
      </c>
    </row>
    <row r="49" spans="1:20" x14ac:dyDescent="0.2">
      <c r="A49" s="5" t="s">
        <v>184</v>
      </c>
      <c r="B49" s="5" t="s">
        <v>162</v>
      </c>
      <c r="C49" s="17" t="s">
        <v>600</v>
      </c>
      <c r="D49" s="7">
        <f t="shared" si="0"/>
        <v>17.600000000000001</v>
      </c>
      <c r="E49" s="8">
        <v>0</v>
      </c>
      <c r="F49" s="5">
        <v>0</v>
      </c>
      <c r="G49" s="5">
        <v>0</v>
      </c>
      <c r="H49" s="5">
        <v>0</v>
      </c>
      <c r="I49" s="5">
        <v>0</v>
      </c>
      <c r="J49" s="9">
        <v>0</v>
      </c>
      <c r="K49" s="8">
        <v>1</v>
      </c>
      <c r="L49" s="5">
        <v>6</v>
      </c>
      <c r="M49" s="5">
        <v>0</v>
      </c>
      <c r="N49" s="9">
        <v>0</v>
      </c>
      <c r="O49" s="8">
        <v>7</v>
      </c>
      <c r="P49" s="5">
        <v>100</v>
      </c>
      <c r="Q49" s="5">
        <v>0</v>
      </c>
      <c r="R49" s="9">
        <v>0</v>
      </c>
      <c r="S49" s="8">
        <v>0</v>
      </c>
      <c r="T49" s="9">
        <v>0</v>
      </c>
    </row>
    <row r="50" spans="1:20" x14ac:dyDescent="0.2">
      <c r="A50" s="5" t="s">
        <v>38</v>
      </c>
      <c r="B50" s="5" t="s">
        <v>17</v>
      </c>
      <c r="C50" s="10" t="s">
        <v>601</v>
      </c>
      <c r="D50" s="7">
        <f t="shared" si="0"/>
        <v>17.560000000000002</v>
      </c>
      <c r="E50" s="8">
        <v>19</v>
      </c>
      <c r="F50" s="5">
        <v>12</v>
      </c>
      <c r="G50" s="5">
        <v>114</v>
      </c>
      <c r="H50" s="5">
        <v>3</v>
      </c>
      <c r="I50" s="5">
        <v>0</v>
      </c>
      <c r="J50" s="9">
        <v>0</v>
      </c>
      <c r="K50" s="8">
        <v>8</v>
      </c>
      <c r="L50" s="5">
        <v>30</v>
      </c>
      <c r="M50" s="5">
        <v>0</v>
      </c>
      <c r="N50" s="9">
        <v>0</v>
      </c>
      <c r="O50" s="8">
        <v>0</v>
      </c>
      <c r="P50" s="5">
        <v>0</v>
      </c>
      <c r="Q50" s="5">
        <v>0</v>
      </c>
      <c r="R50" s="9">
        <v>0</v>
      </c>
      <c r="S50" s="8">
        <v>1</v>
      </c>
      <c r="T50" s="9">
        <v>0</v>
      </c>
    </row>
    <row r="51" spans="1:20" x14ac:dyDescent="0.2">
      <c r="A51" s="5" t="s">
        <v>291</v>
      </c>
      <c r="B51" s="5" t="s">
        <v>69</v>
      </c>
      <c r="C51" s="10" t="s">
        <v>592</v>
      </c>
      <c r="D51" s="7">
        <f t="shared" si="0"/>
        <v>17.5</v>
      </c>
      <c r="E51" s="8">
        <v>0</v>
      </c>
      <c r="F51" s="5">
        <v>0</v>
      </c>
      <c r="G51" s="5">
        <v>0</v>
      </c>
      <c r="H51" s="5">
        <v>0</v>
      </c>
      <c r="I51" s="5">
        <v>0</v>
      </c>
      <c r="J51" s="9">
        <v>0</v>
      </c>
      <c r="K51" s="8">
        <v>0</v>
      </c>
      <c r="L51" s="5">
        <v>0</v>
      </c>
      <c r="M51" s="5">
        <v>0</v>
      </c>
      <c r="N51" s="9">
        <v>0</v>
      </c>
      <c r="O51" s="8">
        <v>5</v>
      </c>
      <c r="P51" s="5">
        <v>65</v>
      </c>
      <c r="Q51" s="5">
        <v>1</v>
      </c>
      <c r="R51" s="9">
        <v>0</v>
      </c>
      <c r="S51" s="8">
        <v>0</v>
      </c>
      <c r="T51" s="9">
        <v>0</v>
      </c>
    </row>
    <row r="52" spans="1:20" x14ac:dyDescent="0.2">
      <c r="A52" s="5" t="s">
        <v>232</v>
      </c>
      <c r="B52" s="5" t="s">
        <v>162</v>
      </c>
      <c r="C52" s="10" t="s">
        <v>588</v>
      </c>
      <c r="D52" s="7">
        <f t="shared" si="0"/>
        <v>17.3</v>
      </c>
      <c r="E52" s="8">
        <v>0</v>
      </c>
      <c r="F52" s="5">
        <v>0</v>
      </c>
      <c r="G52" s="5">
        <v>0</v>
      </c>
      <c r="H52" s="5">
        <v>0</v>
      </c>
      <c r="I52" s="5">
        <v>0</v>
      </c>
      <c r="J52" s="9">
        <v>0</v>
      </c>
      <c r="K52" s="8">
        <v>0</v>
      </c>
      <c r="L52" s="5">
        <v>0</v>
      </c>
      <c r="M52" s="5">
        <v>0</v>
      </c>
      <c r="N52" s="9">
        <v>0</v>
      </c>
      <c r="O52" s="8">
        <v>5</v>
      </c>
      <c r="P52" s="5">
        <v>63</v>
      </c>
      <c r="Q52" s="5">
        <v>1</v>
      </c>
      <c r="R52" s="9">
        <v>0</v>
      </c>
      <c r="S52" s="8">
        <v>0</v>
      </c>
      <c r="T52" s="9">
        <v>0</v>
      </c>
    </row>
    <row r="53" spans="1:20" x14ac:dyDescent="0.2">
      <c r="A53" s="5" t="s">
        <v>109</v>
      </c>
      <c r="B53" s="5" t="s">
        <v>75</v>
      </c>
      <c r="C53" s="17" t="s">
        <v>589</v>
      </c>
      <c r="D53" s="7">
        <f t="shared" si="0"/>
        <v>16.8</v>
      </c>
      <c r="E53" s="8">
        <v>0</v>
      </c>
      <c r="F53" s="5">
        <v>0</v>
      </c>
      <c r="G53" s="5">
        <v>0</v>
      </c>
      <c r="H53" s="5">
        <v>0</v>
      </c>
      <c r="I53" s="5">
        <v>0</v>
      </c>
      <c r="J53" s="9">
        <v>0</v>
      </c>
      <c r="K53" s="8">
        <v>15</v>
      </c>
      <c r="L53" s="5">
        <v>61</v>
      </c>
      <c r="M53" s="5">
        <v>1</v>
      </c>
      <c r="N53" s="9">
        <v>0</v>
      </c>
      <c r="O53" s="8">
        <v>2</v>
      </c>
      <c r="P53" s="5">
        <v>27</v>
      </c>
      <c r="Q53" s="5">
        <v>0</v>
      </c>
      <c r="R53" s="9">
        <v>0</v>
      </c>
      <c r="S53" s="8">
        <v>0</v>
      </c>
      <c r="T53" s="9">
        <v>0</v>
      </c>
    </row>
    <row r="54" spans="1:20" x14ac:dyDescent="0.2">
      <c r="A54" s="5" t="s">
        <v>173</v>
      </c>
      <c r="B54" s="5" t="s">
        <v>162</v>
      </c>
      <c r="C54" s="10" t="s">
        <v>589</v>
      </c>
      <c r="D54" s="7">
        <f t="shared" si="0"/>
        <v>16.8</v>
      </c>
      <c r="E54" s="8">
        <v>0</v>
      </c>
      <c r="F54" s="5">
        <v>0</v>
      </c>
      <c r="G54" s="5">
        <v>0</v>
      </c>
      <c r="H54" s="5">
        <v>0</v>
      </c>
      <c r="I54" s="5">
        <v>0</v>
      </c>
      <c r="J54" s="9">
        <v>0</v>
      </c>
      <c r="K54" s="8">
        <v>0</v>
      </c>
      <c r="L54" s="5">
        <v>0</v>
      </c>
      <c r="M54" s="5">
        <v>0</v>
      </c>
      <c r="N54" s="9">
        <v>0</v>
      </c>
      <c r="O54" s="8">
        <v>6</v>
      </c>
      <c r="P54" s="5">
        <v>108</v>
      </c>
      <c r="Q54" s="5">
        <v>0</v>
      </c>
      <c r="R54" s="9">
        <v>0</v>
      </c>
      <c r="S54" s="8">
        <v>0</v>
      </c>
      <c r="T54" s="9">
        <v>0</v>
      </c>
    </row>
    <row r="55" spans="1:20" x14ac:dyDescent="0.2">
      <c r="A55" s="5" t="s">
        <v>276</v>
      </c>
      <c r="B55" s="5" t="s">
        <v>69</v>
      </c>
      <c r="C55" s="17" t="s">
        <v>595</v>
      </c>
      <c r="D55" s="7">
        <f t="shared" si="0"/>
        <v>16.8</v>
      </c>
      <c r="E55" s="8">
        <v>0</v>
      </c>
      <c r="F55" s="5">
        <v>0</v>
      </c>
      <c r="G55" s="5">
        <v>0</v>
      </c>
      <c r="H55" s="5">
        <v>0</v>
      </c>
      <c r="I55" s="5">
        <v>0</v>
      </c>
      <c r="J55" s="9">
        <v>0</v>
      </c>
      <c r="K55" s="8">
        <v>0</v>
      </c>
      <c r="L55" s="5">
        <v>0</v>
      </c>
      <c r="M55" s="5">
        <v>0</v>
      </c>
      <c r="N55" s="9">
        <v>0</v>
      </c>
      <c r="O55" s="8">
        <v>10</v>
      </c>
      <c r="P55" s="5">
        <v>88</v>
      </c>
      <c r="Q55" s="5">
        <v>0</v>
      </c>
      <c r="R55" s="9">
        <v>0</v>
      </c>
      <c r="S55" s="8">
        <v>1</v>
      </c>
      <c r="T55" s="9">
        <v>0</v>
      </c>
    </row>
    <row r="56" spans="1:20" x14ac:dyDescent="0.2">
      <c r="A56" s="5" t="s">
        <v>214</v>
      </c>
      <c r="B56" s="5" t="s">
        <v>162</v>
      </c>
      <c r="C56" s="10" t="s">
        <v>595</v>
      </c>
      <c r="D56" s="7">
        <f t="shared" si="0"/>
        <v>16.5</v>
      </c>
      <c r="E56" s="8">
        <v>0</v>
      </c>
      <c r="F56" s="5">
        <v>0</v>
      </c>
      <c r="G56" s="5">
        <v>0</v>
      </c>
      <c r="H56" s="5">
        <v>0</v>
      </c>
      <c r="I56" s="5">
        <v>0</v>
      </c>
      <c r="J56" s="9">
        <v>0</v>
      </c>
      <c r="K56" s="8">
        <v>0</v>
      </c>
      <c r="L56" s="5">
        <v>0</v>
      </c>
      <c r="M56" s="5">
        <v>0</v>
      </c>
      <c r="N56" s="9">
        <v>0</v>
      </c>
      <c r="O56" s="8">
        <v>8</v>
      </c>
      <c r="P56" s="5">
        <v>85</v>
      </c>
      <c r="Q56" s="5">
        <v>0</v>
      </c>
      <c r="R56" s="9">
        <v>0</v>
      </c>
      <c r="S56" s="8">
        <v>0</v>
      </c>
      <c r="T56" s="9">
        <v>0</v>
      </c>
    </row>
    <row r="57" spans="1:20" x14ac:dyDescent="0.2">
      <c r="A57" s="5" t="s">
        <v>282</v>
      </c>
      <c r="B57" s="5" t="s">
        <v>69</v>
      </c>
      <c r="C57" s="10" t="s">
        <v>588</v>
      </c>
      <c r="D57" s="7">
        <f t="shared" si="0"/>
        <v>16.399999999999999</v>
      </c>
      <c r="E57" s="8">
        <v>0</v>
      </c>
      <c r="F57" s="5">
        <v>0</v>
      </c>
      <c r="G57" s="5">
        <v>0</v>
      </c>
      <c r="H57" s="5">
        <v>0</v>
      </c>
      <c r="I57" s="5">
        <v>0</v>
      </c>
      <c r="J57" s="9">
        <v>0</v>
      </c>
      <c r="K57" s="8">
        <v>0</v>
      </c>
      <c r="L57" s="5">
        <v>0</v>
      </c>
      <c r="M57" s="5">
        <v>0</v>
      </c>
      <c r="N57" s="9">
        <v>0</v>
      </c>
      <c r="O57" s="8">
        <v>6</v>
      </c>
      <c r="P57" s="5">
        <v>44</v>
      </c>
      <c r="Q57" s="5">
        <v>1</v>
      </c>
      <c r="R57" s="9">
        <v>0</v>
      </c>
      <c r="S57" s="8">
        <v>0</v>
      </c>
      <c r="T57" s="9">
        <v>0</v>
      </c>
    </row>
    <row r="58" spans="1:20" x14ac:dyDescent="0.2">
      <c r="A58" s="5" t="s">
        <v>88</v>
      </c>
      <c r="B58" s="5" t="s">
        <v>75</v>
      </c>
      <c r="C58" s="10" t="s">
        <v>587</v>
      </c>
      <c r="D58" s="7">
        <f t="shared" si="0"/>
        <v>16.200000000000003</v>
      </c>
      <c r="E58" s="8">
        <v>0</v>
      </c>
      <c r="F58" s="5">
        <v>0</v>
      </c>
      <c r="G58" s="5">
        <v>0</v>
      </c>
      <c r="H58" s="5">
        <v>0</v>
      </c>
      <c r="I58" s="5">
        <v>0</v>
      </c>
      <c r="J58" s="9">
        <v>0</v>
      </c>
      <c r="K58" s="8">
        <v>22</v>
      </c>
      <c r="L58" s="5">
        <v>101</v>
      </c>
      <c r="M58" s="5">
        <v>0</v>
      </c>
      <c r="N58" s="9">
        <v>0</v>
      </c>
      <c r="O58" s="8">
        <v>4</v>
      </c>
      <c r="P58" s="5">
        <v>21</v>
      </c>
      <c r="Q58" s="5">
        <v>0</v>
      </c>
      <c r="R58" s="9">
        <v>0</v>
      </c>
      <c r="S58" s="8">
        <v>0</v>
      </c>
      <c r="T58" s="9">
        <v>0</v>
      </c>
    </row>
    <row r="59" spans="1:20" x14ac:dyDescent="0.2">
      <c r="A59" s="5" t="s">
        <v>165</v>
      </c>
      <c r="B59" s="5" t="s">
        <v>162</v>
      </c>
      <c r="C59" s="10" t="s">
        <v>592</v>
      </c>
      <c r="D59" s="7">
        <f t="shared" si="0"/>
        <v>16</v>
      </c>
      <c r="E59" s="8">
        <v>0</v>
      </c>
      <c r="F59" s="5">
        <v>0</v>
      </c>
      <c r="G59" s="5">
        <v>0</v>
      </c>
      <c r="H59" s="5">
        <v>0</v>
      </c>
      <c r="I59" s="5">
        <v>0</v>
      </c>
      <c r="J59" s="9">
        <v>0</v>
      </c>
      <c r="K59" s="8">
        <v>0</v>
      </c>
      <c r="L59" s="5">
        <v>0</v>
      </c>
      <c r="M59" s="5">
        <v>0</v>
      </c>
      <c r="N59" s="9">
        <v>0</v>
      </c>
      <c r="O59" s="8">
        <v>9</v>
      </c>
      <c r="P59" s="5">
        <v>70</v>
      </c>
      <c r="Q59" s="5">
        <v>0</v>
      </c>
      <c r="R59" s="9">
        <v>0</v>
      </c>
      <c r="S59" s="8">
        <v>0</v>
      </c>
      <c r="T59" s="9">
        <v>0</v>
      </c>
    </row>
    <row r="60" spans="1:20" x14ac:dyDescent="0.2">
      <c r="A60" s="5" t="s">
        <v>163</v>
      </c>
      <c r="B60" s="5" t="s">
        <v>162</v>
      </c>
      <c r="C60" s="10" t="s">
        <v>590</v>
      </c>
      <c r="D60" s="7">
        <f t="shared" si="0"/>
        <v>15.9</v>
      </c>
      <c r="E60" s="8">
        <v>0</v>
      </c>
      <c r="F60" s="5">
        <v>0</v>
      </c>
      <c r="G60" s="5">
        <v>0</v>
      </c>
      <c r="H60" s="5">
        <v>0</v>
      </c>
      <c r="I60" s="5">
        <v>0</v>
      </c>
      <c r="J60" s="9">
        <v>0</v>
      </c>
      <c r="K60" s="8">
        <v>0</v>
      </c>
      <c r="L60" s="5">
        <v>0</v>
      </c>
      <c r="M60" s="5">
        <v>0</v>
      </c>
      <c r="N60" s="9">
        <v>0</v>
      </c>
      <c r="O60" s="8">
        <v>5</v>
      </c>
      <c r="P60" s="5">
        <v>109</v>
      </c>
      <c r="Q60" s="5">
        <v>0</v>
      </c>
      <c r="R60" s="9">
        <v>0</v>
      </c>
      <c r="S60" s="8">
        <v>0</v>
      </c>
      <c r="T60" s="9">
        <v>0</v>
      </c>
    </row>
    <row r="61" spans="1:20" x14ac:dyDescent="0.2">
      <c r="A61" s="5" t="s">
        <v>101</v>
      </c>
      <c r="B61" s="5" t="s">
        <v>75</v>
      </c>
      <c r="C61" s="10" t="s">
        <v>600</v>
      </c>
      <c r="D61" s="7">
        <f t="shared" si="0"/>
        <v>15.8</v>
      </c>
      <c r="E61" s="8">
        <v>0</v>
      </c>
      <c r="F61" s="5">
        <v>0</v>
      </c>
      <c r="G61" s="5">
        <v>0</v>
      </c>
      <c r="H61" s="5">
        <v>0</v>
      </c>
      <c r="I61" s="5">
        <v>0</v>
      </c>
      <c r="J61" s="9">
        <v>0</v>
      </c>
      <c r="K61" s="8">
        <v>36</v>
      </c>
      <c r="L61" s="5">
        <v>128</v>
      </c>
      <c r="M61" s="5">
        <v>0</v>
      </c>
      <c r="N61" s="9">
        <v>0</v>
      </c>
      <c r="O61" s="8">
        <v>3</v>
      </c>
      <c r="P61" s="5">
        <v>0</v>
      </c>
      <c r="Q61" s="5">
        <v>0</v>
      </c>
      <c r="R61" s="9">
        <v>0</v>
      </c>
      <c r="S61" s="8">
        <v>0</v>
      </c>
      <c r="T61" s="9">
        <v>0</v>
      </c>
    </row>
    <row r="62" spans="1:20" x14ac:dyDescent="0.2">
      <c r="A62" s="5" t="s">
        <v>213</v>
      </c>
      <c r="B62" s="5" t="s">
        <v>162</v>
      </c>
      <c r="C62" s="10" t="s">
        <v>591</v>
      </c>
      <c r="D62" s="7">
        <f t="shared" si="0"/>
        <v>15.3</v>
      </c>
      <c r="E62" s="8">
        <v>0</v>
      </c>
      <c r="F62" s="5">
        <v>0</v>
      </c>
      <c r="G62" s="5">
        <v>0</v>
      </c>
      <c r="H62" s="5">
        <v>0</v>
      </c>
      <c r="I62" s="5">
        <v>0</v>
      </c>
      <c r="J62" s="9">
        <v>0</v>
      </c>
      <c r="K62" s="8">
        <v>0</v>
      </c>
      <c r="L62" s="5">
        <v>0</v>
      </c>
      <c r="M62" s="5">
        <v>0</v>
      </c>
      <c r="N62" s="9">
        <v>0</v>
      </c>
      <c r="O62" s="8">
        <v>6</v>
      </c>
      <c r="P62" s="5">
        <v>33</v>
      </c>
      <c r="Q62" s="5">
        <v>1</v>
      </c>
      <c r="R62" s="9">
        <v>0</v>
      </c>
      <c r="S62" s="8">
        <v>0</v>
      </c>
      <c r="T62" s="9">
        <v>0</v>
      </c>
    </row>
    <row r="63" spans="1:20" x14ac:dyDescent="0.2">
      <c r="A63" s="5" t="s">
        <v>350</v>
      </c>
      <c r="B63" s="5" t="s">
        <v>162</v>
      </c>
      <c r="C63" s="10" t="s">
        <v>592</v>
      </c>
      <c r="D63" s="7">
        <f t="shared" si="0"/>
        <v>15.200000000000001</v>
      </c>
      <c r="E63" s="8">
        <v>0</v>
      </c>
      <c r="F63" s="5">
        <v>0</v>
      </c>
      <c r="G63" s="5">
        <v>0</v>
      </c>
      <c r="H63" s="5">
        <v>0</v>
      </c>
      <c r="I63" s="5">
        <v>0</v>
      </c>
      <c r="J63" s="9">
        <v>0</v>
      </c>
      <c r="K63" s="8">
        <v>0</v>
      </c>
      <c r="L63" s="5">
        <v>0</v>
      </c>
      <c r="M63" s="5">
        <v>0</v>
      </c>
      <c r="N63" s="9">
        <v>0</v>
      </c>
      <c r="O63" s="8">
        <v>6</v>
      </c>
      <c r="P63" s="5">
        <v>92</v>
      </c>
      <c r="Q63" s="5">
        <v>0</v>
      </c>
      <c r="R63" s="9">
        <v>0</v>
      </c>
      <c r="S63" s="8">
        <v>0</v>
      </c>
      <c r="T63" s="9">
        <v>0</v>
      </c>
    </row>
    <row r="64" spans="1:20" x14ac:dyDescent="0.2">
      <c r="A64" s="5" t="s">
        <v>246</v>
      </c>
      <c r="B64" s="5" t="s">
        <v>162</v>
      </c>
      <c r="C64" s="10" t="s">
        <v>602</v>
      </c>
      <c r="D64" s="7">
        <f t="shared" si="0"/>
        <v>15.2</v>
      </c>
      <c r="E64" s="8">
        <v>0</v>
      </c>
      <c r="F64" s="5">
        <v>0</v>
      </c>
      <c r="G64" s="5">
        <v>0</v>
      </c>
      <c r="H64" s="5">
        <v>0</v>
      </c>
      <c r="I64" s="5">
        <v>0</v>
      </c>
      <c r="J64" s="9">
        <v>0</v>
      </c>
      <c r="K64" s="8">
        <v>0</v>
      </c>
      <c r="L64" s="5">
        <v>0</v>
      </c>
      <c r="M64" s="5">
        <v>0</v>
      </c>
      <c r="N64" s="9">
        <v>0</v>
      </c>
      <c r="O64" s="8">
        <v>8</v>
      </c>
      <c r="P64" s="5">
        <v>72</v>
      </c>
      <c r="Q64" s="5">
        <v>0</v>
      </c>
      <c r="R64" s="9">
        <v>0</v>
      </c>
      <c r="S64" s="8">
        <v>0</v>
      </c>
      <c r="T64" s="9">
        <v>0</v>
      </c>
    </row>
    <row r="65" spans="1:20" x14ac:dyDescent="0.2">
      <c r="A65" s="5" t="s">
        <v>218</v>
      </c>
      <c r="B65" s="5" t="s">
        <v>162</v>
      </c>
      <c r="C65" s="17" t="s">
        <v>598</v>
      </c>
      <c r="D65" s="7">
        <f t="shared" si="0"/>
        <v>14.9</v>
      </c>
      <c r="E65" s="8">
        <v>0</v>
      </c>
      <c r="F65" s="5">
        <v>0</v>
      </c>
      <c r="G65" s="5">
        <v>0</v>
      </c>
      <c r="H65" s="5">
        <v>0</v>
      </c>
      <c r="I65" s="5">
        <v>0</v>
      </c>
      <c r="J65" s="9">
        <v>0</v>
      </c>
      <c r="K65" s="8">
        <v>0</v>
      </c>
      <c r="L65" s="5">
        <v>0</v>
      </c>
      <c r="M65" s="5">
        <v>0</v>
      </c>
      <c r="N65" s="9">
        <v>0</v>
      </c>
      <c r="O65" s="8">
        <v>6</v>
      </c>
      <c r="P65" s="5">
        <v>89</v>
      </c>
      <c r="Q65" s="5">
        <v>0</v>
      </c>
      <c r="R65" s="9">
        <v>0</v>
      </c>
      <c r="S65" s="8">
        <v>0</v>
      </c>
      <c r="T65" s="9">
        <v>0</v>
      </c>
    </row>
    <row r="66" spans="1:20" x14ac:dyDescent="0.2">
      <c r="A66" s="5" t="s">
        <v>185</v>
      </c>
      <c r="B66" s="5" t="s">
        <v>162</v>
      </c>
      <c r="C66" s="10" t="s">
        <v>597</v>
      </c>
      <c r="D66" s="7">
        <f t="shared" si="0"/>
        <v>14.9</v>
      </c>
      <c r="E66" s="8">
        <v>0</v>
      </c>
      <c r="F66" s="5">
        <v>0</v>
      </c>
      <c r="G66" s="5">
        <v>0</v>
      </c>
      <c r="H66" s="5">
        <v>0</v>
      </c>
      <c r="I66" s="5">
        <v>0</v>
      </c>
      <c r="J66" s="9">
        <v>0</v>
      </c>
      <c r="K66" s="8">
        <v>0</v>
      </c>
      <c r="L66" s="5">
        <v>0</v>
      </c>
      <c r="M66" s="5">
        <v>0</v>
      </c>
      <c r="N66" s="9">
        <v>0</v>
      </c>
      <c r="O66" s="8">
        <v>8</v>
      </c>
      <c r="P66" s="5">
        <v>69</v>
      </c>
      <c r="Q66" s="5">
        <v>0</v>
      </c>
      <c r="R66" s="9">
        <v>0</v>
      </c>
      <c r="S66" s="8">
        <v>0</v>
      </c>
      <c r="T66" s="9">
        <v>0</v>
      </c>
    </row>
    <row r="67" spans="1:20" x14ac:dyDescent="0.2">
      <c r="A67" s="5" t="s">
        <v>70</v>
      </c>
      <c r="B67" s="5" t="s">
        <v>17</v>
      </c>
      <c r="C67" s="10" t="s">
        <v>593</v>
      </c>
      <c r="D67" s="7">
        <f t="shared" si="0"/>
        <v>14.82</v>
      </c>
      <c r="E67" s="8">
        <v>41</v>
      </c>
      <c r="F67" s="5">
        <v>23</v>
      </c>
      <c r="G67" s="5">
        <v>213</v>
      </c>
      <c r="H67" s="5">
        <v>2</v>
      </c>
      <c r="I67" s="5">
        <v>1</v>
      </c>
      <c r="J67" s="9">
        <v>0</v>
      </c>
      <c r="K67" s="8">
        <v>1</v>
      </c>
      <c r="L67" s="5">
        <v>3</v>
      </c>
      <c r="M67" s="5">
        <v>0</v>
      </c>
      <c r="N67" s="9">
        <v>0</v>
      </c>
      <c r="O67" s="8">
        <v>0</v>
      </c>
      <c r="P67" s="5">
        <v>0</v>
      </c>
      <c r="Q67" s="5">
        <v>0</v>
      </c>
      <c r="R67" s="9">
        <v>0</v>
      </c>
      <c r="S67" s="8">
        <v>0</v>
      </c>
      <c r="T67" s="9">
        <v>0</v>
      </c>
    </row>
    <row r="68" spans="1:20" x14ac:dyDescent="0.2">
      <c r="A68" s="5" t="s">
        <v>304</v>
      </c>
      <c r="B68" s="5" t="s">
        <v>69</v>
      </c>
      <c r="C68" s="10" t="s">
        <v>586</v>
      </c>
      <c r="D68" s="7">
        <f t="shared" si="0"/>
        <v>14.7</v>
      </c>
      <c r="E68" s="8">
        <v>0</v>
      </c>
      <c r="F68" s="5">
        <v>0</v>
      </c>
      <c r="G68" s="5">
        <v>0</v>
      </c>
      <c r="H68" s="5">
        <v>0</v>
      </c>
      <c r="I68" s="5">
        <v>0</v>
      </c>
      <c r="J68" s="9">
        <v>0</v>
      </c>
      <c r="K68" s="8">
        <v>0</v>
      </c>
      <c r="L68" s="5">
        <v>0</v>
      </c>
      <c r="M68" s="5">
        <v>0</v>
      </c>
      <c r="N68" s="9">
        <v>0</v>
      </c>
      <c r="O68" s="8">
        <v>4</v>
      </c>
      <c r="P68" s="5">
        <v>47</v>
      </c>
      <c r="Q68" s="5">
        <v>1</v>
      </c>
      <c r="R68" s="9">
        <v>0</v>
      </c>
      <c r="S68" s="8">
        <v>0</v>
      </c>
      <c r="T68" s="9">
        <v>0</v>
      </c>
    </row>
    <row r="69" spans="1:20" x14ac:dyDescent="0.2">
      <c r="A69" s="5" t="s">
        <v>32</v>
      </c>
      <c r="B69" s="5" t="s">
        <v>17</v>
      </c>
      <c r="C69" s="17" t="s">
        <v>595</v>
      </c>
      <c r="D69" s="7">
        <f t="shared" si="0"/>
        <v>14.68</v>
      </c>
      <c r="E69" s="8">
        <v>32</v>
      </c>
      <c r="F69" s="5">
        <v>24</v>
      </c>
      <c r="G69" s="5">
        <v>292</v>
      </c>
      <c r="H69" s="5">
        <v>1</v>
      </c>
      <c r="I69" s="5">
        <v>1</v>
      </c>
      <c r="J69" s="9">
        <v>0</v>
      </c>
      <c r="K69" s="8">
        <v>1</v>
      </c>
      <c r="L69" s="5">
        <v>10</v>
      </c>
      <c r="M69" s="5">
        <v>0</v>
      </c>
      <c r="N69" s="9">
        <v>0</v>
      </c>
      <c r="O69" s="8">
        <v>0</v>
      </c>
      <c r="P69" s="5">
        <v>0</v>
      </c>
      <c r="Q69" s="5">
        <v>0</v>
      </c>
      <c r="R69" s="9">
        <v>0</v>
      </c>
      <c r="S69" s="8">
        <v>0</v>
      </c>
      <c r="T69" s="9">
        <v>0</v>
      </c>
    </row>
    <row r="70" spans="1:20" x14ac:dyDescent="0.2">
      <c r="A70" s="5" t="s">
        <v>21</v>
      </c>
      <c r="B70" s="5" t="s">
        <v>17</v>
      </c>
      <c r="C70" s="10" t="s">
        <v>599</v>
      </c>
      <c r="D70" s="7">
        <f t="shared" si="0"/>
        <v>14.56</v>
      </c>
      <c r="E70" s="8">
        <v>41</v>
      </c>
      <c r="F70" s="5">
        <v>24</v>
      </c>
      <c r="G70" s="5">
        <v>229</v>
      </c>
      <c r="H70" s="5">
        <v>1</v>
      </c>
      <c r="I70" s="5">
        <v>1</v>
      </c>
      <c r="J70" s="9">
        <v>0</v>
      </c>
      <c r="K70" s="8">
        <v>4</v>
      </c>
      <c r="L70" s="5">
        <v>34</v>
      </c>
      <c r="M70" s="5">
        <v>0</v>
      </c>
      <c r="N70" s="9">
        <v>0</v>
      </c>
      <c r="O70" s="8">
        <v>0</v>
      </c>
      <c r="P70" s="5">
        <v>0</v>
      </c>
      <c r="Q70" s="5">
        <v>0</v>
      </c>
      <c r="R70" s="9">
        <v>0</v>
      </c>
      <c r="S70" s="8">
        <v>0</v>
      </c>
      <c r="T70" s="9">
        <v>0</v>
      </c>
    </row>
    <row r="71" spans="1:20" x14ac:dyDescent="0.2">
      <c r="A71" s="5" t="s">
        <v>57</v>
      </c>
      <c r="B71" s="5" t="s">
        <v>17</v>
      </c>
      <c r="C71" s="10" t="s">
        <v>602</v>
      </c>
      <c r="D71" s="7">
        <f t="shared" si="0"/>
        <v>14.5</v>
      </c>
      <c r="E71" s="8">
        <v>31</v>
      </c>
      <c r="F71" s="5">
        <v>22</v>
      </c>
      <c r="G71" s="5">
        <v>235</v>
      </c>
      <c r="H71" s="5">
        <v>1</v>
      </c>
      <c r="I71" s="5">
        <v>0</v>
      </c>
      <c r="J71" s="9">
        <v>0</v>
      </c>
      <c r="K71" s="8">
        <v>4</v>
      </c>
      <c r="L71" s="5">
        <v>11</v>
      </c>
      <c r="M71" s="5">
        <v>0</v>
      </c>
      <c r="N71" s="9">
        <v>0</v>
      </c>
      <c r="O71" s="8">
        <v>0</v>
      </c>
      <c r="P71" s="5">
        <v>0</v>
      </c>
      <c r="Q71" s="5">
        <v>0</v>
      </c>
      <c r="R71" s="9">
        <v>0</v>
      </c>
      <c r="S71" s="8">
        <v>0</v>
      </c>
      <c r="T71" s="9">
        <v>0</v>
      </c>
    </row>
    <row r="72" spans="1:20" x14ac:dyDescent="0.2">
      <c r="A72" s="5" t="s">
        <v>337</v>
      </c>
      <c r="B72" s="5" t="s">
        <v>75</v>
      </c>
      <c r="C72" s="10" t="s">
        <v>593</v>
      </c>
      <c r="D72" s="7">
        <f t="shared" si="0"/>
        <v>14.400000000000002</v>
      </c>
      <c r="E72" s="8">
        <v>0</v>
      </c>
      <c r="F72" s="5">
        <v>0</v>
      </c>
      <c r="G72" s="5">
        <v>0</v>
      </c>
      <c r="H72" s="5">
        <v>0</v>
      </c>
      <c r="I72" s="5">
        <v>0</v>
      </c>
      <c r="J72" s="9">
        <v>0</v>
      </c>
      <c r="K72" s="8">
        <v>11</v>
      </c>
      <c r="L72" s="5">
        <v>66</v>
      </c>
      <c r="M72" s="5">
        <v>1</v>
      </c>
      <c r="N72" s="9">
        <v>0</v>
      </c>
      <c r="O72" s="8">
        <v>1</v>
      </c>
      <c r="P72" s="5">
        <v>8</v>
      </c>
      <c r="Q72" s="5">
        <v>0</v>
      </c>
      <c r="R72" s="9">
        <v>0</v>
      </c>
      <c r="S72" s="8">
        <v>0</v>
      </c>
      <c r="T72" s="9">
        <v>0</v>
      </c>
    </row>
    <row r="73" spans="1:20" x14ac:dyDescent="0.2">
      <c r="A73" s="5" t="s">
        <v>152</v>
      </c>
      <c r="B73" s="5" t="s">
        <v>75</v>
      </c>
      <c r="C73" s="17" t="s">
        <v>588</v>
      </c>
      <c r="D73" s="7">
        <f t="shared" si="0"/>
        <v>14.399999999999999</v>
      </c>
      <c r="E73" s="8">
        <v>0</v>
      </c>
      <c r="F73" s="5">
        <v>0</v>
      </c>
      <c r="G73" s="5">
        <v>0</v>
      </c>
      <c r="H73" s="5">
        <v>0</v>
      </c>
      <c r="I73" s="5">
        <v>0</v>
      </c>
      <c r="J73" s="9">
        <v>0</v>
      </c>
      <c r="K73" s="8">
        <v>16</v>
      </c>
      <c r="L73" s="5">
        <v>57</v>
      </c>
      <c r="M73" s="5">
        <v>1</v>
      </c>
      <c r="N73" s="9">
        <v>0</v>
      </c>
      <c r="O73" s="8">
        <v>2</v>
      </c>
      <c r="P73" s="5">
        <v>7</v>
      </c>
      <c r="Q73" s="5">
        <v>0</v>
      </c>
      <c r="R73" s="9">
        <v>0</v>
      </c>
      <c r="S73" s="8">
        <v>0</v>
      </c>
      <c r="T73" s="9">
        <v>0</v>
      </c>
    </row>
    <row r="74" spans="1:20" x14ac:dyDescent="0.2">
      <c r="A74" s="5" t="s">
        <v>168</v>
      </c>
      <c r="B74" s="5" t="s">
        <v>162</v>
      </c>
      <c r="C74" s="17" t="s">
        <v>595</v>
      </c>
      <c r="D74" s="7">
        <f t="shared" si="0"/>
        <v>14.3</v>
      </c>
      <c r="E74" s="8">
        <v>0</v>
      </c>
      <c r="F74" s="5">
        <v>0</v>
      </c>
      <c r="G74" s="5">
        <v>0</v>
      </c>
      <c r="H74" s="5">
        <v>0</v>
      </c>
      <c r="I74" s="5">
        <v>0</v>
      </c>
      <c r="J74" s="9">
        <v>0</v>
      </c>
      <c r="K74" s="8">
        <v>0</v>
      </c>
      <c r="L74" s="5">
        <v>0</v>
      </c>
      <c r="M74" s="5">
        <v>0</v>
      </c>
      <c r="N74" s="9">
        <v>0</v>
      </c>
      <c r="O74" s="8">
        <v>6</v>
      </c>
      <c r="P74" s="5">
        <v>83</v>
      </c>
      <c r="Q74" s="5">
        <v>0</v>
      </c>
      <c r="R74" s="9">
        <v>0</v>
      </c>
      <c r="S74" s="8">
        <v>0</v>
      </c>
      <c r="T74" s="9">
        <v>0</v>
      </c>
    </row>
    <row r="75" spans="1:20" x14ac:dyDescent="0.2">
      <c r="A75" s="5" t="s">
        <v>274</v>
      </c>
      <c r="B75" s="5" t="s">
        <v>69</v>
      </c>
      <c r="C75" s="10" t="s">
        <v>597</v>
      </c>
      <c r="D75" s="7">
        <f t="shared" si="0"/>
        <v>14.3</v>
      </c>
      <c r="E75" s="8">
        <v>0</v>
      </c>
      <c r="F75" s="5">
        <v>0</v>
      </c>
      <c r="G75" s="5">
        <v>0</v>
      </c>
      <c r="H75" s="5">
        <v>0</v>
      </c>
      <c r="I75" s="5">
        <v>0</v>
      </c>
      <c r="J75" s="9">
        <v>0</v>
      </c>
      <c r="K75" s="8">
        <v>0</v>
      </c>
      <c r="L75" s="5">
        <v>0</v>
      </c>
      <c r="M75" s="5">
        <v>0</v>
      </c>
      <c r="N75" s="9">
        <v>0</v>
      </c>
      <c r="O75" s="8">
        <v>4</v>
      </c>
      <c r="P75" s="5">
        <v>43</v>
      </c>
      <c r="Q75" s="5">
        <v>1</v>
      </c>
      <c r="R75" s="9">
        <v>0</v>
      </c>
      <c r="S75" s="8">
        <v>0</v>
      </c>
      <c r="T75" s="9">
        <v>0</v>
      </c>
    </row>
    <row r="76" spans="1:20" x14ac:dyDescent="0.2">
      <c r="A76" s="5" t="s">
        <v>233</v>
      </c>
      <c r="B76" s="5" t="s">
        <v>162</v>
      </c>
      <c r="C76" s="10" t="s">
        <v>586</v>
      </c>
      <c r="D76" s="7">
        <f t="shared" si="0"/>
        <v>14.2</v>
      </c>
      <c r="E76" s="8">
        <v>0</v>
      </c>
      <c r="F76" s="5">
        <v>0</v>
      </c>
      <c r="G76" s="5">
        <v>0</v>
      </c>
      <c r="H76" s="5">
        <v>0</v>
      </c>
      <c r="I76" s="5">
        <v>0</v>
      </c>
      <c r="J76" s="9">
        <v>0</v>
      </c>
      <c r="K76" s="8">
        <v>1</v>
      </c>
      <c r="L76" s="5">
        <v>3</v>
      </c>
      <c r="M76" s="5">
        <v>0</v>
      </c>
      <c r="N76" s="9">
        <v>0</v>
      </c>
      <c r="O76" s="8">
        <v>3</v>
      </c>
      <c r="P76" s="5">
        <v>49</v>
      </c>
      <c r="Q76" s="5">
        <v>1</v>
      </c>
      <c r="R76" s="9">
        <v>0</v>
      </c>
      <c r="S76" s="8">
        <v>0</v>
      </c>
      <c r="T76" s="9">
        <v>0</v>
      </c>
    </row>
    <row r="77" spans="1:20" x14ac:dyDescent="0.2">
      <c r="A77" s="5" t="s">
        <v>220</v>
      </c>
      <c r="B77" s="5" t="s">
        <v>162</v>
      </c>
      <c r="C77" s="10" t="s">
        <v>593</v>
      </c>
      <c r="D77" s="7">
        <f t="shared" si="0"/>
        <v>14.2</v>
      </c>
      <c r="E77" s="8">
        <v>0</v>
      </c>
      <c r="F77" s="5">
        <v>0</v>
      </c>
      <c r="G77" s="5">
        <v>0</v>
      </c>
      <c r="H77" s="5">
        <v>0</v>
      </c>
      <c r="I77" s="5">
        <v>0</v>
      </c>
      <c r="J77" s="9">
        <v>0</v>
      </c>
      <c r="K77" s="8">
        <v>0</v>
      </c>
      <c r="L77" s="5">
        <v>0</v>
      </c>
      <c r="M77" s="5">
        <v>0</v>
      </c>
      <c r="N77" s="9">
        <v>0</v>
      </c>
      <c r="O77" s="8">
        <v>7</v>
      </c>
      <c r="P77" s="5">
        <v>72</v>
      </c>
      <c r="Q77" s="5">
        <v>0</v>
      </c>
      <c r="R77" s="9">
        <v>0</v>
      </c>
      <c r="S77" s="8">
        <v>0</v>
      </c>
      <c r="T77" s="9">
        <v>0</v>
      </c>
    </row>
    <row r="78" spans="1:20" x14ac:dyDescent="0.2">
      <c r="A78" s="5" t="s">
        <v>341</v>
      </c>
      <c r="B78" s="5" t="s">
        <v>69</v>
      </c>
      <c r="C78" s="17" t="s">
        <v>591</v>
      </c>
      <c r="D78" s="7">
        <f t="shared" si="0"/>
        <v>14</v>
      </c>
      <c r="E78" s="8">
        <v>0</v>
      </c>
      <c r="F78" s="5">
        <v>0</v>
      </c>
      <c r="G78" s="5">
        <v>0</v>
      </c>
      <c r="H78" s="5">
        <v>0</v>
      </c>
      <c r="I78" s="5">
        <v>0</v>
      </c>
      <c r="J78" s="9">
        <v>0</v>
      </c>
      <c r="K78" s="8">
        <v>0</v>
      </c>
      <c r="L78" s="5">
        <v>0</v>
      </c>
      <c r="M78" s="5">
        <v>0</v>
      </c>
      <c r="N78" s="9">
        <v>0</v>
      </c>
      <c r="O78" s="8">
        <v>4</v>
      </c>
      <c r="P78" s="5">
        <v>40</v>
      </c>
      <c r="Q78" s="5">
        <v>1</v>
      </c>
      <c r="R78" s="9">
        <v>0</v>
      </c>
      <c r="S78" s="8">
        <v>0</v>
      </c>
      <c r="T78" s="9">
        <v>0</v>
      </c>
    </row>
    <row r="79" spans="1:20" x14ac:dyDescent="0.2">
      <c r="A79" s="5" t="s">
        <v>55</v>
      </c>
      <c r="B79" s="5" t="s">
        <v>17</v>
      </c>
      <c r="C79" s="10" t="s">
        <v>598</v>
      </c>
      <c r="D79" s="7">
        <f t="shared" si="0"/>
        <v>13.86</v>
      </c>
      <c r="E79" s="8">
        <v>37</v>
      </c>
      <c r="F79" s="5">
        <v>23</v>
      </c>
      <c r="G79" s="5">
        <v>254</v>
      </c>
      <c r="H79" s="5">
        <v>2</v>
      </c>
      <c r="I79" s="5">
        <v>2</v>
      </c>
      <c r="J79" s="9">
        <v>0</v>
      </c>
      <c r="K79" s="8">
        <v>2</v>
      </c>
      <c r="L79" s="5">
        <v>-3</v>
      </c>
      <c r="M79" s="5">
        <v>0</v>
      </c>
      <c r="N79" s="9">
        <v>0</v>
      </c>
      <c r="O79" s="8">
        <v>0</v>
      </c>
      <c r="P79" s="5">
        <v>0</v>
      </c>
      <c r="Q79" s="5">
        <v>0</v>
      </c>
      <c r="R79" s="9">
        <v>0</v>
      </c>
      <c r="S79" s="8">
        <v>0</v>
      </c>
      <c r="T79" s="9">
        <v>0</v>
      </c>
    </row>
    <row r="80" spans="1:20" x14ac:dyDescent="0.2">
      <c r="A80" s="5" t="s">
        <v>428</v>
      </c>
      <c r="B80" s="5" t="s">
        <v>75</v>
      </c>
      <c r="C80" s="17" t="s">
        <v>598</v>
      </c>
      <c r="D80" s="7">
        <f t="shared" si="0"/>
        <v>13.7</v>
      </c>
      <c r="E80" s="8">
        <v>0</v>
      </c>
      <c r="F80" s="5">
        <v>0</v>
      </c>
      <c r="G80" s="5">
        <v>0</v>
      </c>
      <c r="H80" s="5">
        <v>0</v>
      </c>
      <c r="I80" s="5">
        <v>0</v>
      </c>
      <c r="J80" s="9">
        <v>0</v>
      </c>
      <c r="K80" s="8">
        <v>14</v>
      </c>
      <c r="L80" s="5">
        <v>55</v>
      </c>
      <c r="M80" s="5">
        <v>1</v>
      </c>
      <c r="N80" s="9">
        <v>0</v>
      </c>
      <c r="O80" s="8">
        <v>1</v>
      </c>
      <c r="P80" s="5">
        <v>12</v>
      </c>
      <c r="Q80" s="5">
        <v>0</v>
      </c>
      <c r="R80" s="9">
        <v>0</v>
      </c>
      <c r="S80" s="8">
        <v>0</v>
      </c>
      <c r="T80" s="9">
        <v>0</v>
      </c>
    </row>
    <row r="81" spans="1:20" x14ac:dyDescent="0.2">
      <c r="A81" s="5" t="s">
        <v>238</v>
      </c>
      <c r="B81" s="5" t="s">
        <v>162</v>
      </c>
      <c r="C81" s="17" t="s">
        <v>590</v>
      </c>
      <c r="D81" s="7">
        <f t="shared" si="0"/>
        <v>13.6</v>
      </c>
      <c r="E81" s="8">
        <v>0</v>
      </c>
      <c r="F81" s="5">
        <v>0</v>
      </c>
      <c r="G81" s="5">
        <v>0</v>
      </c>
      <c r="H81" s="5">
        <v>0</v>
      </c>
      <c r="I81" s="5">
        <v>0</v>
      </c>
      <c r="J81" s="9">
        <v>0</v>
      </c>
      <c r="K81" s="8">
        <v>1</v>
      </c>
      <c r="L81" s="5">
        <v>6</v>
      </c>
      <c r="M81" s="5">
        <v>0</v>
      </c>
      <c r="N81" s="9">
        <v>0</v>
      </c>
      <c r="O81" s="8">
        <v>3</v>
      </c>
      <c r="P81" s="5">
        <v>40</v>
      </c>
      <c r="Q81" s="5">
        <v>1</v>
      </c>
      <c r="R81" s="9">
        <v>0</v>
      </c>
      <c r="S81" s="8">
        <v>0</v>
      </c>
      <c r="T81" s="9">
        <v>0</v>
      </c>
    </row>
    <row r="82" spans="1:20" x14ac:dyDescent="0.2">
      <c r="A82" s="5" t="s">
        <v>551</v>
      </c>
      <c r="B82" s="5" t="s">
        <v>75</v>
      </c>
      <c r="C82" s="17" t="s">
        <v>597</v>
      </c>
      <c r="D82" s="7">
        <f t="shared" si="0"/>
        <v>13</v>
      </c>
      <c r="E82" s="8">
        <v>0</v>
      </c>
      <c r="F82" s="5">
        <v>0</v>
      </c>
      <c r="G82" s="5">
        <v>0</v>
      </c>
      <c r="H82" s="5">
        <v>0</v>
      </c>
      <c r="I82" s="5">
        <v>0</v>
      </c>
      <c r="J82" s="9">
        <v>0</v>
      </c>
      <c r="K82" s="8">
        <v>4</v>
      </c>
      <c r="L82" s="5">
        <v>18</v>
      </c>
      <c r="M82" s="5">
        <v>1</v>
      </c>
      <c r="N82" s="9">
        <v>0</v>
      </c>
      <c r="O82" s="8">
        <v>3</v>
      </c>
      <c r="P82" s="5">
        <v>22</v>
      </c>
      <c r="Q82" s="5">
        <v>0</v>
      </c>
      <c r="R82" s="9">
        <v>0</v>
      </c>
      <c r="S82" s="8">
        <v>0</v>
      </c>
      <c r="T82" s="9">
        <v>0</v>
      </c>
    </row>
    <row r="83" spans="1:20" x14ac:dyDescent="0.2">
      <c r="A83" s="5" t="s">
        <v>360</v>
      </c>
      <c r="B83" s="5" t="s">
        <v>162</v>
      </c>
      <c r="C83" s="10" t="s">
        <v>601</v>
      </c>
      <c r="D83" s="7">
        <f t="shared" si="0"/>
        <v>13</v>
      </c>
      <c r="E83" s="8">
        <v>0</v>
      </c>
      <c r="F83" s="5">
        <v>0</v>
      </c>
      <c r="G83" s="5">
        <v>0</v>
      </c>
      <c r="H83" s="5">
        <v>0</v>
      </c>
      <c r="I83" s="5">
        <v>0</v>
      </c>
      <c r="J83" s="9">
        <v>0</v>
      </c>
      <c r="K83" s="8">
        <v>0</v>
      </c>
      <c r="L83" s="5">
        <v>0</v>
      </c>
      <c r="M83" s="5">
        <v>0</v>
      </c>
      <c r="N83" s="9">
        <v>0</v>
      </c>
      <c r="O83" s="8">
        <v>2</v>
      </c>
      <c r="P83" s="5">
        <v>50</v>
      </c>
      <c r="Q83" s="5">
        <v>1</v>
      </c>
      <c r="R83" s="9">
        <v>0</v>
      </c>
      <c r="S83" s="8">
        <v>0</v>
      </c>
      <c r="T83" s="9">
        <v>0</v>
      </c>
    </row>
    <row r="84" spans="1:20" x14ac:dyDescent="0.2">
      <c r="A84" s="5" t="s">
        <v>53</v>
      </c>
      <c r="B84" s="5" t="s">
        <v>17</v>
      </c>
      <c r="C84" s="17" t="s">
        <v>602</v>
      </c>
      <c r="D84" s="7">
        <f t="shared" si="0"/>
        <v>12.9</v>
      </c>
      <c r="E84" s="8">
        <v>24</v>
      </c>
      <c r="F84" s="5">
        <v>16</v>
      </c>
      <c r="G84" s="5">
        <v>140</v>
      </c>
      <c r="H84" s="5">
        <v>0</v>
      </c>
      <c r="I84" s="5">
        <v>0</v>
      </c>
      <c r="J84" s="9">
        <v>0</v>
      </c>
      <c r="K84" s="8">
        <v>2</v>
      </c>
      <c r="L84" s="5">
        <v>13</v>
      </c>
      <c r="M84" s="5">
        <v>1</v>
      </c>
      <c r="N84" s="9">
        <v>0</v>
      </c>
      <c r="O84" s="8">
        <v>0</v>
      </c>
      <c r="P84" s="5">
        <v>0</v>
      </c>
      <c r="Q84" s="5">
        <v>0</v>
      </c>
      <c r="R84" s="9">
        <v>0</v>
      </c>
      <c r="S84" s="8">
        <v>0</v>
      </c>
      <c r="T84" s="9">
        <v>0</v>
      </c>
    </row>
    <row r="85" spans="1:20" x14ac:dyDescent="0.2">
      <c r="A85" s="5" t="s">
        <v>175</v>
      </c>
      <c r="B85" s="5" t="s">
        <v>162</v>
      </c>
      <c r="C85" s="17" t="s">
        <v>592</v>
      </c>
      <c r="D85" s="7">
        <f t="shared" si="0"/>
        <v>12.9</v>
      </c>
      <c r="E85" s="8">
        <v>0</v>
      </c>
      <c r="F85" s="5">
        <v>0</v>
      </c>
      <c r="G85" s="5">
        <v>0</v>
      </c>
      <c r="H85" s="5">
        <v>0</v>
      </c>
      <c r="I85" s="5">
        <v>0</v>
      </c>
      <c r="J85" s="9">
        <v>0</v>
      </c>
      <c r="K85" s="8">
        <v>0</v>
      </c>
      <c r="L85" s="5">
        <v>0</v>
      </c>
      <c r="M85" s="5">
        <v>0</v>
      </c>
      <c r="N85" s="9">
        <v>0</v>
      </c>
      <c r="O85" s="8">
        <v>3</v>
      </c>
      <c r="P85" s="5">
        <v>39</v>
      </c>
      <c r="Q85" s="5">
        <v>1</v>
      </c>
      <c r="R85" s="9">
        <v>0</v>
      </c>
      <c r="S85" s="8">
        <v>0</v>
      </c>
      <c r="T85" s="9">
        <v>0</v>
      </c>
    </row>
    <row r="86" spans="1:20" x14ac:dyDescent="0.2">
      <c r="A86" s="5" t="s">
        <v>44</v>
      </c>
      <c r="B86" s="5" t="s">
        <v>17</v>
      </c>
      <c r="C86" s="10" t="s">
        <v>589</v>
      </c>
      <c r="D86" s="7">
        <f t="shared" si="0"/>
        <v>12.680000000000001</v>
      </c>
      <c r="E86" s="8">
        <v>37</v>
      </c>
      <c r="F86" s="5">
        <v>26</v>
      </c>
      <c r="G86" s="5">
        <v>272</v>
      </c>
      <c r="H86" s="5">
        <v>1</v>
      </c>
      <c r="I86" s="5">
        <v>1</v>
      </c>
      <c r="J86" s="9">
        <v>0</v>
      </c>
      <c r="K86" s="8">
        <v>2</v>
      </c>
      <c r="L86" s="5">
        <v>-2</v>
      </c>
      <c r="M86" s="5">
        <v>0</v>
      </c>
      <c r="N86" s="9">
        <v>0</v>
      </c>
      <c r="O86" s="8">
        <v>0</v>
      </c>
      <c r="P86" s="5">
        <v>0</v>
      </c>
      <c r="Q86" s="5">
        <v>0</v>
      </c>
      <c r="R86" s="9">
        <v>0</v>
      </c>
      <c r="S86" s="8">
        <v>0</v>
      </c>
      <c r="T86" s="9">
        <v>0</v>
      </c>
    </row>
    <row r="87" spans="1:20" x14ac:dyDescent="0.2">
      <c r="A87" s="5" t="s">
        <v>166</v>
      </c>
      <c r="B87" s="5" t="s">
        <v>162</v>
      </c>
      <c r="C87" s="17" t="s">
        <v>596</v>
      </c>
      <c r="D87" s="7">
        <f t="shared" si="0"/>
        <v>12.6</v>
      </c>
      <c r="E87" s="8">
        <v>0</v>
      </c>
      <c r="F87" s="5">
        <v>0</v>
      </c>
      <c r="G87" s="5">
        <v>0</v>
      </c>
      <c r="H87" s="5">
        <v>0</v>
      </c>
      <c r="I87" s="5">
        <v>0</v>
      </c>
      <c r="J87" s="9">
        <v>0</v>
      </c>
      <c r="K87" s="8">
        <v>0</v>
      </c>
      <c r="L87" s="5">
        <v>0</v>
      </c>
      <c r="M87" s="5">
        <v>0</v>
      </c>
      <c r="N87" s="9">
        <v>0</v>
      </c>
      <c r="O87" s="8">
        <v>3</v>
      </c>
      <c r="P87" s="5">
        <v>36</v>
      </c>
      <c r="Q87" s="5">
        <v>1</v>
      </c>
      <c r="R87" s="9">
        <v>0</v>
      </c>
      <c r="S87" s="8">
        <v>0</v>
      </c>
      <c r="T87" s="9">
        <v>0</v>
      </c>
    </row>
    <row r="88" spans="1:20" x14ac:dyDescent="0.2">
      <c r="A88" s="5" t="s">
        <v>237</v>
      </c>
      <c r="B88" s="5" t="s">
        <v>162</v>
      </c>
      <c r="C88" s="10" t="s">
        <v>598</v>
      </c>
      <c r="D88" s="7">
        <f t="shared" si="0"/>
        <v>12.6</v>
      </c>
      <c r="E88" s="8">
        <v>0</v>
      </c>
      <c r="F88" s="5">
        <v>0</v>
      </c>
      <c r="G88" s="5">
        <v>0</v>
      </c>
      <c r="H88" s="5">
        <v>0</v>
      </c>
      <c r="I88" s="5">
        <v>0</v>
      </c>
      <c r="J88" s="9">
        <v>0</v>
      </c>
      <c r="K88" s="8">
        <v>0</v>
      </c>
      <c r="L88" s="5">
        <v>0</v>
      </c>
      <c r="M88" s="5">
        <v>0</v>
      </c>
      <c r="N88" s="9">
        <v>0</v>
      </c>
      <c r="O88" s="8">
        <v>3</v>
      </c>
      <c r="P88" s="5">
        <v>36</v>
      </c>
      <c r="Q88" s="5">
        <v>1</v>
      </c>
      <c r="R88" s="9">
        <v>0</v>
      </c>
      <c r="S88" s="8">
        <v>0</v>
      </c>
      <c r="T88" s="9">
        <v>0</v>
      </c>
    </row>
    <row r="89" spans="1:20" x14ac:dyDescent="0.2">
      <c r="A89" s="5" t="s">
        <v>603</v>
      </c>
      <c r="B89" s="5" t="s">
        <v>17</v>
      </c>
      <c r="C89" s="17" t="s">
        <v>587</v>
      </c>
      <c r="D89" s="7">
        <f t="shared" si="0"/>
        <v>12.4</v>
      </c>
      <c r="E89" s="8">
        <v>21</v>
      </c>
      <c r="F89" s="5">
        <v>12</v>
      </c>
      <c r="G89" s="5">
        <v>175</v>
      </c>
      <c r="H89" s="5">
        <v>1</v>
      </c>
      <c r="I89" s="5">
        <v>0</v>
      </c>
      <c r="J89" s="9">
        <v>0</v>
      </c>
      <c r="K89" s="8">
        <v>2</v>
      </c>
      <c r="L89" s="5">
        <v>14</v>
      </c>
      <c r="M89" s="5">
        <v>0</v>
      </c>
      <c r="N89" s="9">
        <v>0</v>
      </c>
      <c r="O89" s="8">
        <v>0</v>
      </c>
      <c r="P89" s="5">
        <v>0</v>
      </c>
      <c r="Q89" s="5">
        <v>0</v>
      </c>
      <c r="R89" s="9">
        <v>0</v>
      </c>
      <c r="S89" s="8">
        <v>0</v>
      </c>
      <c r="T89" s="9">
        <v>0</v>
      </c>
    </row>
    <row r="90" spans="1:20" x14ac:dyDescent="0.2">
      <c r="A90" s="5" t="s">
        <v>225</v>
      </c>
      <c r="B90" s="5" t="s">
        <v>162</v>
      </c>
      <c r="C90" s="10" t="s">
        <v>599</v>
      </c>
      <c r="D90" s="7">
        <f t="shared" si="0"/>
        <v>12.3</v>
      </c>
      <c r="E90" s="8">
        <v>0</v>
      </c>
      <c r="F90" s="5">
        <v>0</v>
      </c>
      <c r="G90" s="5">
        <v>0</v>
      </c>
      <c r="H90" s="5">
        <v>0</v>
      </c>
      <c r="I90" s="5">
        <v>0</v>
      </c>
      <c r="J90" s="9">
        <v>0</v>
      </c>
      <c r="K90" s="8">
        <v>0</v>
      </c>
      <c r="L90" s="5">
        <v>0</v>
      </c>
      <c r="M90" s="5">
        <v>0</v>
      </c>
      <c r="N90" s="9">
        <v>0</v>
      </c>
      <c r="O90" s="8">
        <v>4</v>
      </c>
      <c r="P90" s="5">
        <v>83</v>
      </c>
      <c r="Q90" s="5">
        <v>0</v>
      </c>
      <c r="R90" s="9">
        <v>0</v>
      </c>
      <c r="S90" s="8">
        <v>0</v>
      </c>
      <c r="T90" s="9">
        <v>0</v>
      </c>
    </row>
    <row r="91" spans="1:20" x14ac:dyDescent="0.2">
      <c r="A91" s="5" t="s">
        <v>19</v>
      </c>
      <c r="B91" s="5" t="s">
        <v>17</v>
      </c>
      <c r="C91" s="17" t="s">
        <v>596</v>
      </c>
      <c r="D91" s="7">
        <f t="shared" si="0"/>
        <v>12.240000000000002</v>
      </c>
      <c r="E91" s="8">
        <v>29</v>
      </c>
      <c r="F91" s="5">
        <v>19</v>
      </c>
      <c r="G91" s="5">
        <v>161</v>
      </c>
      <c r="H91" s="5">
        <v>2</v>
      </c>
      <c r="I91" s="5">
        <v>1</v>
      </c>
      <c r="J91" s="9">
        <v>0</v>
      </c>
      <c r="K91" s="8">
        <v>1</v>
      </c>
      <c r="L91" s="5">
        <v>-2</v>
      </c>
      <c r="M91" s="5">
        <v>0</v>
      </c>
      <c r="N91" s="9">
        <v>0</v>
      </c>
      <c r="O91" s="8">
        <v>0</v>
      </c>
      <c r="P91" s="5">
        <v>0</v>
      </c>
      <c r="Q91" s="5">
        <v>0</v>
      </c>
      <c r="R91" s="9">
        <v>0</v>
      </c>
      <c r="S91" s="8">
        <v>0</v>
      </c>
      <c r="T91" s="9">
        <v>0</v>
      </c>
    </row>
    <row r="92" spans="1:20" x14ac:dyDescent="0.2">
      <c r="A92" s="5" t="s">
        <v>81</v>
      </c>
      <c r="B92" s="5" t="s">
        <v>75</v>
      </c>
      <c r="C92" s="17" t="s">
        <v>587</v>
      </c>
      <c r="D92" s="7">
        <f t="shared" si="0"/>
        <v>12.2</v>
      </c>
      <c r="E92" s="8">
        <v>0</v>
      </c>
      <c r="F92" s="5">
        <v>0</v>
      </c>
      <c r="G92" s="5">
        <v>0</v>
      </c>
      <c r="H92" s="5">
        <v>0</v>
      </c>
      <c r="I92" s="5">
        <v>0</v>
      </c>
      <c r="J92" s="9">
        <v>0</v>
      </c>
      <c r="K92" s="8">
        <v>11</v>
      </c>
      <c r="L92" s="5">
        <v>62</v>
      </c>
      <c r="M92" s="5">
        <v>1</v>
      </c>
      <c r="N92" s="9">
        <v>0</v>
      </c>
      <c r="O92" s="8">
        <v>0</v>
      </c>
      <c r="P92" s="5">
        <v>0</v>
      </c>
      <c r="Q92" s="5">
        <v>0</v>
      </c>
      <c r="R92" s="9">
        <v>0</v>
      </c>
      <c r="S92" s="8">
        <v>0</v>
      </c>
      <c r="T92" s="9">
        <v>0</v>
      </c>
    </row>
    <row r="93" spans="1:20" x14ac:dyDescent="0.2">
      <c r="A93" s="5" t="s">
        <v>56</v>
      </c>
      <c r="B93" s="5" t="s">
        <v>17</v>
      </c>
      <c r="C93" s="17" t="s">
        <v>600</v>
      </c>
      <c r="D93" s="7">
        <f t="shared" si="0"/>
        <v>12.100000000000001</v>
      </c>
      <c r="E93" s="8">
        <v>36</v>
      </c>
      <c r="F93" s="5">
        <v>17</v>
      </c>
      <c r="G93" s="5">
        <v>240</v>
      </c>
      <c r="H93" s="5">
        <v>1</v>
      </c>
      <c r="I93" s="5">
        <v>0</v>
      </c>
      <c r="J93" s="9">
        <v>0</v>
      </c>
      <c r="K93" s="8">
        <v>4</v>
      </c>
      <c r="L93" s="5">
        <v>25</v>
      </c>
      <c r="M93" s="5">
        <v>0</v>
      </c>
      <c r="N93" s="9">
        <v>0</v>
      </c>
      <c r="O93" s="8">
        <v>0</v>
      </c>
      <c r="P93" s="5">
        <v>0</v>
      </c>
      <c r="Q93" s="5">
        <v>0</v>
      </c>
      <c r="R93" s="9">
        <v>0</v>
      </c>
      <c r="S93" s="8">
        <v>2</v>
      </c>
      <c r="T93" s="9">
        <v>0</v>
      </c>
    </row>
    <row r="94" spans="1:20" x14ac:dyDescent="0.2">
      <c r="A94" s="5" t="s">
        <v>58</v>
      </c>
      <c r="B94" s="5" t="s">
        <v>17</v>
      </c>
      <c r="C94" s="17" t="s">
        <v>591</v>
      </c>
      <c r="D94" s="7">
        <f t="shared" si="0"/>
        <v>11.98</v>
      </c>
      <c r="E94" s="8">
        <v>27</v>
      </c>
      <c r="F94" s="5">
        <v>18</v>
      </c>
      <c r="G94" s="5">
        <v>157</v>
      </c>
      <c r="H94" s="5">
        <v>1</v>
      </c>
      <c r="I94" s="5">
        <v>0</v>
      </c>
      <c r="J94" s="9">
        <v>0</v>
      </c>
      <c r="K94" s="8">
        <v>5</v>
      </c>
      <c r="L94" s="5">
        <v>17</v>
      </c>
      <c r="M94" s="5">
        <v>0</v>
      </c>
      <c r="N94" s="9">
        <v>0</v>
      </c>
      <c r="O94" s="8">
        <v>0</v>
      </c>
      <c r="P94" s="5">
        <v>0</v>
      </c>
      <c r="Q94" s="5">
        <v>0</v>
      </c>
      <c r="R94" s="9">
        <v>0</v>
      </c>
      <c r="S94" s="8">
        <v>0</v>
      </c>
      <c r="T94" s="9">
        <v>0</v>
      </c>
    </row>
    <row r="95" spans="1:20" x14ac:dyDescent="0.2">
      <c r="A95" s="5" t="s">
        <v>326</v>
      </c>
      <c r="B95" s="5" t="s">
        <v>162</v>
      </c>
      <c r="C95" s="17" t="s">
        <v>590</v>
      </c>
      <c r="D95" s="7">
        <f t="shared" si="0"/>
        <v>11.9</v>
      </c>
      <c r="E95" s="8">
        <v>0</v>
      </c>
      <c r="F95" s="5">
        <v>0</v>
      </c>
      <c r="G95" s="5">
        <v>0</v>
      </c>
      <c r="H95" s="5">
        <v>0</v>
      </c>
      <c r="I95" s="5">
        <v>0</v>
      </c>
      <c r="J95" s="9">
        <v>0</v>
      </c>
      <c r="K95" s="8">
        <v>0</v>
      </c>
      <c r="L95" s="5">
        <v>0</v>
      </c>
      <c r="M95" s="5">
        <v>0</v>
      </c>
      <c r="N95" s="9">
        <v>0</v>
      </c>
      <c r="O95" s="8">
        <v>5</v>
      </c>
      <c r="P95" s="5">
        <v>69</v>
      </c>
      <c r="Q95" s="5">
        <v>0</v>
      </c>
      <c r="R95" s="9">
        <v>0</v>
      </c>
      <c r="S95" s="8">
        <v>0</v>
      </c>
      <c r="T95" s="9">
        <v>0</v>
      </c>
    </row>
    <row r="96" spans="1:20" x14ac:dyDescent="0.2">
      <c r="A96" s="5" t="s">
        <v>174</v>
      </c>
      <c r="B96" s="5" t="s">
        <v>162</v>
      </c>
      <c r="C96" s="10" t="s">
        <v>599</v>
      </c>
      <c r="D96" s="7">
        <f t="shared" si="0"/>
        <v>11.8</v>
      </c>
      <c r="E96" s="8">
        <v>0</v>
      </c>
      <c r="F96" s="5">
        <v>0</v>
      </c>
      <c r="G96" s="5">
        <v>0</v>
      </c>
      <c r="H96" s="5">
        <v>0</v>
      </c>
      <c r="I96" s="5">
        <v>0</v>
      </c>
      <c r="J96" s="9">
        <v>0</v>
      </c>
      <c r="K96" s="8">
        <v>0</v>
      </c>
      <c r="L96" s="5">
        <v>0</v>
      </c>
      <c r="M96" s="5">
        <v>0</v>
      </c>
      <c r="N96" s="9">
        <v>0</v>
      </c>
      <c r="O96" s="8">
        <v>4</v>
      </c>
      <c r="P96" s="5">
        <v>18</v>
      </c>
      <c r="Q96" s="5">
        <v>1</v>
      </c>
      <c r="R96" s="9">
        <v>0</v>
      </c>
      <c r="S96" s="8">
        <v>0</v>
      </c>
      <c r="T96" s="9">
        <v>0</v>
      </c>
    </row>
    <row r="97" spans="1:20" x14ac:dyDescent="0.2">
      <c r="A97" s="5" t="s">
        <v>343</v>
      </c>
      <c r="B97" s="5" t="s">
        <v>69</v>
      </c>
      <c r="C97" s="17" t="s">
        <v>601</v>
      </c>
      <c r="D97" s="7">
        <f t="shared" si="0"/>
        <v>11.8</v>
      </c>
      <c r="E97" s="8">
        <v>0</v>
      </c>
      <c r="F97" s="5">
        <v>0</v>
      </c>
      <c r="G97" s="5">
        <v>0</v>
      </c>
      <c r="H97" s="5">
        <v>0</v>
      </c>
      <c r="I97" s="5">
        <v>0</v>
      </c>
      <c r="J97" s="9">
        <v>0</v>
      </c>
      <c r="K97" s="8">
        <v>0</v>
      </c>
      <c r="L97" s="5">
        <v>0</v>
      </c>
      <c r="M97" s="5">
        <v>0</v>
      </c>
      <c r="N97" s="9">
        <v>0</v>
      </c>
      <c r="O97" s="8">
        <v>6</v>
      </c>
      <c r="P97" s="5">
        <v>58</v>
      </c>
      <c r="Q97" s="5">
        <v>0</v>
      </c>
      <c r="R97" s="9">
        <v>0</v>
      </c>
      <c r="S97" s="8">
        <v>0</v>
      </c>
      <c r="T97" s="9">
        <v>0</v>
      </c>
    </row>
    <row r="98" spans="1:20" x14ac:dyDescent="0.2">
      <c r="A98" s="5" t="s">
        <v>188</v>
      </c>
      <c r="B98" s="5" t="s">
        <v>162</v>
      </c>
      <c r="C98" s="10" t="s">
        <v>598</v>
      </c>
      <c r="D98" s="7">
        <f t="shared" si="0"/>
        <v>11.7</v>
      </c>
      <c r="E98" s="8">
        <v>0</v>
      </c>
      <c r="F98" s="5">
        <v>0</v>
      </c>
      <c r="G98" s="5">
        <v>0</v>
      </c>
      <c r="H98" s="5">
        <v>0</v>
      </c>
      <c r="I98" s="5">
        <v>0</v>
      </c>
      <c r="J98" s="9">
        <v>0</v>
      </c>
      <c r="K98" s="8">
        <v>0</v>
      </c>
      <c r="L98" s="5">
        <v>0</v>
      </c>
      <c r="M98" s="5">
        <v>0</v>
      </c>
      <c r="N98" s="9">
        <v>0</v>
      </c>
      <c r="O98" s="8">
        <v>5</v>
      </c>
      <c r="P98" s="5">
        <v>67</v>
      </c>
      <c r="Q98" s="5">
        <v>0</v>
      </c>
      <c r="R98" s="9">
        <v>0</v>
      </c>
      <c r="S98" s="8">
        <v>0</v>
      </c>
      <c r="T98" s="9">
        <v>0</v>
      </c>
    </row>
    <row r="99" spans="1:20" x14ac:dyDescent="0.2">
      <c r="A99" s="5" t="s">
        <v>574</v>
      </c>
      <c r="B99" s="5" t="s">
        <v>75</v>
      </c>
      <c r="C99" s="17" t="s">
        <v>586</v>
      </c>
      <c r="D99" s="7">
        <f t="shared" si="0"/>
        <v>11.5</v>
      </c>
      <c r="E99" s="8">
        <v>0</v>
      </c>
      <c r="F99" s="5">
        <v>0</v>
      </c>
      <c r="G99" s="5">
        <v>0</v>
      </c>
      <c r="H99" s="5">
        <v>0</v>
      </c>
      <c r="I99" s="5">
        <v>0</v>
      </c>
      <c r="J99" s="9">
        <v>0</v>
      </c>
      <c r="K99" s="8">
        <v>12</v>
      </c>
      <c r="L99" s="5">
        <v>31</v>
      </c>
      <c r="M99" s="5">
        <v>0</v>
      </c>
      <c r="N99" s="9">
        <v>0</v>
      </c>
      <c r="O99" s="8">
        <v>3</v>
      </c>
      <c r="P99" s="5">
        <v>54</v>
      </c>
      <c r="Q99" s="5">
        <v>0</v>
      </c>
      <c r="R99" s="9">
        <v>0</v>
      </c>
      <c r="S99" s="8">
        <v>0</v>
      </c>
      <c r="T99" s="9">
        <v>0</v>
      </c>
    </row>
    <row r="100" spans="1:20" x14ac:dyDescent="0.2">
      <c r="A100" s="5" t="s">
        <v>46</v>
      </c>
      <c r="B100" s="5" t="s">
        <v>17</v>
      </c>
      <c r="C100" s="17" t="s">
        <v>586</v>
      </c>
      <c r="D100" s="7">
        <f t="shared" si="0"/>
        <v>11.38</v>
      </c>
      <c r="E100" s="8">
        <v>22</v>
      </c>
      <c r="F100" s="5">
        <v>13</v>
      </c>
      <c r="G100" s="5">
        <v>162</v>
      </c>
      <c r="H100" s="5">
        <v>1</v>
      </c>
      <c r="I100" s="5">
        <v>1</v>
      </c>
      <c r="J100" s="9">
        <v>0</v>
      </c>
      <c r="K100" s="8">
        <v>1</v>
      </c>
      <c r="L100" s="5">
        <v>9</v>
      </c>
      <c r="M100" s="5">
        <v>0</v>
      </c>
      <c r="N100" s="9">
        <v>0</v>
      </c>
      <c r="O100" s="8">
        <v>0</v>
      </c>
      <c r="P100" s="5">
        <v>0</v>
      </c>
      <c r="Q100" s="5">
        <v>0</v>
      </c>
      <c r="R100" s="9">
        <v>1</v>
      </c>
      <c r="S100" s="8">
        <v>0</v>
      </c>
      <c r="T100" s="9">
        <v>0</v>
      </c>
    </row>
    <row r="101" spans="1:20" x14ac:dyDescent="0.2">
      <c r="A101" s="5" t="s">
        <v>548</v>
      </c>
      <c r="B101" s="5" t="s">
        <v>17</v>
      </c>
      <c r="C101" s="17" t="s">
        <v>597</v>
      </c>
      <c r="D101" s="7">
        <f t="shared" si="0"/>
        <v>11.18</v>
      </c>
      <c r="E101" s="8">
        <v>37</v>
      </c>
      <c r="F101" s="5">
        <v>25</v>
      </c>
      <c r="G101" s="5">
        <v>232</v>
      </c>
      <c r="H101" s="5">
        <v>0</v>
      </c>
      <c r="I101" s="5">
        <v>2</v>
      </c>
      <c r="J101" s="9">
        <v>0</v>
      </c>
      <c r="K101" s="8">
        <v>4</v>
      </c>
      <c r="L101" s="5">
        <v>-1</v>
      </c>
      <c r="M101" s="5">
        <v>1</v>
      </c>
      <c r="N101" s="9">
        <v>0</v>
      </c>
      <c r="O101" s="8">
        <v>0</v>
      </c>
      <c r="P101" s="5">
        <v>0</v>
      </c>
      <c r="Q101" s="5">
        <v>0</v>
      </c>
      <c r="R101" s="9">
        <v>0</v>
      </c>
      <c r="S101" s="8">
        <v>0</v>
      </c>
      <c r="T101" s="9">
        <v>0</v>
      </c>
    </row>
    <row r="102" spans="1:20" x14ac:dyDescent="0.2">
      <c r="A102" s="5" t="s">
        <v>189</v>
      </c>
      <c r="B102" s="5" t="s">
        <v>162</v>
      </c>
      <c r="C102" s="10" t="s">
        <v>601</v>
      </c>
      <c r="D102" s="7">
        <f t="shared" si="0"/>
        <v>10.9</v>
      </c>
      <c r="E102" s="8">
        <v>0</v>
      </c>
      <c r="F102" s="5">
        <v>0</v>
      </c>
      <c r="G102" s="5">
        <v>0</v>
      </c>
      <c r="H102" s="5">
        <v>0</v>
      </c>
      <c r="I102" s="5">
        <v>0</v>
      </c>
      <c r="J102" s="9">
        <v>0</v>
      </c>
      <c r="K102" s="8">
        <v>0</v>
      </c>
      <c r="L102" s="5">
        <v>0</v>
      </c>
      <c r="M102" s="5">
        <v>0</v>
      </c>
      <c r="N102" s="9">
        <v>0</v>
      </c>
      <c r="O102" s="8">
        <v>2</v>
      </c>
      <c r="P102" s="5">
        <v>29</v>
      </c>
      <c r="Q102" s="5">
        <v>1</v>
      </c>
      <c r="R102" s="9">
        <v>0</v>
      </c>
      <c r="S102" s="8">
        <v>0</v>
      </c>
      <c r="T102" s="9">
        <v>0</v>
      </c>
    </row>
    <row r="103" spans="1:20" x14ac:dyDescent="0.2">
      <c r="A103" s="5" t="s">
        <v>195</v>
      </c>
      <c r="B103" s="5" t="s">
        <v>162</v>
      </c>
      <c r="C103" s="17" t="s">
        <v>593</v>
      </c>
      <c r="D103" s="7">
        <f t="shared" si="0"/>
        <v>10.8</v>
      </c>
      <c r="E103" s="8">
        <v>0</v>
      </c>
      <c r="F103" s="5">
        <v>0</v>
      </c>
      <c r="G103" s="5">
        <v>0</v>
      </c>
      <c r="H103" s="5">
        <v>0</v>
      </c>
      <c r="I103" s="5">
        <v>0</v>
      </c>
      <c r="J103" s="9">
        <v>0</v>
      </c>
      <c r="K103" s="8">
        <v>0</v>
      </c>
      <c r="L103" s="5">
        <v>0</v>
      </c>
      <c r="M103" s="5">
        <v>0</v>
      </c>
      <c r="N103" s="9">
        <v>0</v>
      </c>
      <c r="O103" s="8">
        <v>4</v>
      </c>
      <c r="P103" s="5">
        <v>68</v>
      </c>
      <c r="Q103" s="5">
        <v>0</v>
      </c>
      <c r="R103" s="9">
        <v>0</v>
      </c>
      <c r="S103" s="8">
        <v>0</v>
      </c>
      <c r="T103" s="9">
        <v>0</v>
      </c>
    </row>
    <row r="104" spans="1:20" x14ac:dyDescent="0.2">
      <c r="A104" s="5" t="s">
        <v>515</v>
      </c>
      <c r="B104" s="5" t="s">
        <v>75</v>
      </c>
      <c r="C104" s="10" t="s">
        <v>593</v>
      </c>
      <c r="D104" s="7">
        <f t="shared" si="0"/>
        <v>10.7</v>
      </c>
      <c r="E104" s="8">
        <v>0</v>
      </c>
      <c r="F104" s="5">
        <v>0</v>
      </c>
      <c r="G104" s="5">
        <v>0</v>
      </c>
      <c r="H104" s="5">
        <v>0</v>
      </c>
      <c r="I104" s="5">
        <v>0</v>
      </c>
      <c r="J104" s="9">
        <v>0</v>
      </c>
      <c r="K104" s="8">
        <v>12</v>
      </c>
      <c r="L104" s="5">
        <v>95</v>
      </c>
      <c r="M104" s="5">
        <v>0</v>
      </c>
      <c r="N104" s="9">
        <v>0</v>
      </c>
      <c r="O104" s="8">
        <v>1</v>
      </c>
      <c r="P104" s="5">
        <v>2</v>
      </c>
      <c r="Q104" s="5">
        <v>0</v>
      </c>
      <c r="R104" s="9">
        <v>0</v>
      </c>
      <c r="S104" s="8">
        <v>0</v>
      </c>
      <c r="T104" s="9">
        <v>0</v>
      </c>
    </row>
    <row r="105" spans="1:20" x14ac:dyDescent="0.2">
      <c r="A105" s="5" t="s">
        <v>553</v>
      </c>
      <c r="B105" s="5" t="s">
        <v>17</v>
      </c>
      <c r="C105" s="17" t="s">
        <v>598</v>
      </c>
      <c r="D105" s="7">
        <f t="shared" si="0"/>
        <v>10.620000000000001</v>
      </c>
      <c r="E105" s="8">
        <v>31</v>
      </c>
      <c r="F105" s="5">
        <v>15</v>
      </c>
      <c r="G105" s="5">
        <v>248</v>
      </c>
      <c r="H105" s="5">
        <v>1</v>
      </c>
      <c r="I105" s="5">
        <v>2</v>
      </c>
      <c r="J105" s="9">
        <v>0</v>
      </c>
      <c r="K105" s="8">
        <v>6</v>
      </c>
      <c r="L105" s="5">
        <v>27</v>
      </c>
      <c r="M105" s="5">
        <v>0</v>
      </c>
      <c r="N105" s="9">
        <v>0</v>
      </c>
      <c r="O105" s="8">
        <v>0</v>
      </c>
      <c r="P105" s="5">
        <v>0</v>
      </c>
      <c r="Q105" s="5">
        <v>0</v>
      </c>
      <c r="R105" s="9">
        <v>0</v>
      </c>
      <c r="S105" s="8">
        <v>1</v>
      </c>
      <c r="T105" s="9">
        <v>0</v>
      </c>
    </row>
    <row r="106" spans="1:20" x14ac:dyDescent="0.2">
      <c r="A106" s="5" t="s">
        <v>92</v>
      </c>
      <c r="B106" s="5" t="s">
        <v>75</v>
      </c>
      <c r="C106" s="10" t="s">
        <v>596</v>
      </c>
      <c r="D106" s="7">
        <f t="shared" si="0"/>
        <v>10.600000000000001</v>
      </c>
      <c r="E106" s="8">
        <v>0</v>
      </c>
      <c r="F106" s="5">
        <v>0</v>
      </c>
      <c r="G106" s="5">
        <v>0</v>
      </c>
      <c r="H106" s="5">
        <v>0</v>
      </c>
      <c r="I106" s="5">
        <v>0</v>
      </c>
      <c r="J106" s="9">
        <v>0</v>
      </c>
      <c r="K106" s="8">
        <v>13</v>
      </c>
      <c r="L106" s="5">
        <v>46</v>
      </c>
      <c r="M106" s="5">
        <v>1</v>
      </c>
      <c r="N106" s="9">
        <v>0</v>
      </c>
      <c r="O106" s="8">
        <v>0</v>
      </c>
      <c r="P106" s="5">
        <v>0</v>
      </c>
      <c r="Q106" s="5">
        <v>0</v>
      </c>
      <c r="R106" s="9">
        <v>0</v>
      </c>
      <c r="S106" s="8">
        <v>0</v>
      </c>
      <c r="T106" s="9">
        <v>0</v>
      </c>
    </row>
    <row r="107" spans="1:20" x14ac:dyDescent="0.2">
      <c r="A107" s="5" t="s">
        <v>387</v>
      </c>
      <c r="B107" s="5" t="s">
        <v>162</v>
      </c>
      <c r="C107" s="10" t="s">
        <v>598</v>
      </c>
      <c r="D107" s="7">
        <f t="shared" si="0"/>
        <v>10.600000000000001</v>
      </c>
      <c r="E107" s="8">
        <v>0</v>
      </c>
      <c r="F107" s="5">
        <v>0</v>
      </c>
      <c r="G107" s="5">
        <v>0</v>
      </c>
      <c r="H107" s="5">
        <v>0</v>
      </c>
      <c r="I107" s="5">
        <v>0</v>
      </c>
      <c r="J107" s="9">
        <v>0</v>
      </c>
      <c r="K107" s="8">
        <v>1</v>
      </c>
      <c r="L107" s="5">
        <v>3</v>
      </c>
      <c r="M107" s="5">
        <v>1</v>
      </c>
      <c r="N107" s="9">
        <v>0</v>
      </c>
      <c r="O107" s="8">
        <v>2</v>
      </c>
      <c r="P107" s="5">
        <v>23</v>
      </c>
      <c r="Q107" s="5">
        <v>0</v>
      </c>
      <c r="R107" s="9">
        <v>0</v>
      </c>
      <c r="S107" s="8">
        <v>0</v>
      </c>
      <c r="T107" s="9">
        <v>0</v>
      </c>
    </row>
    <row r="108" spans="1:20" x14ac:dyDescent="0.2">
      <c r="A108" s="5" t="s">
        <v>117</v>
      </c>
      <c r="B108" s="5" t="s">
        <v>75</v>
      </c>
      <c r="C108" s="10" t="s">
        <v>595</v>
      </c>
      <c r="D108" s="7">
        <f t="shared" si="0"/>
        <v>10.5</v>
      </c>
      <c r="E108" s="8">
        <v>0</v>
      </c>
      <c r="F108" s="5">
        <v>0</v>
      </c>
      <c r="G108" s="5">
        <v>0</v>
      </c>
      <c r="H108" s="5">
        <v>0</v>
      </c>
      <c r="I108" s="5">
        <v>0</v>
      </c>
      <c r="J108" s="9">
        <v>0</v>
      </c>
      <c r="K108" s="8">
        <v>7</v>
      </c>
      <c r="L108" s="5">
        <v>13</v>
      </c>
      <c r="M108" s="5">
        <v>0</v>
      </c>
      <c r="N108" s="9">
        <v>0</v>
      </c>
      <c r="O108" s="8">
        <v>5</v>
      </c>
      <c r="P108" s="5">
        <v>42</v>
      </c>
      <c r="Q108" s="5">
        <v>0</v>
      </c>
      <c r="R108" s="9">
        <v>0</v>
      </c>
      <c r="S108" s="8">
        <v>0</v>
      </c>
      <c r="T108" s="9">
        <v>0</v>
      </c>
    </row>
    <row r="109" spans="1:20" x14ac:dyDescent="0.2">
      <c r="A109" s="5" t="s">
        <v>439</v>
      </c>
      <c r="B109" s="5" t="s">
        <v>162</v>
      </c>
      <c r="C109" s="17" t="s">
        <v>587</v>
      </c>
      <c r="D109" s="7">
        <f t="shared" si="0"/>
        <v>10.5</v>
      </c>
      <c r="E109" s="8">
        <v>0</v>
      </c>
      <c r="F109" s="5">
        <v>0</v>
      </c>
      <c r="G109" s="5">
        <v>0</v>
      </c>
      <c r="H109" s="5">
        <v>0</v>
      </c>
      <c r="I109" s="5">
        <v>0</v>
      </c>
      <c r="J109" s="9">
        <v>0</v>
      </c>
      <c r="K109" s="8">
        <v>0</v>
      </c>
      <c r="L109" s="5">
        <v>0</v>
      </c>
      <c r="M109" s="5">
        <v>0</v>
      </c>
      <c r="N109" s="9">
        <v>0</v>
      </c>
      <c r="O109" s="8">
        <v>3</v>
      </c>
      <c r="P109" s="5">
        <v>75</v>
      </c>
      <c r="Q109" s="5">
        <v>0</v>
      </c>
      <c r="R109" s="9">
        <v>0</v>
      </c>
      <c r="S109" s="8">
        <v>0</v>
      </c>
      <c r="T109" s="9">
        <v>0</v>
      </c>
    </row>
    <row r="110" spans="1:20" x14ac:dyDescent="0.2">
      <c r="A110" s="5" t="s">
        <v>339</v>
      </c>
      <c r="B110" s="5" t="s">
        <v>162</v>
      </c>
      <c r="C110" s="17" t="s">
        <v>587</v>
      </c>
      <c r="D110" s="7">
        <f t="shared" si="0"/>
        <v>10.5</v>
      </c>
      <c r="E110" s="8">
        <v>0</v>
      </c>
      <c r="F110" s="5">
        <v>0</v>
      </c>
      <c r="G110" s="5">
        <v>0</v>
      </c>
      <c r="H110" s="5">
        <v>0</v>
      </c>
      <c r="I110" s="5">
        <v>0</v>
      </c>
      <c r="J110" s="9">
        <v>0</v>
      </c>
      <c r="K110" s="8">
        <v>0</v>
      </c>
      <c r="L110" s="5">
        <v>0</v>
      </c>
      <c r="M110" s="5">
        <v>0</v>
      </c>
      <c r="N110" s="9">
        <v>0</v>
      </c>
      <c r="O110" s="8">
        <v>5</v>
      </c>
      <c r="P110" s="5">
        <v>55</v>
      </c>
      <c r="Q110" s="5">
        <v>0</v>
      </c>
      <c r="R110" s="9">
        <v>0</v>
      </c>
      <c r="S110" s="8">
        <v>0</v>
      </c>
      <c r="T110" s="9">
        <v>0</v>
      </c>
    </row>
    <row r="111" spans="1:20" x14ac:dyDescent="0.2">
      <c r="A111" s="5" t="s">
        <v>575</v>
      </c>
      <c r="B111" s="5" t="s">
        <v>75</v>
      </c>
      <c r="C111" s="17" t="s">
        <v>586</v>
      </c>
      <c r="D111" s="7">
        <f t="shared" si="0"/>
        <v>10.4</v>
      </c>
      <c r="E111" s="8">
        <v>0</v>
      </c>
      <c r="F111" s="5">
        <v>0</v>
      </c>
      <c r="G111" s="5">
        <v>0</v>
      </c>
      <c r="H111" s="5">
        <v>0</v>
      </c>
      <c r="I111" s="5">
        <v>0</v>
      </c>
      <c r="J111" s="9">
        <v>0</v>
      </c>
      <c r="K111" s="8">
        <v>9</v>
      </c>
      <c r="L111" s="5">
        <v>44</v>
      </c>
      <c r="M111" s="5">
        <v>1</v>
      </c>
      <c r="N111" s="9">
        <v>0</v>
      </c>
      <c r="O111" s="8">
        <v>0</v>
      </c>
      <c r="P111" s="5">
        <v>0</v>
      </c>
      <c r="Q111" s="5">
        <v>0</v>
      </c>
      <c r="R111" s="9">
        <v>0</v>
      </c>
      <c r="S111" s="8">
        <v>0</v>
      </c>
      <c r="T111" s="9">
        <v>0</v>
      </c>
    </row>
    <row r="112" spans="1:20" x14ac:dyDescent="0.2">
      <c r="A112" s="5" t="s">
        <v>205</v>
      </c>
      <c r="B112" s="5" t="s">
        <v>162</v>
      </c>
      <c r="C112" s="10" t="s">
        <v>587</v>
      </c>
      <c r="D112" s="7">
        <f t="shared" si="0"/>
        <v>10.3</v>
      </c>
      <c r="E112" s="8">
        <v>0</v>
      </c>
      <c r="F112" s="5">
        <v>0</v>
      </c>
      <c r="G112" s="5">
        <v>0</v>
      </c>
      <c r="H112" s="5">
        <v>0</v>
      </c>
      <c r="I112" s="5">
        <v>0</v>
      </c>
      <c r="J112" s="9">
        <v>0</v>
      </c>
      <c r="K112" s="8">
        <v>0</v>
      </c>
      <c r="L112" s="5">
        <v>0</v>
      </c>
      <c r="M112" s="5">
        <v>0</v>
      </c>
      <c r="N112" s="9">
        <v>0</v>
      </c>
      <c r="O112" s="8">
        <v>1</v>
      </c>
      <c r="P112" s="5">
        <v>33</v>
      </c>
      <c r="Q112" s="5">
        <v>1</v>
      </c>
      <c r="R112" s="9">
        <v>0</v>
      </c>
      <c r="S112" s="8">
        <v>0</v>
      </c>
      <c r="T112" s="9">
        <v>0</v>
      </c>
    </row>
    <row r="113" spans="1:20" x14ac:dyDescent="0.2">
      <c r="A113" s="5" t="s">
        <v>308</v>
      </c>
      <c r="B113" s="5" t="s">
        <v>69</v>
      </c>
      <c r="C113" s="10" t="s">
        <v>593</v>
      </c>
      <c r="D113" s="7">
        <f t="shared" si="0"/>
        <v>10.3</v>
      </c>
      <c r="E113" s="8">
        <v>0</v>
      </c>
      <c r="F113" s="5">
        <v>0</v>
      </c>
      <c r="G113" s="5">
        <v>0</v>
      </c>
      <c r="H113" s="5">
        <v>0</v>
      </c>
      <c r="I113" s="5">
        <v>0</v>
      </c>
      <c r="J113" s="9">
        <v>0</v>
      </c>
      <c r="K113" s="8">
        <v>0</v>
      </c>
      <c r="L113" s="5">
        <v>0</v>
      </c>
      <c r="M113" s="5">
        <v>0</v>
      </c>
      <c r="N113" s="9">
        <v>0</v>
      </c>
      <c r="O113" s="8">
        <v>1</v>
      </c>
      <c r="P113" s="5">
        <v>33</v>
      </c>
      <c r="Q113" s="5">
        <v>1</v>
      </c>
      <c r="R113" s="9">
        <v>0</v>
      </c>
      <c r="S113" s="8">
        <v>0</v>
      </c>
      <c r="T113" s="9">
        <v>0</v>
      </c>
    </row>
    <row r="114" spans="1:20" x14ac:dyDescent="0.2">
      <c r="A114" s="5" t="s">
        <v>122</v>
      </c>
      <c r="B114" s="5" t="s">
        <v>75</v>
      </c>
      <c r="C114" s="10" t="s">
        <v>599</v>
      </c>
      <c r="D114" s="7">
        <f t="shared" si="0"/>
        <v>10.199999999999999</v>
      </c>
      <c r="E114" s="8">
        <v>0</v>
      </c>
      <c r="F114" s="5">
        <v>0</v>
      </c>
      <c r="G114" s="5">
        <v>0</v>
      </c>
      <c r="H114" s="5">
        <v>0</v>
      </c>
      <c r="I114" s="5">
        <v>0</v>
      </c>
      <c r="J114" s="9">
        <v>0</v>
      </c>
      <c r="K114" s="8">
        <v>6</v>
      </c>
      <c r="L114" s="5">
        <v>11</v>
      </c>
      <c r="M114" s="5">
        <v>0</v>
      </c>
      <c r="N114" s="9">
        <v>0</v>
      </c>
      <c r="O114" s="8">
        <v>5</v>
      </c>
      <c r="P114" s="5">
        <v>41</v>
      </c>
      <c r="Q114" s="5">
        <v>0</v>
      </c>
      <c r="R114" s="9">
        <v>0</v>
      </c>
      <c r="S114" s="8">
        <v>0</v>
      </c>
      <c r="T114" s="9">
        <v>0</v>
      </c>
    </row>
    <row r="115" spans="1:20" x14ac:dyDescent="0.2">
      <c r="A115" s="5" t="s">
        <v>242</v>
      </c>
      <c r="B115" s="5" t="s">
        <v>162</v>
      </c>
      <c r="C115" s="10" t="s">
        <v>602</v>
      </c>
      <c r="D115" s="7">
        <f t="shared" si="0"/>
        <v>10.199999999999999</v>
      </c>
      <c r="E115" s="8">
        <v>0</v>
      </c>
      <c r="F115" s="5">
        <v>0</v>
      </c>
      <c r="G115" s="5">
        <v>0</v>
      </c>
      <c r="H115" s="5">
        <v>0</v>
      </c>
      <c r="I115" s="5">
        <v>0</v>
      </c>
      <c r="J115" s="9">
        <v>0</v>
      </c>
      <c r="K115" s="8">
        <v>0</v>
      </c>
      <c r="L115" s="5">
        <v>0</v>
      </c>
      <c r="M115" s="5">
        <v>0</v>
      </c>
      <c r="N115" s="9">
        <v>0</v>
      </c>
      <c r="O115" s="8">
        <v>4</v>
      </c>
      <c r="P115" s="5">
        <v>62</v>
      </c>
      <c r="Q115" s="5">
        <v>0</v>
      </c>
      <c r="R115" s="9">
        <v>0</v>
      </c>
      <c r="S115" s="8">
        <v>0</v>
      </c>
      <c r="T115" s="9">
        <v>0</v>
      </c>
    </row>
    <row r="116" spans="1:20" x14ac:dyDescent="0.2">
      <c r="A116" s="5" t="s">
        <v>253</v>
      </c>
      <c r="B116" s="5" t="s">
        <v>162</v>
      </c>
      <c r="C116" s="10" t="s">
        <v>597</v>
      </c>
      <c r="D116" s="7">
        <f t="shared" si="0"/>
        <v>10</v>
      </c>
      <c r="E116" s="8">
        <v>0</v>
      </c>
      <c r="F116" s="5">
        <v>0</v>
      </c>
      <c r="G116" s="5">
        <v>0</v>
      </c>
      <c r="H116" s="5">
        <v>0</v>
      </c>
      <c r="I116" s="5">
        <v>0</v>
      </c>
      <c r="J116" s="9">
        <v>0</v>
      </c>
      <c r="K116" s="8">
        <v>0</v>
      </c>
      <c r="L116" s="5">
        <v>0</v>
      </c>
      <c r="M116" s="5">
        <v>0</v>
      </c>
      <c r="N116" s="9">
        <v>0</v>
      </c>
      <c r="O116" s="8">
        <v>5</v>
      </c>
      <c r="P116" s="5">
        <v>50</v>
      </c>
      <c r="Q116" s="5">
        <v>0</v>
      </c>
      <c r="R116" s="9">
        <v>0</v>
      </c>
      <c r="S116" s="8">
        <v>0</v>
      </c>
      <c r="T116" s="9">
        <v>0</v>
      </c>
    </row>
    <row r="117" spans="1:20" x14ac:dyDescent="0.2">
      <c r="A117" s="5" t="s">
        <v>93</v>
      </c>
      <c r="B117" s="5" t="s">
        <v>75</v>
      </c>
      <c r="C117" s="10" t="s">
        <v>588</v>
      </c>
      <c r="D117" s="7">
        <f t="shared" si="0"/>
        <v>9.9</v>
      </c>
      <c r="E117" s="8">
        <v>0</v>
      </c>
      <c r="F117" s="5">
        <v>0</v>
      </c>
      <c r="G117" s="5">
        <v>0</v>
      </c>
      <c r="H117" s="5">
        <v>0</v>
      </c>
      <c r="I117" s="5">
        <v>0</v>
      </c>
      <c r="J117" s="9">
        <v>0</v>
      </c>
      <c r="K117" s="8">
        <v>10</v>
      </c>
      <c r="L117" s="5">
        <v>59</v>
      </c>
      <c r="M117" s="5">
        <v>0</v>
      </c>
      <c r="N117" s="9">
        <v>0</v>
      </c>
      <c r="O117" s="8">
        <v>2</v>
      </c>
      <c r="P117" s="5">
        <v>20</v>
      </c>
      <c r="Q117" s="5">
        <v>0</v>
      </c>
      <c r="R117" s="9">
        <v>0</v>
      </c>
      <c r="S117" s="8">
        <v>0</v>
      </c>
      <c r="T117" s="9">
        <v>0</v>
      </c>
    </row>
    <row r="118" spans="1:20" x14ac:dyDescent="0.2">
      <c r="A118" s="5" t="s">
        <v>250</v>
      </c>
      <c r="B118" s="5" t="s">
        <v>162</v>
      </c>
      <c r="C118" s="10" t="s">
        <v>591</v>
      </c>
      <c r="D118" s="7">
        <f t="shared" si="0"/>
        <v>9.8000000000000007</v>
      </c>
      <c r="E118" s="8">
        <v>0</v>
      </c>
      <c r="F118" s="5">
        <v>0</v>
      </c>
      <c r="G118" s="5">
        <v>0</v>
      </c>
      <c r="H118" s="5">
        <v>0</v>
      </c>
      <c r="I118" s="5">
        <v>0</v>
      </c>
      <c r="J118" s="9">
        <v>0</v>
      </c>
      <c r="K118" s="8">
        <v>0</v>
      </c>
      <c r="L118" s="5">
        <v>0</v>
      </c>
      <c r="M118" s="5">
        <v>0</v>
      </c>
      <c r="N118" s="9">
        <v>0</v>
      </c>
      <c r="O118" s="8">
        <v>4</v>
      </c>
      <c r="P118" s="5">
        <v>58</v>
      </c>
      <c r="Q118" s="5">
        <v>0</v>
      </c>
      <c r="R118" s="9">
        <v>0</v>
      </c>
      <c r="S118" s="8">
        <v>0</v>
      </c>
      <c r="T118" s="9">
        <v>0</v>
      </c>
    </row>
    <row r="119" spans="1:20" x14ac:dyDescent="0.2">
      <c r="A119" s="5" t="s">
        <v>193</v>
      </c>
      <c r="B119" s="5" t="s">
        <v>162</v>
      </c>
      <c r="C119" s="17" t="s">
        <v>601</v>
      </c>
      <c r="D119" s="7">
        <f t="shared" si="0"/>
        <v>9.6000000000000014</v>
      </c>
      <c r="E119" s="8">
        <v>0</v>
      </c>
      <c r="F119" s="5">
        <v>0</v>
      </c>
      <c r="G119" s="5">
        <v>0</v>
      </c>
      <c r="H119" s="5">
        <v>0</v>
      </c>
      <c r="I119" s="5">
        <v>0</v>
      </c>
      <c r="J119" s="9">
        <v>0</v>
      </c>
      <c r="K119" s="8">
        <v>0</v>
      </c>
      <c r="L119" s="5">
        <v>0</v>
      </c>
      <c r="M119" s="5">
        <v>0</v>
      </c>
      <c r="N119" s="9">
        <v>0</v>
      </c>
      <c r="O119" s="8">
        <v>4</v>
      </c>
      <c r="P119" s="5">
        <v>56</v>
      </c>
      <c r="Q119" s="5">
        <v>0</v>
      </c>
      <c r="R119" s="9">
        <v>0</v>
      </c>
      <c r="S119" s="8">
        <v>0</v>
      </c>
      <c r="T119" s="9">
        <v>0</v>
      </c>
    </row>
    <row r="120" spans="1:20" x14ac:dyDescent="0.2">
      <c r="A120" s="5" t="s">
        <v>171</v>
      </c>
      <c r="B120" s="5" t="s">
        <v>162</v>
      </c>
      <c r="C120" s="17" t="s">
        <v>593</v>
      </c>
      <c r="D120" s="7">
        <f t="shared" si="0"/>
        <v>9.6000000000000014</v>
      </c>
      <c r="E120" s="8">
        <v>0</v>
      </c>
      <c r="F120" s="5">
        <v>0</v>
      </c>
      <c r="G120" s="5">
        <v>0</v>
      </c>
      <c r="H120" s="5">
        <v>0</v>
      </c>
      <c r="I120" s="5">
        <v>0</v>
      </c>
      <c r="J120" s="9">
        <v>0</v>
      </c>
      <c r="K120" s="8">
        <v>0</v>
      </c>
      <c r="L120" s="5">
        <v>0</v>
      </c>
      <c r="M120" s="5">
        <v>0</v>
      </c>
      <c r="N120" s="9">
        <v>0</v>
      </c>
      <c r="O120" s="8">
        <v>5</v>
      </c>
      <c r="P120" s="5">
        <v>46</v>
      </c>
      <c r="Q120" s="5">
        <v>0</v>
      </c>
      <c r="R120" s="9">
        <v>0</v>
      </c>
      <c r="S120" s="8">
        <v>0</v>
      </c>
      <c r="T120" s="9">
        <v>0</v>
      </c>
    </row>
    <row r="121" spans="1:20" x14ac:dyDescent="0.2">
      <c r="A121" s="5" t="s">
        <v>106</v>
      </c>
      <c r="B121" s="5" t="s">
        <v>75</v>
      </c>
      <c r="C121" s="17" t="s">
        <v>599</v>
      </c>
      <c r="D121" s="7">
        <f t="shared" si="0"/>
        <v>9.5</v>
      </c>
      <c r="E121" s="8">
        <v>0</v>
      </c>
      <c r="F121" s="5">
        <v>0</v>
      </c>
      <c r="G121" s="5">
        <v>0</v>
      </c>
      <c r="H121" s="5">
        <v>0</v>
      </c>
      <c r="I121" s="5">
        <v>0</v>
      </c>
      <c r="J121" s="9">
        <v>0</v>
      </c>
      <c r="K121" s="8">
        <v>9</v>
      </c>
      <c r="L121" s="5">
        <v>19</v>
      </c>
      <c r="M121" s="5">
        <v>1</v>
      </c>
      <c r="N121" s="9">
        <v>0</v>
      </c>
      <c r="O121" s="8">
        <v>1</v>
      </c>
      <c r="P121" s="5">
        <v>6</v>
      </c>
      <c r="Q121" s="5">
        <v>0</v>
      </c>
      <c r="R121" s="9">
        <v>0</v>
      </c>
      <c r="S121" s="8">
        <v>0</v>
      </c>
      <c r="T121" s="9">
        <v>0</v>
      </c>
    </row>
    <row r="122" spans="1:20" x14ac:dyDescent="0.2">
      <c r="A122" s="5" t="s">
        <v>91</v>
      </c>
      <c r="B122" s="5" t="s">
        <v>75</v>
      </c>
      <c r="C122" s="17" t="s">
        <v>591</v>
      </c>
      <c r="D122" s="7">
        <f t="shared" si="0"/>
        <v>9.5</v>
      </c>
      <c r="E122" s="8">
        <v>0</v>
      </c>
      <c r="F122" s="5">
        <v>0</v>
      </c>
      <c r="G122" s="5">
        <v>0</v>
      </c>
      <c r="H122" s="5">
        <v>0</v>
      </c>
      <c r="I122" s="5">
        <v>0</v>
      </c>
      <c r="J122" s="9">
        <v>0</v>
      </c>
      <c r="K122" s="8">
        <v>4</v>
      </c>
      <c r="L122" s="5">
        <v>15</v>
      </c>
      <c r="M122" s="5">
        <v>0</v>
      </c>
      <c r="N122" s="9">
        <v>0</v>
      </c>
      <c r="O122" s="8">
        <v>4</v>
      </c>
      <c r="P122" s="5">
        <v>40</v>
      </c>
      <c r="Q122" s="5">
        <v>0</v>
      </c>
      <c r="R122" s="9">
        <v>0</v>
      </c>
      <c r="S122" s="8">
        <v>0</v>
      </c>
      <c r="T122" s="9">
        <v>0</v>
      </c>
    </row>
    <row r="123" spans="1:20" x14ac:dyDescent="0.2">
      <c r="A123" s="5" t="s">
        <v>235</v>
      </c>
      <c r="B123" s="5" t="s">
        <v>162</v>
      </c>
      <c r="C123" s="17" t="s">
        <v>597</v>
      </c>
      <c r="D123" s="7">
        <f t="shared" si="0"/>
        <v>9.5</v>
      </c>
      <c r="E123" s="8">
        <v>0</v>
      </c>
      <c r="F123" s="5">
        <v>0</v>
      </c>
      <c r="G123" s="5">
        <v>0</v>
      </c>
      <c r="H123" s="5">
        <v>0</v>
      </c>
      <c r="I123" s="5">
        <v>0</v>
      </c>
      <c r="J123" s="9">
        <v>0</v>
      </c>
      <c r="K123" s="8">
        <v>0</v>
      </c>
      <c r="L123" s="5">
        <v>0</v>
      </c>
      <c r="M123" s="5">
        <v>0</v>
      </c>
      <c r="N123" s="9">
        <v>0</v>
      </c>
      <c r="O123" s="8">
        <v>4</v>
      </c>
      <c r="P123" s="5">
        <v>55</v>
      </c>
      <c r="Q123" s="5">
        <v>0</v>
      </c>
      <c r="R123" s="9">
        <v>0</v>
      </c>
      <c r="S123" s="8">
        <v>0</v>
      </c>
      <c r="T123" s="9">
        <v>0</v>
      </c>
    </row>
    <row r="124" spans="1:20" x14ac:dyDescent="0.2">
      <c r="A124" s="5" t="s">
        <v>286</v>
      </c>
      <c r="B124" s="5" t="s">
        <v>69</v>
      </c>
      <c r="C124" s="17" t="s">
        <v>586</v>
      </c>
      <c r="D124" s="7">
        <f t="shared" si="0"/>
        <v>9.5</v>
      </c>
      <c r="E124" s="8">
        <v>0</v>
      </c>
      <c r="F124" s="5">
        <v>0</v>
      </c>
      <c r="G124" s="5">
        <v>0</v>
      </c>
      <c r="H124" s="5">
        <v>0</v>
      </c>
      <c r="I124" s="5">
        <v>0</v>
      </c>
      <c r="J124" s="9">
        <v>0</v>
      </c>
      <c r="K124" s="8">
        <v>0</v>
      </c>
      <c r="L124" s="5">
        <v>0</v>
      </c>
      <c r="M124" s="5">
        <v>0</v>
      </c>
      <c r="N124" s="9">
        <v>0</v>
      </c>
      <c r="O124" s="8">
        <v>5</v>
      </c>
      <c r="P124" s="5">
        <v>45</v>
      </c>
      <c r="Q124" s="5">
        <v>0</v>
      </c>
      <c r="R124" s="9">
        <v>0</v>
      </c>
      <c r="S124" s="8">
        <v>0</v>
      </c>
      <c r="T124" s="9">
        <v>0</v>
      </c>
    </row>
    <row r="125" spans="1:20" x14ac:dyDescent="0.2">
      <c r="A125" s="5" t="s">
        <v>521</v>
      </c>
      <c r="B125" s="5" t="s">
        <v>162</v>
      </c>
      <c r="C125" s="17" t="s">
        <v>587</v>
      </c>
      <c r="D125" s="7">
        <f t="shared" si="0"/>
        <v>9.4</v>
      </c>
      <c r="E125" s="8">
        <v>0</v>
      </c>
      <c r="F125" s="5">
        <v>0</v>
      </c>
      <c r="G125" s="5">
        <v>0</v>
      </c>
      <c r="H125" s="5">
        <v>0</v>
      </c>
      <c r="I125" s="5">
        <v>0</v>
      </c>
      <c r="J125" s="9">
        <v>0</v>
      </c>
      <c r="K125" s="8">
        <v>0</v>
      </c>
      <c r="L125" s="5">
        <v>0</v>
      </c>
      <c r="M125" s="5">
        <v>0</v>
      </c>
      <c r="N125" s="9">
        <v>0</v>
      </c>
      <c r="O125" s="8">
        <v>2</v>
      </c>
      <c r="P125" s="5">
        <v>14</v>
      </c>
      <c r="Q125" s="5">
        <v>1</v>
      </c>
      <c r="R125" s="9">
        <v>0</v>
      </c>
      <c r="S125" s="8">
        <v>0</v>
      </c>
      <c r="T125" s="9">
        <v>0</v>
      </c>
    </row>
    <row r="126" spans="1:20" x14ac:dyDescent="0.2">
      <c r="A126" s="5" t="s">
        <v>356</v>
      </c>
      <c r="B126" s="5" t="s">
        <v>75</v>
      </c>
      <c r="C126" s="17" t="s">
        <v>598</v>
      </c>
      <c r="D126" s="7">
        <f t="shared" si="0"/>
        <v>9.2000000000000011</v>
      </c>
      <c r="E126" s="8">
        <v>0</v>
      </c>
      <c r="F126" s="5">
        <v>0</v>
      </c>
      <c r="G126" s="5">
        <v>0</v>
      </c>
      <c r="H126" s="5">
        <v>0</v>
      </c>
      <c r="I126" s="5">
        <v>0</v>
      </c>
      <c r="J126" s="9">
        <v>0</v>
      </c>
      <c r="K126" s="8">
        <v>10</v>
      </c>
      <c r="L126" s="5">
        <v>41</v>
      </c>
      <c r="M126" s="5">
        <v>0</v>
      </c>
      <c r="N126" s="9">
        <v>0</v>
      </c>
      <c r="O126" s="8">
        <v>1</v>
      </c>
      <c r="P126" s="5">
        <v>41</v>
      </c>
      <c r="Q126" s="5">
        <v>0</v>
      </c>
      <c r="R126" s="9">
        <v>0</v>
      </c>
      <c r="S126" s="8">
        <v>0</v>
      </c>
      <c r="T126" s="9">
        <v>0</v>
      </c>
    </row>
    <row r="127" spans="1:20" x14ac:dyDescent="0.2">
      <c r="A127" s="5" t="s">
        <v>145</v>
      </c>
      <c r="B127" s="5" t="s">
        <v>75</v>
      </c>
      <c r="C127" s="10" t="s">
        <v>588</v>
      </c>
      <c r="D127" s="7">
        <f t="shared" si="0"/>
        <v>9.2000000000000011</v>
      </c>
      <c r="E127" s="8">
        <v>0</v>
      </c>
      <c r="F127" s="5">
        <v>0</v>
      </c>
      <c r="G127" s="5">
        <v>0</v>
      </c>
      <c r="H127" s="5">
        <v>0</v>
      </c>
      <c r="I127" s="5">
        <v>0</v>
      </c>
      <c r="J127" s="9">
        <v>0</v>
      </c>
      <c r="K127" s="8">
        <v>2</v>
      </c>
      <c r="L127" s="5">
        <v>14</v>
      </c>
      <c r="M127" s="5">
        <v>0</v>
      </c>
      <c r="N127" s="9">
        <v>0</v>
      </c>
      <c r="O127" s="8">
        <v>5</v>
      </c>
      <c r="P127" s="5">
        <v>28</v>
      </c>
      <c r="Q127" s="5">
        <v>0</v>
      </c>
      <c r="R127" s="9">
        <v>0</v>
      </c>
      <c r="S127" s="8">
        <v>0</v>
      </c>
      <c r="T127" s="9">
        <v>0</v>
      </c>
    </row>
    <row r="128" spans="1:20" x14ac:dyDescent="0.2">
      <c r="A128" s="5" t="s">
        <v>210</v>
      </c>
      <c r="B128" s="5" t="s">
        <v>162</v>
      </c>
      <c r="C128" s="10" t="s">
        <v>595</v>
      </c>
      <c r="D128" s="7">
        <f t="shared" si="0"/>
        <v>9.1999999999999993</v>
      </c>
      <c r="E128" s="8">
        <v>0</v>
      </c>
      <c r="F128" s="5">
        <v>0</v>
      </c>
      <c r="G128" s="5">
        <v>0</v>
      </c>
      <c r="H128" s="5">
        <v>0</v>
      </c>
      <c r="I128" s="5">
        <v>0</v>
      </c>
      <c r="J128" s="9">
        <v>0</v>
      </c>
      <c r="K128" s="8">
        <v>0</v>
      </c>
      <c r="L128" s="5">
        <v>0</v>
      </c>
      <c r="M128" s="5">
        <v>0</v>
      </c>
      <c r="N128" s="9">
        <v>0</v>
      </c>
      <c r="O128" s="8">
        <v>1</v>
      </c>
      <c r="P128" s="5">
        <v>22</v>
      </c>
      <c r="Q128" s="5">
        <v>1</v>
      </c>
      <c r="R128" s="9">
        <v>0</v>
      </c>
      <c r="S128" s="8">
        <v>0</v>
      </c>
      <c r="T128" s="9">
        <v>0</v>
      </c>
    </row>
    <row r="129" spans="1:20" x14ac:dyDescent="0.2">
      <c r="A129" s="5" t="s">
        <v>368</v>
      </c>
      <c r="B129" s="5" t="s">
        <v>162</v>
      </c>
      <c r="C129" s="17" t="s">
        <v>586</v>
      </c>
      <c r="D129" s="7">
        <f t="shared" si="0"/>
        <v>9</v>
      </c>
      <c r="E129" s="8">
        <v>0</v>
      </c>
      <c r="F129" s="5">
        <v>0</v>
      </c>
      <c r="G129" s="5">
        <v>0</v>
      </c>
      <c r="H129" s="5">
        <v>0</v>
      </c>
      <c r="I129" s="5">
        <v>0</v>
      </c>
      <c r="J129" s="9">
        <v>0</v>
      </c>
      <c r="K129" s="8">
        <v>0</v>
      </c>
      <c r="L129" s="5">
        <v>0</v>
      </c>
      <c r="M129" s="5">
        <v>0</v>
      </c>
      <c r="N129" s="9">
        <v>0</v>
      </c>
      <c r="O129" s="8">
        <v>1</v>
      </c>
      <c r="P129" s="5">
        <v>20</v>
      </c>
      <c r="Q129" s="5">
        <v>1</v>
      </c>
      <c r="R129" s="9">
        <v>0</v>
      </c>
      <c r="S129" s="8">
        <v>0</v>
      </c>
      <c r="T129" s="9">
        <v>0</v>
      </c>
    </row>
    <row r="130" spans="1:20" x14ac:dyDescent="0.2">
      <c r="A130" s="5" t="s">
        <v>370</v>
      </c>
      <c r="B130" s="5" t="s">
        <v>75</v>
      </c>
      <c r="C130" s="10" t="s">
        <v>591</v>
      </c>
      <c r="D130" s="7">
        <f t="shared" si="0"/>
        <v>8.9</v>
      </c>
      <c r="E130" s="8">
        <v>0</v>
      </c>
      <c r="F130" s="5">
        <v>0</v>
      </c>
      <c r="G130" s="5">
        <v>0</v>
      </c>
      <c r="H130" s="5">
        <v>0</v>
      </c>
      <c r="I130" s="5">
        <v>0</v>
      </c>
      <c r="J130" s="9">
        <v>0</v>
      </c>
      <c r="K130" s="8">
        <v>20</v>
      </c>
      <c r="L130" s="5">
        <v>78</v>
      </c>
      <c r="M130" s="5">
        <v>0</v>
      </c>
      <c r="N130" s="9">
        <v>0</v>
      </c>
      <c r="O130" s="8">
        <v>1</v>
      </c>
      <c r="P130" s="5">
        <v>1</v>
      </c>
      <c r="Q130" s="5">
        <v>0</v>
      </c>
      <c r="R130" s="9">
        <v>0</v>
      </c>
      <c r="S130" s="8">
        <v>0</v>
      </c>
      <c r="T130" s="9">
        <v>0</v>
      </c>
    </row>
    <row r="131" spans="1:20" x14ac:dyDescent="0.2">
      <c r="A131" s="5" t="s">
        <v>229</v>
      </c>
      <c r="B131" s="5" t="s">
        <v>162</v>
      </c>
      <c r="C131" s="17" t="s">
        <v>602</v>
      </c>
      <c r="D131" s="7">
        <f t="shared" si="0"/>
        <v>8.6999999999999993</v>
      </c>
      <c r="E131" s="8">
        <v>0</v>
      </c>
      <c r="F131" s="5">
        <v>0</v>
      </c>
      <c r="G131" s="5">
        <v>0</v>
      </c>
      <c r="H131" s="5">
        <v>0</v>
      </c>
      <c r="I131" s="5">
        <v>0</v>
      </c>
      <c r="J131" s="9">
        <v>0</v>
      </c>
      <c r="K131" s="8">
        <v>0</v>
      </c>
      <c r="L131" s="5">
        <v>0</v>
      </c>
      <c r="M131" s="5">
        <v>0</v>
      </c>
      <c r="N131" s="9">
        <v>0</v>
      </c>
      <c r="O131" s="8">
        <v>3</v>
      </c>
      <c r="P131" s="5">
        <v>57</v>
      </c>
      <c r="Q131" s="5">
        <v>0</v>
      </c>
      <c r="R131" s="9">
        <v>0</v>
      </c>
      <c r="S131" s="8">
        <v>0</v>
      </c>
      <c r="T131" s="9">
        <v>0</v>
      </c>
    </row>
    <row r="132" spans="1:20" x14ac:dyDescent="0.2">
      <c r="A132" s="5" t="s">
        <v>309</v>
      </c>
      <c r="B132" s="5" t="s">
        <v>69</v>
      </c>
      <c r="C132" s="17" t="s">
        <v>592</v>
      </c>
      <c r="D132" s="7">
        <f t="shared" si="0"/>
        <v>8.6999999999999993</v>
      </c>
      <c r="E132" s="8">
        <v>0</v>
      </c>
      <c r="F132" s="5">
        <v>0</v>
      </c>
      <c r="G132" s="5">
        <v>0</v>
      </c>
      <c r="H132" s="5">
        <v>0</v>
      </c>
      <c r="I132" s="5">
        <v>0</v>
      </c>
      <c r="J132" s="9">
        <v>0</v>
      </c>
      <c r="K132" s="8">
        <v>0</v>
      </c>
      <c r="L132" s="5">
        <v>0</v>
      </c>
      <c r="M132" s="5">
        <v>0</v>
      </c>
      <c r="N132" s="9">
        <v>0</v>
      </c>
      <c r="O132" s="8">
        <v>4</v>
      </c>
      <c r="P132" s="5">
        <v>27</v>
      </c>
      <c r="Q132" s="5">
        <v>0</v>
      </c>
      <c r="R132" s="9">
        <v>1</v>
      </c>
      <c r="S132" s="8">
        <v>0</v>
      </c>
      <c r="T132" s="9">
        <v>0</v>
      </c>
    </row>
    <row r="133" spans="1:20" x14ac:dyDescent="0.2">
      <c r="A133" s="5" t="s">
        <v>74</v>
      </c>
      <c r="B133" s="5" t="s">
        <v>75</v>
      </c>
      <c r="C133" s="10" t="s">
        <v>599</v>
      </c>
      <c r="D133" s="7">
        <f t="shared" si="0"/>
        <v>8.6000000000000014</v>
      </c>
      <c r="E133" s="8">
        <v>0</v>
      </c>
      <c r="F133" s="5">
        <v>0</v>
      </c>
      <c r="G133" s="5">
        <v>0</v>
      </c>
      <c r="H133" s="5">
        <v>0</v>
      </c>
      <c r="I133" s="5">
        <v>0</v>
      </c>
      <c r="J133" s="9">
        <v>0</v>
      </c>
      <c r="K133" s="8">
        <v>7</v>
      </c>
      <c r="L133" s="5">
        <v>29</v>
      </c>
      <c r="M133" s="5">
        <v>0</v>
      </c>
      <c r="N133" s="9">
        <v>0</v>
      </c>
      <c r="O133" s="8">
        <v>4</v>
      </c>
      <c r="P133" s="5">
        <v>17</v>
      </c>
      <c r="Q133" s="5">
        <v>0</v>
      </c>
      <c r="R133" s="9">
        <v>0</v>
      </c>
      <c r="S133" s="8">
        <v>0</v>
      </c>
      <c r="T133" s="9">
        <v>0</v>
      </c>
    </row>
    <row r="134" spans="1:20" x14ac:dyDescent="0.2">
      <c r="A134" s="5" t="s">
        <v>263</v>
      </c>
      <c r="B134" s="5" t="s">
        <v>162</v>
      </c>
      <c r="C134" s="17" t="s">
        <v>595</v>
      </c>
      <c r="D134" s="7">
        <f t="shared" si="0"/>
        <v>8.6000000000000014</v>
      </c>
      <c r="E134" s="8">
        <v>0</v>
      </c>
      <c r="F134" s="5">
        <v>0</v>
      </c>
      <c r="G134" s="5">
        <v>0</v>
      </c>
      <c r="H134" s="5">
        <v>0</v>
      </c>
      <c r="I134" s="5">
        <v>0</v>
      </c>
      <c r="J134" s="9">
        <v>0</v>
      </c>
      <c r="K134" s="8">
        <v>0</v>
      </c>
      <c r="L134" s="5">
        <v>0</v>
      </c>
      <c r="M134" s="5">
        <v>0</v>
      </c>
      <c r="N134" s="9">
        <v>0</v>
      </c>
      <c r="O134" s="8">
        <v>4</v>
      </c>
      <c r="P134" s="5">
        <v>46</v>
      </c>
      <c r="Q134" s="5">
        <v>0</v>
      </c>
      <c r="R134" s="9">
        <v>0</v>
      </c>
      <c r="S134" s="8">
        <v>0</v>
      </c>
      <c r="T134" s="9">
        <v>0</v>
      </c>
    </row>
    <row r="135" spans="1:20" x14ac:dyDescent="0.2">
      <c r="A135" s="5" t="s">
        <v>144</v>
      </c>
      <c r="B135" s="5" t="s">
        <v>75</v>
      </c>
      <c r="C135" s="10" t="s">
        <v>598</v>
      </c>
      <c r="D135" s="7">
        <f t="shared" si="0"/>
        <v>8.4</v>
      </c>
      <c r="E135" s="8">
        <v>0</v>
      </c>
      <c r="F135" s="5">
        <v>0</v>
      </c>
      <c r="G135" s="5">
        <v>0</v>
      </c>
      <c r="H135" s="5">
        <v>0</v>
      </c>
      <c r="I135" s="5">
        <v>0</v>
      </c>
      <c r="J135" s="9">
        <v>0</v>
      </c>
      <c r="K135" s="8">
        <v>5</v>
      </c>
      <c r="L135" s="5">
        <v>53</v>
      </c>
      <c r="M135" s="5">
        <v>0</v>
      </c>
      <c r="N135" s="9">
        <v>0</v>
      </c>
      <c r="O135" s="8">
        <v>2</v>
      </c>
      <c r="P135" s="5">
        <v>11</v>
      </c>
      <c r="Q135" s="5">
        <v>0</v>
      </c>
      <c r="R135" s="9">
        <v>0</v>
      </c>
      <c r="S135" s="8">
        <v>0</v>
      </c>
      <c r="T135" s="9">
        <v>0</v>
      </c>
    </row>
    <row r="136" spans="1:20" x14ac:dyDescent="0.2">
      <c r="A136" s="5" t="s">
        <v>440</v>
      </c>
      <c r="B136" s="5" t="s">
        <v>69</v>
      </c>
      <c r="C136" s="10" t="s">
        <v>602</v>
      </c>
      <c r="D136" s="7">
        <f t="shared" si="0"/>
        <v>8.4</v>
      </c>
      <c r="E136" s="8">
        <v>0</v>
      </c>
      <c r="F136" s="5">
        <v>0</v>
      </c>
      <c r="G136" s="5">
        <v>0</v>
      </c>
      <c r="H136" s="5">
        <v>0</v>
      </c>
      <c r="I136" s="5">
        <v>0</v>
      </c>
      <c r="J136" s="9">
        <v>0</v>
      </c>
      <c r="K136" s="8">
        <v>0</v>
      </c>
      <c r="L136" s="5">
        <v>0</v>
      </c>
      <c r="M136" s="5">
        <v>0</v>
      </c>
      <c r="N136" s="9">
        <v>0</v>
      </c>
      <c r="O136" s="8">
        <v>2</v>
      </c>
      <c r="P136" s="5">
        <v>4</v>
      </c>
      <c r="Q136" s="5">
        <v>1</v>
      </c>
      <c r="R136" s="9">
        <v>0</v>
      </c>
      <c r="S136" s="8">
        <v>0</v>
      </c>
      <c r="T136" s="9">
        <v>0</v>
      </c>
    </row>
    <row r="137" spans="1:20" x14ac:dyDescent="0.2">
      <c r="A137" s="5" t="s">
        <v>102</v>
      </c>
      <c r="B137" s="5" t="s">
        <v>75</v>
      </c>
      <c r="C137" s="10" t="s">
        <v>592</v>
      </c>
      <c r="D137" s="7">
        <f t="shared" si="0"/>
        <v>8.3000000000000007</v>
      </c>
      <c r="E137" s="8">
        <v>0</v>
      </c>
      <c r="F137" s="5">
        <v>0</v>
      </c>
      <c r="G137" s="5">
        <v>0</v>
      </c>
      <c r="H137" s="5">
        <v>0</v>
      </c>
      <c r="I137" s="5">
        <v>0</v>
      </c>
      <c r="J137" s="9">
        <v>0</v>
      </c>
      <c r="K137" s="8">
        <v>14</v>
      </c>
      <c r="L137" s="5">
        <v>67</v>
      </c>
      <c r="M137" s="5">
        <v>0</v>
      </c>
      <c r="N137" s="9">
        <v>0</v>
      </c>
      <c r="O137" s="8">
        <v>1</v>
      </c>
      <c r="P137" s="5">
        <v>6</v>
      </c>
      <c r="Q137" s="5">
        <v>0</v>
      </c>
      <c r="R137" s="9">
        <v>0</v>
      </c>
      <c r="S137" s="8">
        <v>0</v>
      </c>
      <c r="T137" s="9">
        <v>0</v>
      </c>
    </row>
    <row r="138" spans="1:20" x14ac:dyDescent="0.2">
      <c r="A138" s="5" t="s">
        <v>100</v>
      </c>
      <c r="B138" s="5" t="s">
        <v>75</v>
      </c>
      <c r="C138" s="10" t="s">
        <v>598</v>
      </c>
      <c r="D138" s="7">
        <f t="shared" si="0"/>
        <v>8</v>
      </c>
      <c r="E138" s="8">
        <v>0</v>
      </c>
      <c r="F138" s="5">
        <v>0</v>
      </c>
      <c r="G138" s="5">
        <v>0</v>
      </c>
      <c r="H138" s="5">
        <v>0</v>
      </c>
      <c r="I138" s="5">
        <v>0</v>
      </c>
      <c r="J138" s="9">
        <v>0</v>
      </c>
      <c r="K138" s="8">
        <v>8</v>
      </c>
      <c r="L138" s="5">
        <v>66</v>
      </c>
      <c r="M138" s="5">
        <v>0</v>
      </c>
      <c r="N138" s="9">
        <v>0</v>
      </c>
      <c r="O138" s="8">
        <v>1</v>
      </c>
      <c r="P138" s="5">
        <v>4</v>
      </c>
      <c r="Q138" s="5">
        <v>0</v>
      </c>
      <c r="R138" s="9">
        <v>0</v>
      </c>
      <c r="S138" s="8">
        <v>0</v>
      </c>
      <c r="T138" s="9">
        <v>0</v>
      </c>
    </row>
    <row r="139" spans="1:20" x14ac:dyDescent="0.2">
      <c r="A139" s="5" t="s">
        <v>604</v>
      </c>
      <c r="B139" s="5" t="s">
        <v>162</v>
      </c>
      <c r="C139" s="10" t="s">
        <v>597</v>
      </c>
      <c r="D139" s="7">
        <f t="shared" si="0"/>
        <v>7.9</v>
      </c>
      <c r="E139" s="8">
        <v>0</v>
      </c>
      <c r="F139" s="5">
        <v>0</v>
      </c>
      <c r="G139" s="5">
        <v>0</v>
      </c>
      <c r="H139" s="5">
        <v>0</v>
      </c>
      <c r="I139" s="5">
        <v>0</v>
      </c>
      <c r="J139" s="9">
        <v>0</v>
      </c>
      <c r="K139" s="8">
        <v>0</v>
      </c>
      <c r="L139" s="5">
        <v>0</v>
      </c>
      <c r="M139" s="5">
        <v>0</v>
      </c>
      <c r="N139" s="9">
        <v>0</v>
      </c>
      <c r="O139" s="8">
        <v>1</v>
      </c>
      <c r="P139" s="5">
        <v>9</v>
      </c>
      <c r="Q139" s="5">
        <v>1</v>
      </c>
      <c r="R139" s="9">
        <v>0</v>
      </c>
      <c r="S139" s="8">
        <v>0</v>
      </c>
      <c r="T139" s="9">
        <v>0</v>
      </c>
    </row>
    <row r="140" spans="1:20" x14ac:dyDescent="0.2">
      <c r="A140" s="5" t="s">
        <v>207</v>
      </c>
      <c r="B140" s="5" t="s">
        <v>162</v>
      </c>
      <c r="C140" s="17" t="s">
        <v>596</v>
      </c>
      <c r="D140" s="7">
        <f t="shared" si="0"/>
        <v>7.9</v>
      </c>
      <c r="E140" s="8">
        <v>0</v>
      </c>
      <c r="F140" s="5">
        <v>0</v>
      </c>
      <c r="G140" s="5">
        <v>0</v>
      </c>
      <c r="H140" s="5">
        <v>0</v>
      </c>
      <c r="I140" s="5">
        <v>0</v>
      </c>
      <c r="J140" s="9">
        <v>0</v>
      </c>
      <c r="K140" s="8">
        <v>1</v>
      </c>
      <c r="L140" s="5">
        <v>4</v>
      </c>
      <c r="M140" s="5">
        <v>0</v>
      </c>
      <c r="N140" s="9">
        <v>0</v>
      </c>
      <c r="O140" s="8">
        <v>5</v>
      </c>
      <c r="P140" s="5">
        <v>25</v>
      </c>
      <c r="Q140" s="5">
        <v>0</v>
      </c>
      <c r="R140" s="9">
        <v>0</v>
      </c>
      <c r="S140" s="8">
        <v>0</v>
      </c>
      <c r="T140" s="9">
        <v>0</v>
      </c>
    </row>
    <row r="141" spans="1:20" x14ac:dyDescent="0.2">
      <c r="A141" s="5" t="s">
        <v>113</v>
      </c>
      <c r="B141" s="5" t="s">
        <v>75</v>
      </c>
      <c r="C141" s="10" t="s">
        <v>595</v>
      </c>
      <c r="D141" s="7">
        <f t="shared" si="0"/>
        <v>7.8000000000000007</v>
      </c>
      <c r="E141" s="8">
        <v>0</v>
      </c>
      <c r="F141" s="5">
        <v>0</v>
      </c>
      <c r="G141" s="5">
        <v>0</v>
      </c>
      <c r="H141" s="5">
        <v>0</v>
      </c>
      <c r="I141" s="5">
        <v>0</v>
      </c>
      <c r="J141" s="9">
        <v>0</v>
      </c>
      <c r="K141" s="8">
        <v>5</v>
      </c>
      <c r="L141" s="5">
        <v>19</v>
      </c>
      <c r="M141" s="5">
        <v>0</v>
      </c>
      <c r="N141" s="9">
        <v>0</v>
      </c>
      <c r="O141" s="8">
        <v>4</v>
      </c>
      <c r="P141" s="5">
        <v>19</v>
      </c>
      <c r="Q141" s="5">
        <v>0</v>
      </c>
      <c r="R141" s="9">
        <v>0</v>
      </c>
      <c r="S141" s="8">
        <v>0</v>
      </c>
      <c r="T141" s="9">
        <v>0</v>
      </c>
    </row>
    <row r="142" spans="1:20" x14ac:dyDescent="0.2">
      <c r="A142" s="5" t="s">
        <v>582</v>
      </c>
      <c r="B142" s="5" t="s">
        <v>162</v>
      </c>
      <c r="C142" s="17" t="s">
        <v>588</v>
      </c>
      <c r="D142" s="7">
        <f t="shared" si="0"/>
        <v>7.8</v>
      </c>
      <c r="E142" s="8">
        <v>0</v>
      </c>
      <c r="F142" s="5">
        <v>0</v>
      </c>
      <c r="G142" s="5">
        <v>0</v>
      </c>
      <c r="H142" s="5">
        <v>0</v>
      </c>
      <c r="I142" s="5">
        <v>0</v>
      </c>
      <c r="J142" s="9">
        <v>0</v>
      </c>
      <c r="K142" s="8">
        <v>0</v>
      </c>
      <c r="L142" s="5">
        <v>0</v>
      </c>
      <c r="M142" s="5">
        <v>0</v>
      </c>
      <c r="N142" s="9">
        <v>0</v>
      </c>
      <c r="O142" s="8">
        <v>1</v>
      </c>
      <c r="P142" s="5">
        <v>8</v>
      </c>
      <c r="Q142" s="5">
        <v>1</v>
      </c>
      <c r="R142" s="9">
        <v>0</v>
      </c>
      <c r="S142" s="8">
        <v>0</v>
      </c>
      <c r="T142" s="9">
        <v>0</v>
      </c>
    </row>
    <row r="143" spans="1:20" x14ac:dyDescent="0.2">
      <c r="A143" s="5" t="s">
        <v>379</v>
      </c>
      <c r="B143" s="5" t="s">
        <v>75</v>
      </c>
      <c r="C143" s="10" t="s">
        <v>589</v>
      </c>
      <c r="D143" s="7">
        <f t="shared" si="0"/>
        <v>7.6000000000000014</v>
      </c>
      <c r="E143" s="8">
        <v>0</v>
      </c>
      <c r="F143" s="5">
        <v>0</v>
      </c>
      <c r="G143" s="5">
        <v>0</v>
      </c>
      <c r="H143" s="5">
        <v>0</v>
      </c>
      <c r="I143" s="5">
        <v>0</v>
      </c>
      <c r="J143" s="9">
        <v>0</v>
      </c>
      <c r="K143" s="8">
        <v>14</v>
      </c>
      <c r="L143" s="5">
        <v>74</v>
      </c>
      <c r="M143" s="5">
        <v>0</v>
      </c>
      <c r="N143" s="9">
        <v>0</v>
      </c>
      <c r="O143" s="8">
        <v>1</v>
      </c>
      <c r="P143" s="5">
        <v>12</v>
      </c>
      <c r="Q143" s="5">
        <v>0</v>
      </c>
      <c r="R143" s="9">
        <v>0</v>
      </c>
      <c r="S143" s="8">
        <v>1</v>
      </c>
      <c r="T143" s="9">
        <v>0</v>
      </c>
    </row>
    <row r="144" spans="1:20" x14ac:dyDescent="0.2">
      <c r="A144" s="5" t="s">
        <v>349</v>
      </c>
      <c r="B144" s="5" t="s">
        <v>69</v>
      </c>
      <c r="C144" s="17" t="s">
        <v>588</v>
      </c>
      <c r="D144" s="7">
        <f t="shared" si="0"/>
        <v>7.6</v>
      </c>
      <c r="E144" s="8">
        <v>0</v>
      </c>
      <c r="F144" s="5">
        <v>0</v>
      </c>
      <c r="G144" s="5">
        <v>0</v>
      </c>
      <c r="H144" s="5">
        <v>0</v>
      </c>
      <c r="I144" s="5">
        <v>0</v>
      </c>
      <c r="J144" s="9">
        <v>0</v>
      </c>
      <c r="K144" s="8">
        <v>0</v>
      </c>
      <c r="L144" s="5">
        <v>0</v>
      </c>
      <c r="M144" s="5">
        <v>0</v>
      </c>
      <c r="N144" s="9">
        <v>0</v>
      </c>
      <c r="O144" s="8">
        <v>4</v>
      </c>
      <c r="P144" s="5">
        <v>36</v>
      </c>
      <c r="Q144" s="5">
        <v>0</v>
      </c>
      <c r="R144" s="9">
        <v>0</v>
      </c>
      <c r="S144" s="8">
        <v>0</v>
      </c>
      <c r="T144" s="9">
        <v>0</v>
      </c>
    </row>
    <row r="145" spans="1:20" x14ac:dyDescent="0.2">
      <c r="A145" s="5" t="s">
        <v>223</v>
      </c>
      <c r="B145" s="5" t="s">
        <v>162</v>
      </c>
      <c r="C145" s="17" t="s">
        <v>600</v>
      </c>
      <c r="D145" s="7">
        <f t="shared" si="0"/>
        <v>7.5</v>
      </c>
      <c r="E145" s="8">
        <v>0</v>
      </c>
      <c r="F145" s="5">
        <v>0</v>
      </c>
      <c r="G145" s="5">
        <v>0</v>
      </c>
      <c r="H145" s="5">
        <v>0</v>
      </c>
      <c r="I145" s="5">
        <v>0</v>
      </c>
      <c r="J145" s="9">
        <v>0</v>
      </c>
      <c r="K145" s="8">
        <v>0</v>
      </c>
      <c r="L145" s="5">
        <v>0</v>
      </c>
      <c r="M145" s="5">
        <v>0</v>
      </c>
      <c r="N145" s="9">
        <v>0</v>
      </c>
      <c r="O145" s="8">
        <v>3</v>
      </c>
      <c r="P145" s="5">
        <v>45</v>
      </c>
      <c r="Q145" s="5">
        <v>0</v>
      </c>
      <c r="R145" s="9">
        <v>0</v>
      </c>
      <c r="S145" s="8">
        <v>0</v>
      </c>
      <c r="T145" s="9">
        <v>0</v>
      </c>
    </row>
    <row r="146" spans="1:20" x14ac:dyDescent="0.2">
      <c r="A146" s="5" t="s">
        <v>108</v>
      </c>
      <c r="B146" s="5" t="s">
        <v>75</v>
      </c>
      <c r="C146" s="10" t="s">
        <v>602</v>
      </c>
      <c r="D146" s="7">
        <f t="shared" si="0"/>
        <v>7.4</v>
      </c>
      <c r="E146" s="8">
        <v>0</v>
      </c>
      <c r="F146" s="5">
        <v>0</v>
      </c>
      <c r="G146" s="5">
        <v>0</v>
      </c>
      <c r="H146" s="5">
        <v>0</v>
      </c>
      <c r="I146" s="5">
        <v>0</v>
      </c>
      <c r="J146" s="9">
        <v>0</v>
      </c>
      <c r="K146" s="8">
        <v>15</v>
      </c>
      <c r="L146" s="5">
        <v>28</v>
      </c>
      <c r="M146" s="5">
        <v>0</v>
      </c>
      <c r="N146" s="9">
        <v>0</v>
      </c>
      <c r="O146" s="8">
        <v>2</v>
      </c>
      <c r="P146" s="5">
        <v>26</v>
      </c>
      <c r="Q146" s="5">
        <v>0</v>
      </c>
      <c r="R146" s="9">
        <v>0</v>
      </c>
      <c r="S146" s="8">
        <v>0</v>
      </c>
      <c r="T146" s="9">
        <v>0</v>
      </c>
    </row>
    <row r="147" spans="1:20" x14ac:dyDescent="0.2">
      <c r="A147" s="5" t="s">
        <v>305</v>
      </c>
      <c r="B147" s="5" t="s">
        <v>69</v>
      </c>
      <c r="C147" s="10" t="s">
        <v>595</v>
      </c>
      <c r="D147" s="7">
        <f t="shared" si="0"/>
        <v>7.4</v>
      </c>
      <c r="E147" s="8">
        <v>0</v>
      </c>
      <c r="F147" s="5">
        <v>0</v>
      </c>
      <c r="G147" s="5">
        <v>0</v>
      </c>
      <c r="H147" s="5">
        <v>0</v>
      </c>
      <c r="I147" s="5">
        <v>0</v>
      </c>
      <c r="J147" s="9">
        <v>0</v>
      </c>
      <c r="K147" s="8">
        <v>0</v>
      </c>
      <c r="L147" s="5">
        <v>0</v>
      </c>
      <c r="M147" s="5">
        <v>0</v>
      </c>
      <c r="N147" s="9">
        <v>0</v>
      </c>
      <c r="O147" s="8">
        <v>5</v>
      </c>
      <c r="P147" s="5">
        <v>24</v>
      </c>
      <c r="Q147" s="5">
        <v>0</v>
      </c>
      <c r="R147" s="9">
        <v>0</v>
      </c>
      <c r="S147" s="8">
        <v>0</v>
      </c>
      <c r="T147" s="9">
        <v>0</v>
      </c>
    </row>
    <row r="148" spans="1:20" x14ac:dyDescent="0.2">
      <c r="A148" s="5" t="s">
        <v>498</v>
      </c>
      <c r="B148" s="5" t="s">
        <v>17</v>
      </c>
      <c r="C148" s="10" t="s">
        <v>595</v>
      </c>
      <c r="D148" s="7">
        <f t="shared" si="0"/>
        <v>7.3199999999999994</v>
      </c>
      <c r="E148" s="8">
        <v>27</v>
      </c>
      <c r="F148" s="5">
        <v>15</v>
      </c>
      <c r="G148" s="5">
        <v>138</v>
      </c>
      <c r="H148" s="5">
        <v>1</v>
      </c>
      <c r="I148" s="5">
        <v>2</v>
      </c>
      <c r="J148" s="9">
        <v>0</v>
      </c>
      <c r="K148" s="8">
        <v>3</v>
      </c>
      <c r="L148" s="5">
        <v>18</v>
      </c>
      <c r="M148" s="5">
        <v>0</v>
      </c>
      <c r="N148" s="9">
        <v>0</v>
      </c>
      <c r="O148" s="8">
        <v>0</v>
      </c>
      <c r="P148" s="5">
        <v>0</v>
      </c>
      <c r="Q148" s="5">
        <v>0</v>
      </c>
      <c r="R148" s="9">
        <v>0</v>
      </c>
      <c r="S148" s="8">
        <v>0</v>
      </c>
      <c r="T148" s="9">
        <v>0</v>
      </c>
    </row>
    <row r="149" spans="1:20" x14ac:dyDescent="0.2">
      <c r="A149" s="5" t="s">
        <v>216</v>
      </c>
      <c r="B149" s="5" t="s">
        <v>162</v>
      </c>
      <c r="C149" s="17" t="s">
        <v>596</v>
      </c>
      <c r="D149" s="7">
        <f t="shared" si="0"/>
        <v>7.3</v>
      </c>
      <c r="E149" s="8">
        <v>0</v>
      </c>
      <c r="F149" s="5">
        <v>0</v>
      </c>
      <c r="G149" s="5">
        <v>0</v>
      </c>
      <c r="H149" s="5">
        <v>0</v>
      </c>
      <c r="I149" s="5">
        <v>0</v>
      </c>
      <c r="J149" s="9">
        <v>0</v>
      </c>
      <c r="K149" s="8">
        <v>0</v>
      </c>
      <c r="L149" s="5">
        <v>0</v>
      </c>
      <c r="M149" s="5">
        <v>0</v>
      </c>
      <c r="N149" s="9">
        <v>0</v>
      </c>
      <c r="O149" s="8">
        <v>1</v>
      </c>
      <c r="P149" s="5">
        <v>3</v>
      </c>
      <c r="Q149" s="5">
        <v>1</v>
      </c>
      <c r="R149" s="9">
        <v>0</v>
      </c>
      <c r="S149" s="8">
        <v>0</v>
      </c>
      <c r="T149" s="9">
        <v>0</v>
      </c>
    </row>
    <row r="150" spans="1:20" x14ac:dyDescent="0.2">
      <c r="A150" s="5" t="s">
        <v>170</v>
      </c>
      <c r="B150" s="5" t="s">
        <v>162</v>
      </c>
      <c r="C150" s="17" t="s">
        <v>586</v>
      </c>
      <c r="D150" s="7">
        <f t="shared" si="0"/>
        <v>7.3</v>
      </c>
      <c r="E150" s="8">
        <v>0</v>
      </c>
      <c r="F150" s="5">
        <v>0</v>
      </c>
      <c r="G150" s="5">
        <v>0</v>
      </c>
      <c r="H150" s="5">
        <v>0</v>
      </c>
      <c r="I150" s="5">
        <v>0</v>
      </c>
      <c r="J150" s="9">
        <v>0</v>
      </c>
      <c r="K150" s="8">
        <v>0</v>
      </c>
      <c r="L150" s="5">
        <v>0</v>
      </c>
      <c r="M150" s="5">
        <v>0</v>
      </c>
      <c r="N150" s="9">
        <v>0</v>
      </c>
      <c r="O150" s="8">
        <v>3</v>
      </c>
      <c r="P150" s="5">
        <v>43</v>
      </c>
      <c r="Q150" s="5">
        <v>0</v>
      </c>
      <c r="R150" s="9">
        <v>0</v>
      </c>
      <c r="S150" s="8">
        <v>0</v>
      </c>
      <c r="T150" s="9">
        <v>0</v>
      </c>
    </row>
    <row r="151" spans="1:20" x14ac:dyDescent="0.2">
      <c r="A151" s="5" t="s">
        <v>527</v>
      </c>
      <c r="B151" s="5" t="s">
        <v>162</v>
      </c>
      <c r="C151" s="17" t="s">
        <v>590</v>
      </c>
      <c r="D151" s="7">
        <f t="shared" si="0"/>
        <v>7.2</v>
      </c>
      <c r="E151" s="8">
        <v>0</v>
      </c>
      <c r="F151" s="5">
        <v>0</v>
      </c>
      <c r="G151" s="5">
        <v>0</v>
      </c>
      <c r="H151" s="5">
        <v>0</v>
      </c>
      <c r="I151" s="5">
        <v>0</v>
      </c>
      <c r="J151" s="9">
        <v>0</v>
      </c>
      <c r="K151" s="8">
        <v>0</v>
      </c>
      <c r="L151" s="5">
        <v>0</v>
      </c>
      <c r="M151" s="5">
        <v>0</v>
      </c>
      <c r="N151" s="9">
        <v>0</v>
      </c>
      <c r="O151" s="8">
        <v>1</v>
      </c>
      <c r="P151" s="5">
        <v>2</v>
      </c>
      <c r="Q151" s="5">
        <v>1</v>
      </c>
      <c r="R151" s="9">
        <v>0</v>
      </c>
      <c r="S151" s="8">
        <v>0</v>
      </c>
      <c r="T151" s="9">
        <v>0</v>
      </c>
    </row>
    <row r="152" spans="1:20" x14ac:dyDescent="0.2">
      <c r="A152" s="5" t="s">
        <v>217</v>
      </c>
      <c r="B152" s="5" t="s">
        <v>162</v>
      </c>
      <c r="C152" s="17" t="s">
        <v>591</v>
      </c>
      <c r="D152" s="7">
        <f t="shared" si="0"/>
        <v>7.2</v>
      </c>
      <c r="E152" s="8">
        <v>0</v>
      </c>
      <c r="F152" s="5">
        <v>0</v>
      </c>
      <c r="G152" s="5">
        <v>0</v>
      </c>
      <c r="H152" s="5">
        <v>0</v>
      </c>
      <c r="I152" s="5">
        <v>0</v>
      </c>
      <c r="J152" s="9">
        <v>0</v>
      </c>
      <c r="K152" s="8">
        <v>1</v>
      </c>
      <c r="L152" s="5">
        <v>18</v>
      </c>
      <c r="M152" s="5">
        <v>0</v>
      </c>
      <c r="N152" s="9">
        <v>0</v>
      </c>
      <c r="O152" s="8">
        <v>2</v>
      </c>
      <c r="P152" s="5">
        <v>34</v>
      </c>
      <c r="Q152" s="5">
        <v>0</v>
      </c>
      <c r="R152" s="9">
        <v>0</v>
      </c>
      <c r="S152" s="8">
        <v>0</v>
      </c>
      <c r="T152" s="9">
        <v>0</v>
      </c>
    </row>
    <row r="153" spans="1:20" x14ac:dyDescent="0.2">
      <c r="A153" s="5" t="s">
        <v>605</v>
      </c>
      <c r="B153" s="5" t="s">
        <v>17</v>
      </c>
      <c r="C153" s="10" t="s">
        <v>600</v>
      </c>
      <c r="D153" s="7">
        <f t="shared" si="0"/>
        <v>7.16</v>
      </c>
      <c r="E153" s="8">
        <v>7</v>
      </c>
      <c r="F153" s="5">
        <v>2</v>
      </c>
      <c r="G153" s="5">
        <v>-1</v>
      </c>
      <c r="H153" s="5">
        <v>0</v>
      </c>
      <c r="I153" s="5">
        <v>0</v>
      </c>
      <c r="J153" s="9">
        <v>0</v>
      </c>
      <c r="K153" s="8">
        <v>4</v>
      </c>
      <c r="L153" s="5">
        <v>12</v>
      </c>
      <c r="M153" s="5">
        <v>1</v>
      </c>
      <c r="N153" s="9">
        <v>0</v>
      </c>
      <c r="O153" s="8">
        <v>0</v>
      </c>
      <c r="P153" s="5">
        <v>0</v>
      </c>
      <c r="Q153" s="5">
        <v>0</v>
      </c>
      <c r="R153" s="9">
        <v>0</v>
      </c>
      <c r="S153" s="8">
        <v>0</v>
      </c>
      <c r="T153" s="9">
        <v>0</v>
      </c>
    </row>
    <row r="154" spans="1:20" x14ac:dyDescent="0.2">
      <c r="A154" s="5" t="s">
        <v>265</v>
      </c>
      <c r="B154" s="5" t="s">
        <v>162</v>
      </c>
      <c r="C154" s="10" t="s">
        <v>593</v>
      </c>
      <c r="D154" s="7">
        <f t="shared" si="0"/>
        <v>7.1000000000000005</v>
      </c>
      <c r="E154" s="8">
        <v>0</v>
      </c>
      <c r="F154" s="5">
        <v>0</v>
      </c>
      <c r="G154" s="5">
        <v>0</v>
      </c>
      <c r="H154" s="5">
        <v>0</v>
      </c>
      <c r="I154" s="5">
        <v>0</v>
      </c>
      <c r="J154" s="9">
        <v>0</v>
      </c>
      <c r="K154" s="8">
        <v>0</v>
      </c>
      <c r="L154" s="5">
        <v>0</v>
      </c>
      <c r="M154" s="5">
        <v>0</v>
      </c>
      <c r="N154" s="9">
        <v>0</v>
      </c>
      <c r="O154" s="8">
        <v>3</v>
      </c>
      <c r="P154" s="5">
        <v>41</v>
      </c>
      <c r="Q154" s="5">
        <v>0</v>
      </c>
      <c r="R154" s="9">
        <v>0</v>
      </c>
      <c r="S154" s="8">
        <v>0</v>
      </c>
      <c r="T154" s="9">
        <v>0</v>
      </c>
    </row>
    <row r="155" spans="1:20" x14ac:dyDescent="0.2">
      <c r="A155" s="5" t="s">
        <v>485</v>
      </c>
      <c r="B155" s="5" t="s">
        <v>162</v>
      </c>
      <c r="C155" s="10" t="s">
        <v>596</v>
      </c>
      <c r="D155" s="7">
        <f t="shared" si="0"/>
        <v>7.1</v>
      </c>
      <c r="E155" s="8">
        <v>0</v>
      </c>
      <c r="F155" s="5">
        <v>0</v>
      </c>
      <c r="G155" s="5">
        <v>0</v>
      </c>
      <c r="H155" s="5">
        <v>0</v>
      </c>
      <c r="I155" s="5">
        <v>0</v>
      </c>
      <c r="J155" s="9">
        <v>0</v>
      </c>
      <c r="K155" s="8">
        <v>0</v>
      </c>
      <c r="L155" s="5">
        <v>0</v>
      </c>
      <c r="M155" s="5">
        <v>0</v>
      </c>
      <c r="N155" s="9">
        <v>0</v>
      </c>
      <c r="O155" s="8">
        <v>1</v>
      </c>
      <c r="P155" s="5">
        <v>1</v>
      </c>
      <c r="Q155" s="5">
        <v>1</v>
      </c>
      <c r="R155" s="9">
        <v>0</v>
      </c>
      <c r="S155" s="8">
        <v>0</v>
      </c>
      <c r="T155" s="9">
        <v>0</v>
      </c>
    </row>
    <row r="156" spans="1:20" x14ac:dyDescent="0.2">
      <c r="A156" s="5" t="s">
        <v>87</v>
      </c>
      <c r="B156" s="5" t="s">
        <v>75</v>
      </c>
      <c r="C156" s="17" t="s">
        <v>596</v>
      </c>
      <c r="D156" s="7">
        <f t="shared" si="0"/>
        <v>7</v>
      </c>
      <c r="E156" s="8">
        <v>0</v>
      </c>
      <c r="F156" s="5">
        <v>0</v>
      </c>
      <c r="G156" s="5">
        <v>0</v>
      </c>
      <c r="H156" s="5">
        <v>0</v>
      </c>
      <c r="I156" s="5">
        <v>0</v>
      </c>
      <c r="J156" s="9">
        <v>0</v>
      </c>
      <c r="K156" s="8">
        <v>10</v>
      </c>
      <c r="L156" s="5">
        <v>39</v>
      </c>
      <c r="M156" s="5">
        <v>0</v>
      </c>
      <c r="N156" s="9">
        <v>0</v>
      </c>
      <c r="O156" s="8">
        <v>2</v>
      </c>
      <c r="P156" s="5">
        <v>11</v>
      </c>
      <c r="Q156" s="5">
        <v>0</v>
      </c>
      <c r="R156" s="9">
        <v>0</v>
      </c>
      <c r="S156" s="8">
        <v>0</v>
      </c>
      <c r="T156" s="9">
        <v>0</v>
      </c>
    </row>
    <row r="157" spans="1:20" x14ac:dyDescent="0.2">
      <c r="A157" s="5" t="s">
        <v>183</v>
      </c>
      <c r="B157" s="5" t="s">
        <v>162</v>
      </c>
      <c r="C157" s="17" t="s">
        <v>602</v>
      </c>
      <c r="D157" s="7">
        <f t="shared" si="0"/>
        <v>7</v>
      </c>
      <c r="E157" s="8">
        <v>0</v>
      </c>
      <c r="F157" s="5">
        <v>0</v>
      </c>
      <c r="G157" s="5">
        <v>0</v>
      </c>
      <c r="H157" s="5">
        <v>0</v>
      </c>
      <c r="I157" s="5">
        <v>0</v>
      </c>
      <c r="J157" s="9">
        <v>0</v>
      </c>
      <c r="K157" s="8">
        <v>0</v>
      </c>
      <c r="L157" s="5">
        <v>0</v>
      </c>
      <c r="M157" s="5">
        <v>0</v>
      </c>
      <c r="N157" s="9">
        <v>0</v>
      </c>
      <c r="O157" s="8">
        <v>4</v>
      </c>
      <c r="P157" s="5">
        <v>30</v>
      </c>
      <c r="Q157" s="5">
        <v>0</v>
      </c>
      <c r="R157" s="9">
        <v>0</v>
      </c>
      <c r="S157" s="8">
        <v>0</v>
      </c>
      <c r="T157" s="9">
        <v>0</v>
      </c>
    </row>
    <row r="158" spans="1:20" x14ac:dyDescent="0.2">
      <c r="A158" s="5" t="s">
        <v>176</v>
      </c>
      <c r="B158" s="5" t="s">
        <v>162</v>
      </c>
      <c r="C158" s="17" t="s">
        <v>586</v>
      </c>
      <c r="D158" s="7">
        <f t="shared" si="0"/>
        <v>6.9</v>
      </c>
      <c r="E158" s="8">
        <v>0</v>
      </c>
      <c r="F158" s="5">
        <v>0</v>
      </c>
      <c r="G158" s="5">
        <v>0</v>
      </c>
      <c r="H158" s="5">
        <v>0</v>
      </c>
      <c r="I158" s="5">
        <v>0</v>
      </c>
      <c r="J158" s="9">
        <v>1</v>
      </c>
      <c r="K158" s="8">
        <v>2</v>
      </c>
      <c r="L158" s="5">
        <v>8</v>
      </c>
      <c r="M158" s="5">
        <v>0</v>
      </c>
      <c r="N158" s="9">
        <v>0</v>
      </c>
      <c r="O158" s="8">
        <v>2</v>
      </c>
      <c r="P158" s="5">
        <v>21</v>
      </c>
      <c r="Q158" s="5">
        <v>0</v>
      </c>
      <c r="R158" s="9">
        <v>0</v>
      </c>
      <c r="S158" s="8">
        <v>0</v>
      </c>
      <c r="T158" s="9">
        <v>0</v>
      </c>
    </row>
    <row r="159" spans="1:20" x14ac:dyDescent="0.2">
      <c r="A159" s="5" t="s">
        <v>179</v>
      </c>
      <c r="B159" s="5" t="s">
        <v>162</v>
      </c>
      <c r="C159" s="17" t="s">
        <v>591</v>
      </c>
      <c r="D159" s="7">
        <f t="shared" si="0"/>
        <v>6.9</v>
      </c>
      <c r="E159" s="8">
        <v>0</v>
      </c>
      <c r="F159" s="5">
        <v>0</v>
      </c>
      <c r="G159" s="5">
        <v>0</v>
      </c>
      <c r="H159" s="5">
        <v>0</v>
      </c>
      <c r="I159" s="5">
        <v>0</v>
      </c>
      <c r="J159" s="9">
        <v>0</v>
      </c>
      <c r="K159" s="8">
        <v>0</v>
      </c>
      <c r="L159" s="5">
        <v>0</v>
      </c>
      <c r="M159" s="5">
        <v>0</v>
      </c>
      <c r="N159" s="9">
        <v>0</v>
      </c>
      <c r="O159" s="8">
        <v>5</v>
      </c>
      <c r="P159" s="5">
        <v>19</v>
      </c>
      <c r="Q159" s="5">
        <v>0</v>
      </c>
      <c r="R159" s="9">
        <v>0</v>
      </c>
      <c r="S159" s="8">
        <v>0</v>
      </c>
      <c r="T159" s="9">
        <v>0</v>
      </c>
    </row>
    <row r="160" spans="1:20" x14ac:dyDescent="0.2">
      <c r="A160" s="5" t="s">
        <v>352</v>
      </c>
      <c r="B160" s="5" t="s">
        <v>69</v>
      </c>
      <c r="C160" s="10" t="s">
        <v>587</v>
      </c>
      <c r="D160" s="7">
        <f t="shared" si="0"/>
        <v>6.7000000000000011</v>
      </c>
      <c r="E160" s="8">
        <v>0</v>
      </c>
      <c r="F160" s="5">
        <v>0</v>
      </c>
      <c r="G160" s="5">
        <v>0</v>
      </c>
      <c r="H160" s="5">
        <v>0</v>
      </c>
      <c r="I160" s="5">
        <v>0</v>
      </c>
      <c r="J160" s="9">
        <v>0</v>
      </c>
      <c r="K160" s="8">
        <v>1</v>
      </c>
      <c r="L160" s="5">
        <v>4</v>
      </c>
      <c r="M160" s="5">
        <v>0</v>
      </c>
      <c r="N160" s="9">
        <v>0</v>
      </c>
      <c r="O160" s="8">
        <v>4</v>
      </c>
      <c r="P160" s="5">
        <v>23</v>
      </c>
      <c r="Q160" s="5">
        <v>0</v>
      </c>
      <c r="R160" s="9">
        <v>0</v>
      </c>
      <c r="S160" s="8">
        <v>0</v>
      </c>
      <c r="T160" s="9">
        <v>0</v>
      </c>
    </row>
    <row r="161" spans="1:20" x14ac:dyDescent="0.2">
      <c r="A161" s="5" t="s">
        <v>104</v>
      </c>
      <c r="B161" s="5" t="s">
        <v>75</v>
      </c>
      <c r="C161" s="17" t="s">
        <v>601</v>
      </c>
      <c r="D161" s="7">
        <f t="shared" si="0"/>
        <v>6.7</v>
      </c>
      <c r="E161" s="8">
        <v>0</v>
      </c>
      <c r="F161" s="5">
        <v>0</v>
      </c>
      <c r="G161" s="5">
        <v>0</v>
      </c>
      <c r="H161" s="5">
        <v>0</v>
      </c>
      <c r="I161" s="5">
        <v>0</v>
      </c>
      <c r="J161" s="9">
        <v>0</v>
      </c>
      <c r="K161" s="8">
        <v>8</v>
      </c>
      <c r="L161" s="5">
        <v>40</v>
      </c>
      <c r="M161" s="5">
        <v>0</v>
      </c>
      <c r="N161" s="9">
        <v>0</v>
      </c>
      <c r="O161" s="8">
        <v>3</v>
      </c>
      <c r="P161" s="5">
        <v>-3</v>
      </c>
      <c r="Q161" s="5">
        <v>0</v>
      </c>
      <c r="R161" s="9">
        <v>0</v>
      </c>
      <c r="S161" s="8">
        <v>0</v>
      </c>
      <c r="T161" s="9">
        <v>0</v>
      </c>
    </row>
    <row r="162" spans="1:20" x14ac:dyDescent="0.2">
      <c r="A162" s="5" t="s">
        <v>129</v>
      </c>
      <c r="B162" s="5" t="s">
        <v>75</v>
      </c>
      <c r="C162" s="10" t="s">
        <v>587</v>
      </c>
      <c r="D162" s="7">
        <f t="shared" si="0"/>
        <v>6.6000000000000005</v>
      </c>
      <c r="E162" s="8">
        <v>0</v>
      </c>
      <c r="F162" s="5">
        <v>0</v>
      </c>
      <c r="G162" s="5">
        <v>0</v>
      </c>
      <c r="H162" s="5">
        <v>0</v>
      </c>
      <c r="I162" s="5">
        <v>0</v>
      </c>
      <c r="J162" s="9">
        <v>0</v>
      </c>
      <c r="K162" s="8">
        <v>3</v>
      </c>
      <c r="L162" s="5">
        <v>27</v>
      </c>
      <c r="M162" s="5">
        <v>0</v>
      </c>
      <c r="N162" s="9">
        <v>0</v>
      </c>
      <c r="O162" s="8">
        <v>3</v>
      </c>
      <c r="P162" s="5">
        <v>9</v>
      </c>
      <c r="Q162" s="5">
        <v>0</v>
      </c>
      <c r="R162" s="9">
        <v>0</v>
      </c>
      <c r="S162" s="8">
        <v>0</v>
      </c>
      <c r="T162" s="9">
        <v>0</v>
      </c>
    </row>
    <row r="163" spans="1:20" x14ac:dyDescent="0.2">
      <c r="A163" s="5" t="s">
        <v>79</v>
      </c>
      <c r="B163" s="5" t="s">
        <v>75</v>
      </c>
      <c r="C163" s="10" t="s">
        <v>586</v>
      </c>
      <c r="D163" s="7">
        <f t="shared" si="0"/>
        <v>6.5000000000000009</v>
      </c>
      <c r="E163" s="8">
        <v>0</v>
      </c>
      <c r="F163" s="5">
        <v>0</v>
      </c>
      <c r="G163" s="5">
        <v>0</v>
      </c>
      <c r="H163" s="5">
        <v>0</v>
      </c>
      <c r="I163" s="5">
        <v>0</v>
      </c>
      <c r="J163" s="9">
        <v>0</v>
      </c>
      <c r="K163" s="8">
        <v>12</v>
      </c>
      <c r="L163" s="5">
        <v>53</v>
      </c>
      <c r="M163" s="5">
        <v>0</v>
      </c>
      <c r="N163" s="9">
        <v>0</v>
      </c>
      <c r="O163" s="8">
        <v>1</v>
      </c>
      <c r="P163" s="5">
        <v>2</v>
      </c>
      <c r="Q163" s="5">
        <v>0</v>
      </c>
      <c r="R163" s="9">
        <v>0</v>
      </c>
      <c r="S163" s="8">
        <v>0</v>
      </c>
      <c r="T163" s="9">
        <v>0</v>
      </c>
    </row>
    <row r="164" spans="1:20" x14ac:dyDescent="0.2">
      <c r="A164" s="5" t="s">
        <v>293</v>
      </c>
      <c r="B164" s="5" t="s">
        <v>69</v>
      </c>
      <c r="C164" s="17" t="s">
        <v>587</v>
      </c>
      <c r="D164" s="7">
        <f t="shared" si="0"/>
        <v>6.5</v>
      </c>
      <c r="E164" s="8">
        <v>0</v>
      </c>
      <c r="F164" s="5">
        <v>0</v>
      </c>
      <c r="G164" s="5">
        <v>0</v>
      </c>
      <c r="H164" s="5">
        <v>0</v>
      </c>
      <c r="I164" s="5">
        <v>0</v>
      </c>
      <c r="J164" s="9">
        <v>0</v>
      </c>
      <c r="K164" s="8">
        <v>0</v>
      </c>
      <c r="L164" s="5">
        <v>0</v>
      </c>
      <c r="M164" s="5">
        <v>0</v>
      </c>
      <c r="N164" s="9">
        <v>0</v>
      </c>
      <c r="O164" s="8">
        <v>3</v>
      </c>
      <c r="P164" s="5">
        <v>35</v>
      </c>
      <c r="Q164" s="5">
        <v>0</v>
      </c>
      <c r="R164" s="9">
        <v>0</v>
      </c>
      <c r="S164" s="8">
        <v>0</v>
      </c>
      <c r="T164" s="9">
        <v>0</v>
      </c>
    </row>
    <row r="165" spans="1:20" x14ac:dyDescent="0.2">
      <c r="A165" s="5" t="s">
        <v>475</v>
      </c>
      <c r="B165" s="5" t="s">
        <v>162</v>
      </c>
      <c r="C165" s="10" t="s">
        <v>599</v>
      </c>
      <c r="D165" s="7">
        <f t="shared" si="0"/>
        <v>6.3000000000000007</v>
      </c>
      <c r="E165" s="8">
        <v>0</v>
      </c>
      <c r="F165" s="5">
        <v>0</v>
      </c>
      <c r="G165" s="5">
        <v>0</v>
      </c>
      <c r="H165" s="5">
        <v>0</v>
      </c>
      <c r="I165" s="5">
        <v>0</v>
      </c>
      <c r="J165" s="9">
        <v>0</v>
      </c>
      <c r="K165" s="8">
        <v>0</v>
      </c>
      <c r="L165" s="5">
        <v>0</v>
      </c>
      <c r="M165" s="5">
        <v>0</v>
      </c>
      <c r="N165" s="9">
        <v>0</v>
      </c>
      <c r="O165" s="8">
        <v>3</v>
      </c>
      <c r="P165" s="5">
        <v>33</v>
      </c>
      <c r="Q165" s="5">
        <v>0</v>
      </c>
      <c r="R165" s="9">
        <v>0</v>
      </c>
      <c r="S165" s="8">
        <v>0</v>
      </c>
      <c r="T165" s="9">
        <v>0</v>
      </c>
    </row>
    <row r="166" spans="1:20" x14ac:dyDescent="0.2">
      <c r="A166" s="5" t="s">
        <v>151</v>
      </c>
      <c r="B166" s="5" t="s">
        <v>75</v>
      </c>
      <c r="C166" s="17" t="s">
        <v>602</v>
      </c>
      <c r="D166" s="7">
        <f t="shared" si="0"/>
        <v>6.3</v>
      </c>
      <c r="E166" s="8">
        <v>0</v>
      </c>
      <c r="F166" s="5">
        <v>0</v>
      </c>
      <c r="G166" s="5">
        <v>0</v>
      </c>
      <c r="H166" s="5">
        <v>0</v>
      </c>
      <c r="I166" s="5">
        <v>0</v>
      </c>
      <c r="J166" s="9">
        <v>0</v>
      </c>
      <c r="K166" s="8">
        <v>10</v>
      </c>
      <c r="L166" s="5">
        <v>30</v>
      </c>
      <c r="M166" s="5">
        <v>0</v>
      </c>
      <c r="N166" s="9">
        <v>0</v>
      </c>
      <c r="O166" s="8">
        <v>2</v>
      </c>
      <c r="P166" s="5">
        <v>13</v>
      </c>
      <c r="Q166" s="5">
        <v>0</v>
      </c>
      <c r="R166" s="9">
        <v>0</v>
      </c>
      <c r="S166" s="8">
        <v>0</v>
      </c>
      <c r="T166" s="9">
        <v>0</v>
      </c>
    </row>
    <row r="167" spans="1:20" x14ac:dyDescent="0.2">
      <c r="A167" s="5" t="s">
        <v>478</v>
      </c>
      <c r="B167" s="5" t="s">
        <v>162</v>
      </c>
      <c r="C167" s="10" t="s">
        <v>590</v>
      </c>
      <c r="D167" s="7">
        <f t="shared" si="0"/>
        <v>6.3</v>
      </c>
      <c r="E167" s="8">
        <v>0</v>
      </c>
      <c r="F167" s="5">
        <v>0</v>
      </c>
      <c r="G167" s="5">
        <v>0</v>
      </c>
      <c r="H167" s="5">
        <v>0</v>
      </c>
      <c r="I167" s="5">
        <v>0</v>
      </c>
      <c r="J167" s="9">
        <v>0</v>
      </c>
      <c r="K167" s="8">
        <v>0</v>
      </c>
      <c r="L167" s="5">
        <v>0</v>
      </c>
      <c r="M167" s="5">
        <v>0</v>
      </c>
      <c r="N167" s="9">
        <v>0</v>
      </c>
      <c r="O167" s="8">
        <v>2</v>
      </c>
      <c r="P167" s="5">
        <v>43</v>
      </c>
      <c r="Q167" s="5">
        <v>0</v>
      </c>
      <c r="R167" s="9">
        <v>0</v>
      </c>
      <c r="S167" s="8">
        <v>0</v>
      </c>
      <c r="T167" s="9">
        <v>0</v>
      </c>
    </row>
    <row r="168" spans="1:20" x14ac:dyDescent="0.2">
      <c r="A168" s="5" t="s">
        <v>227</v>
      </c>
      <c r="B168" s="5" t="s">
        <v>162</v>
      </c>
      <c r="C168" s="17" t="s">
        <v>601</v>
      </c>
      <c r="D168" s="7">
        <f t="shared" si="0"/>
        <v>6.2</v>
      </c>
      <c r="E168" s="8">
        <v>0</v>
      </c>
      <c r="F168" s="5">
        <v>0</v>
      </c>
      <c r="G168" s="5">
        <v>0</v>
      </c>
      <c r="H168" s="5">
        <v>0</v>
      </c>
      <c r="I168" s="5">
        <v>0</v>
      </c>
      <c r="J168" s="9">
        <v>0</v>
      </c>
      <c r="K168" s="8">
        <v>0</v>
      </c>
      <c r="L168" s="5">
        <v>0</v>
      </c>
      <c r="M168" s="5">
        <v>0</v>
      </c>
      <c r="N168" s="9">
        <v>0</v>
      </c>
      <c r="O168" s="8">
        <v>2</v>
      </c>
      <c r="P168" s="5">
        <v>42</v>
      </c>
      <c r="Q168" s="5">
        <v>0</v>
      </c>
      <c r="R168" s="9">
        <v>0</v>
      </c>
      <c r="S168" s="8">
        <v>0</v>
      </c>
      <c r="T168" s="9">
        <v>0</v>
      </c>
    </row>
    <row r="169" spans="1:20" x14ac:dyDescent="0.2">
      <c r="A169" s="5" t="s">
        <v>199</v>
      </c>
      <c r="B169" s="5" t="s">
        <v>162</v>
      </c>
      <c r="C169" s="10" t="s">
        <v>588</v>
      </c>
      <c r="D169" s="7">
        <f t="shared" si="0"/>
        <v>6.2</v>
      </c>
      <c r="E169" s="8">
        <v>0</v>
      </c>
      <c r="F169" s="5">
        <v>0</v>
      </c>
      <c r="G169" s="5">
        <v>0</v>
      </c>
      <c r="H169" s="5">
        <v>0</v>
      </c>
      <c r="I169" s="5">
        <v>0</v>
      </c>
      <c r="J169" s="9">
        <v>0</v>
      </c>
      <c r="K169" s="8">
        <v>0</v>
      </c>
      <c r="L169" s="5">
        <v>0</v>
      </c>
      <c r="M169" s="5">
        <v>0</v>
      </c>
      <c r="N169" s="9">
        <v>0</v>
      </c>
      <c r="O169" s="8">
        <v>4</v>
      </c>
      <c r="P169" s="5">
        <v>22</v>
      </c>
      <c r="Q169" s="5">
        <v>0</v>
      </c>
      <c r="R169" s="9">
        <v>0</v>
      </c>
      <c r="S169" s="8">
        <v>0</v>
      </c>
      <c r="T169" s="9">
        <v>0</v>
      </c>
    </row>
    <row r="170" spans="1:20" x14ac:dyDescent="0.2">
      <c r="A170" s="5" t="s">
        <v>82</v>
      </c>
      <c r="B170" s="5" t="s">
        <v>75</v>
      </c>
      <c r="C170" s="17" t="s">
        <v>597</v>
      </c>
      <c r="D170" s="7">
        <f t="shared" si="0"/>
        <v>6.1</v>
      </c>
      <c r="E170" s="8">
        <v>0</v>
      </c>
      <c r="F170" s="5">
        <v>0</v>
      </c>
      <c r="G170" s="5">
        <v>0</v>
      </c>
      <c r="H170" s="5">
        <v>0</v>
      </c>
      <c r="I170" s="5">
        <v>0</v>
      </c>
      <c r="J170" s="9">
        <v>0</v>
      </c>
      <c r="K170" s="8">
        <v>6</v>
      </c>
      <c r="L170" s="5">
        <v>21</v>
      </c>
      <c r="M170" s="5">
        <v>0</v>
      </c>
      <c r="N170" s="9">
        <v>0</v>
      </c>
      <c r="O170" s="8">
        <v>3</v>
      </c>
      <c r="P170" s="5">
        <v>10</v>
      </c>
      <c r="Q170" s="5">
        <v>0</v>
      </c>
      <c r="R170" s="9">
        <v>0</v>
      </c>
      <c r="S170" s="8">
        <v>0</v>
      </c>
      <c r="T170" s="9">
        <v>0</v>
      </c>
    </row>
    <row r="171" spans="1:20" x14ac:dyDescent="0.2">
      <c r="A171" s="5" t="s">
        <v>219</v>
      </c>
      <c r="B171" s="5" t="s">
        <v>162</v>
      </c>
      <c r="C171" s="17" t="s">
        <v>602</v>
      </c>
      <c r="D171" s="7">
        <f t="shared" si="0"/>
        <v>6.1</v>
      </c>
      <c r="E171" s="8">
        <v>0</v>
      </c>
      <c r="F171" s="5">
        <v>0</v>
      </c>
      <c r="G171" s="5">
        <v>0</v>
      </c>
      <c r="H171" s="5">
        <v>0</v>
      </c>
      <c r="I171" s="5">
        <v>0</v>
      </c>
      <c r="J171" s="9">
        <v>0</v>
      </c>
      <c r="K171" s="8">
        <v>3</v>
      </c>
      <c r="L171" s="5">
        <v>15</v>
      </c>
      <c r="M171" s="5">
        <v>0</v>
      </c>
      <c r="N171" s="9">
        <v>0</v>
      </c>
      <c r="O171" s="8">
        <v>3</v>
      </c>
      <c r="P171" s="5">
        <v>16</v>
      </c>
      <c r="Q171" s="5">
        <v>0</v>
      </c>
      <c r="R171" s="9">
        <v>0</v>
      </c>
      <c r="S171" s="8">
        <v>0</v>
      </c>
      <c r="T171" s="9">
        <v>0</v>
      </c>
    </row>
    <row r="172" spans="1:20" x14ac:dyDescent="0.2">
      <c r="A172" s="5" t="s">
        <v>513</v>
      </c>
      <c r="B172" s="5" t="s">
        <v>162</v>
      </c>
      <c r="C172" s="17" t="s">
        <v>586</v>
      </c>
      <c r="D172" s="7">
        <f t="shared" si="0"/>
        <v>6.1</v>
      </c>
      <c r="E172" s="8">
        <v>0</v>
      </c>
      <c r="F172" s="5">
        <v>0</v>
      </c>
      <c r="G172" s="5">
        <v>0</v>
      </c>
      <c r="H172" s="5">
        <v>0</v>
      </c>
      <c r="I172" s="5">
        <v>0</v>
      </c>
      <c r="J172" s="9">
        <v>0</v>
      </c>
      <c r="K172" s="8">
        <v>0</v>
      </c>
      <c r="L172" s="5">
        <v>0</v>
      </c>
      <c r="M172" s="5">
        <v>0</v>
      </c>
      <c r="N172" s="9">
        <v>0</v>
      </c>
      <c r="O172" s="8">
        <v>4</v>
      </c>
      <c r="P172" s="5">
        <v>21</v>
      </c>
      <c r="Q172" s="5">
        <v>0</v>
      </c>
      <c r="R172" s="9">
        <v>0</v>
      </c>
      <c r="S172" s="8">
        <v>0</v>
      </c>
      <c r="T172" s="9">
        <v>0</v>
      </c>
    </row>
    <row r="173" spans="1:20" x14ac:dyDescent="0.2">
      <c r="A173" s="5" t="s">
        <v>147</v>
      </c>
      <c r="B173" s="5" t="s">
        <v>75</v>
      </c>
      <c r="C173" s="10" t="s">
        <v>601</v>
      </c>
      <c r="D173" s="7">
        <f t="shared" si="0"/>
        <v>5.9</v>
      </c>
      <c r="E173" s="8">
        <v>0</v>
      </c>
      <c r="F173" s="5">
        <v>0</v>
      </c>
      <c r="G173" s="5">
        <v>0</v>
      </c>
      <c r="H173" s="5">
        <v>0</v>
      </c>
      <c r="I173" s="5">
        <v>0</v>
      </c>
      <c r="J173" s="9">
        <v>0</v>
      </c>
      <c r="K173" s="8">
        <v>4</v>
      </c>
      <c r="L173" s="5">
        <v>33</v>
      </c>
      <c r="M173" s="5">
        <v>0</v>
      </c>
      <c r="N173" s="9">
        <v>0</v>
      </c>
      <c r="O173" s="8">
        <v>2</v>
      </c>
      <c r="P173" s="5">
        <v>6</v>
      </c>
      <c r="Q173" s="5">
        <v>0</v>
      </c>
      <c r="R173" s="9">
        <v>0</v>
      </c>
      <c r="S173" s="8">
        <v>0</v>
      </c>
      <c r="T173" s="9">
        <v>0</v>
      </c>
    </row>
    <row r="174" spans="1:20" x14ac:dyDescent="0.2">
      <c r="A174" s="5" t="s">
        <v>394</v>
      </c>
      <c r="B174" s="5" t="s">
        <v>75</v>
      </c>
      <c r="C174" s="17" t="s">
        <v>602</v>
      </c>
      <c r="D174" s="7">
        <f t="shared" si="0"/>
        <v>5.8999999999999995</v>
      </c>
      <c r="E174" s="8">
        <v>0</v>
      </c>
      <c r="F174" s="5">
        <v>0</v>
      </c>
      <c r="G174" s="5">
        <v>0</v>
      </c>
      <c r="H174" s="5">
        <v>0</v>
      </c>
      <c r="I174" s="5">
        <v>0</v>
      </c>
      <c r="J174" s="9">
        <v>0</v>
      </c>
      <c r="K174" s="8">
        <v>2</v>
      </c>
      <c r="L174" s="5">
        <v>1</v>
      </c>
      <c r="M174" s="5">
        <v>1</v>
      </c>
      <c r="N174" s="9">
        <v>0</v>
      </c>
      <c r="O174" s="8">
        <v>1</v>
      </c>
      <c r="P174" s="5">
        <v>8</v>
      </c>
      <c r="Q174" s="5">
        <v>0</v>
      </c>
      <c r="R174" s="9">
        <v>0</v>
      </c>
      <c r="S174" s="8">
        <v>1</v>
      </c>
      <c r="T174" s="9">
        <v>0</v>
      </c>
    </row>
    <row r="175" spans="1:20" x14ac:dyDescent="0.2">
      <c r="A175" s="5" t="s">
        <v>271</v>
      </c>
      <c r="B175" s="5" t="s">
        <v>69</v>
      </c>
      <c r="C175" s="17" t="s">
        <v>596</v>
      </c>
      <c r="D175" s="7">
        <f t="shared" si="0"/>
        <v>5.8000000000000007</v>
      </c>
      <c r="E175" s="8">
        <v>0</v>
      </c>
      <c r="F175" s="5">
        <v>0</v>
      </c>
      <c r="G175" s="5">
        <v>0</v>
      </c>
      <c r="H175" s="5">
        <v>0</v>
      </c>
      <c r="I175" s="5">
        <v>0</v>
      </c>
      <c r="J175" s="9">
        <v>0</v>
      </c>
      <c r="K175" s="8">
        <v>0</v>
      </c>
      <c r="L175" s="5">
        <v>0</v>
      </c>
      <c r="M175" s="5">
        <v>0</v>
      </c>
      <c r="N175" s="9">
        <v>0</v>
      </c>
      <c r="O175" s="8">
        <v>3</v>
      </c>
      <c r="P175" s="5">
        <v>28</v>
      </c>
      <c r="Q175" s="5">
        <v>0</v>
      </c>
      <c r="R175" s="9">
        <v>0</v>
      </c>
      <c r="S175" s="8">
        <v>0</v>
      </c>
      <c r="T175" s="9">
        <v>0</v>
      </c>
    </row>
    <row r="176" spans="1:20" x14ac:dyDescent="0.2">
      <c r="A176" s="5" t="s">
        <v>287</v>
      </c>
      <c r="B176" s="5" t="s">
        <v>69</v>
      </c>
      <c r="C176" s="10" t="s">
        <v>596</v>
      </c>
      <c r="D176" s="7">
        <f t="shared" si="0"/>
        <v>5.8000000000000007</v>
      </c>
      <c r="E176" s="8">
        <v>0</v>
      </c>
      <c r="F176" s="5">
        <v>0</v>
      </c>
      <c r="G176" s="5">
        <v>0</v>
      </c>
      <c r="H176" s="5">
        <v>0</v>
      </c>
      <c r="I176" s="5">
        <v>0</v>
      </c>
      <c r="J176" s="9">
        <v>0</v>
      </c>
      <c r="K176" s="8">
        <v>0</v>
      </c>
      <c r="L176" s="5">
        <v>0</v>
      </c>
      <c r="M176" s="5">
        <v>0</v>
      </c>
      <c r="N176" s="9">
        <v>0</v>
      </c>
      <c r="O176" s="8">
        <v>3</v>
      </c>
      <c r="P176" s="5">
        <v>28</v>
      </c>
      <c r="Q176" s="5">
        <v>0</v>
      </c>
      <c r="R176" s="9">
        <v>0</v>
      </c>
      <c r="S176" s="8">
        <v>0</v>
      </c>
      <c r="T176" s="9">
        <v>0</v>
      </c>
    </row>
    <row r="177" spans="1:20" x14ac:dyDescent="0.2">
      <c r="A177" s="5" t="s">
        <v>580</v>
      </c>
      <c r="B177" s="5" t="s">
        <v>75</v>
      </c>
      <c r="C177" s="10" t="s">
        <v>596</v>
      </c>
      <c r="D177" s="7">
        <f t="shared" si="0"/>
        <v>5.7000000000000011</v>
      </c>
      <c r="E177" s="8">
        <v>0</v>
      </c>
      <c r="F177" s="5">
        <v>0</v>
      </c>
      <c r="G177" s="5">
        <v>0</v>
      </c>
      <c r="H177" s="5">
        <v>0</v>
      </c>
      <c r="I177" s="5">
        <v>0</v>
      </c>
      <c r="J177" s="9">
        <v>0</v>
      </c>
      <c r="K177" s="8">
        <v>5</v>
      </c>
      <c r="L177" s="5">
        <v>23</v>
      </c>
      <c r="M177" s="5">
        <v>0</v>
      </c>
      <c r="N177" s="9">
        <v>0</v>
      </c>
      <c r="O177" s="8">
        <v>2</v>
      </c>
      <c r="P177" s="5">
        <v>14</v>
      </c>
      <c r="Q177" s="5">
        <v>0</v>
      </c>
      <c r="R177" s="9">
        <v>0</v>
      </c>
      <c r="S177" s="8">
        <v>0</v>
      </c>
      <c r="T177" s="9">
        <v>0</v>
      </c>
    </row>
    <row r="178" spans="1:20" x14ac:dyDescent="0.2">
      <c r="A178" s="5" t="s">
        <v>141</v>
      </c>
      <c r="B178" s="5" t="s">
        <v>75</v>
      </c>
      <c r="C178" s="10" t="s">
        <v>596</v>
      </c>
      <c r="D178" s="7">
        <f t="shared" si="0"/>
        <v>5.6999999999999993</v>
      </c>
      <c r="E178" s="8">
        <v>0</v>
      </c>
      <c r="F178" s="5">
        <v>0</v>
      </c>
      <c r="G178" s="5">
        <v>0</v>
      </c>
      <c r="H178" s="5">
        <v>0</v>
      </c>
      <c r="I178" s="5">
        <v>0</v>
      </c>
      <c r="J178" s="9">
        <v>0</v>
      </c>
      <c r="K178" s="8">
        <v>2</v>
      </c>
      <c r="L178" s="5">
        <v>1</v>
      </c>
      <c r="M178" s="5">
        <v>0</v>
      </c>
      <c r="N178" s="9">
        <v>0</v>
      </c>
      <c r="O178" s="8">
        <v>4</v>
      </c>
      <c r="P178" s="5">
        <v>16</v>
      </c>
      <c r="Q178" s="5">
        <v>0</v>
      </c>
      <c r="R178" s="9">
        <v>0</v>
      </c>
      <c r="S178" s="8">
        <v>0</v>
      </c>
      <c r="T178" s="9">
        <v>0</v>
      </c>
    </row>
    <row r="179" spans="1:20" x14ac:dyDescent="0.2">
      <c r="A179" s="5" t="s">
        <v>23</v>
      </c>
      <c r="B179" s="5" t="s">
        <v>17</v>
      </c>
      <c r="C179" s="17" t="s">
        <v>601</v>
      </c>
      <c r="D179" s="7">
        <f t="shared" si="0"/>
        <v>5.6</v>
      </c>
      <c r="E179" s="8">
        <v>38</v>
      </c>
      <c r="F179" s="5">
        <v>24</v>
      </c>
      <c r="G179" s="5">
        <v>240</v>
      </c>
      <c r="H179" s="5">
        <v>0</v>
      </c>
      <c r="I179" s="5">
        <v>2</v>
      </c>
      <c r="J179" s="9">
        <v>0</v>
      </c>
      <c r="K179" s="8">
        <v>3</v>
      </c>
      <c r="L179" s="5">
        <v>20</v>
      </c>
      <c r="M179" s="5">
        <v>0</v>
      </c>
      <c r="N179" s="9">
        <v>0</v>
      </c>
      <c r="O179" s="8">
        <v>0</v>
      </c>
      <c r="P179" s="5">
        <v>0</v>
      </c>
      <c r="Q179" s="5">
        <v>0</v>
      </c>
      <c r="R179" s="9">
        <v>0</v>
      </c>
      <c r="S179" s="8">
        <v>1</v>
      </c>
      <c r="T179" s="9">
        <v>0</v>
      </c>
    </row>
    <row r="180" spans="1:20" x14ac:dyDescent="0.2">
      <c r="A180" s="5" t="s">
        <v>97</v>
      </c>
      <c r="B180" s="5" t="s">
        <v>75</v>
      </c>
      <c r="C180" s="17" t="s">
        <v>588</v>
      </c>
      <c r="D180" s="7">
        <f t="shared" si="0"/>
        <v>5.6</v>
      </c>
      <c r="E180" s="8">
        <v>0</v>
      </c>
      <c r="F180" s="5">
        <v>0</v>
      </c>
      <c r="G180" s="5">
        <v>0</v>
      </c>
      <c r="H180" s="5">
        <v>0</v>
      </c>
      <c r="I180" s="5">
        <v>0</v>
      </c>
      <c r="J180" s="9">
        <v>0</v>
      </c>
      <c r="K180" s="8">
        <v>2</v>
      </c>
      <c r="L180" s="5">
        <v>-4</v>
      </c>
      <c r="M180" s="5">
        <v>0</v>
      </c>
      <c r="N180" s="9">
        <v>0</v>
      </c>
      <c r="O180" s="8">
        <v>5</v>
      </c>
      <c r="P180" s="5">
        <v>30</v>
      </c>
      <c r="Q180" s="5">
        <v>0</v>
      </c>
      <c r="R180" s="9">
        <v>0</v>
      </c>
      <c r="S180" s="8">
        <v>1</v>
      </c>
      <c r="T180" s="9">
        <v>0</v>
      </c>
    </row>
    <row r="181" spans="1:20" x14ac:dyDescent="0.2">
      <c r="A181" s="5" t="s">
        <v>181</v>
      </c>
      <c r="B181" s="5" t="s">
        <v>162</v>
      </c>
      <c r="C181" s="17" t="s">
        <v>597</v>
      </c>
      <c r="D181" s="7">
        <f t="shared" si="0"/>
        <v>5.4</v>
      </c>
      <c r="E181" s="8">
        <v>0</v>
      </c>
      <c r="F181" s="5">
        <v>0</v>
      </c>
      <c r="G181" s="5">
        <v>0</v>
      </c>
      <c r="H181" s="5">
        <v>0</v>
      </c>
      <c r="I181" s="5">
        <v>0</v>
      </c>
      <c r="J181" s="9">
        <v>0</v>
      </c>
      <c r="K181" s="8">
        <v>1</v>
      </c>
      <c r="L181" s="5">
        <v>3</v>
      </c>
      <c r="M181" s="5">
        <v>0</v>
      </c>
      <c r="N181" s="9">
        <v>0</v>
      </c>
      <c r="O181" s="8">
        <v>1</v>
      </c>
      <c r="P181" s="5">
        <v>41</v>
      </c>
      <c r="Q181" s="5">
        <v>0</v>
      </c>
      <c r="R181" s="9">
        <v>0</v>
      </c>
      <c r="S181" s="8">
        <v>0</v>
      </c>
      <c r="T181" s="9">
        <v>0</v>
      </c>
    </row>
    <row r="182" spans="1:20" x14ac:dyDescent="0.2">
      <c r="A182" s="5" t="s">
        <v>222</v>
      </c>
      <c r="B182" s="5" t="s">
        <v>162</v>
      </c>
      <c r="C182" s="17" t="s">
        <v>587</v>
      </c>
      <c r="D182" s="7">
        <f t="shared" si="0"/>
        <v>5.4</v>
      </c>
      <c r="E182" s="8">
        <v>0</v>
      </c>
      <c r="F182" s="5">
        <v>0</v>
      </c>
      <c r="G182" s="5">
        <v>0</v>
      </c>
      <c r="H182" s="5">
        <v>0</v>
      </c>
      <c r="I182" s="5">
        <v>0</v>
      </c>
      <c r="J182" s="9">
        <v>0</v>
      </c>
      <c r="K182" s="8">
        <v>0</v>
      </c>
      <c r="L182" s="5">
        <v>0</v>
      </c>
      <c r="M182" s="5">
        <v>0</v>
      </c>
      <c r="N182" s="9">
        <v>0</v>
      </c>
      <c r="O182" s="8">
        <v>3</v>
      </c>
      <c r="P182" s="5">
        <v>24</v>
      </c>
      <c r="Q182" s="5">
        <v>0</v>
      </c>
      <c r="R182" s="9">
        <v>0</v>
      </c>
      <c r="S182" s="8">
        <v>0</v>
      </c>
      <c r="T182" s="9">
        <v>0</v>
      </c>
    </row>
    <row r="183" spans="1:20" x14ac:dyDescent="0.2">
      <c r="A183" s="5" t="s">
        <v>264</v>
      </c>
      <c r="B183" s="5" t="s">
        <v>162</v>
      </c>
      <c r="C183" s="10" t="s">
        <v>597</v>
      </c>
      <c r="D183" s="7">
        <f t="shared" si="0"/>
        <v>5.4</v>
      </c>
      <c r="E183" s="8">
        <v>0</v>
      </c>
      <c r="F183" s="5">
        <v>0</v>
      </c>
      <c r="G183" s="5">
        <v>0</v>
      </c>
      <c r="H183" s="5">
        <v>0</v>
      </c>
      <c r="I183" s="5">
        <v>0</v>
      </c>
      <c r="J183" s="9">
        <v>0</v>
      </c>
      <c r="K183" s="8">
        <v>0</v>
      </c>
      <c r="L183" s="5">
        <v>0</v>
      </c>
      <c r="M183" s="5">
        <v>0</v>
      </c>
      <c r="N183" s="9">
        <v>0</v>
      </c>
      <c r="O183" s="8">
        <v>3</v>
      </c>
      <c r="P183" s="5">
        <v>24</v>
      </c>
      <c r="Q183" s="5">
        <v>0</v>
      </c>
      <c r="R183" s="9">
        <v>0</v>
      </c>
      <c r="S183" s="8">
        <v>0</v>
      </c>
      <c r="T183" s="9">
        <v>0</v>
      </c>
    </row>
    <row r="184" spans="1:20" x14ac:dyDescent="0.2">
      <c r="A184" s="5" t="s">
        <v>559</v>
      </c>
      <c r="B184" s="5" t="s">
        <v>162</v>
      </c>
      <c r="C184" s="10" t="s">
        <v>587</v>
      </c>
      <c r="D184" s="7">
        <f t="shared" si="0"/>
        <v>5.4</v>
      </c>
      <c r="E184" s="8">
        <v>0</v>
      </c>
      <c r="F184" s="5">
        <v>0</v>
      </c>
      <c r="G184" s="5">
        <v>0</v>
      </c>
      <c r="H184" s="5">
        <v>0</v>
      </c>
      <c r="I184" s="5">
        <v>0</v>
      </c>
      <c r="J184" s="9">
        <v>0</v>
      </c>
      <c r="K184" s="8">
        <v>0</v>
      </c>
      <c r="L184" s="5">
        <v>0</v>
      </c>
      <c r="M184" s="5">
        <v>0</v>
      </c>
      <c r="N184" s="9">
        <v>0</v>
      </c>
      <c r="O184" s="8">
        <v>3</v>
      </c>
      <c r="P184" s="5">
        <v>24</v>
      </c>
      <c r="Q184" s="5">
        <v>0</v>
      </c>
      <c r="R184" s="9">
        <v>0</v>
      </c>
      <c r="S184" s="8">
        <v>0</v>
      </c>
      <c r="T184" s="9">
        <v>0</v>
      </c>
    </row>
    <row r="185" spans="1:20" x14ac:dyDescent="0.2">
      <c r="A185" s="5" t="s">
        <v>417</v>
      </c>
      <c r="B185" s="5" t="s">
        <v>69</v>
      </c>
      <c r="C185" s="17" t="s">
        <v>596</v>
      </c>
      <c r="D185" s="7">
        <f t="shared" si="0"/>
        <v>5.3000000000000007</v>
      </c>
      <c r="E185" s="8">
        <v>0</v>
      </c>
      <c r="F185" s="5">
        <v>0</v>
      </c>
      <c r="G185" s="5">
        <v>0</v>
      </c>
      <c r="H185" s="5">
        <v>0</v>
      </c>
      <c r="I185" s="5">
        <v>0</v>
      </c>
      <c r="J185" s="9">
        <v>0</v>
      </c>
      <c r="K185" s="8">
        <v>0</v>
      </c>
      <c r="L185" s="5">
        <v>0</v>
      </c>
      <c r="M185" s="5">
        <v>0</v>
      </c>
      <c r="N185" s="9">
        <v>0</v>
      </c>
      <c r="O185" s="8">
        <v>2</v>
      </c>
      <c r="P185" s="5">
        <v>33</v>
      </c>
      <c r="Q185" s="5">
        <v>0</v>
      </c>
      <c r="R185" s="9">
        <v>0</v>
      </c>
      <c r="S185" s="8">
        <v>0</v>
      </c>
      <c r="T185" s="9">
        <v>0</v>
      </c>
    </row>
    <row r="186" spans="1:20" x14ac:dyDescent="0.2">
      <c r="A186" s="5" t="s">
        <v>209</v>
      </c>
      <c r="B186" s="5" t="s">
        <v>162</v>
      </c>
      <c r="C186" s="17" t="s">
        <v>592</v>
      </c>
      <c r="D186" s="7">
        <f t="shared" si="0"/>
        <v>5.2</v>
      </c>
      <c r="E186" s="8">
        <v>0</v>
      </c>
      <c r="F186" s="5">
        <v>0</v>
      </c>
      <c r="G186" s="5">
        <v>0</v>
      </c>
      <c r="H186" s="5">
        <v>0</v>
      </c>
      <c r="I186" s="5">
        <v>0</v>
      </c>
      <c r="J186" s="9">
        <v>0</v>
      </c>
      <c r="K186" s="8">
        <v>0</v>
      </c>
      <c r="L186" s="5">
        <v>0</v>
      </c>
      <c r="M186" s="5">
        <v>0</v>
      </c>
      <c r="N186" s="9">
        <v>0</v>
      </c>
      <c r="O186" s="8">
        <v>3</v>
      </c>
      <c r="P186" s="5">
        <v>22</v>
      </c>
      <c r="Q186" s="5">
        <v>0</v>
      </c>
      <c r="R186" s="9">
        <v>0</v>
      </c>
      <c r="S186" s="8">
        <v>0</v>
      </c>
      <c r="T186" s="9">
        <v>0</v>
      </c>
    </row>
    <row r="187" spans="1:20" x14ac:dyDescent="0.2">
      <c r="A187" s="5" t="s">
        <v>347</v>
      </c>
      <c r="B187" s="5" t="s">
        <v>69</v>
      </c>
      <c r="C187" s="10" t="s">
        <v>598</v>
      </c>
      <c r="D187" s="7">
        <f t="shared" si="0"/>
        <v>5.2</v>
      </c>
      <c r="E187" s="8">
        <v>0</v>
      </c>
      <c r="F187" s="5">
        <v>0</v>
      </c>
      <c r="G187" s="5">
        <v>0</v>
      </c>
      <c r="H187" s="5">
        <v>0</v>
      </c>
      <c r="I187" s="5">
        <v>0</v>
      </c>
      <c r="J187" s="9">
        <v>0</v>
      </c>
      <c r="K187" s="8">
        <v>0</v>
      </c>
      <c r="L187" s="5">
        <v>0</v>
      </c>
      <c r="M187" s="5">
        <v>0</v>
      </c>
      <c r="N187" s="9">
        <v>0</v>
      </c>
      <c r="O187" s="8">
        <v>2</v>
      </c>
      <c r="P187" s="5">
        <v>32</v>
      </c>
      <c r="Q187" s="5">
        <v>0</v>
      </c>
      <c r="R187" s="9">
        <v>0</v>
      </c>
      <c r="S187" s="8">
        <v>0</v>
      </c>
      <c r="T187" s="9">
        <v>0</v>
      </c>
    </row>
    <row r="188" spans="1:20" x14ac:dyDescent="0.2">
      <c r="A188" s="5" t="s">
        <v>554</v>
      </c>
      <c r="B188" s="5" t="s">
        <v>75</v>
      </c>
      <c r="C188" s="10" t="s">
        <v>602</v>
      </c>
      <c r="D188" s="7">
        <f t="shared" si="0"/>
        <v>5.0999999999999996</v>
      </c>
      <c r="E188" s="8">
        <v>0</v>
      </c>
      <c r="F188" s="5">
        <v>0</v>
      </c>
      <c r="G188" s="5">
        <v>0</v>
      </c>
      <c r="H188" s="5">
        <v>0</v>
      </c>
      <c r="I188" s="5">
        <v>0</v>
      </c>
      <c r="J188" s="9">
        <v>0</v>
      </c>
      <c r="K188" s="8">
        <v>3</v>
      </c>
      <c r="L188" s="5">
        <v>5</v>
      </c>
      <c r="M188" s="5">
        <v>0</v>
      </c>
      <c r="N188" s="9">
        <v>0</v>
      </c>
      <c r="O188" s="8">
        <v>2</v>
      </c>
      <c r="P188" s="5">
        <v>26</v>
      </c>
      <c r="Q188" s="5">
        <v>0</v>
      </c>
      <c r="R188" s="9">
        <v>0</v>
      </c>
      <c r="S188" s="8">
        <v>0</v>
      </c>
      <c r="T188" s="9">
        <v>0</v>
      </c>
    </row>
    <row r="189" spans="1:20" x14ac:dyDescent="0.2">
      <c r="A189" s="5" t="s">
        <v>208</v>
      </c>
      <c r="B189" s="5" t="s">
        <v>162</v>
      </c>
      <c r="C189" s="17" t="s">
        <v>598</v>
      </c>
      <c r="D189" s="7">
        <f t="shared" si="0"/>
        <v>5</v>
      </c>
      <c r="E189" s="8">
        <v>0</v>
      </c>
      <c r="F189" s="5">
        <v>0</v>
      </c>
      <c r="G189" s="5">
        <v>0</v>
      </c>
      <c r="H189" s="5">
        <v>0</v>
      </c>
      <c r="I189" s="5">
        <v>0</v>
      </c>
      <c r="J189" s="9">
        <v>0</v>
      </c>
      <c r="K189" s="8">
        <v>0</v>
      </c>
      <c r="L189" s="5">
        <v>0</v>
      </c>
      <c r="M189" s="5">
        <v>0</v>
      </c>
      <c r="N189" s="9">
        <v>0</v>
      </c>
      <c r="O189" s="8">
        <v>2</v>
      </c>
      <c r="P189" s="5">
        <v>30</v>
      </c>
      <c r="Q189" s="5">
        <v>0</v>
      </c>
      <c r="R189" s="9">
        <v>0</v>
      </c>
      <c r="S189" s="8">
        <v>0</v>
      </c>
      <c r="T189" s="9">
        <v>0</v>
      </c>
    </row>
    <row r="190" spans="1:20" x14ac:dyDescent="0.2">
      <c r="A190" s="5" t="s">
        <v>136</v>
      </c>
      <c r="B190" s="5" t="s">
        <v>75</v>
      </c>
      <c r="C190" s="17" t="s">
        <v>598</v>
      </c>
      <c r="D190" s="7">
        <f t="shared" si="0"/>
        <v>4.9000000000000004</v>
      </c>
      <c r="E190" s="8">
        <v>0</v>
      </c>
      <c r="F190" s="5">
        <v>0</v>
      </c>
      <c r="G190" s="5">
        <v>0</v>
      </c>
      <c r="H190" s="5">
        <v>0</v>
      </c>
      <c r="I190" s="5">
        <v>0</v>
      </c>
      <c r="J190" s="9">
        <v>0</v>
      </c>
      <c r="K190" s="8">
        <v>9</v>
      </c>
      <c r="L190" s="5">
        <v>37</v>
      </c>
      <c r="M190" s="5">
        <v>0</v>
      </c>
      <c r="N190" s="9">
        <v>0</v>
      </c>
      <c r="O190" s="8">
        <v>1</v>
      </c>
      <c r="P190" s="5">
        <v>2</v>
      </c>
      <c r="Q190" s="5">
        <v>0</v>
      </c>
      <c r="R190" s="9">
        <v>0</v>
      </c>
      <c r="S190" s="8">
        <v>0</v>
      </c>
      <c r="T190" s="9">
        <v>0</v>
      </c>
    </row>
    <row r="191" spans="1:20" x14ac:dyDescent="0.2">
      <c r="A191" s="5" t="s">
        <v>202</v>
      </c>
      <c r="B191" s="5" t="s">
        <v>162</v>
      </c>
      <c r="C191" s="10" t="s">
        <v>595</v>
      </c>
      <c r="D191" s="7">
        <f t="shared" si="0"/>
        <v>4.9000000000000004</v>
      </c>
      <c r="E191" s="8">
        <v>0</v>
      </c>
      <c r="F191" s="5">
        <v>0</v>
      </c>
      <c r="G191" s="5">
        <v>0</v>
      </c>
      <c r="H191" s="5">
        <v>0</v>
      </c>
      <c r="I191" s="5">
        <v>0</v>
      </c>
      <c r="J191" s="9">
        <v>0</v>
      </c>
      <c r="K191" s="8">
        <v>2</v>
      </c>
      <c r="L191" s="5">
        <v>10</v>
      </c>
      <c r="M191" s="5">
        <v>0</v>
      </c>
      <c r="N191" s="9">
        <v>0</v>
      </c>
      <c r="O191" s="8">
        <v>2</v>
      </c>
      <c r="P191" s="5">
        <v>19</v>
      </c>
      <c r="Q191" s="5">
        <v>0</v>
      </c>
      <c r="R191" s="9">
        <v>0</v>
      </c>
      <c r="S191" s="8">
        <v>0</v>
      </c>
      <c r="T191" s="9">
        <v>0</v>
      </c>
    </row>
    <row r="192" spans="1:20" x14ac:dyDescent="0.2">
      <c r="A192" s="5" t="s">
        <v>344</v>
      </c>
      <c r="B192" s="5" t="s">
        <v>162</v>
      </c>
      <c r="C192" s="10" t="s">
        <v>599</v>
      </c>
      <c r="D192" s="7">
        <f t="shared" si="0"/>
        <v>4.8000000000000007</v>
      </c>
      <c r="E192" s="8">
        <v>0</v>
      </c>
      <c r="F192" s="5">
        <v>0</v>
      </c>
      <c r="G192" s="5">
        <v>0</v>
      </c>
      <c r="H192" s="5">
        <v>0</v>
      </c>
      <c r="I192" s="5">
        <v>0</v>
      </c>
      <c r="J192" s="9">
        <v>0</v>
      </c>
      <c r="K192" s="8">
        <v>0</v>
      </c>
      <c r="L192" s="5">
        <v>0</v>
      </c>
      <c r="M192" s="5">
        <v>0</v>
      </c>
      <c r="N192" s="9">
        <v>0</v>
      </c>
      <c r="O192" s="8">
        <v>2</v>
      </c>
      <c r="P192" s="5">
        <v>28</v>
      </c>
      <c r="Q192" s="5">
        <v>0</v>
      </c>
      <c r="R192" s="9">
        <v>0</v>
      </c>
      <c r="S192" s="8">
        <v>0</v>
      </c>
      <c r="T192" s="9">
        <v>0</v>
      </c>
    </row>
    <row r="193" spans="1:20" x14ac:dyDescent="0.2">
      <c r="A193" s="5" t="s">
        <v>115</v>
      </c>
      <c r="B193" s="5" t="s">
        <v>75</v>
      </c>
      <c r="C193" s="17" t="s">
        <v>593</v>
      </c>
      <c r="D193" s="7">
        <f t="shared" si="0"/>
        <v>4.8</v>
      </c>
      <c r="E193" s="8">
        <v>0</v>
      </c>
      <c r="F193" s="5">
        <v>0</v>
      </c>
      <c r="G193" s="5">
        <v>0</v>
      </c>
      <c r="H193" s="5">
        <v>0</v>
      </c>
      <c r="I193" s="5">
        <v>0</v>
      </c>
      <c r="J193" s="9">
        <v>0</v>
      </c>
      <c r="K193" s="8">
        <v>6</v>
      </c>
      <c r="L193" s="5">
        <v>30</v>
      </c>
      <c r="M193" s="5">
        <v>0</v>
      </c>
      <c r="N193" s="9">
        <v>0</v>
      </c>
      <c r="O193" s="8">
        <v>1</v>
      </c>
      <c r="P193" s="5">
        <v>8</v>
      </c>
      <c r="Q193" s="5">
        <v>0</v>
      </c>
      <c r="R193" s="9">
        <v>0</v>
      </c>
      <c r="S193" s="8">
        <v>0</v>
      </c>
      <c r="T193" s="9">
        <v>0</v>
      </c>
    </row>
    <row r="194" spans="1:20" x14ac:dyDescent="0.2">
      <c r="A194" s="5" t="s">
        <v>221</v>
      </c>
      <c r="B194" s="5" t="s">
        <v>162</v>
      </c>
      <c r="C194" s="17" t="s">
        <v>587</v>
      </c>
      <c r="D194" s="7">
        <f t="shared" si="0"/>
        <v>4.7</v>
      </c>
      <c r="E194" s="8">
        <v>0</v>
      </c>
      <c r="F194" s="5">
        <v>0</v>
      </c>
      <c r="G194" s="5">
        <v>0</v>
      </c>
      <c r="H194" s="5">
        <v>0</v>
      </c>
      <c r="I194" s="5">
        <v>0</v>
      </c>
      <c r="J194" s="9">
        <v>0</v>
      </c>
      <c r="K194" s="8">
        <v>0</v>
      </c>
      <c r="L194" s="5">
        <v>0</v>
      </c>
      <c r="M194" s="5">
        <v>0</v>
      </c>
      <c r="N194" s="9">
        <v>0</v>
      </c>
      <c r="O194" s="8">
        <v>2</v>
      </c>
      <c r="P194" s="5">
        <v>27</v>
      </c>
      <c r="Q194" s="5">
        <v>0</v>
      </c>
      <c r="R194" s="9">
        <v>0</v>
      </c>
      <c r="S194" s="8">
        <v>0</v>
      </c>
      <c r="T194" s="9">
        <v>0</v>
      </c>
    </row>
    <row r="195" spans="1:20" x14ac:dyDescent="0.2">
      <c r="A195" s="5" t="s">
        <v>120</v>
      </c>
      <c r="B195" s="5" t="s">
        <v>75</v>
      </c>
      <c r="C195" s="17" t="s">
        <v>602</v>
      </c>
      <c r="D195" s="7">
        <f t="shared" si="0"/>
        <v>4.6000000000000005</v>
      </c>
      <c r="E195" s="8">
        <v>0</v>
      </c>
      <c r="F195" s="5">
        <v>0</v>
      </c>
      <c r="G195" s="5">
        <v>0</v>
      </c>
      <c r="H195" s="5">
        <v>0</v>
      </c>
      <c r="I195" s="5">
        <v>0</v>
      </c>
      <c r="J195" s="9">
        <v>0</v>
      </c>
      <c r="K195" s="8">
        <v>12</v>
      </c>
      <c r="L195" s="5">
        <v>46</v>
      </c>
      <c r="M195" s="5">
        <v>0</v>
      </c>
      <c r="N195" s="9">
        <v>0</v>
      </c>
      <c r="O195" s="8">
        <v>0</v>
      </c>
      <c r="P195" s="5">
        <v>0</v>
      </c>
      <c r="Q195" s="5">
        <v>0</v>
      </c>
      <c r="R195" s="9">
        <v>0</v>
      </c>
      <c r="S195" s="8">
        <v>0</v>
      </c>
      <c r="T195" s="9">
        <v>0</v>
      </c>
    </row>
    <row r="196" spans="1:20" x14ac:dyDescent="0.2">
      <c r="A196" s="5" t="s">
        <v>125</v>
      </c>
      <c r="B196" s="5" t="s">
        <v>75</v>
      </c>
      <c r="C196" s="17" t="s">
        <v>597</v>
      </c>
      <c r="D196" s="7">
        <f t="shared" si="0"/>
        <v>4.6000000000000005</v>
      </c>
      <c r="E196" s="8">
        <v>0</v>
      </c>
      <c r="F196" s="5">
        <v>0</v>
      </c>
      <c r="G196" s="5">
        <v>0</v>
      </c>
      <c r="H196" s="5">
        <v>0</v>
      </c>
      <c r="I196" s="5">
        <v>0</v>
      </c>
      <c r="J196" s="9">
        <v>0</v>
      </c>
      <c r="K196" s="8">
        <v>9</v>
      </c>
      <c r="L196" s="5">
        <v>34</v>
      </c>
      <c r="M196" s="5">
        <v>0</v>
      </c>
      <c r="N196" s="9">
        <v>0</v>
      </c>
      <c r="O196" s="8">
        <v>1</v>
      </c>
      <c r="P196" s="5">
        <v>2</v>
      </c>
      <c r="Q196" s="5">
        <v>0</v>
      </c>
      <c r="R196" s="9">
        <v>0</v>
      </c>
      <c r="S196" s="8">
        <v>0</v>
      </c>
      <c r="T196" s="9">
        <v>0</v>
      </c>
    </row>
    <row r="197" spans="1:20" x14ac:dyDescent="0.2">
      <c r="A197" s="5" t="s">
        <v>134</v>
      </c>
      <c r="B197" s="5" t="s">
        <v>75</v>
      </c>
      <c r="C197" s="10" t="s">
        <v>586</v>
      </c>
      <c r="D197" s="7">
        <f t="shared" si="0"/>
        <v>4.5</v>
      </c>
      <c r="E197" s="8">
        <v>0</v>
      </c>
      <c r="F197" s="5">
        <v>0</v>
      </c>
      <c r="G197" s="5">
        <v>0</v>
      </c>
      <c r="H197" s="5">
        <v>0</v>
      </c>
      <c r="I197" s="5">
        <v>0</v>
      </c>
      <c r="J197" s="9">
        <v>0</v>
      </c>
      <c r="K197" s="8">
        <v>5</v>
      </c>
      <c r="L197" s="5">
        <v>18</v>
      </c>
      <c r="M197" s="5">
        <v>0</v>
      </c>
      <c r="N197" s="9">
        <v>0</v>
      </c>
      <c r="O197" s="8">
        <v>2</v>
      </c>
      <c r="P197" s="5">
        <v>7</v>
      </c>
      <c r="Q197" s="5">
        <v>0</v>
      </c>
      <c r="R197" s="9">
        <v>0</v>
      </c>
      <c r="S197" s="8">
        <v>0</v>
      </c>
      <c r="T197" s="9">
        <v>0</v>
      </c>
    </row>
    <row r="198" spans="1:20" x14ac:dyDescent="0.2">
      <c r="A198" s="5" t="s">
        <v>289</v>
      </c>
      <c r="B198" s="5" t="s">
        <v>69</v>
      </c>
      <c r="C198" s="17" t="s">
        <v>601</v>
      </c>
      <c r="D198" s="7">
        <f t="shared" si="0"/>
        <v>4.5</v>
      </c>
      <c r="E198" s="8">
        <v>0</v>
      </c>
      <c r="F198" s="5">
        <v>0</v>
      </c>
      <c r="G198" s="5">
        <v>0</v>
      </c>
      <c r="H198" s="5">
        <v>0</v>
      </c>
      <c r="I198" s="5">
        <v>0</v>
      </c>
      <c r="J198" s="9">
        <v>0</v>
      </c>
      <c r="K198" s="8">
        <v>0</v>
      </c>
      <c r="L198" s="5">
        <v>0</v>
      </c>
      <c r="M198" s="5">
        <v>0</v>
      </c>
      <c r="N198" s="9">
        <v>0</v>
      </c>
      <c r="O198" s="8">
        <v>2</v>
      </c>
      <c r="P198" s="5">
        <v>25</v>
      </c>
      <c r="Q198" s="5">
        <v>0</v>
      </c>
      <c r="R198" s="9">
        <v>0</v>
      </c>
      <c r="S198" s="8">
        <v>0</v>
      </c>
      <c r="T198" s="9">
        <v>0</v>
      </c>
    </row>
    <row r="199" spans="1:20" x14ac:dyDescent="0.2">
      <c r="A199" s="5" t="s">
        <v>301</v>
      </c>
      <c r="B199" s="5" t="s">
        <v>69</v>
      </c>
      <c r="C199" s="17" t="s">
        <v>590</v>
      </c>
      <c r="D199" s="7">
        <f t="shared" si="0"/>
        <v>4.5</v>
      </c>
      <c r="E199" s="8">
        <v>0</v>
      </c>
      <c r="F199" s="5">
        <v>0</v>
      </c>
      <c r="G199" s="5">
        <v>0</v>
      </c>
      <c r="H199" s="5">
        <v>0</v>
      </c>
      <c r="I199" s="5">
        <v>0</v>
      </c>
      <c r="J199" s="9">
        <v>0</v>
      </c>
      <c r="K199" s="8">
        <v>0</v>
      </c>
      <c r="L199" s="5">
        <v>0</v>
      </c>
      <c r="M199" s="5">
        <v>0</v>
      </c>
      <c r="N199" s="9">
        <v>0</v>
      </c>
      <c r="O199" s="8">
        <v>4</v>
      </c>
      <c r="P199" s="5">
        <v>25</v>
      </c>
      <c r="Q199" s="5">
        <v>0</v>
      </c>
      <c r="R199" s="9">
        <v>0</v>
      </c>
      <c r="S199" s="8">
        <v>1</v>
      </c>
      <c r="T199" s="9">
        <v>0</v>
      </c>
    </row>
    <row r="200" spans="1:20" x14ac:dyDescent="0.2">
      <c r="A200" s="5" t="s">
        <v>483</v>
      </c>
      <c r="B200" s="5" t="s">
        <v>162</v>
      </c>
      <c r="C200" s="17" t="s">
        <v>590</v>
      </c>
      <c r="D200" s="7">
        <f t="shared" si="0"/>
        <v>4.4000000000000004</v>
      </c>
      <c r="E200" s="8">
        <v>0</v>
      </c>
      <c r="F200" s="5">
        <v>0</v>
      </c>
      <c r="G200" s="5">
        <v>0</v>
      </c>
      <c r="H200" s="5">
        <v>0</v>
      </c>
      <c r="I200" s="5">
        <v>0</v>
      </c>
      <c r="J200" s="9">
        <v>0</v>
      </c>
      <c r="K200" s="8">
        <v>0</v>
      </c>
      <c r="L200" s="5">
        <v>0</v>
      </c>
      <c r="M200" s="5">
        <v>0</v>
      </c>
      <c r="N200" s="9">
        <v>0</v>
      </c>
      <c r="O200" s="8">
        <v>2</v>
      </c>
      <c r="P200" s="5">
        <v>24</v>
      </c>
      <c r="Q200" s="5">
        <v>0</v>
      </c>
      <c r="R200" s="9">
        <v>0</v>
      </c>
      <c r="S200" s="8">
        <v>0</v>
      </c>
      <c r="T200" s="9">
        <v>0</v>
      </c>
    </row>
    <row r="201" spans="1:20" x14ac:dyDescent="0.2">
      <c r="A201" s="5" t="s">
        <v>371</v>
      </c>
      <c r="B201" s="5" t="s">
        <v>162</v>
      </c>
      <c r="C201" s="10" t="s">
        <v>602</v>
      </c>
      <c r="D201" s="7">
        <f t="shared" si="0"/>
        <v>4.3000000000000007</v>
      </c>
      <c r="E201" s="8">
        <v>0</v>
      </c>
      <c r="F201" s="5">
        <v>0</v>
      </c>
      <c r="G201" s="5">
        <v>0</v>
      </c>
      <c r="H201" s="5">
        <v>0</v>
      </c>
      <c r="I201" s="5">
        <v>0</v>
      </c>
      <c r="J201" s="9">
        <v>0</v>
      </c>
      <c r="K201" s="8">
        <v>0</v>
      </c>
      <c r="L201" s="5">
        <v>0</v>
      </c>
      <c r="M201" s="5">
        <v>0</v>
      </c>
      <c r="N201" s="9">
        <v>0</v>
      </c>
      <c r="O201" s="8">
        <v>2</v>
      </c>
      <c r="P201" s="5">
        <v>23</v>
      </c>
      <c r="Q201" s="5">
        <v>0</v>
      </c>
      <c r="R201" s="9">
        <v>0</v>
      </c>
      <c r="S201" s="8">
        <v>0</v>
      </c>
      <c r="T201" s="9">
        <v>0</v>
      </c>
    </row>
    <row r="202" spans="1:20" x14ac:dyDescent="0.2">
      <c r="A202" s="5" t="s">
        <v>89</v>
      </c>
      <c r="B202" s="5" t="s">
        <v>75</v>
      </c>
      <c r="C202" s="17" t="s">
        <v>599</v>
      </c>
      <c r="D202" s="7">
        <f t="shared" si="0"/>
        <v>4.3</v>
      </c>
      <c r="E202" s="8">
        <v>0</v>
      </c>
      <c r="F202" s="5">
        <v>0</v>
      </c>
      <c r="G202" s="5">
        <v>0</v>
      </c>
      <c r="H202" s="5">
        <v>0</v>
      </c>
      <c r="I202" s="5">
        <v>0</v>
      </c>
      <c r="J202" s="9">
        <v>0</v>
      </c>
      <c r="K202" s="8">
        <v>16</v>
      </c>
      <c r="L202" s="5">
        <v>31</v>
      </c>
      <c r="M202" s="5">
        <v>0</v>
      </c>
      <c r="N202" s="9">
        <v>0</v>
      </c>
      <c r="O202" s="8">
        <v>1</v>
      </c>
      <c r="P202" s="5">
        <v>2</v>
      </c>
      <c r="Q202" s="5">
        <v>0</v>
      </c>
      <c r="R202" s="9">
        <v>0</v>
      </c>
      <c r="S202" s="8">
        <v>0</v>
      </c>
      <c r="T202" s="9">
        <v>0</v>
      </c>
    </row>
    <row r="203" spans="1:20" x14ac:dyDescent="0.2">
      <c r="A203" s="5" t="s">
        <v>35</v>
      </c>
      <c r="B203" s="5" t="s">
        <v>17</v>
      </c>
      <c r="C203" s="17" t="s">
        <v>589</v>
      </c>
      <c r="D203" s="7">
        <f t="shared" si="0"/>
        <v>4.24</v>
      </c>
      <c r="E203" s="8">
        <v>21</v>
      </c>
      <c r="F203" s="5">
        <v>10</v>
      </c>
      <c r="G203" s="5">
        <v>126</v>
      </c>
      <c r="H203" s="5">
        <v>0</v>
      </c>
      <c r="I203" s="5">
        <v>1</v>
      </c>
      <c r="J203" s="9">
        <v>0</v>
      </c>
      <c r="K203" s="8">
        <v>2</v>
      </c>
      <c r="L203" s="5">
        <v>12</v>
      </c>
      <c r="M203" s="5">
        <v>0</v>
      </c>
      <c r="N203" s="9">
        <v>0</v>
      </c>
      <c r="O203" s="8">
        <v>0</v>
      </c>
      <c r="P203" s="5">
        <v>0</v>
      </c>
      <c r="Q203" s="5">
        <v>0</v>
      </c>
      <c r="R203" s="9">
        <v>0</v>
      </c>
      <c r="S203" s="8">
        <v>0</v>
      </c>
      <c r="T203" s="9">
        <v>0</v>
      </c>
    </row>
    <row r="204" spans="1:20" x14ac:dyDescent="0.2">
      <c r="A204" s="5" t="s">
        <v>243</v>
      </c>
      <c r="B204" s="5" t="s">
        <v>162</v>
      </c>
      <c r="C204" s="10" t="s">
        <v>589</v>
      </c>
      <c r="D204" s="7">
        <f t="shared" si="0"/>
        <v>4.2</v>
      </c>
      <c r="E204" s="8">
        <v>0</v>
      </c>
      <c r="F204" s="5">
        <v>0</v>
      </c>
      <c r="G204" s="5">
        <v>0</v>
      </c>
      <c r="H204" s="5">
        <v>0</v>
      </c>
      <c r="I204" s="5">
        <v>0</v>
      </c>
      <c r="J204" s="9">
        <v>0</v>
      </c>
      <c r="K204" s="8">
        <v>1</v>
      </c>
      <c r="L204" s="5">
        <v>-2</v>
      </c>
      <c r="M204" s="5">
        <v>0</v>
      </c>
      <c r="N204" s="9">
        <v>0</v>
      </c>
      <c r="O204" s="8">
        <v>2</v>
      </c>
      <c r="P204" s="5">
        <v>24</v>
      </c>
      <c r="Q204" s="5">
        <v>0</v>
      </c>
      <c r="R204" s="9">
        <v>0</v>
      </c>
      <c r="S204" s="8">
        <v>0</v>
      </c>
      <c r="T204" s="9">
        <v>0</v>
      </c>
    </row>
    <row r="205" spans="1:20" x14ac:dyDescent="0.2">
      <c r="A205" s="5" t="s">
        <v>154</v>
      </c>
      <c r="B205" s="5" t="s">
        <v>75</v>
      </c>
      <c r="C205" s="17" t="s">
        <v>592</v>
      </c>
      <c r="D205" s="7">
        <f t="shared" si="0"/>
        <v>4.0999999999999996</v>
      </c>
      <c r="E205" s="8">
        <v>0</v>
      </c>
      <c r="F205" s="5">
        <v>0</v>
      </c>
      <c r="G205" s="5">
        <v>0</v>
      </c>
      <c r="H205" s="5">
        <v>0</v>
      </c>
      <c r="I205" s="5">
        <v>0</v>
      </c>
      <c r="J205" s="9">
        <v>0</v>
      </c>
      <c r="K205" s="8">
        <v>3</v>
      </c>
      <c r="L205" s="5">
        <v>5</v>
      </c>
      <c r="M205" s="5">
        <v>0</v>
      </c>
      <c r="N205" s="9">
        <v>0</v>
      </c>
      <c r="O205" s="8">
        <v>2</v>
      </c>
      <c r="P205" s="5">
        <v>16</v>
      </c>
      <c r="Q205" s="5">
        <v>0</v>
      </c>
      <c r="R205" s="9">
        <v>0</v>
      </c>
      <c r="S205" s="8">
        <v>0</v>
      </c>
      <c r="T205" s="9">
        <v>0</v>
      </c>
    </row>
    <row r="206" spans="1:20" x14ac:dyDescent="0.2">
      <c r="A206" s="5" t="s">
        <v>98</v>
      </c>
      <c r="B206" s="5" t="s">
        <v>75</v>
      </c>
      <c r="C206" s="10" t="s">
        <v>601</v>
      </c>
      <c r="D206" s="7">
        <f t="shared" si="0"/>
        <v>4.0999999999999996</v>
      </c>
      <c r="E206" s="8">
        <v>0</v>
      </c>
      <c r="F206" s="5">
        <v>0</v>
      </c>
      <c r="G206" s="5">
        <v>0</v>
      </c>
      <c r="H206" s="5">
        <v>0</v>
      </c>
      <c r="I206" s="5">
        <v>0</v>
      </c>
      <c r="J206" s="9">
        <v>0</v>
      </c>
      <c r="K206" s="8">
        <v>1</v>
      </c>
      <c r="L206" s="5">
        <v>5</v>
      </c>
      <c r="M206" s="5">
        <v>0</v>
      </c>
      <c r="N206" s="9">
        <v>0</v>
      </c>
      <c r="O206" s="8">
        <v>2</v>
      </c>
      <c r="P206" s="5">
        <v>16</v>
      </c>
      <c r="Q206" s="5">
        <v>0</v>
      </c>
      <c r="R206" s="9">
        <v>0</v>
      </c>
      <c r="S206" s="8">
        <v>0</v>
      </c>
      <c r="T206" s="9">
        <v>0</v>
      </c>
    </row>
    <row r="207" spans="1:20" x14ac:dyDescent="0.2">
      <c r="A207" s="5" t="s">
        <v>215</v>
      </c>
      <c r="B207" s="5" t="s">
        <v>162</v>
      </c>
      <c r="C207" s="10" t="s">
        <v>591</v>
      </c>
      <c r="D207" s="7">
        <f t="shared" si="0"/>
        <v>4.0999999999999996</v>
      </c>
      <c r="E207" s="8">
        <v>0</v>
      </c>
      <c r="F207" s="5">
        <v>0</v>
      </c>
      <c r="G207" s="5">
        <v>0</v>
      </c>
      <c r="H207" s="5">
        <v>0</v>
      </c>
      <c r="I207" s="5">
        <v>0</v>
      </c>
      <c r="J207" s="9">
        <v>0</v>
      </c>
      <c r="K207" s="8">
        <v>2</v>
      </c>
      <c r="L207" s="5">
        <v>11</v>
      </c>
      <c r="M207" s="5">
        <v>0</v>
      </c>
      <c r="N207" s="9">
        <v>0</v>
      </c>
      <c r="O207" s="8">
        <v>2</v>
      </c>
      <c r="P207" s="5">
        <v>10</v>
      </c>
      <c r="Q207" s="5">
        <v>0</v>
      </c>
      <c r="R207" s="9">
        <v>0</v>
      </c>
      <c r="S207" s="8">
        <v>0</v>
      </c>
      <c r="T207" s="9">
        <v>0</v>
      </c>
    </row>
    <row r="208" spans="1:20" x14ac:dyDescent="0.2">
      <c r="A208" s="5" t="s">
        <v>251</v>
      </c>
      <c r="B208" s="5" t="s">
        <v>162</v>
      </c>
      <c r="C208" s="10" t="s">
        <v>586</v>
      </c>
      <c r="D208" s="7">
        <f t="shared" si="0"/>
        <v>4</v>
      </c>
      <c r="E208" s="8">
        <v>0</v>
      </c>
      <c r="F208" s="5">
        <v>0</v>
      </c>
      <c r="G208" s="5">
        <v>0</v>
      </c>
      <c r="H208" s="5">
        <v>0</v>
      </c>
      <c r="I208" s="5">
        <v>0</v>
      </c>
      <c r="J208" s="9">
        <v>0</v>
      </c>
      <c r="K208" s="8">
        <v>0</v>
      </c>
      <c r="L208" s="5">
        <v>0</v>
      </c>
      <c r="M208" s="5">
        <v>0</v>
      </c>
      <c r="N208" s="9">
        <v>0</v>
      </c>
      <c r="O208" s="8">
        <v>2</v>
      </c>
      <c r="P208" s="5">
        <v>20</v>
      </c>
      <c r="Q208" s="5">
        <v>0</v>
      </c>
      <c r="R208" s="9">
        <v>0</v>
      </c>
      <c r="S208" s="8">
        <v>0</v>
      </c>
      <c r="T208" s="9">
        <v>0</v>
      </c>
    </row>
    <row r="209" spans="1:20" x14ac:dyDescent="0.2">
      <c r="A209" s="5" t="s">
        <v>50</v>
      </c>
      <c r="B209" s="5" t="s">
        <v>17</v>
      </c>
      <c r="C209" s="10" t="s">
        <v>595</v>
      </c>
      <c r="D209" s="7">
        <f t="shared" si="0"/>
        <v>3.92</v>
      </c>
      <c r="E209" s="8">
        <v>16</v>
      </c>
      <c r="F209" s="5">
        <v>10</v>
      </c>
      <c r="G209" s="5">
        <v>73</v>
      </c>
      <c r="H209" s="5">
        <v>0</v>
      </c>
      <c r="I209" s="5">
        <v>0</v>
      </c>
      <c r="J209" s="9">
        <v>0</v>
      </c>
      <c r="K209" s="8">
        <v>1</v>
      </c>
      <c r="L209" s="5">
        <v>10</v>
      </c>
      <c r="M209" s="5">
        <v>0</v>
      </c>
      <c r="N209" s="9">
        <v>0</v>
      </c>
      <c r="O209" s="8">
        <v>0</v>
      </c>
      <c r="P209" s="5">
        <v>0</v>
      </c>
      <c r="Q209" s="5">
        <v>0</v>
      </c>
      <c r="R209" s="9">
        <v>0</v>
      </c>
      <c r="S209" s="8">
        <v>0</v>
      </c>
      <c r="T209" s="9">
        <v>0</v>
      </c>
    </row>
    <row r="210" spans="1:20" x14ac:dyDescent="0.2">
      <c r="A210" s="5" t="s">
        <v>367</v>
      </c>
      <c r="B210" s="5" t="s">
        <v>162</v>
      </c>
      <c r="C210" s="17" t="s">
        <v>589</v>
      </c>
      <c r="D210" s="7">
        <f t="shared" si="0"/>
        <v>3.9000000000000004</v>
      </c>
      <c r="E210" s="8">
        <v>0</v>
      </c>
      <c r="F210" s="5">
        <v>0</v>
      </c>
      <c r="G210" s="5">
        <v>0</v>
      </c>
      <c r="H210" s="5">
        <v>0</v>
      </c>
      <c r="I210" s="5">
        <v>0</v>
      </c>
      <c r="J210" s="9">
        <v>0</v>
      </c>
      <c r="K210" s="8">
        <v>0</v>
      </c>
      <c r="L210" s="5">
        <v>0</v>
      </c>
      <c r="M210" s="5">
        <v>0</v>
      </c>
      <c r="N210" s="9">
        <v>0</v>
      </c>
      <c r="O210" s="8">
        <v>2</v>
      </c>
      <c r="P210" s="5">
        <v>19</v>
      </c>
      <c r="Q210" s="5">
        <v>0</v>
      </c>
      <c r="R210" s="9">
        <v>0</v>
      </c>
      <c r="S210" s="8">
        <v>0</v>
      </c>
      <c r="T210" s="9">
        <v>0</v>
      </c>
    </row>
    <row r="211" spans="1:20" x14ac:dyDescent="0.2">
      <c r="A211" s="5" t="s">
        <v>306</v>
      </c>
      <c r="B211" s="5" t="s">
        <v>69</v>
      </c>
      <c r="C211" s="17" t="s">
        <v>589</v>
      </c>
      <c r="D211" s="7">
        <f t="shared" si="0"/>
        <v>3.9000000000000004</v>
      </c>
      <c r="E211" s="8">
        <v>0</v>
      </c>
      <c r="F211" s="5">
        <v>0</v>
      </c>
      <c r="G211" s="5">
        <v>0</v>
      </c>
      <c r="H211" s="5">
        <v>0</v>
      </c>
      <c r="I211" s="5">
        <v>0</v>
      </c>
      <c r="J211" s="9">
        <v>0</v>
      </c>
      <c r="K211" s="8">
        <v>0</v>
      </c>
      <c r="L211" s="5">
        <v>0</v>
      </c>
      <c r="M211" s="5">
        <v>0</v>
      </c>
      <c r="N211" s="9">
        <v>0</v>
      </c>
      <c r="O211" s="8">
        <v>2</v>
      </c>
      <c r="P211" s="5">
        <v>19</v>
      </c>
      <c r="Q211" s="5">
        <v>0</v>
      </c>
      <c r="R211" s="9">
        <v>0</v>
      </c>
      <c r="S211" s="8">
        <v>0</v>
      </c>
      <c r="T211" s="9">
        <v>0</v>
      </c>
    </row>
    <row r="212" spans="1:20" x14ac:dyDescent="0.2">
      <c r="A212" s="5" t="s">
        <v>73</v>
      </c>
      <c r="B212" s="5" t="s">
        <v>17</v>
      </c>
      <c r="C212" s="10" t="s">
        <v>600</v>
      </c>
      <c r="D212" s="7">
        <f t="shared" si="0"/>
        <v>3.62</v>
      </c>
      <c r="E212" s="8">
        <v>7</v>
      </c>
      <c r="F212" s="5">
        <v>4</v>
      </c>
      <c r="G212" s="5">
        <v>8</v>
      </c>
      <c r="H212" s="5">
        <v>0</v>
      </c>
      <c r="I212" s="5">
        <v>0</v>
      </c>
      <c r="J212" s="9">
        <v>0</v>
      </c>
      <c r="K212" s="8">
        <v>5</v>
      </c>
      <c r="L212" s="5">
        <v>33</v>
      </c>
      <c r="M212" s="5">
        <v>0</v>
      </c>
      <c r="N212" s="9">
        <v>0</v>
      </c>
      <c r="O212" s="8">
        <v>0</v>
      </c>
      <c r="P212" s="5">
        <v>0</v>
      </c>
      <c r="Q212" s="5">
        <v>0</v>
      </c>
      <c r="R212" s="9">
        <v>0</v>
      </c>
      <c r="S212" s="8">
        <v>0</v>
      </c>
      <c r="T212" s="9">
        <v>0</v>
      </c>
    </row>
    <row r="213" spans="1:20" x14ac:dyDescent="0.2">
      <c r="A213" s="5" t="s">
        <v>110</v>
      </c>
      <c r="B213" s="5" t="s">
        <v>75</v>
      </c>
      <c r="C213" s="17" t="s">
        <v>596</v>
      </c>
      <c r="D213" s="7">
        <f t="shared" si="0"/>
        <v>3.6</v>
      </c>
      <c r="E213" s="8">
        <v>0</v>
      </c>
      <c r="F213" s="5">
        <v>0</v>
      </c>
      <c r="G213" s="5">
        <v>0</v>
      </c>
      <c r="H213" s="5">
        <v>0</v>
      </c>
      <c r="I213" s="5">
        <v>0</v>
      </c>
      <c r="J213" s="9">
        <v>0</v>
      </c>
      <c r="K213" s="8">
        <v>7</v>
      </c>
      <c r="L213" s="5">
        <v>36</v>
      </c>
      <c r="M213" s="5">
        <v>0</v>
      </c>
      <c r="N213" s="9">
        <v>0</v>
      </c>
      <c r="O213" s="8">
        <v>0</v>
      </c>
      <c r="P213" s="5">
        <v>0</v>
      </c>
      <c r="Q213" s="5">
        <v>0</v>
      </c>
      <c r="R213" s="9">
        <v>0</v>
      </c>
      <c r="S213" s="8">
        <v>0</v>
      </c>
      <c r="T213" s="9">
        <v>0</v>
      </c>
    </row>
    <row r="214" spans="1:20" x14ac:dyDescent="0.2">
      <c r="A214" s="5" t="s">
        <v>523</v>
      </c>
      <c r="B214" s="5" t="s">
        <v>162</v>
      </c>
      <c r="C214" s="10" t="s">
        <v>589</v>
      </c>
      <c r="D214" s="7">
        <f t="shared" si="0"/>
        <v>3.6</v>
      </c>
      <c r="E214" s="8">
        <v>0</v>
      </c>
      <c r="F214" s="5">
        <v>0</v>
      </c>
      <c r="G214" s="5">
        <v>0</v>
      </c>
      <c r="H214" s="5">
        <v>0</v>
      </c>
      <c r="I214" s="5">
        <v>0</v>
      </c>
      <c r="J214" s="9">
        <v>0</v>
      </c>
      <c r="K214" s="8">
        <v>0</v>
      </c>
      <c r="L214" s="5">
        <v>0</v>
      </c>
      <c r="M214" s="5">
        <v>0</v>
      </c>
      <c r="N214" s="9">
        <v>0</v>
      </c>
      <c r="O214" s="8">
        <v>2</v>
      </c>
      <c r="P214" s="5">
        <v>16</v>
      </c>
      <c r="Q214" s="5">
        <v>0</v>
      </c>
      <c r="R214" s="9">
        <v>0</v>
      </c>
      <c r="S214" s="8">
        <v>0</v>
      </c>
      <c r="T214" s="9">
        <v>0</v>
      </c>
    </row>
    <row r="215" spans="1:20" x14ac:dyDescent="0.2">
      <c r="A215" s="5" t="s">
        <v>51</v>
      </c>
      <c r="B215" s="5" t="s">
        <v>17</v>
      </c>
      <c r="C215" s="17" t="s">
        <v>587</v>
      </c>
      <c r="D215" s="7">
        <f t="shared" si="0"/>
        <v>3.4399999999999995</v>
      </c>
      <c r="E215" s="8">
        <v>12</v>
      </c>
      <c r="F215" s="5">
        <v>8</v>
      </c>
      <c r="G215" s="5">
        <v>71</v>
      </c>
      <c r="H215" s="5">
        <v>0</v>
      </c>
      <c r="I215" s="5">
        <v>0</v>
      </c>
      <c r="J215" s="9">
        <v>0</v>
      </c>
      <c r="K215" s="8">
        <v>3</v>
      </c>
      <c r="L215" s="5">
        <v>26</v>
      </c>
      <c r="M215" s="5">
        <v>0</v>
      </c>
      <c r="N215" s="9">
        <v>0</v>
      </c>
      <c r="O215" s="8">
        <v>0</v>
      </c>
      <c r="P215" s="5">
        <v>0</v>
      </c>
      <c r="Q215" s="5">
        <v>0</v>
      </c>
      <c r="R215" s="9">
        <v>0</v>
      </c>
      <c r="S215" s="8">
        <v>1</v>
      </c>
      <c r="T215" s="9">
        <v>0</v>
      </c>
    </row>
    <row r="216" spans="1:20" x14ac:dyDescent="0.2">
      <c r="A216" s="5" t="s">
        <v>78</v>
      </c>
      <c r="B216" s="5" t="s">
        <v>75</v>
      </c>
      <c r="C216" s="17" t="s">
        <v>587</v>
      </c>
      <c r="D216" s="7">
        <f t="shared" si="0"/>
        <v>3.1</v>
      </c>
      <c r="E216" s="8">
        <v>0</v>
      </c>
      <c r="F216" s="5">
        <v>0</v>
      </c>
      <c r="G216" s="5">
        <v>0</v>
      </c>
      <c r="H216" s="5">
        <v>0</v>
      </c>
      <c r="I216" s="5">
        <v>0</v>
      </c>
      <c r="J216" s="9">
        <v>0</v>
      </c>
      <c r="K216" s="8">
        <v>8</v>
      </c>
      <c r="L216" s="5">
        <v>31</v>
      </c>
      <c r="M216" s="5">
        <v>0</v>
      </c>
      <c r="N216" s="9">
        <v>0</v>
      </c>
      <c r="O216" s="8">
        <v>0</v>
      </c>
      <c r="P216" s="5">
        <v>0</v>
      </c>
      <c r="Q216" s="5">
        <v>0</v>
      </c>
      <c r="R216" s="9">
        <v>0</v>
      </c>
      <c r="S216" s="8">
        <v>0</v>
      </c>
      <c r="T216" s="9">
        <v>0</v>
      </c>
    </row>
    <row r="217" spans="1:20" x14ac:dyDescent="0.2">
      <c r="A217" s="5" t="s">
        <v>288</v>
      </c>
      <c r="B217" s="5" t="s">
        <v>69</v>
      </c>
      <c r="C217" s="17" t="s">
        <v>596</v>
      </c>
      <c r="D217" s="7">
        <f t="shared" si="0"/>
        <v>3.1</v>
      </c>
      <c r="E217" s="8">
        <v>0</v>
      </c>
      <c r="F217" s="5">
        <v>0</v>
      </c>
      <c r="G217" s="5">
        <v>0</v>
      </c>
      <c r="H217" s="5">
        <v>0</v>
      </c>
      <c r="I217" s="5">
        <v>0</v>
      </c>
      <c r="J217" s="9">
        <v>0</v>
      </c>
      <c r="K217" s="8">
        <v>0</v>
      </c>
      <c r="L217" s="5">
        <v>0</v>
      </c>
      <c r="M217" s="5">
        <v>0</v>
      </c>
      <c r="N217" s="9">
        <v>0</v>
      </c>
      <c r="O217" s="8">
        <v>2</v>
      </c>
      <c r="P217" s="5">
        <v>11</v>
      </c>
      <c r="Q217" s="5">
        <v>0</v>
      </c>
      <c r="R217" s="9">
        <v>0</v>
      </c>
      <c r="S217" s="8">
        <v>0</v>
      </c>
      <c r="T217" s="9">
        <v>0</v>
      </c>
    </row>
    <row r="218" spans="1:20" x14ac:dyDescent="0.2">
      <c r="A218" s="5" t="s">
        <v>380</v>
      </c>
      <c r="B218" s="5" t="s">
        <v>75</v>
      </c>
      <c r="C218" s="17" t="s">
        <v>589</v>
      </c>
      <c r="D218" s="7">
        <f t="shared" si="0"/>
        <v>2.9000000000000004</v>
      </c>
      <c r="E218" s="8">
        <v>0</v>
      </c>
      <c r="F218" s="5">
        <v>0</v>
      </c>
      <c r="G218" s="5">
        <v>0</v>
      </c>
      <c r="H218" s="5">
        <v>0</v>
      </c>
      <c r="I218" s="5">
        <v>0</v>
      </c>
      <c r="J218" s="9">
        <v>0</v>
      </c>
      <c r="K218" s="8">
        <v>1</v>
      </c>
      <c r="L218" s="5">
        <v>7</v>
      </c>
      <c r="M218" s="5">
        <v>0</v>
      </c>
      <c r="N218" s="9">
        <v>0</v>
      </c>
      <c r="O218" s="8">
        <v>1</v>
      </c>
      <c r="P218" s="5">
        <v>12</v>
      </c>
      <c r="Q218" s="5">
        <v>0</v>
      </c>
      <c r="R218" s="9">
        <v>0</v>
      </c>
      <c r="S218" s="8">
        <v>0</v>
      </c>
      <c r="T218" s="9">
        <v>0</v>
      </c>
    </row>
    <row r="219" spans="1:20" x14ac:dyDescent="0.2">
      <c r="A219" s="5" t="s">
        <v>164</v>
      </c>
      <c r="B219" s="5" t="s">
        <v>162</v>
      </c>
      <c r="C219" s="17" t="s">
        <v>589</v>
      </c>
      <c r="D219" s="7">
        <f t="shared" si="0"/>
        <v>2.9000000000000004</v>
      </c>
      <c r="E219" s="8">
        <v>0</v>
      </c>
      <c r="F219" s="5">
        <v>0</v>
      </c>
      <c r="G219" s="5">
        <v>0</v>
      </c>
      <c r="H219" s="5">
        <v>0</v>
      </c>
      <c r="I219" s="5">
        <v>0</v>
      </c>
      <c r="J219" s="9">
        <v>0</v>
      </c>
      <c r="K219" s="8">
        <v>0</v>
      </c>
      <c r="L219" s="5">
        <v>0</v>
      </c>
      <c r="M219" s="5">
        <v>0</v>
      </c>
      <c r="N219" s="9">
        <v>0</v>
      </c>
      <c r="O219" s="8">
        <v>1</v>
      </c>
      <c r="P219" s="5">
        <v>19</v>
      </c>
      <c r="Q219" s="5">
        <v>0</v>
      </c>
      <c r="R219" s="9">
        <v>0</v>
      </c>
      <c r="S219" s="8">
        <v>0</v>
      </c>
      <c r="T219" s="9">
        <v>0</v>
      </c>
    </row>
    <row r="220" spans="1:20" x14ac:dyDescent="0.2">
      <c r="A220" s="5" t="s">
        <v>389</v>
      </c>
      <c r="B220" s="5" t="s">
        <v>69</v>
      </c>
      <c r="C220" s="17" t="s">
        <v>589</v>
      </c>
      <c r="D220" s="7">
        <f t="shared" si="0"/>
        <v>2.9000000000000004</v>
      </c>
      <c r="E220" s="8">
        <v>0</v>
      </c>
      <c r="F220" s="5">
        <v>0</v>
      </c>
      <c r="G220" s="5">
        <v>0</v>
      </c>
      <c r="H220" s="5">
        <v>0</v>
      </c>
      <c r="I220" s="5">
        <v>0</v>
      </c>
      <c r="J220" s="9">
        <v>0</v>
      </c>
      <c r="K220" s="8">
        <v>0</v>
      </c>
      <c r="L220" s="5">
        <v>0</v>
      </c>
      <c r="M220" s="5">
        <v>0</v>
      </c>
      <c r="N220" s="9">
        <v>0</v>
      </c>
      <c r="O220" s="8">
        <v>1</v>
      </c>
      <c r="P220" s="5">
        <v>19</v>
      </c>
      <c r="Q220" s="5">
        <v>0</v>
      </c>
      <c r="R220" s="9">
        <v>0</v>
      </c>
      <c r="S220" s="8">
        <v>0</v>
      </c>
      <c r="T220" s="9">
        <v>0</v>
      </c>
    </row>
    <row r="221" spans="1:20" x14ac:dyDescent="0.2">
      <c r="A221" s="5" t="s">
        <v>444</v>
      </c>
      <c r="B221" s="5" t="s">
        <v>69</v>
      </c>
      <c r="C221" s="17" t="s">
        <v>600</v>
      </c>
      <c r="D221" s="7">
        <f t="shared" si="0"/>
        <v>2.9000000000000004</v>
      </c>
      <c r="E221" s="8">
        <v>0</v>
      </c>
      <c r="F221" s="5">
        <v>0</v>
      </c>
      <c r="G221" s="5">
        <v>0</v>
      </c>
      <c r="H221" s="5">
        <v>0</v>
      </c>
      <c r="I221" s="5">
        <v>0</v>
      </c>
      <c r="J221" s="9">
        <v>0</v>
      </c>
      <c r="K221" s="8">
        <v>0</v>
      </c>
      <c r="L221" s="5">
        <v>0</v>
      </c>
      <c r="M221" s="5">
        <v>0</v>
      </c>
      <c r="N221" s="9">
        <v>0</v>
      </c>
      <c r="O221" s="8">
        <v>1</v>
      </c>
      <c r="P221" s="5">
        <v>19</v>
      </c>
      <c r="Q221" s="5">
        <v>0</v>
      </c>
      <c r="R221" s="9">
        <v>0</v>
      </c>
      <c r="S221" s="8">
        <v>0</v>
      </c>
      <c r="T221" s="9">
        <v>0</v>
      </c>
    </row>
    <row r="222" spans="1:20" x14ac:dyDescent="0.2">
      <c r="A222" s="5" t="s">
        <v>430</v>
      </c>
      <c r="B222" s="5" t="s">
        <v>75</v>
      </c>
      <c r="C222" s="17" t="s">
        <v>593</v>
      </c>
      <c r="D222" s="7">
        <f t="shared" si="0"/>
        <v>2.9</v>
      </c>
      <c r="E222" s="8">
        <v>0</v>
      </c>
      <c r="F222" s="5">
        <v>0</v>
      </c>
      <c r="G222" s="5">
        <v>0</v>
      </c>
      <c r="H222" s="5">
        <v>0</v>
      </c>
      <c r="I222" s="5">
        <v>0</v>
      </c>
      <c r="J222" s="9">
        <v>0</v>
      </c>
      <c r="K222" s="8">
        <v>3</v>
      </c>
      <c r="L222" s="5">
        <v>10</v>
      </c>
      <c r="M222" s="5">
        <v>0</v>
      </c>
      <c r="N222" s="9">
        <v>0</v>
      </c>
      <c r="O222" s="8">
        <v>1</v>
      </c>
      <c r="P222" s="5">
        <v>9</v>
      </c>
      <c r="Q222" s="5">
        <v>0</v>
      </c>
      <c r="R222" s="9">
        <v>0</v>
      </c>
      <c r="S222" s="8">
        <v>0</v>
      </c>
      <c r="T222" s="9">
        <v>0</v>
      </c>
    </row>
    <row r="223" spans="1:20" x14ac:dyDescent="0.2">
      <c r="A223" s="5" t="s">
        <v>281</v>
      </c>
      <c r="B223" s="5" t="s">
        <v>69</v>
      </c>
      <c r="C223" s="10" t="s">
        <v>599</v>
      </c>
      <c r="D223" s="7">
        <f t="shared" si="0"/>
        <v>2.9</v>
      </c>
      <c r="E223" s="8">
        <v>0</v>
      </c>
      <c r="F223" s="5">
        <v>0</v>
      </c>
      <c r="G223" s="5">
        <v>0</v>
      </c>
      <c r="H223" s="5">
        <v>0</v>
      </c>
      <c r="I223" s="5">
        <v>0</v>
      </c>
      <c r="J223" s="9">
        <v>0</v>
      </c>
      <c r="K223" s="8">
        <v>0</v>
      </c>
      <c r="L223" s="5">
        <v>0</v>
      </c>
      <c r="M223" s="5">
        <v>0</v>
      </c>
      <c r="N223" s="9">
        <v>0</v>
      </c>
      <c r="O223" s="8">
        <v>2</v>
      </c>
      <c r="P223" s="5">
        <v>9</v>
      </c>
      <c r="Q223" s="5">
        <v>0</v>
      </c>
      <c r="R223" s="9">
        <v>0</v>
      </c>
      <c r="S223" s="8">
        <v>0</v>
      </c>
      <c r="T223" s="9">
        <v>0</v>
      </c>
    </row>
    <row r="224" spans="1:20" x14ac:dyDescent="0.2">
      <c r="A224" s="5" t="s">
        <v>212</v>
      </c>
      <c r="B224" s="5" t="s">
        <v>162</v>
      </c>
      <c r="C224" s="10" t="s">
        <v>596</v>
      </c>
      <c r="D224" s="7">
        <f t="shared" si="0"/>
        <v>2.8</v>
      </c>
      <c r="E224" s="8">
        <v>0</v>
      </c>
      <c r="F224" s="5">
        <v>0</v>
      </c>
      <c r="G224" s="5">
        <v>0</v>
      </c>
      <c r="H224" s="5">
        <v>0</v>
      </c>
      <c r="I224" s="5">
        <v>0</v>
      </c>
      <c r="J224" s="9">
        <v>0</v>
      </c>
      <c r="K224" s="8">
        <v>0</v>
      </c>
      <c r="L224" s="5">
        <v>0</v>
      </c>
      <c r="M224" s="5">
        <v>0</v>
      </c>
      <c r="N224" s="9">
        <v>0</v>
      </c>
      <c r="O224" s="8">
        <v>2</v>
      </c>
      <c r="P224" s="5">
        <v>8</v>
      </c>
      <c r="Q224" s="5">
        <v>0</v>
      </c>
      <c r="R224" s="9">
        <v>0</v>
      </c>
      <c r="S224" s="8">
        <v>0</v>
      </c>
      <c r="T224" s="9">
        <v>0</v>
      </c>
    </row>
    <row r="225" spans="1:20" x14ac:dyDescent="0.2">
      <c r="A225" s="5" t="s">
        <v>226</v>
      </c>
      <c r="B225" s="5" t="s">
        <v>162</v>
      </c>
      <c r="C225" s="17" t="s">
        <v>601</v>
      </c>
      <c r="D225" s="7">
        <f t="shared" si="0"/>
        <v>2.7</v>
      </c>
      <c r="E225" s="8">
        <v>0</v>
      </c>
      <c r="F225" s="5">
        <v>0</v>
      </c>
      <c r="G225" s="5">
        <v>0</v>
      </c>
      <c r="H225" s="5">
        <v>0</v>
      </c>
      <c r="I225" s="5">
        <v>0</v>
      </c>
      <c r="J225" s="9">
        <v>0</v>
      </c>
      <c r="K225" s="8">
        <v>0</v>
      </c>
      <c r="L225" s="5">
        <v>0</v>
      </c>
      <c r="M225" s="5">
        <v>0</v>
      </c>
      <c r="N225" s="9">
        <v>0</v>
      </c>
      <c r="O225" s="8">
        <v>2</v>
      </c>
      <c r="P225" s="5">
        <v>27</v>
      </c>
      <c r="Q225" s="5">
        <v>0</v>
      </c>
      <c r="R225" s="9">
        <v>0</v>
      </c>
      <c r="S225" s="8">
        <v>1</v>
      </c>
      <c r="T225" s="9">
        <v>0</v>
      </c>
    </row>
    <row r="226" spans="1:20" x14ac:dyDescent="0.2">
      <c r="A226" s="5" t="s">
        <v>351</v>
      </c>
      <c r="B226" s="5" t="s">
        <v>69</v>
      </c>
      <c r="C226" s="10" t="s">
        <v>588</v>
      </c>
      <c r="D226" s="7">
        <f t="shared" si="0"/>
        <v>2.7</v>
      </c>
      <c r="E226" s="8">
        <v>0</v>
      </c>
      <c r="F226" s="5">
        <v>0</v>
      </c>
      <c r="G226" s="5">
        <v>0</v>
      </c>
      <c r="H226" s="5">
        <v>0</v>
      </c>
      <c r="I226" s="5">
        <v>0</v>
      </c>
      <c r="J226" s="9">
        <v>0</v>
      </c>
      <c r="K226" s="8">
        <v>0</v>
      </c>
      <c r="L226" s="5">
        <v>0</v>
      </c>
      <c r="M226" s="5">
        <v>0</v>
      </c>
      <c r="N226" s="9">
        <v>0</v>
      </c>
      <c r="O226" s="8">
        <v>1</v>
      </c>
      <c r="P226" s="5">
        <v>17</v>
      </c>
      <c r="Q226" s="5">
        <v>0</v>
      </c>
      <c r="R226" s="9">
        <v>0</v>
      </c>
      <c r="S226" s="8">
        <v>0</v>
      </c>
      <c r="T226" s="9">
        <v>0</v>
      </c>
    </row>
    <row r="227" spans="1:20" x14ac:dyDescent="0.2">
      <c r="A227" s="5" t="s">
        <v>142</v>
      </c>
      <c r="B227" s="5" t="s">
        <v>75</v>
      </c>
      <c r="C227" s="10" t="s">
        <v>600</v>
      </c>
      <c r="D227" s="7">
        <f t="shared" si="0"/>
        <v>2.6999999999999997</v>
      </c>
      <c r="E227" s="8">
        <v>0</v>
      </c>
      <c r="F227" s="5">
        <v>0</v>
      </c>
      <c r="G227" s="5">
        <v>0</v>
      </c>
      <c r="H227" s="5">
        <v>0</v>
      </c>
      <c r="I227" s="5">
        <v>0</v>
      </c>
      <c r="J227" s="9">
        <v>0</v>
      </c>
      <c r="K227" s="8">
        <v>5</v>
      </c>
      <c r="L227" s="5">
        <v>13</v>
      </c>
      <c r="M227" s="5">
        <v>0</v>
      </c>
      <c r="N227" s="9">
        <v>0</v>
      </c>
      <c r="O227" s="8">
        <v>1</v>
      </c>
      <c r="P227" s="5">
        <v>4</v>
      </c>
      <c r="Q227" s="5">
        <v>0</v>
      </c>
      <c r="R227" s="9">
        <v>0</v>
      </c>
      <c r="S227" s="8">
        <v>0</v>
      </c>
      <c r="T227" s="9">
        <v>0</v>
      </c>
    </row>
    <row r="228" spans="1:20" x14ac:dyDescent="0.2">
      <c r="A228" s="5" t="s">
        <v>121</v>
      </c>
      <c r="B228" s="5" t="s">
        <v>75</v>
      </c>
      <c r="C228" s="17" t="s">
        <v>602</v>
      </c>
      <c r="D228" s="7">
        <f t="shared" si="0"/>
        <v>2.6</v>
      </c>
      <c r="E228" s="8">
        <v>0</v>
      </c>
      <c r="F228" s="5">
        <v>0</v>
      </c>
      <c r="G228" s="5">
        <v>0</v>
      </c>
      <c r="H228" s="5">
        <v>0</v>
      </c>
      <c r="I228" s="5">
        <v>0</v>
      </c>
      <c r="J228" s="9">
        <v>0</v>
      </c>
      <c r="K228" s="8">
        <v>1</v>
      </c>
      <c r="L228" s="5">
        <v>5</v>
      </c>
      <c r="M228" s="5">
        <v>0</v>
      </c>
      <c r="N228" s="9">
        <v>0</v>
      </c>
      <c r="O228" s="8">
        <v>1</v>
      </c>
      <c r="P228" s="5">
        <v>11</v>
      </c>
      <c r="Q228" s="5">
        <v>0</v>
      </c>
      <c r="R228" s="9">
        <v>0</v>
      </c>
      <c r="S228" s="8">
        <v>0</v>
      </c>
      <c r="T228" s="9">
        <v>0</v>
      </c>
    </row>
    <row r="229" spans="1:20" x14ac:dyDescent="0.2">
      <c r="A229" s="5" t="s">
        <v>155</v>
      </c>
      <c r="B229" s="5" t="s">
        <v>75</v>
      </c>
      <c r="C229" s="10" t="s">
        <v>591</v>
      </c>
      <c r="D229" s="7">
        <f t="shared" si="0"/>
        <v>2.6</v>
      </c>
      <c r="E229" s="8">
        <v>0</v>
      </c>
      <c r="F229" s="5">
        <v>0</v>
      </c>
      <c r="G229" s="5">
        <v>0</v>
      </c>
      <c r="H229" s="5">
        <v>0</v>
      </c>
      <c r="I229" s="5">
        <v>0</v>
      </c>
      <c r="J229" s="9">
        <v>0</v>
      </c>
      <c r="K229" s="8">
        <v>2</v>
      </c>
      <c r="L229" s="5">
        <v>9</v>
      </c>
      <c r="M229" s="5">
        <v>0</v>
      </c>
      <c r="N229" s="9">
        <v>0</v>
      </c>
      <c r="O229" s="8">
        <v>1</v>
      </c>
      <c r="P229" s="5">
        <v>7</v>
      </c>
      <c r="Q229" s="5">
        <v>0</v>
      </c>
      <c r="R229" s="9">
        <v>0</v>
      </c>
      <c r="S229" s="8">
        <v>0</v>
      </c>
      <c r="T229" s="9">
        <v>0</v>
      </c>
    </row>
    <row r="230" spans="1:20" x14ac:dyDescent="0.2">
      <c r="A230" s="5" t="s">
        <v>342</v>
      </c>
      <c r="B230" s="5" t="s">
        <v>162</v>
      </c>
      <c r="C230" s="10" t="s">
        <v>596</v>
      </c>
      <c r="D230" s="7">
        <f t="shared" si="0"/>
        <v>2.5</v>
      </c>
      <c r="E230" s="8">
        <v>0</v>
      </c>
      <c r="F230" s="5">
        <v>0</v>
      </c>
      <c r="G230" s="5">
        <v>0</v>
      </c>
      <c r="H230" s="5">
        <v>0</v>
      </c>
      <c r="I230" s="5">
        <v>0</v>
      </c>
      <c r="J230" s="9">
        <v>0</v>
      </c>
      <c r="K230" s="8">
        <v>0</v>
      </c>
      <c r="L230" s="5">
        <v>0</v>
      </c>
      <c r="M230" s="5">
        <v>0</v>
      </c>
      <c r="N230" s="9">
        <v>0</v>
      </c>
      <c r="O230" s="8">
        <v>1</v>
      </c>
      <c r="P230" s="5">
        <v>15</v>
      </c>
      <c r="Q230" s="5">
        <v>0</v>
      </c>
      <c r="R230" s="9">
        <v>0</v>
      </c>
      <c r="S230" s="8">
        <v>0</v>
      </c>
      <c r="T230" s="9">
        <v>0</v>
      </c>
    </row>
    <row r="231" spans="1:20" x14ac:dyDescent="0.2">
      <c r="A231" s="5" t="s">
        <v>313</v>
      </c>
      <c r="B231" s="5" t="s">
        <v>69</v>
      </c>
      <c r="C231" s="17" t="s">
        <v>602</v>
      </c>
      <c r="D231" s="7">
        <f t="shared" si="0"/>
        <v>2.5</v>
      </c>
      <c r="E231" s="8">
        <v>0</v>
      </c>
      <c r="F231" s="5">
        <v>0</v>
      </c>
      <c r="G231" s="5">
        <v>0</v>
      </c>
      <c r="H231" s="5">
        <v>0</v>
      </c>
      <c r="I231" s="5">
        <v>0</v>
      </c>
      <c r="J231" s="9">
        <v>0</v>
      </c>
      <c r="K231" s="8">
        <v>0</v>
      </c>
      <c r="L231" s="5">
        <v>0</v>
      </c>
      <c r="M231" s="5">
        <v>0</v>
      </c>
      <c r="N231" s="9">
        <v>0</v>
      </c>
      <c r="O231" s="8">
        <v>2</v>
      </c>
      <c r="P231" s="5">
        <v>5</v>
      </c>
      <c r="Q231" s="5">
        <v>0</v>
      </c>
      <c r="R231" s="9">
        <v>0</v>
      </c>
      <c r="S231" s="8">
        <v>0</v>
      </c>
      <c r="T231" s="9">
        <v>0</v>
      </c>
    </row>
    <row r="232" spans="1:20" x14ac:dyDescent="0.2">
      <c r="A232" s="5" t="s">
        <v>345</v>
      </c>
      <c r="B232" s="5" t="s">
        <v>162</v>
      </c>
      <c r="C232" s="17" t="s">
        <v>596</v>
      </c>
      <c r="D232" s="7">
        <f t="shared" si="0"/>
        <v>2.4000000000000004</v>
      </c>
      <c r="E232" s="8">
        <v>0</v>
      </c>
      <c r="F232" s="5">
        <v>0</v>
      </c>
      <c r="G232" s="5">
        <v>0</v>
      </c>
      <c r="H232" s="5">
        <v>0</v>
      </c>
      <c r="I232" s="5">
        <v>0</v>
      </c>
      <c r="J232" s="9">
        <v>0</v>
      </c>
      <c r="K232" s="8">
        <v>0</v>
      </c>
      <c r="L232" s="5">
        <v>0</v>
      </c>
      <c r="M232" s="5">
        <v>0</v>
      </c>
      <c r="N232" s="9">
        <v>0</v>
      </c>
      <c r="O232" s="8">
        <v>1</v>
      </c>
      <c r="P232" s="5">
        <v>14</v>
      </c>
      <c r="Q232" s="5">
        <v>0</v>
      </c>
      <c r="R232" s="9">
        <v>0</v>
      </c>
      <c r="S232" s="8">
        <v>0</v>
      </c>
      <c r="T232" s="9">
        <v>0</v>
      </c>
    </row>
    <row r="233" spans="1:20" x14ac:dyDescent="0.2">
      <c r="A233" s="5" t="s">
        <v>258</v>
      </c>
      <c r="B233" s="5" t="s">
        <v>162</v>
      </c>
      <c r="C233" s="10" t="s">
        <v>597</v>
      </c>
      <c r="D233" s="7">
        <f t="shared" si="0"/>
        <v>2.4</v>
      </c>
      <c r="E233" s="8">
        <v>0</v>
      </c>
      <c r="F233" s="5">
        <v>0</v>
      </c>
      <c r="G233" s="5">
        <v>0</v>
      </c>
      <c r="H233" s="5">
        <v>0</v>
      </c>
      <c r="I233" s="5">
        <v>0</v>
      </c>
      <c r="J233" s="9">
        <v>0</v>
      </c>
      <c r="K233" s="8">
        <v>0</v>
      </c>
      <c r="L233" s="5">
        <v>0</v>
      </c>
      <c r="M233" s="5">
        <v>0</v>
      </c>
      <c r="N233" s="9">
        <v>0</v>
      </c>
      <c r="O233" s="8">
        <v>2</v>
      </c>
      <c r="P233" s="5">
        <v>4</v>
      </c>
      <c r="Q233" s="5">
        <v>0</v>
      </c>
      <c r="R233" s="9">
        <v>0</v>
      </c>
      <c r="S233" s="8">
        <v>0</v>
      </c>
      <c r="T233" s="9">
        <v>0</v>
      </c>
    </row>
    <row r="234" spans="1:20" x14ac:dyDescent="0.2">
      <c r="A234" s="5" t="s">
        <v>201</v>
      </c>
      <c r="B234" s="5" t="s">
        <v>162</v>
      </c>
      <c r="C234" s="10" t="s">
        <v>586</v>
      </c>
      <c r="D234" s="7">
        <f t="shared" si="0"/>
        <v>2.2999999999999998</v>
      </c>
      <c r="E234" s="8">
        <v>0</v>
      </c>
      <c r="F234" s="5">
        <v>0</v>
      </c>
      <c r="G234" s="5">
        <v>0</v>
      </c>
      <c r="H234" s="5">
        <v>0</v>
      </c>
      <c r="I234" s="5">
        <v>0</v>
      </c>
      <c r="J234" s="9">
        <v>0</v>
      </c>
      <c r="K234" s="8">
        <v>0</v>
      </c>
      <c r="L234" s="5">
        <v>0</v>
      </c>
      <c r="M234" s="5">
        <v>0</v>
      </c>
      <c r="N234" s="9">
        <v>0</v>
      </c>
      <c r="O234" s="8">
        <v>1</v>
      </c>
      <c r="P234" s="5">
        <v>13</v>
      </c>
      <c r="Q234" s="5">
        <v>0</v>
      </c>
      <c r="R234" s="9">
        <v>0</v>
      </c>
      <c r="S234" s="8">
        <v>0</v>
      </c>
      <c r="T234" s="9">
        <v>0</v>
      </c>
    </row>
    <row r="235" spans="1:20" x14ac:dyDescent="0.2">
      <c r="A235" s="5" t="s">
        <v>354</v>
      </c>
      <c r="B235" s="5" t="s">
        <v>69</v>
      </c>
      <c r="C235" s="10" t="s">
        <v>586</v>
      </c>
      <c r="D235" s="7">
        <f t="shared" si="0"/>
        <v>2.2999999999999998</v>
      </c>
      <c r="E235" s="8">
        <v>0</v>
      </c>
      <c r="F235" s="5">
        <v>0</v>
      </c>
      <c r="G235" s="5">
        <v>0</v>
      </c>
      <c r="H235" s="5">
        <v>0</v>
      </c>
      <c r="I235" s="5">
        <v>0</v>
      </c>
      <c r="J235" s="9">
        <v>0</v>
      </c>
      <c r="K235" s="8">
        <v>0</v>
      </c>
      <c r="L235" s="5">
        <v>0</v>
      </c>
      <c r="M235" s="5">
        <v>0</v>
      </c>
      <c r="N235" s="9">
        <v>0</v>
      </c>
      <c r="O235" s="8">
        <v>1</v>
      </c>
      <c r="P235" s="5">
        <v>13</v>
      </c>
      <c r="Q235" s="5">
        <v>0</v>
      </c>
      <c r="R235" s="9">
        <v>0</v>
      </c>
      <c r="S235" s="8">
        <v>0</v>
      </c>
      <c r="T235" s="9">
        <v>0</v>
      </c>
    </row>
    <row r="236" spans="1:20" x14ac:dyDescent="0.2">
      <c r="A236" s="5" t="s">
        <v>348</v>
      </c>
      <c r="B236" s="5" t="s">
        <v>69</v>
      </c>
      <c r="C236" s="17" t="s">
        <v>587</v>
      </c>
      <c r="D236" s="7">
        <f t="shared" si="0"/>
        <v>2.2999999999999998</v>
      </c>
      <c r="E236" s="8">
        <v>1</v>
      </c>
      <c r="F236" s="5">
        <v>0</v>
      </c>
      <c r="G236" s="5">
        <v>0</v>
      </c>
      <c r="H236" s="5">
        <v>0</v>
      </c>
      <c r="I236" s="5">
        <v>0</v>
      </c>
      <c r="J236" s="9">
        <v>0</v>
      </c>
      <c r="K236" s="8">
        <v>0</v>
      </c>
      <c r="L236" s="5">
        <v>0</v>
      </c>
      <c r="M236" s="5">
        <v>0</v>
      </c>
      <c r="N236" s="9">
        <v>0</v>
      </c>
      <c r="O236" s="8">
        <v>1</v>
      </c>
      <c r="P236" s="5">
        <v>13</v>
      </c>
      <c r="Q236" s="5">
        <v>0</v>
      </c>
      <c r="R236" s="9">
        <v>0</v>
      </c>
      <c r="S236" s="8">
        <v>0</v>
      </c>
      <c r="T236" s="9">
        <v>0</v>
      </c>
    </row>
    <row r="237" spans="1:20" x14ac:dyDescent="0.2">
      <c r="A237" s="5" t="s">
        <v>606</v>
      </c>
      <c r="B237" s="5" t="s">
        <v>69</v>
      </c>
      <c r="C237" s="10" t="s">
        <v>602</v>
      </c>
      <c r="D237" s="7">
        <f t="shared" si="0"/>
        <v>2.2999999999999998</v>
      </c>
      <c r="E237" s="8">
        <v>0</v>
      </c>
      <c r="F237" s="5">
        <v>0</v>
      </c>
      <c r="G237" s="5">
        <v>0</v>
      </c>
      <c r="H237" s="5">
        <v>0</v>
      </c>
      <c r="I237" s="5">
        <v>0</v>
      </c>
      <c r="J237" s="9">
        <v>0</v>
      </c>
      <c r="K237" s="8">
        <v>0</v>
      </c>
      <c r="L237" s="5">
        <v>0</v>
      </c>
      <c r="M237" s="5">
        <v>0</v>
      </c>
      <c r="N237" s="9">
        <v>0</v>
      </c>
      <c r="O237" s="8">
        <v>1</v>
      </c>
      <c r="P237" s="5">
        <v>13</v>
      </c>
      <c r="Q237" s="5">
        <v>0</v>
      </c>
      <c r="R237" s="9">
        <v>0</v>
      </c>
      <c r="S237" s="8">
        <v>0</v>
      </c>
      <c r="T237" s="9">
        <v>0</v>
      </c>
    </row>
    <row r="238" spans="1:20" x14ac:dyDescent="0.2">
      <c r="A238" s="5" t="s">
        <v>400</v>
      </c>
      <c r="B238" s="5" t="s">
        <v>162</v>
      </c>
      <c r="C238" s="17" t="s">
        <v>599</v>
      </c>
      <c r="D238" s="7">
        <f t="shared" si="0"/>
        <v>2.2000000000000002</v>
      </c>
      <c r="E238" s="8">
        <v>0</v>
      </c>
      <c r="F238" s="5">
        <v>0</v>
      </c>
      <c r="G238" s="5">
        <v>0</v>
      </c>
      <c r="H238" s="5">
        <v>0</v>
      </c>
      <c r="I238" s="5">
        <v>0</v>
      </c>
      <c r="J238" s="9">
        <v>0</v>
      </c>
      <c r="K238" s="8">
        <v>1</v>
      </c>
      <c r="L238" s="5">
        <v>2</v>
      </c>
      <c r="M238" s="5">
        <v>0</v>
      </c>
      <c r="N238" s="9">
        <v>0</v>
      </c>
      <c r="O238" s="8">
        <v>1</v>
      </c>
      <c r="P238" s="5">
        <v>10</v>
      </c>
      <c r="Q238" s="5">
        <v>0</v>
      </c>
      <c r="R238" s="9">
        <v>0</v>
      </c>
      <c r="S238" s="8">
        <v>0</v>
      </c>
      <c r="T238" s="9">
        <v>0</v>
      </c>
    </row>
    <row r="239" spans="1:20" x14ac:dyDescent="0.2">
      <c r="A239" s="5" t="s">
        <v>86</v>
      </c>
      <c r="B239" s="5" t="s">
        <v>75</v>
      </c>
      <c r="C239" s="10" t="s">
        <v>597</v>
      </c>
      <c r="D239" s="7">
        <f t="shared" si="0"/>
        <v>2.1</v>
      </c>
      <c r="E239" s="8">
        <v>0</v>
      </c>
      <c r="F239" s="5">
        <v>0</v>
      </c>
      <c r="G239" s="5">
        <v>0</v>
      </c>
      <c r="H239" s="5">
        <v>0</v>
      </c>
      <c r="I239" s="5">
        <v>0</v>
      </c>
      <c r="J239" s="9">
        <v>0</v>
      </c>
      <c r="K239" s="8">
        <v>6</v>
      </c>
      <c r="L239" s="5">
        <v>21</v>
      </c>
      <c r="M239" s="5">
        <v>0</v>
      </c>
      <c r="N239" s="9">
        <v>0</v>
      </c>
      <c r="O239" s="8">
        <v>0</v>
      </c>
      <c r="P239" s="5">
        <v>0</v>
      </c>
      <c r="Q239" s="5">
        <v>0</v>
      </c>
      <c r="R239" s="9">
        <v>0</v>
      </c>
      <c r="S239" s="8">
        <v>0</v>
      </c>
      <c r="T239" s="9">
        <v>0</v>
      </c>
    </row>
    <row r="240" spans="1:20" x14ac:dyDescent="0.2">
      <c r="A240" s="5" t="s">
        <v>149</v>
      </c>
      <c r="B240" s="5" t="s">
        <v>75</v>
      </c>
      <c r="C240" s="10" t="s">
        <v>592</v>
      </c>
      <c r="D240" s="7">
        <f t="shared" si="0"/>
        <v>2.1</v>
      </c>
      <c r="E240" s="8">
        <v>0</v>
      </c>
      <c r="F240" s="5">
        <v>0</v>
      </c>
      <c r="G240" s="5">
        <v>0</v>
      </c>
      <c r="H240" s="5">
        <v>0</v>
      </c>
      <c r="I240" s="5">
        <v>0</v>
      </c>
      <c r="J240" s="9">
        <v>0</v>
      </c>
      <c r="K240" s="8">
        <v>5</v>
      </c>
      <c r="L240" s="5">
        <v>7</v>
      </c>
      <c r="M240" s="5">
        <v>0</v>
      </c>
      <c r="N240" s="9">
        <v>0</v>
      </c>
      <c r="O240" s="8">
        <v>1</v>
      </c>
      <c r="P240" s="5">
        <v>4</v>
      </c>
      <c r="Q240" s="5">
        <v>0</v>
      </c>
      <c r="R240" s="9">
        <v>0</v>
      </c>
      <c r="S240" s="8">
        <v>0</v>
      </c>
      <c r="T240" s="9">
        <v>0</v>
      </c>
    </row>
    <row r="241" spans="1:20" x14ac:dyDescent="0.2">
      <c r="A241" s="5" t="s">
        <v>190</v>
      </c>
      <c r="B241" s="5" t="s">
        <v>162</v>
      </c>
      <c r="C241" s="17" t="s">
        <v>589</v>
      </c>
      <c r="D241" s="7">
        <f t="shared" si="0"/>
        <v>2.1</v>
      </c>
      <c r="E241" s="8">
        <v>0</v>
      </c>
      <c r="F241" s="5">
        <v>0</v>
      </c>
      <c r="G241" s="5">
        <v>0</v>
      </c>
      <c r="H241" s="5">
        <v>0</v>
      </c>
      <c r="I241" s="5">
        <v>0</v>
      </c>
      <c r="J241" s="9">
        <v>0</v>
      </c>
      <c r="K241" s="8">
        <v>0</v>
      </c>
      <c r="L241" s="5">
        <v>0</v>
      </c>
      <c r="M241" s="5">
        <v>0</v>
      </c>
      <c r="N241" s="9">
        <v>0</v>
      </c>
      <c r="O241" s="8">
        <v>1</v>
      </c>
      <c r="P241" s="5">
        <v>11</v>
      </c>
      <c r="Q241" s="5">
        <v>0</v>
      </c>
      <c r="R241" s="9">
        <v>0</v>
      </c>
      <c r="S241" s="8">
        <v>0</v>
      </c>
      <c r="T241" s="9">
        <v>0</v>
      </c>
    </row>
    <row r="242" spans="1:20" x14ac:dyDescent="0.2">
      <c r="A242" s="5" t="s">
        <v>244</v>
      </c>
      <c r="B242" s="5" t="s">
        <v>162</v>
      </c>
      <c r="C242" s="17" t="s">
        <v>597</v>
      </c>
      <c r="D242" s="7">
        <f t="shared" si="0"/>
        <v>2.1</v>
      </c>
      <c r="E242" s="8">
        <v>0</v>
      </c>
      <c r="F242" s="5">
        <v>0</v>
      </c>
      <c r="G242" s="5">
        <v>0</v>
      </c>
      <c r="H242" s="5">
        <v>0</v>
      </c>
      <c r="I242" s="5">
        <v>0</v>
      </c>
      <c r="J242" s="9">
        <v>0</v>
      </c>
      <c r="K242" s="8">
        <v>0</v>
      </c>
      <c r="L242" s="5">
        <v>0</v>
      </c>
      <c r="M242" s="5">
        <v>0</v>
      </c>
      <c r="N242" s="9">
        <v>0</v>
      </c>
      <c r="O242" s="8">
        <v>1</v>
      </c>
      <c r="P242" s="5">
        <v>11</v>
      </c>
      <c r="Q242" s="5">
        <v>0</v>
      </c>
      <c r="R242" s="9">
        <v>0</v>
      </c>
      <c r="S242" s="8">
        <v>0</v>
      </c>
      <c r="T242" s="9">
        <v>0</v>
      </c>
    </row>
    <row r="243" spans="1:20" x14ac:dyDescent="0.2">
      <c r="A243" s="5" t="s">
        <v>372</v>
      </c>
      <c r="B243" s="5" t="s">
        <v>69</v>
      </c>
      <c r="C243" s="10" t="s">
        <v>593</v>
      </c>
      <c r="D243" s="7">
        <f t="shared" si="0"/>
        <v>2.1</v>
      </c>
      <c r="E243" s="8">
        <v>0</v>
      </c>
      <c r="F243" s="5">
        <v>0</v>
      </c>
      <c r="G243" s="5">
        <v>0</v>
      </c>
      <c r="H243" s="5">
        <v>0</v>
      </c>
      <c r="I243" s="5">
        <v>0</v>
      </c>
      <c r="J243" s="9">
        <v>0</v>
      </c>
      <c r="K243" s="8">
        <v>0</v>
      </c>
      <c r="L243" s="5">
        <v>0</v>
      </c>
      <c r="M243" s="5">
        <v>0</v>
      </c>
      <c r="N243" s="9">
        <v>0</v>
      </c>
      <c r="O243" s="8">
        <v>1</v>
      </c>
      <c r="P243" s="5">
        <v>11</v>
      </c>
      <c r="Q243" s="5">
        <v>0</v>
      </c>
      <c r="R243" s="9">
        <v>0</v>
      </c>
      <c r="S243" s="8">
        <v>0</v>
      </c>
      <c r="T243" s="9">
        <v>0</v>
      </c>
    </row>
    <row r="244" spans="1:20" x14ac:dyDescent="0.2">
      <c r="A244" s="5" t="s">
        <v>317</v>
      </c>
      <c r="B244" s="5" t="s">
        <v>69</v>
      </c>
      <c r="C244" s="17" t="s">
        <v>591</v>
      </c>
      <c r="D244" s="7">
        <f t="shared" si="0"/>
        <v>2</v>
      </c>
      <c r="E244" s="8">
        <v>0</v>
      </c>
      <c r="F244" s="5">
        <v>0</v>
      </c>
      <c r="G244" s="5">
        <v>0</v>
      </c>
      <c r="H244" s="5">
        <v>0</v>
      </c>
      <c r="I244" s="5">
        <v>0</v>
      </c>
      <c r="J244" s="9">
        <v>0</v>
      </c>
      <c r="K244" s="8">
        <v>0</v>
      </c>
      <c r="L244" s="5">
        <v>0</v>
      </c>
      <c r="M244" s="5">
        <v>0</v>
      </c>
      <c r="N244" s="9">
        <v>0</v>
      </c>
      <c r="O244" s="8">
        <v>1</v>
      </c>
      <c r="P244" s="5">
        <v>10</v>
      </c>
      <c r="Q244" s="5">
        <v>0</v>
      </c>
      <c r="R244" s="9">
        <v>0</v>
      </c>
      <c r="S244" s="8">
        <v>0</v>
      </c>
      <c r="T244" s="9">
        <v>0</v>
      </c>
    </row>
    <row r="245" spans="1:20" x14ac:dyDescent="0.2">
      <c r="A245" s="5" t="s">
        <v>549</v>
      </c>
      <c r="B245" s="5" t="s">
        <v>75</v>
      </c>
      <c r="C245" s="10" t="s">
        <v>591</v>
      </c>
      <c r="D245" s="7">
        <f t="shared" si="0"/>
        <v>1.9</v>
      </c>
      <c r="E245" s="8">
        <v>0</v>
      </c>
      <c r="F245" s="5">
        <v>0</v>
      </c>
      <c r="G245" s="5">
        <v>0</v>
      </c>
      <c r="H245" s="5">
        <v>0</v>
      </c>
      <c r="I245" s="5">
        <v>0</v>
      </c>
      <c r="J245" s="9">
        <v>0</v>
      </c>
      <c r="K245" s="8">
        <v>2</v>
      </c>
      <c r="L245" s="5">
        <v>5</v>
      </c>
      <c r="M245" s="5">
        <v>0</v>
      </c>
      <c r="N245" s="9">
        <v>0</v>
      </c>
      <c r="O245" s="8">
        <v>1</v>
      </c>
      <c r="P245" s="5">
        <v>4</v>
      </c>
      <c r="Q245" s="5">
        <v>0</v>
      </c>
      <c r="R245" s="9">
        <v>0</v>
      </c>
      <c r="S245" s="8">
        <v>0</v>
      </c>
      <c r="T245" s="9">
        <v>0</v>
      </c>
    </row>
    <row r="246" spans="1:20" x14ac:dyDescent="0.2">
      <c r="A246" s="5" t="s">
        <v>269</v>
      </c>
      <c r="B246" s="5" t="s">
        <v>162</v>
      </c>
      <c r="C246" s="17" t="s">
        <v>592</v>
      </c>
      <c r="D246" s="7">
        <f t="shared" si="0"/>
        <v>1.9</v>
      </c>
      <c r="E246" s="8">
        <v>0</v>
      </c>
      <c r="F246" s="5">
        <v>0</v>
      </c>
      <c r="G246" s="5">
        <v>0</v>
      </c>
      <c r="H246" s="5">
        <v>0</v>
      </c>
      <c r="I246" s="5">
        <v>0</v>
      </c>
      <c r="J246" s="9">
        <v>0</v>
      </c>
      <c r="K246" s="8">
        <v>0</v>
      </c>
      <c r="L246" s="5">
        <v>0</v>
      </c>
      <c r="M246" s="5">
        <v>0</v>
      </c>
      <c r="N246" s="9">
        <v>0</v>
      </c>
      <c r="O246" s="8">
        <v>1</v>
      </c>
      <c r="P246" s="5">
        <v>9</v>
      </c>
      <c r="Q246" s="5">
        <v>0</v>
      </c>
      <c r="R246" s="9">
        <v>0</v>
      </c>
      <c r="S246" s="8">
        <v>0</v>
      </c>
      <c r="T246" s="9">
        <v>0</v>
      </c>
    </row>
    <row r="247" spans="1:20" x14ac:dyDescent="0.2">
      <c r="A247" s="5" t="s">
        <v>234</v>
      </c>
      <c r="B247" s="5" t="s">
        <v>162</v>
      </c>
      <c r="C247" s="10" t="s">
        <v>602</v>
      </c>
      <c r="D247" s="7">
        <f t="shared" si="0"/>
        <v>1.9</v>
      </c>
      <c r="E247" s="8">
        <v>0</v>
      </c>
      <c r="F247" s="5">
        <v>0</v>
      </c>
      <c r="G247" s="5">
        <v>0</v>
      </c>
      <c r="H247" s="5">
        <v>0</v>
      </c>
      <c r="I247" s="5">
        <v>0</v>
      </c>
      <c r="J247" s="9">
        <v>0</v>
      </c>
      <c r="K247" s="8">
        <v>0</v>
      </c>
      <c r="L247" s="5">
        <v>0</v>
      </c>
      <c r="M247" s="5">
        <v>0</v>
      </c>
      <c r="N247" s="9">
        <v>0</v>
      </c>
      <c r="O247" s="8">
        <v>1</v>
      </c>
      <c r="P247" s="5">
        <v>9</v>
      </c>
      <c r="Q247" s="5">
        <v>0</v>
      </c>
      <c r="R247" s="9">
        <v>0</v>
      </c>
      <c r="S247" s="8">
        <v>0</v>
      </c>
      <c r="T247" s="9">
        <v>0</v>
      </c>
    </row>
    <row r="248" spans="1:20" x14ac:dyDescent="0.2">
      <c r="A248" s="5" t="s">
        <v>138</v>
      </c>
      <c r="B248" s="5" t="s">
        <v>75</v>
      </c>
      <c r="C248" s="17" t="s">
        <v>601</v>
      </c>
      <c r="D248" s="7">
        <f t="shared" si="0"/>
        <v>1.8</v>
      </c>
      <c r="E248" s="8">
        <v>0</v>
      </c>
      <c r="F248" s="5">
        <v>0</v>
      </c>
      <c r="G248" s="5">
        <v>0</v>
      </c>
      <c r="H248" s="5">
        <v>0</v>
      </c>
      <c r="I248" s="5">
        <v>0</v>
      </c>
      <c r="J248" s="9">
        <v>0</v>
      </c>
      <c r="K248" s="8">
        <v>2</v>
      </c>
      <c r="L248" s="5">
        <v>-2</v>
      </c>
      <c r="M248" s="5">
        <v>0</v>
      </c>
      <c r="N248" s="9">
        <v>0</v>
      </c>
      <c r="O248" s="8">
        <v>1</v>
      </c>
      <c r="P248" s="5">
        <v>10</v>
      </c>
      <c r="Q248" s="5">
        <v>0</v>
      </c>
      <c r="R248" s="9">
        <v>0</v>
      </c>
      <c r="S248" s="8">
        <v>0</v>
      </c>
      <c r="T248" s="9">
        <v>0</v>
      </c>
    </row>
    <row r="249" spans="1:20" x14ac:dyDescent="0.2">
      <c r="A249" s="5" t="s">
        <v>393</v>
      </c>
      <c r="B249" s="5" t="s">
        <v>75</v>
      </c>
      <c r="C249" s="10" t="s">
        <v>597</v>
      </c>
      <c r="D249" s="7">
        <f t="shared" si="0"/>
        <v>1.8</v>
      </c>
      <c r="E249" s="8">
        <v>0</v>
      </c>
      <c r="F249" s="5">
        <v>0</v>
      </c>
      <c r="G249" s="5">
        <v>0</v>
      </c>
      <c r="H249" s="5">
        <v>0</v>
      </c>
      <c r="I249" s="5">
        <v>0</v>
      </c>
      <c r="J249" s="9">
        <v>0</v>
      </c>
      <c r="K249" s="8">
        <v>3</v>
      </c>
      <c r="L249" s="5">
        <v>3</v>
      </c>
      <c r="M249" s="5">
        <v>0</v>
      </c>
      <c r="N249" s="9">
        <v>0</v>
      </c>
      <c r="O249" s="8">
        <v>1</v>
      </c>
      <c r="P249" s="5">
        <v>5</v>
      </c>
      <c r="Q249" s="5">
        <v>0</v>
      </c>
      <c r="R249" s="9">
        <v>0</v>
      </c>
      <c r="S249" s="8">
        <v>0</v>
      </c>
      <c r="T249" s="9">
        <v>0</v>
      </c>
    </row>
    <row r="250" spans="1:20" x14ac:dyDescent="0.2">
      <c r="A250" s="5" t="s">
        <v>270</v>
      </c>
      <c r="B250" s="5" t="s">
        <v>162</v>
      </c>
      <c r="C250" s="17" t="s">
        <v>601</v>
      </c>
      <c r="D250" s="7">
        <f t="shared" si="0"/>
        <v>1.8</v>
      </c>
      <c r="E250" s="8">
        <v>0</v>
      </c>
      <c r="F250" s="5">
        <v>0</v>
      </c>
      <c r="G250" s="5">
        <v>0</v>
      </c>
      <c r="H250" s="5">
        <v>0</v>
      </c>
      <c r="I250" s="5">
        <v>0</v>
      </c>
      <c r="J250" s="9">
        <v>0</v>
      </c>
      <c r="K250" s="8">
        <v>0</v>
      </c>
      <c r="L250" s="5">
        <v>0</v>
      </c>
      <c r="M250" s="5">
        <v>0</v>
      </c>
      <c r="N250" s="9">
        <v>0</v>
      </c>
      <c r="O250" s="8">
        <v>1</v>
      </c>
      <c r="P250" s="5">
        <v>8</v>
      </c>
      <c r="Q250" s="5">
        <v>0</v>
      </c>
      <c r="R250" s="9">
        <v>0</v>
      </c>
      <c r="S250" s="8">
        <v>0</v>
      </c>
      <c r="T250" s="9">
        <v>0</v>
      </c>
    </row>
    <row r="251" spans="1:20" x14ac:dyDescent="0.2">
      <c r="A251" s="5" t="s">
        <v>526</v>
      </c>
      <c r="B251" s="5" t="s">
        <v>69</v>
      </c>
      <c r="C251" s="17" t="s">
        <v>599</v>
      </c>
      <c r="D251" s="7">
        <f t="shared" si="0"/>
        <v>1.8</v>
      </c>
      <c r="E251" s="8">
        <v>0</v>
      </c>
      <c r="F251" s="5">
        <v>0</v>
      </c>
      <c r="G251" s="5">
        <v>0</v>
      </c>
      <c r="H251" s="5">
        <v>0</v>
      </c>
      <c r="I251" s="5">
        <v>0</v>
      </c>
      <c r="J251" s="9">
        <v>0</v>
      </c>
      <c r="K251" s="8">
        <v>0</v>
      </c>
      <c r="L251" s="5">
        <v>0</v>
      </c>
      <c r="M251" s="5">
        <v>0</v>
      </c>
      <c r="N251" s="9">
        <v>0</v>
      </c>
      <c r="O251" s="8">
        <v>1</v>
      </c>
      <c r="P251" s="5">
        <v>8</v>
      </c>
      <c r="Q251" s="5">
        <v>0</v>
      </c>
      <c r="R251" s="9">
        <v>0</v>
      </c>
      <c r="S251" s="8">
        <v>0</v>
      </c>
      <c r="T251" s="9">
        <v>0</v>
      </c>
    </row>
    <row r="252" spans="1:20" x14ac:dyDescent="0.2">
      <c r="A252" s="5" t="s">
        <v>479</v>
      </c>
      <c r="B252" s="5" t="s">
        <v>69</v>
      </c>
      <c r="C252" s="17" t="s">
        <v>597</v>
      </c>
      <c r="D252" s="7">
        <f t="shared" si="0"/>
        <v>1.8</v>
      </c>
      <c r="E252" s="8">
        <v>0</v>
      </c>
      <c r="F252" s="5">
        <v>0</v>
      </c>
      <c r="G252" s="5">
        <v>0</v>
      </c>
      <c r="H252" s="5">
        <v>0</v>
      </c>
      <c r="I252" s="5">
        <v>0</v>
      </c>
      <c r="J252" s="9">
        <v>0</v>
      </c>
      <c r="K252" s="8">
        <v>0</v>
      </c>
      <c r="L252" s="5">
        <v>0</v>
      </c>
      <c r="M252" s="5">
        <v>0</v>
      </c>
      <c r="N252" s="9">
        <v>0</v>
      </c>
      <c r="O252" s="8">
        <v>1</v>
      </c>
      <c r="P252" s="5">
        <v>8</v>
      </c>
      <c r="Q252" s="5">
        <v>0</v>
      </c>
      <c r="R252" s="9">
        <v>0</v>
      </c>
      <c r="S252" s="8">
        <v>0</v>
      </c>
      <c r="T252" s="9">
        <v>0</v>
      </c>
    </row>
    <row r="253" spans="1:20" x14ac:dyDescent="0.2">
      <c r="A253" s="5" t="s">
        <v>427</v>
      </c>
      <c r="B253" s="5" t="s">
        <v>162</v>
      </c>
      <c r="C253" s="10" t="s">
        <v>600</v>
      </c>
      <c r="D253" s="7">
        <f t="shared" si="0"/>
        <v>1.7000000000000002</v>
      </c>
      <c r="E253" s="8">
        <v>0</v>
      </c>
      <c r="F253" s="5">
        <v>0</v>
      </c>
      <c r="G253" s="5">
        <v>0</v>
      </c>
      <c r="H253" s="5">
        <v>0</v>
      </c>
      <c r="I253" s="5">
        <v>0</v>
      </c>
      <c r="J253" s="9">
        <v>0</v>
      </c>
      <c r="K253" s="8">
        <v>2</v>
      </c>
      <c r="L253" s="5">
        <v>17</v>
      </c>
      <c r="M253" s="5">
        <v>0</v>
      </c>
      <c r="N253" s="9">
        <v>0</v>
      </c>
      <c r="O253" s="8">
        <v>0</v>
      </c>
      <c r="P253" s="5">
        <v>0</v>
      </c>
      <c r="Q253" s="5">
        <v>0</v>
      </c>
      <c r="R253" s="9">
        <v>0</v>
      </c>
      <c r="S253" s="8">
        <v>0</v>
      </c>
      <c r="T253" s="9">
        <v>0</v>
      </c>
    </row>
    <row r="254" spans="1:20" x14ac:dyDescent="0.2">
      <c r="A254" s="5" t="s">
        <v>607</v>
      </c>
      <c r="B254" s="5" t="s">
        <v>17</v>
      </c>
      <c r="C254" s="17" t="s">
        <v>586</v>
      </c>
      <c r="D254" s="7">
        <f t="shared" si="0"/>
        <v>1.68</v>
      </c>
      <c r="E254" s="8">
        <v>10</v>
      </c>
      <c r="F254" s="5">
        <v>5</v>
      </c>
      <c r="G254" s="5">
        <v>42</v>
      </c>
      <c r="H254" s="5">
        <v>0</v>
      </c>
      <c r="I254" s="5">
        <v>0</v>
      </c>
      <c r="J254" s="9">
        <v>0</v>
      </c>
      <c r="K254" s="8">
        <v>0</v>
      </c>
      <c r="L254" s="5">
        <v>0</v>
      </c>
      <c r="M254" s="5">
        <v>0</v>
      </c>
      <c r="N254" s="9">
        <v>0</v>
      </c>
      <c r="O254" s="8">
        <v>0</v>
      </c>
      <c r="P254" s="5">
        <v>0</v>
      </c>
      <c r="Q254" s="5">
        <v>0</v>
      </c>
      <c r="R254" s="9">
        <v>0</v>
      </c>
      <c r="S254" s="8">
        <v>0</v>
      </c>
      <c r="T254" s="9">
        <v>0</v>
      </c>
    </row>
    <row r="255" spans="1:20" x14ac:dyDescent="0.2">
      <c r="A255" s="5" t="s">
        <v>311</v>
      </c>
      <c r="B255" s="5" t="s">
        <v>69</v>
      </c>
      <c r="C255" s="17" t="s">
        <v>598</v>
      </c>
      <c r="D255" s="7">
        <f t="shared" si="0"/>
        <v>1.6</v>
      </c>
      <c r="E255" s="8">
        <v>0</v>
      </c>
      <c r="F255" s="5">
        <v>0</v>
      </c>
      <c r="G255" s="5">
        <v>0</v>
      </c>
      <c r="H255" s="5">
        <v>0</v>
      </c>
      <c r="I255" s="5">
        <v>0</v>
      </c>
      <c r="J255" s="9">
        <v>0</v>
      </c>
      <c r="K255" s="8">
        <v>0</v>
      </c>
      <c r="L255" s="5">
        <v>0</v>
      </c>
      <c r="M255" s="5">
        <v>0</v>
      </c>
      <c r="N255" s="9">
        <v>0</v>
      </c>
      <c r="O255" s="8">
        <v>1</v>
      </c>
      <c r="P255" s="5">
        <v>6</v>
      </c>
      <c r="Q255" s="5">
        <v>0</v>
      </c>
      <c r="R255" s="9">
        <v>0</v>
      </c>
      <c r="S255" s="8">
        <v>0</v>
      </c>
      <c r="T255" s="9">
        <v>0</v>
      </c>
    </row>
    <row r="256" spans="1:20" x14ac:dyDescent="0.2">
      <c r="A256" s="5" t="s">
        <v>355</v>
      </c>
      <c r="B256" s="5" t="s">
        <v>69</v>
      </c>
      <c r="C256" s="10" t="s">
        <v>593</v>
      </c>
      <c r="D256" s="7">
        <f t="shared" si="0"/>
        <v>1.6</v>
      </c>
      <c r="E256" s="8">
        <v>0</v>
      </c>
      <c r="F256" s="5">
        <v>0</v>
      </c>
      <c r="G256" s="5">
        <v>0</v>
      </c>
      <c r="H256" s="5">
        <v>0</v>
      </c>
      <c r="I256" s="5">
        <v>0</v>
      </c>
      <c r="J256" s="9">
        <v>0</v>
      </c>
      <c r="K256" s="8">
        <v>0</v>
      </c>
      <c r="L256" s="5">
        <v>0</v>
      </c>
      <c r="M256" s="5">
        <v>0</v>
      </c>
      <c r="N256" s="9">
        <v>0</v>
      </c>
      <c r="O256" s="8">
        <v>1</v>
      </c>
      <c r="P256" s="5">
        <v>6</v>
      </c>
      <c r="Q256" s="5">
        <v>0</v>
      </c>
      <c r="R256" s="9">
        <v>0</v>
      </c>
      <c r="S256" s="8">
        <v>0</v>
      </c>
      <c r="T256" s="9">
        <v>0</v>
      </c>
    </row>
    <row r="257" spans="1:20" x14ac:dyDescent="0.2">
      <c r="A257" s="5" t="s">
        <v>378</v>
      </c>
      <c r="B257" s="5" t="s">
        <v>162</v>
      </c>
      <c r="C257" s="17" t="s">
        <v>601</v>
      </c>
      <c r="D257" s="7">
        <f t="shared" si="0"/>
        <v>1.5999999999999996</v>
      </c>
      <c r="E257" s="8">
        <v>0</v>
      </c>
      <c r="F257" s="5">
        <v>0</v>
      </c>
      <c r="G257" s="5">
        <v>0</v>
      </c>
      <c r="H257" s="5">
        <v>0</v>
      </c>
      <c r="I257" s="5">
        <v>0</v>
      </c>
      <c r="J257" s="9">
        <v>0</v>
      </c>
      <c r="K257" s="8">
        <v>1</v>
      </c>
      <c r="L257" s="5">
        <v>3</v>
      </c>
      <c r="M257" s="5">
        <v>0</v>
      </c>
      <c r="N257" s="9">
        <v>0</v>
      </c>
      <c r="O257" s="8">
        <v>2</v>
      </c>
      <c r="P257" s="5">
        <v>13</v>
      </c>
      <c r="Q257" s="5">
        <v>0</v>
      </c>
      <c r="R257" s="9">
        <v>0</v>
      </c>
      <c r="S257" s="8">
        <v>1</v>
      </c>
      <c r="T257" s="9">
        <v>0</v>
      </c>
    </row>
    <row r="258" spans="1:20" x14ac:dyDescent="0.2">
      <c r="A258" s="5" t="s">
        <v>118</v>
      </c>
      <c r="B258" s="5" t="s">
        <v>75</v>
      </c>
      <c r="C258" s="10" t="s">
        <v>596</v>
      </c>
      <c r="D258" s="7">
        <f t="shared" ref="D258:D294" si="1">0.04*G258+4*H258-2*I258+2*J258+0.1*L258+6*M258+2*N258+1*O258+0.1*P258+6*Q258+2*R258-2*S258</f>
        <v>1.5</v>
      </c>
      <c r="E258" s="8">
        <v>0</v>
      </c>
      <c r="F258" s="5">
        <v>0</v>
      </c>
      <c r="G258" s="5">
        <v>0</v>
      </c>
      <c r="H258" s="5">
        <v>0</v>
      </c>
      <c r="I258" s="5">
        <v>0</v>
      </c>
      <c r="J258" s="9">
        <v>0</v>
      </c>
      <c r="K258" s="8">
        <v>0</v>
      </c>
      <c r="L258" s="5">
        <v>0</v>
      </c>
      <c r="M258" s="5">
        <v>0</v>
      </c>
      <c r="N258" s="9">
        <v>0</v>
      </c>
      <c r="O258" s="8">
        <v>1</v>
      </c>
      <c r="P258" s="5">
        <v>5</v>
      </c>
      <c r="Q258" s="5">
        <v>0</v>
      </c>
      <c r="R258" s="9">
        <v>0</v>
      </c>
      <c r="S258" s="8">
        <v>0</v>
      </c>
      <c r="T258" s="9">
        <v>0</v>
      </c>
    </row>
    <row r="259" spans="1:20" x14ac:dyDescent="0.2">
      <c r="A259" s="5" t="s">
        <v>420</v>
      </c>
      <c r="B259" s="5" t="s">
        <v>162</v>
      </c>
      <c r="C259" s="17" t="s">
        <v>588</v>
      </c>
      <c r="D259" s="7">
        <f t="shared" si="1"/>
        <v>1.5</v>
      </c>
      <c r="E259" s="8">
        <v>0</v>
      </c>
      <c r="F259" s="5">
        <v>0</v>
      </c>
      <c r="G259" s="5">
        <v>0</v>
      </c>
      <c r="H259" s="5">
        <v>0</v>
      </c>
      <c r="I259" s="5">
        <v>0</v>
      </c>
      <c r="J259" s="9">
        <v>0</v>
      </c>
      <c r="K259" s="8">
        <v>0</v>
      </c>
      <c r="L259" s="5">
        <v>0</v>
      </c>
      <c r="M259" s="5">
        <v>0</v>
      </c>
      <c r="N259" s="9">
        <v>0</v>
      </c>
      <c r="O259" s="8">
        <v>1</v>
      </c>
      <c r="P259" s="5">
        <v>5</v>
      </c>
      <c r="Q259" s="5">
        <v>0</v>
      </c>
      <c r="R259" s="9">
        <v>0</v>
      </c>
      <c r="S259" s="8">
        <v>0</v>
      </c>
      <c r="T259" s="9">
        <v>0</v>
      </c>
    </row>
    <row r="260" spans="1:20" x14ac:dyDescent="0.2">
      <c r="A260" s="5" t="s">
        <v>449</v>
      </c>
      <c r="B260" s="5" t="s">
        <v>69</v>
      </c>
      <c r="C260" s="17" t="s">
        <v>595</v>
      </c>
      <c r="D260" s="7">
        <f t="shared" si="1"/>
        <v>1.5</v>
      </c>
      <c r="E260" s="8">
        <v>0</v>
      </c>
      <c r="F260" s="5">
        <v>0</v>
      </c>
      <c r="G260" s="5">
        <v>0</v>
      </c>
      <c r="H260" s="5">
        <v>0</v>
      </c>
      <c r="I260" s="5">
        <v>0</v>
      </c>
      <c r="J260" s="9">
        <v>0</v>
      </c>
      <c r="K260" s="8">
        <v>0</v>
      </c>
      <c r="L260" s="5">
        <v>0</v>
      </c>
      <c r="M260" s="5">
        <v>0</v>
      </c>
      <c r="N260" s="9">
        <v>0</v>
      </c>
      <c r="O260" s="8">
        <v>1</v>
      </c>
      <c r="P260" s="5">
        <v>5</v>
      </c>
      <c r="Q260" s="5">
        <v>0</v>
      </c>
      <c r="R260" s="9">
        <v>0</v>
      </c>
      <c r="S260" s="8">
        <v>0</v>
      </c>
      <c r="T260" s="9">
        <v>0</v>
      </c>
    </row>
    <row r="261" spans="1:20" x14ac:dyDescent="0.2">
      <c r="A261" s="5" t="s">
        <v>290</v>
      </c>
      <c r="B261" s="5" t="s">
        <v>69</v>
      </c>
      <c r="C261" s="17" t="s">
        <v>593</v>
      </c>
      <c r="D261" s="7">
        <f t="shared" si="1"/>
        <v>1.5</v>
      </c>
      <c r="E261" s="8">
        <v>0</v>
      </c>
      <c r="F261" s="5">
        <v>0</v>
      </c>
      <c r="G261" s="5">
        <v>0</v>
      </c>
      <c r="H261" s="5">
        <v>0</v>
      </c>
      <c r="I261" s="5">
        <v>0</v>
      </c>
      <c r="J261" s="9">
        <v>0</v>
      </c>
      <c r="K261" s="8">
        <v>0</v>
      </c>
      <c r="L261" s="5">
        <v>0</v>
      </c>
      <c r="M261" s="5">
        <v>0</v>
      </c>
      <c r="N261" s="9">
        <v>0</v>
      </c>
      <c r="O261" s="8">
        <v>1</v>
      </c>
      <c r="P261" s="5">
        <v>5</v>
      </c>
      <c r="Q261" s="5">
        <v>0</v>
      </c>
      <c r="R261" s="9">
        <v>0</v>
      </c>
      <c r="S261" s="8">
        <v>0</v>
      </c>
      <c r="T261" s="9">
        <v>0</v>
      </c>
    </row>
    <row r="262" spans="1:20" x14ac:dyDescent="0.2">
      <c r="A262" s="5" t="s">
        <v>310</v>
      </c>
      <c r="B262" s="5" t="s">
        <v>69</v>
      </c>
      <c r="C262" s="10" t="s">
        <v>589</v>
      </c>
      <c r="D262" s="7">
        <f t="shared" si="1"/>
        <v>1.5</v>
      </c>
      <c r="E262" s="8">
        <v>0</v>
      </c>
      <c r="F262" s="5">
        <v>0</v>
      </c>
      <c r="G262" s="5">
        <v>0</v>
      </c>
      <c r="H262" s="5">
        <v>0</v>
      </c>
      <c r="I262" s="5">
        <v>0</v>
      </c>
      <c r="J262" s="9">
        <v>0</v>
      </c>
      <c r="K262" s="8">
        <v>0</v>
      </c>
      <c r="L262" s="5">
        <v>0</v>
      </c>
      <c r="M262" s="5">
        <v>0</v>
      </c>
      <c r="N262" s="9">
        <v>0</v>
      </c>
      <c r="O262" s="8">
        <v>1</v>
      </c>
      <c r="P262" s="5">
        <v>5</v>
      </c>
      <c r="Q262" s="5">
        <v>0</v>
      </c>
      <c r="R262" s="9">
        <v>0</v>
      </c>
      <c r="S262" s="8">
        <v>0</v>
      </c>
      <c r="T262" s="9">
        <v>0</v>
      </c>
    </row>
    <row r="263" spans="1:20" x14ac:dyDescent="0.2">
      <c r="A263" s="5" t="s">
        <v>150</v>
      </c>
      <c r="B263" s="5" t="s">
        <v>75</v>
      </c>
      <c r="C263" s="17" t="s">
        <v>588</v>
      </c>
      <c r="D263" s="7">
        <f t="shared" si="1"/>
        <v>1.4</v>
      </c>
      <c r="E263" s="8">
        <v>0</v>
      </c>
      <c r="F263" s="5">
        <v>0</v>
      </c>
      <c r="G263" s="5">
        <v>0</v>
      </c>
      <c r="H263" s="5">
        <v>0</v>
      </c>
      <c r="I263" s="5">
        <v>0</v>
      </c>
      <c r="J263" s="9">
        <v>0</v>
      </c>
      <c r="K263" s="8">
        <v>0</v>
      </c>
      <c r="L263" s="5">
        <v>0</v>
      </c>
      <c r="M263" s="5">
        <v>0</v>
      </c>
      <c r="N263" s="9">
        <v>0</v>
      </c>
      <c r="O263" s="8">
        <v>1</v>
      </c>
      <c r="P263" s="5">
        <v>4</v>
      </c>
      <c r="Q263" s="5">
        <v>0</v>
      </c>
      <c r="R263" s="9">
        <v>0</v>
      </c>
      <c r="S263" s="8">
        <v>0</v>
      </c>
      <c r="T263" s="9">
        <v>0</v>
      </c>
    </row>
    <row r="264" spans="1:20" x14ac:dyDescent="0.2">
      <c r="A264" s="5" t="s">
        <v>398</v>
      </c>
      <c r="B264" s="5" t="s">
        <v>162</v>
      </c>
      <c r="C264" s="17" t="s">
        <v>597</v>
      </c>
      <c r="D264" s="7">
        <f t="shared" si="1"/>
        <v>1.4</v>
      </c>
      <c r="E264" s="8">
        <v>0</v>
      </c>
      <c r="F264" s="5">
        <v>0</v>
      </c>
      <c r="G264" s="5">
        <v>0</v>
      </c>
      <c r="H264" s="5">
        <v>0</v>
      </c>
      <c r="I264" s="5">
        <v>0</v>
      </c>
      <c r="J264" s="9">
        <v>0</v>
      </c>
      <c r="K264" s="8">
        <v>0</v>
      </c>
      <c r="L264" s="5">
        <v>0</v>
      </c>
      <c r="M264" s="5">
        <v>0</v>
      </c>
      <c r="N264" s="9">
        <v>0</v>
      </c>
      <c r="O264" s="8">
        <v>1</v>
      </c>
      <c r="P264" s="5">
        <v>4</v>
      </c>
      <c r="Q264" s="5">
        <v>0</v>
      </c>
      <c r="R264" s="9">
        <v>0</v>
      </c>
      <c r="S264" s="8">
        <v>0</v>
      </c>
      <c r="T264" s="9">
        <v>0</v>
      </c>
    </row>
    <row r="265" spans="1:20" x14ac:dyDescent="0.2">
      <c r="A265" s="5" t="s">
        <v>608</v>
      </c>
      <c r="B265" s="5" t="s">
        <v>69</v>
      </c>
      <c r="C265" s="10" t="s">
        <v>596</v>
      </c>
      <c r="D265" s="7">
        <f t="shared" si="1"/>
        <v>1.4</v>
      </c>
      <c r="E265" s="8">
        <v>0</v>
      </c>
      <c r="F265" s="5">
        <v>0</v>
      </c>
      <c r="G265" s="5">
        <v>0</v>
      </c>
      <c r="H265" s="5">
        <v>0</v>
      </c>
      <c r="I265" s="5">
        <v>0</v>
      </c>
      <c r="J265" s="9">
        <v>0</v>
      </c>
      <c r="K265" s="8">
        <v>0</v>
      </c>
      <c r="L265" s="5">
        <v>0</v>
      </c>
      <c r="M265" s="5">
        <v>0</v>
      </c>
      <c r="N265" s="9">
        <v>0</v>
      </c>
      <c r="O265" s="8">
        <v>1</v>
      </c>
      <c r="P265" s="5">
        <v>4</v>
      </c>
      <c r="Q265" s="5">
        <v>0</v>
      </c>
      <c r="R265" s="9">
        <v>0</v>
      </c>
      <c r="S265" s="8">
        <v>0</v>
      </c>
      <c r="T265" s="9">
        <v>0</v>
      </c>
    </row>
    <row r="266" spans="1:20" x14ac:dyDescent="0.2">
      <c r="A266" s="5" t="s">
        <v>294</v>
      </c>
      <c r="B266" s="5" t="s">
        <v>69</v>
      </c>
      <c r="C266" s="10" t="s">
        <v>600</v>
      </c>
      <c r="D266" s="7">
        <f t="shared" si="1"/>
        <v>1.4</v>
      </c>
      <c r="E266" s="8">
        <v>0</v>
      </c>
      <c r="F266" s="5">
        <v>0</v>
      </c>
      <c r="G266" s="5">
        <v>0</v>
      </c>
      <c r="H266" s="5">
        <v>0</v>
      </c>
      <c r="I266" s="5">
        <v>0</v>
      </c>
      <c r="J266" s="9">
        <v>0</v>
      </c>
      <c r="K266" s="8">
        <v>0</v>
      </c>
      <c r="L266" s="5">
        <v>0</v>
      </c>
      <c r="M266" s="5">
        <v>0</v>
      </c>
      <c r="N266" s="9">
        <v>0</v>
      </c>
      <c r="O266" s="8">
        <v>1</v>
      </c>
      <c r="P266" s="5">
        <v>4</v>
      </c>
      <c r="Q266" s="5">
        <v>0</v>
      </c>
      <c r="R266" s="9">
        <v>0</v>
      </c>
      <c r="S266" s="8">
        <v>0</v>
      </c>
      <c r="T266" s="9">
        <v>0</v>
      </c>
    </row>
    <row r="267" spans="1:20" x14ac:dyDescent="0.2">
      <c r="A267" s="5" t="s">
        <v>443</v>
      </c>
      <c r="B267" s="5" t="s">
        <v>69</v>
      </c>
      <c r="C267" s="17" t="s">
        <v>587</v>
      </c>
      <c r="D267" s="7">
        <f t="shared" si="1"/>
        <v>1.3</v>
      </c>
      <c r="E267" s="8">
        <v>0</v>
      </c>
      <c r="F267" s="5">
        <v>0</v>
      </c>
      <c r="G267" s="5">
        <v>0</v>
      </c>
      <c r="H267" s="5">
        <v>0</v>
      </c>
      <c r="I267" s="5">
        <v>0</v>
      </c>
      <c r="J267" s="9">
        <v>0</v>
      </c>
      <c r="K267" s="8">
        <v>0</v>
      </c>
      <c r="L267" s="5">
        <v>0</v>
      </c>
      <c r="M267" s="5">
        <v>0</v>
      </c>
      <c r="N267" s="9">
        <v>0</v>
      </c>
      <c r="O267" s="8">
        <v>1</v>
      </c>
      <c r="P267" s="5">
        <v>3</v>
      </c>
      <c r="Q267" s="5">
        <v>0</v>
      </c>
      <c r="R267" s="9">
        <v>0</v>
      </c>
      <c r="S267" s="8">
        <v>0</v>
      </c>
      <c r="T267" s="9">
        <v>0</v>
      </c>
    </row>
    <row r="268" spans="1:20" x14ac:dyDescent="0.2">
      <c r="A268" s="5" t="s">
        <v>137</v>
      </c>
      <c r="B268" s="5" t="s">
        <v>75</v>
      </c>
      <c r="C268" s="17" t="s">
        <v>599</v>
      </c>
      <c r="D268" s="7">
        <f t="shared" si="1"/>
        <v>1.2</v>
      </c>
      <c r="E268" s="8">
        <v>0</v>
      </c>
      <c r="F268" s="5">
        <v>0</v>
      </c>
      <c r="G268" s="5">
        <v>0</v>
      </c>
      <c r="H268" s="5">
        <v>0</v>
      </c>
      <c r="I268" s="5">
        <v>0</v>
      </c>
      <c r="J268" s="9">
        <v>0</v>
      </c>
      <c r="K268" s="8">
        <v>0</v>
      </c>
      <c r="L268" s="5">
        <v>0</v>
      </c>
      <c r="M268" s="5">
        <v>0</v>
      </c>
      <c r="N268" s="9">
        <v>0</v>
      </c>
      <c r="O268" s="8">
        <v>1</v>
      </c>
      <c r="P268" s="5">
        <v>2</v>
      </c>
      <c r="Q268" s="5">
        <v>0</v>
      </c>
      <c r="R268" s="9">
        <v>0</v>
      </c>
      <c r="S268" s="8">
        <v>0</v>
      </c>
      <c r="T268" s="9">
        <v>0</v>
      </c>
    </row>
    <row r="269" spans="1:20" x14ac:dyDescent="0.2">
      <c r="A269" s="5" t="s">
        <v>267</v>
      </c>
      <c r="B269" s="5" t="s">
        <v>162</v>
      </c>
      <c r="C269" s="17" t="s">
        <v>601</v>
      </c>
      <c r="D269" s="7">
        <f t="shared" si="1"/>
        <v>1.1000000000000001</v>
      </c>
      <c r="E269" s="8">
        <v>0</v>
      </c>
      <c r="F269" s="5">
        <v>0</v>
      </c>
      <c r="G269" s="5">
        <v>0</v>
      </c>
      <c r="H269" s="5">
        <v>0</v>
      </c>
      <c r="I269" s="5">
        <v>0</v>
      </c>
      <c r="J269" s="9">
        <v>0</v>
      </c>
      <c r="K269" s="8">
        <v>1</v>
      </c>
      <c r="L269" s="5">
        <v>-3</v>
      </c>
      <c r="M269" s="5">
        <v>0</v>
      </c>
      <c r="N269" s="9">
        <v>0</v>
      </c>
      <c r="O269" s="8">
        <v>1</v>
      </c>
      <c r="P269" s="5">
        <v>4</v>
      </c>
      <c r="Q269" s="5">
        <v>0</v>
      </c>
      <c r="R269" s="9">
        <v>0</v>
      </c>
      <c r="S269" s="8">
        <v>0</v>
      </c>
      <c r="T269" s="9">
        <v>0</v>
      </c>
    </row>
    <row r="270" spans="1:20" x14ac:dyDescent="0.2">
      <c r="A270" s="5" t="s">
        <v>609</v>
      </c>
      <c r="B270" s="5" t="s">
        <v>75</v>
      </c>
      <c r="C270" s="10" t="s">
        <v>588</v>
      </c>
      <c r="D270" s="7">
        <f t="shared" si="1"/>
        <v>1</v>
      </c>
      <c r="E270" s="8">
        <v>0</v>
      </c>
      <c r="F270" s="5">
        <v>0</v>
      </c>
      <c r="G270" s="5">
        <v>0</v>
      </c>
      <c r="H270" s="5">
        <v>0</v>
      </c>
      <c r="I270" s="5">
        <v>0</v>
      </c>
      <c r="J270" s="9">
        <v>0</v>
      </c>
      <c r="K270" s="8">
        <v>0</v>
      </c>
      <c r="L270" s="5">
        <v>0</v>
      </c>
      <c r="M270" s="5">
        <v>0</v>
      </c>
      <c r="N270" s="9">
        <v>0</v>
      </c>
      <c r="O270" s="8">
        <v>1</v>
      </c>
      <c r="P270" s="5">
        <v>0</v>
      </c>
      <c r="Q270" s="5">
        <v>0</v>
      </c>
      <c r="R270" s="9">
        <v>0</v>
      </c>
      <c r="S270" s="8">
        <v>0</v>
      </c>
      <c r="T270" s="9">
        <v>0</v>
      </c>
    </row>
    <row r="271" spans="1:20" x14ac:dyDescent="0.2">
      <c r="A271" s="5" t="s">
        <v>254</v>
      </c>
      <c r="B271" s="5" t="s">
        <v>162</v>
      </c>
      <c r="C271" s="10" t="s">
        <v>601</v>
      </c>
      <c r="D271" s="7">
        <f t="shared" si="1"/>
        <v>1</v>
      </c>
      <c r="E271" s="8">
        <v>0</v>
      </c>
      <c r="F271" s="5">
        <v>0</v>
      </c>
      <c r="G271" s="5">
        <v>0</v>
      </c>
      <c r="H271" s="5">
        <v>0</v>
      </c>
      <c r="I271" s="5">
        <v>0</v>
      </c>
      <c r="J271" s="9">
        <v>0</v>
      </c>
      <c r="K271" s="8">
        <v>0</v>
      </c>
      <c r="L271" s="5">
        <v>0</v>
      </c>
      <c r="M271" s="5">
        <v>0</v>
      </c>
      <c r="N271" s="9">
        <v>0</v>
      </c>
      <c r="O271" s="8">
        <v>1</v>
      </c>
      <c r="P271" s="5">
        <v>0</v>
      </c>
      <c r="Q271" s="5">
        <v>0</v>
      </c>
      <c r="R271" s="9">
        <v>0</v>
      </c>
      <c r="S271" s="8">
        <v>0</v>
      </c>
      <c r="T271" s="9">
        <v>0</v>
      </c>
    </row>
    <row r="272" spans="1:20" x14ac:dyDescent="0.2">
      <c r="A272" s="5" t="s">
        <v>236</v>
      </c>
      <c r="B272" s="5" t="s">
        <v>162</v>
      </c>
      <c r="C272" s="10" t="s">
        <v>600</v>
      </c>
      <c r="D272" s="7">
        <f t="shared" si="1"/>
        <v>0.9</v>
      </c>
      <c r="E272" s="8">
        <v>0</v>
      </c>
      <c r="F272" s="5">
        <v>0</v>
      </c>
      <c r="G272" s="5">
        <v>0</v>
      </c>
      <c r="H272" s="5">
        <v>0</v>
      </c>
      <c r="I272" s="5">
        <v>0</v>
      </c>
      <c r="J272" s="9">
        <v>0</v>
      </c>
      <c r="K272" s="8">
        <v>0</v>
      </c>
      <c r="L272" s="5">
        <v>0</v>
      </c>
      <c r="M272" s="5">
        <v>0</v>
      </c>
      <c r="N272" s="9">
        <v>0</v>
      </c>
      <c r="O272" s="8">
        <v>1</v>
      </c>
      <c r="P272" s="5">
        <v>-1</v>
      </c>
      <c r="Q272" s="5">
        <v>0</v>
      </c>
      <c r="R272" s="9">
        <v>0</v>
      </c>
      <c r="S272" s="8">
        <v>0</v>
      </c>
      <c r="T272" s="9">
        <v>0</v>
      </c>
    </row>
    <row r="273" spans="1:20" x14ac:dyDescent="0.2">
      <c r="A273" s="5" t="s">
        <v>156</v>
      </c>
      <c r="B273" s="5" t="s">
        <v>75</v>
      </c>
      <c r="C273" s="17" t="s">
        <v>595</v>
      </c>
      <c r="D273" s="7">
        <f t="shared" si="1"/>
        <v>0.8</v>
      </c>
      <c r="E273" s="8">
        <v>0</v>
      </c>
      <c r="F273" s="5">
        <v>0</v>
      </c>
      <c r="G273" s="5">
        <v>0</v>
      </c>
      <c r="H273" s="5">
        <v>0</v>
      </c>
      <c r="I273" s="5">
        <v>0</v>
      </c>
      <c r="J273" s="9">
        <v>0</v>
      </c>
      <c r="K273" s="8">
        <v>2</v>
      </c>
      <c r="L273" s="5">
        <v>8</v>
      </c>
      <c r="M273" s="5">
        <v>0</v>
      </c>
      <c r="N273" s="9">
        <v>0</v>
      </c>
      <c r="O273" s="8">
        <v>0</v>
      </c>
      <c r="P273" s="5">
        <v>0</v>
      </c>
      <c r="Q273" s="5">
        <v>0</v>
      </c>
      <c r="R273" s="9">
        <v>0</v>
      </c>
      <c r="S273" s="8">
        <v>0</v>
      </c>
      <c r="T273" s="9">
        <v>0</v>
      </c>
    </row>
    <row r="274" spans="1:20" x14ac:dyDescent="0.2">
      <c r="A274" s="5" t="s">
        <v>433</v>
      </c>
      <c r="B274" s="5" t="s">
        <v>75</v>
      </c>
      <c r="C274" s="10" t="s">
        <v>586</v>
      </c>
      <c r="D274" s="7">
        <f t="shared" si="1"/>
        <v>0.8</v>
      </c>
      <c r="E274" s="8">
        <v>0</v>
      </c>
      <c r="F274" s="5">
        <v>0</v>
      </c>
      <c r="G274" s="5">
        <v>0</v>
      </c>
      <c r="H274" s="5">
        <v>0</v>
      </c>
      <c r="I274" s="5">
        <v>0</v>
      </c>
      <c r="J274" s="9">
        <v>0</v>
      </c>
      <c r="K274" s="8">
        <v>0</v>
      </c>
      <c r="L274" s="5">
        <v>0</v>
      </c>
      <c r="M274" s="5">
        <v>0</v>
      </c>
      <c r="N274" s="9">
        <v>0</v>
      </c>
      <c r="O274" s="8">
        <v>1</v>
      </c>
      <c r="P274" s="5">
        <v>-2</v>
      </c>
      <c r="Q274" s="5">
        <v>0</v>
      </c>
      <c r="R274" s="9">
        <v>0</v>
      </c>
      <c r="S274" s="8">
        <v>0</v>
      </c>
      <c r="T274" s="9">
        <v>0</v>
      </c>
    </row>
    <row r="275" spans="1:20" x14ac:dyDescent="0.2">
      <c r="A275" s="5" t="s">
        <v>528</v>
      </c>
      <c r="B275" s="5" t="s">
        <v>75</v>
      </c>
      <c r="C275" s="17" t="s">
        <v>587</v>
      </c>
      <c r="D275" s="7">
        <f t="shared" si="1"/>
        <v>0.70000000000000007</v>
      </c>
      <c r="E275" s="8">
        <v>0</v>
      </c>
      <c r="F275" s="5">
        <v>0</v>
      </c>
      <c r="G275" s="5">
        <v>0</v>
      </c>
      <c r="H275" s="5">
        <v>0</v>
      </c>
      <c r="I275" s="5">
        <v>0</v>
      </c>
      <c r="J275" s="9">
        <v>0</v>
      </c>
      <c r="K275" s="8">
        <v>2</v>
      </c>
      <c r="L275" s="5">
        <v>7</v>
      </c>
      <c r="M275" s="5">
        <v>0</v>
      </c>
      <c r="N275" s="9">
        <v>0</v>
      </c>
      <c r="O275" s="8">
        <v>0</v>
      </c>
      <c r="P275" s="5">
        <v>0</v>
      </c>
      <c r="Q275" s="5">
        <v>0</v>
      </c>
      <c r="R275" s="9">
        <v>0</v>
      </c>
      <c r="S275" s="8">
        <v>0</v>
      </c>
      <c r="T275" s="9">
        <v>0</v>
      </c>
    </row>
    <row r="276" spans="1:20" x14ac:dyDescent="0.2">
      <c r="A276" s="5" t="s">
        <v>160</v>
      </c>
      <c r="B276" s="5" t="s">
        <v>75</v>
      </c>
      <c r="C276" s="17" t="s">
        <v>590</v>
      </c>
      <c r="D276" s="7">
        <f t="shared" si="1"/>
        <v>0.60000000000000009</v>
      </c>
      <c r="E276" s="8">
        <v>0</v>
      </c>
      <c r="F276" s="5">
        <v>0</v>
      </c>
      <c r="G276" s="5">
        <v>0</v>
      </c>
      <c r="H276" s="5">
        <v>0</v>
      </c>
      <c r="I276" s="5">
        <v>0</v>
      </c>
      <c r="J276" s="9">
        <v>0</v>
      </c>
      <c r="K276" s="8">
        <v>2</v>
      </c>
      <c r="L276" s="5">
        <v>6</v>
      </c>
      <c r="M276" s="5">
        <v>0</v>
      </c>
      <c r="N276" s="9">
        <v>0</v>
      </c>
      <c r="O276" s="8">
        <v>0</v>
      </c>
      <c r="P276" s="5">
        <v>0</v>
      </c>
      <c r="Q276" s="5">
        <v>0</v>
      </c>
      <c r="R276" s="9">
        <v>0</v>
      </c>
      <c r="S276" s="8">
        <v>0</v>
      </c>
      <c r="T276" s="9">
        <v>0</v>
      </c>
    </row>
    <row r="277" spans="1:20" x14ac:dyDescent="0.2">
      <c r="A277" s="5" t="s">
        <v>107</v>
      </c>
      <c r="B277" s="5" t="s">
        <v>75</v>
      </c>
      <c r="C277" s="17" t="s">
        <v>600</v>
      </c>
      <c r="D277" s="7">
        <f t="shared" si="1"/>
        <v>0.5</v>
      </c>
      <c r="E277" s="8">
        <v>0</v>
      </c>
      <c r="F277" s="5">
        <v>0</v>
      </c>
      <c r="G277" s="5">
        <v>0</v>
      </c>
      <c r="H277" s="5">
        <v>0</v>
      </c>
      <c r="I277" s="5">
        <v>0</v>
      </c>
      <c r="J277" s="9">
        <v>0</v>
      </c>
      <c r="K277" s="8">
        <v>2</v>
      </c>
      <c r="L277" s="5">
        <v>5</v>
      </c>
      <c r="M277" s="5">
        <v>0</v>
      </c>
      <c r="N277" s="9">
        <v>0</v>
      </c>
      <c r="O277" s="8">
        <v>0</v>
      </c>
      <c r="P277" s="5">
        <v>0</v>
      </c>
      <c r="Q277" s="5">
        <v>0</v>
      </c>
      <c r="R277" s="9">
        <v>0</v>
      </c>
      <c r="S277" s="8">
        <v>0</v>
      </c>
      <c r="T277" s="9">
        <v>0</v>
      </c>
    </row>
    <row r="278" spans="1:20" x14ac:dyDescent="0.2">
      <c r="A278" s="5" t="s">
        <v>124</v>
      </c>
      <c r="B278" s="5" t="s">
        <v>75</v>
      </c>
      <c r="C278" s="17" t="s">
        <v>601</v>
      </c>
      <c r="D278" s="7">
        <f t="shared" si="1"/>
        <v>0.4</v>
      </c>
      <c r="E278" s="8">
        <v>0</v>
      </c>
      <c r="F278" s="5">
        <v>0</v>
      </c>
      <c r="G278" s="5">
        <v>0</v>
      </c>
      <c r="H278" s="5">
        <v>0</v>
      </c>
      <c r="I278" s="5">
        <v>0</v>
      </c>
      <c r="J278" s="9">
        <v>0</v>
      </c>
      <c r="K278" s="8">
        <v>1</v>
      </c>
      <c r="L278" s="5">
        <v>4</v>
      </c>
      <c r="M278" s="5">
        <v>0</v>
      </c>
      <c r="N278" s="9">
        <v>0</v>
      </c>
      <c r="O278" s="8">
        <v>0</v>
      </c>
      <c r="P278" s="5">
        <v>0</v>
      </c>
      <c r="Q278" s="5">
        <v>0</v>
      </c>
      <c r="R278" s="9">
        <v>0</v>
      </c>
      <c r="S278" s="8">
        <v>0</v>
      </c>
      <c r="T278" s="9">
        <v>0</v>
      </c>
    </row>
    <row r="279" spans="1:20" x14ac:dyDescent="0.2">
      <c r="A279" s="5" t="s">
        <v>496</v>
      </c>
      <c r="B279" s="5" t="s">
        <v>17</v>
      </c>
      <c r="C279" s="17" t="s">
        <v>598</v>
      </c>
      <c r="D279" s="7">
        <f t="shared" si="1"/>
        <v>0.36</v>
      </c>
      <c r="E279" s="8">
        <v>1</v>
      </c>
      <c r="F279" s="5">
        <v>1</v>
      </c>
      <c r="G279" s="5">
        <v>9</v>
      </c>
      <c r="H279" s="5">
        <v>0</v>
      </c>
      <c r="I279" s="5">
        <v>0</v>
      </c>
      <c r="J279" s="9">
        <v>0</v>
      </c>
      <c r="K279" s="8">
        <v>0</v>
      </c>
      <c r="L279" s="5">
        <v>0</v>
      </c>
      <c r="M279" s="5">
        <v>0</v>
      </c>
      <c r="N279" s="9">
        <v>0</v>
      </c>
      <c r="O279" s="8">
        <v>0</v>
      </c>
      <c r="P279" s="5">
        <v>0</v>
      </c>
      <c r="Q279" s="5">
        <v>0</v>
      </c>
      <c r="R279" s="9">
        <v>0</v>
      </c>
      <c r="S279" s="8">
        <v>0</v>
      </c>
      <c r="T279" s="9">
        <v>0</v>
      </c>
    </row>
    <row r="280" spans="1:20" x14ac:dyDescent="0.2">
      <c r="A280" s="5" t="s">
        <v>484</v>
      </c>
      <c r="B280" s="5" t="s">
        <v>162</v>
      </c>
      <c r="C280" s="17" t="s">
        <v>600</v>
      </c>
      <c r="D280" s="7">
        <f t="shared" si="1"/>
        <v>0.30000000000000004</v>
      </c>
      <c r="E280" s="8">
        <v>0</v>
      </c>
      <c r="F280" s="5">
        <v>0</v>
      </c>
      <c r="G280" s="5">
        <v>0</v>
      </c>
      <c r="H280" s="5">
        <v>0</v>
      </c>
      <c r="I280" s="5">
        <v>0</v>
      </c>
      <c r="J280" s="9">
        <v>0</v>
      </c>
      <c r="K280" s="8">
        <v>1</v>
      </c>
      <c r="L280" s="5">
        <v>3</v>
      </c>
      <c r="M280" s="5">
        <v>0</v>
      </c>
      <c r="N280" s="9">
        <v>0</v>
      </c>
      <c r="O280" s="8">
        <v>0</v>
      </c>
      <c r="P280" s="5">
        <v>0</v>
      </c>
      <c r="Q280" s="5">
        <v>0</v>
      </c>
      <c r="R280" s="9">
        <v>0</v>
      </c>
      <c r="S280" s="8">
        <v>0</v>
      </c>
      <c r="T280" s="9">
        <v>0</v>
      </c>
    </row>
    <row r="281" spans="1:20" x14ac:dyDescent="0.2">
      <c r="A281" s="5" t="s">
        <v>191</v>
      </c>
      <c r="B281" s="5" t="s">
        <v>162</v>
      </c>
      <c r="C281" s="10" t="s">
        <v>589</v>
      </c>
      <c r="D281" s="7">
        <f t="shared" si="1"/>
        <v>0.29999999999999982</v>
      </c>
      <c r="E281" s="8">
        <v>0</v>
      </c>
      <c r="F281" s="5">
        <v>0</v>
      </c>
      <c r="G281" s="5">
        <v>0</v>
      </c>
      <c r="H281" s="5">
        <v>0</v>
      </c>
      <c r="I281" s="5">
        <v>0</v>
      </c>
      <c r="J281" s="9">
        <v>0</v>
      </c>
      <c r="K281" s="8">
        <v>0</v>
      </c>
      <c r="L281" s="5">
        <v>0</v>
      </c>
      <c r="M281" s="5">
        <v>0</v>
      </c>
      <c r="N281" s="9">
        <v>0</v>
      </c>
      <c r="O281" s="8">
        <v>1</v>
      </c>
      <c r="P281" s="5">
        <v>13</v>
      </c>
      <c r="Q281" s="5">
        <v>0</v>
      </c>
      <c r="R281" s="9">
        <v>0</v>
      </c>
      <c r="S281" s="8">
        <v>1</v>
      </c>
      <c r="T281" s="9">
        <v>0</v>
      </c>
    </row>
    <row r="282" spans="1:20" x14ac:dyDescent="0.2">
      <c r="A282" s="5" t="s">
        <v>123</v>
      </c>
      <c r="B282" s="5" t="s">
        <v>75</v>
      </c>
      <c r="C282" s="17" t="s">
        <v>600</v>
      </c>
      <c r="D282" s="7">
        <f t="shared" si="1"/>
        <v>0.2</v>
      </c>
      <c r="E282" s="8">
        <v>0</v>
      </c>
      <c r="F282" s="5">
        <v>0</v>
      </c>
      <c r="G282" s="5">
        <v>0</v>
      </c>
      <c r="H282" s="5">
        <v>0</v>
      </c>
      <c r="I282" s="5">
        <v>0</v>
      </c>
      <c r="J282" s="9">
        <v>0</v>
      </c>
      <c r="K282" s="8">
        <v>2</v>
      </c>
      <c r="L282" s="5">
        <v>2</v>
      </c>
      <c r="M282" s="5">
        <v>0</v>
      </c>
      <c r="N282" s="9">
        <v>0</v>
      </c>
      <c r="O282" s="8">
        <v>0</v>
      </c>
      <c r="P282" s="5">
        <v>0</v>
      </c>
      <c r="Q282" s="5">
        <v>0</v>
      </c>
      <c r="R282" s="9">
        <v>0</v>
      </c>
      <c r="S282" s="8">
        <v>0</v>
      </c>
      <c r="T282" s="9">
        <v>0</v>
      </c>
    </row>
    <row r="283" spans="1:20" x14ac:dyDescent="0.2">
      <c r="A283" s="5" t="s">
        <v>148</v>
      </c>
      <c r="B283" s="5" t="s">
        <v>75</v>
      </c>
      <c r="C283" s="10" t="s">
        <v>590</v>
      </c>
      <c r="D283" s="7">
        <f t="shared" si="1"/>
        <v>0.2</v>
      </c>
      <c r="E283" s="8">
        <v>0</v>
      </c>
      <c r="F283" s="5">
        <v>0</v>
      </c>
      <c r="G283" s="5">
        <v>0</v>
      </c>
      <c r="H283" s="5">
        <v>0</v>
      </c>
      <c r="I283" s="5">
        <v>0</v>
      </c>
      <c r="J283" s="9">
        <v>0</v>
      </c>
      <c r="K283" s="8">
        <v>3</v>
      </c>
      <c r="L283" s="5">
        <v>2</v>
      </c>
      <c r="M283" s="5">
        <v>0</v>
      </c>
      <c r="N283" s="9">
        <v>0</v>
      </c>
      <c r="O283" s="8">
        <v>0</v>
      </c>
      <c r="P283" s="5">
        <v>0</v>
      </c>
      <c r="Q283" s="5">
        <v>0</v>
      </c>
      <c r="R283" s="9">
        <v>0</v>
      </c>
      <c r="S283" s="8">
        <v>0</v>
      </c>
      <c r="T283" s="9">
        <v>0</v>
      </c>
    </row>
    <row r="284" spans="1:20" x14ac:dyDescent="0.2">
      <c r="A284" s="5" t="s">
        <v>482</v>
      </c>
      <c r="B284" s="5" t="s">
        <v>75</v>
      </c>
      <c r="C284" s="17" t="s">
        <v>592</v>
      </c>
      <c r="D284" s="7">
        <f t="shared" si="1"/>
        <v>0.1</v>
      </c>
      <c r="E284" s="8">
        <v>0</v>
      </c>
      <c r="F284" s="5">
        <v>0</v>
      </c>
      <c r="G284" s="5">
        <v>0</v>
      </c>
      <c r="H284" s="5">
        <v>0</v>
      </c>
      <c r="I284" s="5">
        <v>0</v>
      </c>
      <c r="J284" s="9">
        <v>0</v>
      </c>
      <c r="K284" s="8">
        <v>1</v>
      </c>
      <c r="L284" s="5">
        <v>1</v>
      </c>
      <c r="M284" s="5">
        <v>0</v>
      </c>
      <c r="N284" s="9">
        <v>0</v>
      </c>
      <c r="O284" s="8">
        <v>0</v>
      </c>
      <c r="P284" s="5">
        <v>0</v>
      </c>
      <c r="Q284" s="5">
        <v>0</v>
      </c>
      <c r="R284" s="9">
        <v>0</v>
      </c>
      <c r="S284" s="8">
        <v>0</v>
      </c>
      <c r="T284" s="9">
        <v>0</v>
      </c>
    </row>
    <row r="285" spans="1:20" x14ac:dyDescent="0.2">
      <c r="A285" s="5" t="s">
        <v>453</v>
      </c>
      <c r="B285" s="5" t="s">
        <v>75</v>
      </c>
      <c r="C285" s="10" t="s">
        <v>590</v>
      </c>
      <c r="D285" s="7">
        <f t="shared" si="1"/>
        <v>0</v>
      </c>
      <c r="E285" s="8">
        <v>0</v>
      </c>
      <c r="F285" s="5">
        <v>0</v>
      </c>
      <c r="G285" s="5">
        <v>0</v>
      </c>
      <c r="H285" s="5">
        <v>0</v>
      </c>
      <c r="I285" s="5">
        <v>0</v>
      </c>
      <c r="J285" s="9">
        <v>0</v>
      </c>
      <c r="K285" s="8">
        <v>2</v>
      </c>
      <c r="L285" s="5">
        <v>0</v>
      </c>
      <c r="M285" s="5">
        <v>0</v>
      </c>
      <c r="N285" s="9">
        <v>0</v>
      </c>
      <c r="O285" s="8">
        <v>0</v>
      </c>
      <c r="P285" s="5">
        <v>0</v>
      </c>
      <c r="Q285" s="5">
        <v>0</v>
      </c>
      <c r="R285" s="9">
        <v>0</v>
      </c>
      <c r="S285" s="8">
        <v>0</v>
      </c>
      <c r="T285" s="9">
        <v>0</v>
      </c>
    </row>
    <row r="286" spans="1:20" x14ac:dyDescent="0.2">
      <c r="A286" s="5" t="s">
        <v>94</v>
      </c>
      <c r="B286" s="5" t="s">
        <v>75</v>
      </c>
      <c r="C286" s="10" t="s">
        <v>602</v>
      </c>
      <c r="D286" s="7">
        <f t="shared" si="1"/>
        <v>0</v>
      </c>
      <c r="E286" s="8">
        <v>0</v>
      </c>
      <c r="F286" s="5">
        <v>0</v>
      </c>
      <c r="G286" s="5">
        <v>0</v>
      </c>
      <c r="H286" s="5">
        <v>0</v>
      </c>
      <c r="I286" s="5">
        <v>0</v>
      </c>
      <c r="J286" s="9">
        <v>0</v>
      </c>
      <c r="K286" s="8">
        <v>2</v>
      </c>
      <c r="L286" s="5">
        <v>0</v>
      </c>
      <c r="M286" s="5">
        <v>0</v>
      </c>
      <c r="N286" s="9">
        <v>0</v>
      </c>
      <c r="O286" s="8">
        <v>0</v>
      </c>
      <c r="P286" s="5">
        <v>0</v>
      </c>
      <c r="Q286" s="5">
        <v>0</v>
      </c>
      <c r="R286" s="9">
        <v>0</v>
      </c>
      <c r="S286" s="8">
        <v>0</v>
      </c>
      <c r="T286" s="9">
        <v>0</v>
      </c>
    </row>
    <row r="287" spans="1:20" x14ac:dyDescent="0.2">
      <c r="A287" s="5" t="s">
        <v>359</v>
      </c>
      <c r="B287" s="5" t="s">
        <v>162</v>
      </c>
      <c r="C287" s="10" t="s">
        <v>588</v>
      </c>
      <c r="D287" s="7">
        <f t="shared" si="1"/>
        <v>0</v>
      </c>
      <c r="E287" s="8">
        <v>0</v>
      </c>
      <c r="F287" s="5">
        <v>0</v>
      </c>
      <c r="G287" s="5">
        <v>0</v>
      </c>
      <c r="H287" s="5">
        <v>0</v>
      </c>
      <c r="I287" s="5">
        <v>0</v>
      </c>
      <c r="J287" s="9">
        <v>0</v>
      </c>
      <c r="K287" s="8">
        <v>1</v>
      </c>
      <c r="L287" s="5">
        <v>0</v>
      </c>
      <c r="M287" s="5">
        <v>0</v>
      </c>
      <c r="N287" s="9">
        <v>0</v>
      </c>
      <c r="O287" s="8">
        <v>0</v>
      </c>
      <c r="P287" s="5">
        <v>0</v>
      </c>
      <c r="Q287" s="5">
        <v>0</v>
      </c>
      <c r="R287" s="9">
        <v>0</v>
      </c>
      <c r="S287" s="8">
        <v>0</v>
      </c>
      <c r="T287" s="9">
        <v>0</v>
      </c>
    </row>
    <row r="288" spans="1:20" x14ac:dyDescent="0.2">
      <c r="A288" s="5" t="s">
        <v>72</v>
      </c>
      <c r="B288" s="5" t="s">
        <v>17</v>
      </c>
      <c r="C288" s="10" t="s">
        <v>586</v>
      </c>
      <c r="D288" s="7">
        <f t="shared" si="1"/>
        <v>-0.18000000000000005</v>
      </c>
      <c r="E288" s="8">
        <v>3</v>
      </c>
      <c r="F288" s="5">
        <v>2</v>
      </c>
      <c r="G288" s="5">
        <v>3</v>
      </c>
      <c r="H288" s="5">
        <v>0</v>
      </c>
      <c r="I288" s="5">
        <v>0</v>
      </c>
      <c r="J288" s="9">
        <v>0</v>
      </c>
      <c r="K288" s="8">
        <v>3</v>
      </c>
      <c r="L288" s="5">
        <v>-3</v>
      </c>
      <c r="M288" s="5">
        <v>0</v>
      </c>
      <c r="N288" s="9">
        <v>0</v>
      </c>
      <c r="O288" s="8">
        <v>0</v>
      </c>
      <c r="P288" s="5">
        <v>0</v>
      </c>
      <c r="Q288" s="5">
        <v>0</v>
      </c>
      <c r="R288" s="9">
        <v>0</v>
      </c>
      <c r="S288" s="8">
        <v>0</v>
      </c>
      <c r="T288" s="9">
        <v>0</v>
      </c>
    </row>
    <row r="289" spans="1:20" x14ac:dyDescent="0.2">
      <c r="A289" s="5" t="s">
        <v>610</v>
      </c>
      <c r="B289" s="5" t="s">
        <v>162</v>
      </c>
      <c r="C289" s="17" t="s">
        <v>597</v>
      </c>
      <c r="D289" s="7">
        <f t="shared" si="1"/>
        <v>-0.2</v>
      </c>
      <c r="E289" s="8">
        <v>0</v>
      </c>
      <c r="F289" s="5">
        <v>0</v>
      </c>
      <c r="G289" s="5">
        <v>0</v>
      </c>
      <c r="H289" s="5">
        <v>0</v>
      </c>
      <c r="I289" s="5">
        <v>0</v>
      </c>
      <c r="J289" s="9">
        <v>0</v>
      </c>
      <c r="K289" s="8">
        <v>1</v>
      </c>
      <c r="L289" s="5">
        <v>-2</v>
      </c>
      <c r="M289" s="5">
        <v>0</v>
      </c>
      <c r="N289" s="9">
        <v>0</v>
      </c>
      <c r="O289" s="8">
        <v>0</v>
      </c>
      <c r="P289" s="5">
        <v>0</v>
      </c>
      <c r="Q289" s="5">
        <v>0</v>
      </c>
      <c r="R289" s="9">
        <v>0</v>
      </c>
      <c r="S289" s="8">
        <v>0</v>
      </c>
      <c r="T289" s="9">
        <v>0</v>
      </c>
    </row>
    <row r="290" spans="1:20" x14ac:dyDescent="0.2">
      <c r="A290" s="5" t="s">
        <v>611</v>
      </c>
      <c r="B290" s="5" t="s">
        <v>162</v>
      </c>
      <c r="C290" s="10" t="s">
        <v>598</v>
      </c>
      <c r="D290" s="7">
        <f t="shared" si="1"/>
        <v>-0.5</v>
      </c>
      <c r="E290" s="8">
        <v>0</v>
      </c>
      <c r="F290" s="5">
        <v>0</v>
      </c>
      <c r="G290" s="5">
        <v>0</v>
      </c>
      <c r="H290" s="5">
        <v>0</v>
      </c>
      <c r="I290" s="5">
        <v>0</v>
      </c>
      <c r="J290" s="9">
        <v>0</v>
      </c>
      <c r="K290" s="8">
        <v>1</v>
      </c>
      <c r="L290" s="5">
        <v>-5</v>
      </c>
      <c r="M290" s="5">
        <v>0</v>
      </c>
      <c r="N290" s="9">
        <v>0</v>
      </c>
      <c r="O290" s="8">
        <v>0</v>
      </c>
      <c r="P290" s="5">
        <v>0</v>
      </c>
      <c r="Q290" s="5">
        <v>0</v>
      </c>
      <c r="R290" s="9">
        <v>0</v>
      </c>
      <c r="S290" s="8">
        <v>0</v>
      </c>
      <c r="T290" s="9">
        <v>0</v>
      </c>
    </row>
    <row r="291" spans="1:20" x14ac:dyDescent="0.2">
      <c r="A291" s="5" t="s">
        <v>454</v>
      </c>
      <c r="B291" s="5" t="s">
        <v>162</v>
      </c>
      <c r="C291" s="17" t="s">
        <v>598</v>
      </c>
      <c r="D291" s="7">
        <f t="shared" si="1"/>
        <v>-0.5</v>
      </c>
      <c r="E291" s="8">
        <v>0</v>
      </c>
      <c r="F291" s="5">
        <v>0</v>
      </c>
      <c r="G291" s="5">
        <v>0</v>
      </c>
      <c r="H291" s="5">
        <v>0</v>
      </c>
      <c r="I291" s="5">
        <v>0</v>
      </c>
      <c r="J291" s="9">
        <v>0</v>
      </c>
      <c r="K291" s="8">
        <v>1</v>
      </c>
      <c r="L291" s="5">
        <v>-5</v>
      </c>
      <c r="M291" s="5">
        <v>0</v>
      </c>
      <c r="N291" s="9">
        <v>0</v>
      </c>
      <c r="O291" s="8">
        <v>0</v>
      </c>
      <c r="P291" s="5">
        <v>0</v>
      </c>
      <c r="Q291" s="5">
        <v>0</v>
      </c>
      <c r="R291" s="9">
        <v>0</v>
      </c>
      <c r="S291" s="8">
        <v>0</v>
      </c>
      <c r="T291" s="9">
        <v>0</v>
      </c>
    </row>
    <row r="292" spans="1:20" x14ac:dyDescent="0.2">
      <c r="A292" s="5" t="s">
        <v>112</v>
      </c>
      <c r="B292" s="5" t="s">
        <v>75</v>
      </c>
      <c r="C292" s="17" t="s">
        <v>595</v>
      </c>
      <c r="D292" s="7">
        <f t="shared" si="1"/>
        <v>-1.1000000000000001</v>
      </c>
      <c r="E292" s="8">
        <v>0</v>
      </c>
      <c r="F292" s="5">
        <v>0</v>
      </c>
      <c r="G292" s="5">
        <v>0</v>
      </c>
      <c r="H292" s="5">
        <v>0</v>
      </c>
      <c r="I292" s="5">
        <v>0</v>
      </c>
      <c r="J292" s="9">
        <v>0</v>
      </c>
      <c r="K292" s="8">
        <v>3</v>
      </c>
      <c r="L292" s="5">
        <v>9</v>
      </c>
      <c r="M292" s="5">
        <v>0</v>
      </c>
      <c r="N292" s="9">
        <v>0</v>
      </c>
      <c r="O292" s="8">
        <v>0</v>
      </c>
      <c r="P292" s="5">
        <v>0</v>
      </c>
      <c r="Q292" s="5">
        <v>0</v>
      </c>
      <c r="R292" s="9">
        <v>0</v>
      </c>
      <c r="S292" s="8">
        <v>1</v>
      </c>
      <c r="T292" s="9">
        <v>0</v>
      </c>
    </row>
    <row r="293" spans="1:20" x14ac:dyDescent="0.2">
      <c r="A293" s="5" t="s">
        <v>612</v>
      </c>
      <c r="B293" s="5" t="s">
        <v>17</v>
      </c>
      <c r="C293" s="17" t="s">
        <v>599</v>
      </c>
      <c r="D293" s="7">
        <f t="shared" si="1"/>
        <v>-1.18</v>
      </c>
      <c r="E293" s="8">
        <v>4</v>
      </c>
      <c r="F293" s="5">
        <v>3</v>
      </c>
      <c r="G293" s="5">
        <v>23</v>
      </c>
      <c r="H293" s="5">
        <v>0</v>
      </c>
      <c r="I293" s="5">
        <v>0</v>
      </c>
      <c r="J293" s="9">
        <v>0</v>
      </c>
      <c r="K293" s="8">
        <v>2</v>
      </c>
      <c r="L293" s="5">
        <v>-1</v>
      </c>
      <c r="M293" s="5">
        <v>0</v>
      </c>
      <c r="N293" s="9">
        <v>0</v>
      </c>
      <c r="O293" s="8">
        <v>0</v>
      </c>
      <c r="P293" s="5">
        <v>0</v>
      </c>
      <c r="Q293" s="5">
        <v>0</v>
      </c>
      <c r="R293" s="9">
        <v>0</v>
      </c>
      <c r="S293" s="8">
        <v>1</v>
      </c>
      <c r="T293" s="9">
        <v>0</v>
      </c>
    </row>
    <row r="294" spans="1:20" x14ac:dyDescent="0.2">
      <c r="A294" s="5" t="s">
        <v>550</v>
      </c>
      <c r="B294" s="5" t="s">
        <v>17</v>
      </c>
      <c r="C294" s="10" t="s">
        <v>587</v>
      </c>
      <c r="D294" s="7">
        <f t="shared" si="1"/>
        <v>-1.6</v>
      </c>
      <c r="E294" s="8">
        <v>0</v>
      </c>
      <c r="F294" s="5">
        <v>0</v>
      </c>
      <c r="G294" s="5">
        <v>0</v>
      </c>
      <c r="H294" s="5">
        <v>0</v>
      </c>
      <c r="I294" s="5">
        <v>0</v>
      </c>
      <c r="J294" s="9">
        <v>0</v>
      </c>
      <c r="K294" s="8">
        <v>2</v>
      </c>
      <c r="L294" s="5">
        <v>4</v>
      </c>
      <c r="M294" s="5">
        <v>0</v>
      </c>
      <c r="N294" s="9">
        <v>0</v>
      </c>
      <c r="O294" s="8">
        <v>0</v>
      </c>
      <c r="P294" s="5">
        <v>0</v>
      </c>
      <c r="Q294" s="5">
        <v>0</v>
      </c>
      <c r="R294" s="9">
        <v>0</v>
      </c>
      <c r="S294" s="8">
        <v>1</v>
      </c>
      <c r="T294" s="9">
        <v>0</v>
      </c>
    </row>
    <row r="295" spans="1:20" x14ac:dyDescent="0.2">
      <c r="A295" s="5" t="s">
        <v>320</v>
      </c>
      <c r="B295" s="5"/>
      <c r="C295" s="10"/>
      <c r="D295" s="5">
        <v>0</v>
      </c>
      <c r="E295" s="8"/>
      <c r="F295" s="5"/>
      <c r="G295" s="5"/>
      <c r="H295" s="5"/>
      <c r="I295" s="5"/>
      <c r="J295" s="9"/>
      <c r="K295" s="8"/>
      <c r="L295" s="5"/>
      <c r="M295" s="5"/>
      <c r="N295" s="9"/>
      <c r="O295" s="8"/>
      <c r="P295" s="5"/>
      <c r="Q295" s="5"/>
      <c r="R295" s="9"/>
      <c r="S295" s="8"/>
      <c r="T295" s="9"/>
    </row>
    <row r="296" spans="1:20" x14ac:dyDescent="0.2">
      <c r="A296" s="18"/>
      <c r="C296" s="10"/>
      <c r="D296" s="10"/>
      <c r="E296" s="8"/>
      <c r="J296" s="9"/>
      <c r="K296" s="8"/>
      <c r="N296" s="9"/>
      <c r="O296" s="8"/>
      <c r="R296" s="9"/>
      <c r="S296" s="8"/>
      <c r="T296" s="9"/>
    </row>
    <row r="297" spans="1:20" x14ac:dyDescent="0.2">
      <c r="C297" s="10"/>
      <c r="D297" s="10"/>
      <c r="E297" s="8"/>
      <c r="J297" s="9"/>
      <c r="K297" s="8"/>
      <c r="N297" s="9"/>
      <c r="O297" s="8"/>
      <c r="R297" s="9"/>
      <c r="S297" s="8"/>
      <c r="T297" s="9"/>
    </row>
    <row r="298" spans="1:20" x14ac:dyDescent="0.2">
      <c r="C298" s="10"/>
      <c r="D298" s="10"/>
      <c r="E298" s="8"/>
      <c r="J298" s="9"/>
      <c r="K298" s="8"/>
      <c r="N298" s="9"/>
      <c r="O298" s="8"/>
      <c r="R298" s="9"/>
      <c r="S298" s="8"/>
      <c r="T298" s="9"/>
    </row>
    <row r="299" spans="1:20" x14ac:dyDescent="0.2">
      <c r="C299" s="10"/>
      <c r="D299" s="10"/>
      <c r="E299" s="8"/>
      <c r="J299" s="9"/>
      <c r="K299" s="8"/>
      <c r="N299" s="9"/>
      <c r="O299" s="8"/>
      <c r="R299" s="9"/>
      <c r="S299" s="8"/>
      <c r="T299" s="9"/>
    </row>
    <row r="300" spans="1:20" x14ac:dyDescent="0.2">
      <c r="C300" s="10"/>
      <c r="D300" s="10"/>
      <c r="E300" s="8"/>
      <c r="J300" s="9"/>
      <c r="K300" s="8"/>
      <c r="N300" s="9"/>
      <c r="O300" s="8"/>
      <c r="R300" s="9"/>
      <c r="S300" s="8"/>
      <c r="T300" s="9"/>
    </row>
  </sheetData>
  <autoFilter ref="A2:T295" xr:uid="{00000000-0009-0000-0000-000007000000}">
    <sortState xmlns:xlrd2="http://schemas.microsoft.com/office/spreadsheetml/2017/richdata2" ref="A2:T295">
      <sortCondition descending="1" ref="D2:D295"/>
    </sortState>
  </autoFilter>
  <mergeCells count="4">
    <mergeCell ref="E1:J1"/>
    <mergeCell ref="K1:N1"/>
    <mergeCell ref="O1:R1"/>
    <mergeCell ref="S1:T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T270"/>
  <sheetViews>
    <sheetView workbookViewId="0"/>
  </sheetViews>
  <sheetFormatPr defaultColWidth="12.5703125" defaultRowHeight="15.75" customHeight="1" x14ac:dyDescent="0.2"/>
  <cols>
    <col min="1" max="1" width="19.85546875" customWidth="1"/>
    <col min="2" max="2" width="9.85546875" customWidth="1"/>
    <col min="3" max="3" width="9.140625" customWidth="1"/>
    <col min="4" max="4" width="6.42578125" customWidth="1"/>
    <col min="5" max="6" width="7.140625" customWidth="1"/>
    <col min="7" max="7" width="6.28515625" customWidth="1"/>
    <col min="8" max="8" width="5.42578125" customWidth="1"/>
    <col min="9" max="9" width="6.140625" customWidth="1"/>
    <col min="10" max="10" width="6" customWidth="1"/>
    <col min="11" max="11" width="7.42578125" customWidth="1"/>
    <col min="12" max="12" width="6.28515625" customWidth="1"/>
    <col min="13" max="13" width="5.5703125" customWidth="1"/>
    <col min="14" max="14" width="6" customWidth="1"/>
    <col min="15" max="15" width="7" customWidth="1"/>
    <col min="16" max="16" width="6.28515625" customWidth="1"/>
    <col min="17" max="17" width="5.42578125" customWidth="1"/>
    <col min="18" max="18" width="6" customWidth="1"/>
    <col min="19" max="19" width="6.42578125" customWidth="1"/>
    <col min="20" max="20" width="5.7109375" customWidth="1"/>
  </cols>
  <sheetData>
    <row r="1" spans="1:20" x14ac:dyDescent="0.2">
      <c r="A1" s="1"/>
      <c r="B1" s="2"/>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53</v>
      </c>
      <c r="B3" s="5" t="s">
        <v>17</v>
      </c>
      <c r="C3" s="10" t="s">
        <v>613</v>
      </c>
      <c r="D3" s="7">
        <f t="shared" ref="D3:D257" si="0">0.04*G3+4*H3-2*I3+2*J3+0.1*L3+6*M3+2*N3+1*O3+0.1*P3+6*Q3+2*R3-2*S3</f>
        <v>41.8</v>
      </c>
      <c r="E3" s="8">
        <v>42</v>
      </c>
      <c r="F3" s="5">
        <v>30</v>
      </c>
      <c r="G3" s="5">
        <v>470</v>
      </c>
      <c r="H3" s="5">
        <v>5</v>
      </c>
      <c r="I3" s="5">
        <v>0</v>
      </c>
      <c r="J3" s="9">
        <v>0</v>
      </c>
      <c r="K3" s="8">
        <v>0</v>
      </c>
      <c r="L3" s="5">
        <v>10</v>
      </c>
      <c r="M3" s="5">
        <v>0</v>
      </c>
      <c r="N3" s="9">
        <v>1</v>
      </c>
      <c r="O3" s="8">
        <v>0</v>
      </c>
      <c r="P3" s="5">
        <v>0</v>
      </c>
      <c r="Q3" s="5">
        <v>0</v>
      </c>
      <c r="R3" s="9">
        <v>0</v>
      </c>
      <c r="S3" s="8">
        <v>0</v>
      </c>
      <c r="T3" s="5">
        <v>0</v>
      </c>
    </row>
    <row r="4" spans="1:20" x14ac:dyDescent="0.2">
      <c r="A4" s="5" t="s">
        <v>219</v>
      </c>
      <c r="B4" s="5" t="s">
        <v>162</v>
      </c>
      <c r="C4" s="10" t="s">
        <v>613</v>
      </c>
      <c r="D4" s="7">
        <f t="shared" si="0"/>
        <v>29.6</v>
      </c>
      <c r="E4" s="8">
        <v>0</v>
      </c>
      <c r="F4" s="5">
        <v>0</v>
      </c>
      <c r="G4" s="5">
        <v>0</v>
      </c>
      <c r="H4" s="5">
        <v>0</v>
      </c>
      <c r="I4" s="5">
        <v>0</v>
      </c>
      <c r="J4" s="9">
        <v>0</v>
      </c>
      <c r="K4" s="8">
        <v>2</v>
      </c>
      <c r="L4" s="5">
        <v>2</v>
      </c>
      <c r="M4" s="5">
        <v>0</v>
      </c>
      <c r="N4" s="9">
        <v>0</v>
      </c>
      <c r="O4" s="8">
        <v>6</v>
      </c>
      <c r="P4" s="5">
        <v>114</v>
      </c>
      <c r="Q4" s="5">
        <v>2</v>
      </c>
      <c r="R4" s="9">
        <v>0</v>
      </c>
      <c r="S4" s="8">
        <v>0</v>
      </c>
      <c r="T4" s="5">
        <v>0</v>
      </c>
    </row>
    <row r="5" spans="1:20" x14ac:dyDescent="0.2">
      <c r="A5" s="5" t="s">
        <v>59</v>
      </c>
      <c r="B5" s="5" t="s">
        <v>17</v>
      </c>
      <c r="C5" s="17" t="s">
        <v>614</v>
      </c>
      <c r="D5" s="7">
        <f t="shared" si="0"/>
        <v>28.36</v>
      </c>
      <c r="E5" s="8">
        <v>44</v>
      </c>
      <c r="F5" s="5">
        <v>29</v>
      </c>
      <c r="G5" s="5">
        <v>374</v>
      </c>
      <c r="H5" s="5">
        <v>3</v>
      </c>
      <c r="I5" s="5">
        <v>0</v>
      </c>
      <c r="J5" s="9">
        <v>0</v>
      </c>
      <c r="K5" s="8">
        <v>6</v>
      </c>
      <c r="L5" s="5">
        <v>14</v>
      </c>
      <c r="M5" s="5">
        <v>0</v>
      </c>
      <c r="N5" s="9">
        <v>0</v>
      </c>
      <c r="O5" s="8">
        <v>0</v>
      </c>
      <c r="P5" s="5">
        <v>0</v>
      </c>
      <c r="Q5" s="5">
        <v>0</v>
      </c>
      <c r="R5" s="9">
        <v>0</v>
      </c>
      <c r="S5" s="8">
        <v>0</v>
      </c>
      <c r="T5" s="5">
        <v>0</v>
      </c>
    </row>
    <row r="6" spans="1:20" x14ac:dyDescent="0.2">
      <c r="A6" s="5" t="s">
        <v>192</v>
      </c>
      <c r="B6" s="5" t="s">
        <v>162</v>
      </c>
      <c r="C6" s="17" t="s">
        <v>614</v>
      </c>
      <c r="D6" s="7">
        <f t="shared" si="0"/>
        <v>28.1</v>
      </c>
      <c r="E6" s="8">
        <v>0</v>
      </c>
      <c r="F6" s="5">
        <v>0</v>
      </c>
      <c r="G6" s="5">
        <v>0</v>
      </c>
      <c r="H6" s="5">
        <v>0</v>
      </c>
      <c r="I6" s="5">
        <v>0</v>
      </c>
      <c r="J6" s="9">
        <v>0</v>
      </c>
      <c r="K6" s="8">
        <v>0</v>
      </c>
      <c r="L6" s="5">
        <v>0</v>
      </c>
      <c r="M6" s="5">
        <v>0</v>
      </c>
      <c r="N6" s="9">
        <v>0</v>
      </c>
      <c r="O6" s="8">
        <v>11</v>
      </c>
      <c r="P6" s="5">
        <v>191</v>
      </c>
      <c r="Q6" s="5">
        <v>0</v>
      </c>
      <c r="R6" s="9">
        <v>0</v>
      </c>
      <c r="S6" s="8">
        <v>1</v>
      </c>
      <c r="T6" s="5">
        <v>0</v>
      </c>
    </row>
    <row r="7" spans="1:20" x14ac:dyDescent="0.2">
      <c r="A7" s="5" t="s">
        <v>114</v>
      </c>
      <c r="B7" s="5" t="s">
        <v>75</v>
      </c>
      <c r="C7" s="17" t="s">
        <v>613</v>
      </c>
      <c r="D7" s="7">
        <f t="shared" si="0"/>
        <v>27.900000000000002</v>
      </c>
      <c r="E7" s="8">
        <v>0</v>
      </c>
      <c r="F7" s="5">
        <v>0</v>
      </c>
      <c r="G7" s="5">
        <v>0</v>
      </c>
      <c r="H7" s="5">
        <v>0</v>
      </c>
      <c r="I7" s="5">
        <v>0</v>
      </c>
      <c r="J7" s="9">
        <v>0</v>
      </c>
      <c r="K7" s="8">
        <v>20</v>
      </c>
      <c r="L7" s="5">
        <v>73</v>
      </c>
      <c r="M7" s="5">
        <v>2</v>
      </c>
      <c r="N7" s="9">
        <v>0</v>
      </c>
      <c r="O7" s="8">
        <v>4</v>
      </c>
      <c r="P7" s="5">
        <v>46</v>
      </c>
      <c r="Q7" s="5">
        <v>0</v>
      </c>
      <c r="R7" s="9">
        <v>0</v>
      </c>
      <c r="S7" s="8">
        <v>0</v>
      </c>
      <c r="T7" s="5">
        <v>0</v>
      </c>
    </row>
    <row r="8" spans="1:20" x14ac:dyDescent="0.2">
      <c r="A8" s="5" t="s">
        <v>229</v>
      </c>
      <c r="B8" s="5" t="s">
        <v>162</v>
      </c>
      <c r="C8" s="10" t="s">
        <v>613</v>
      </c>
      <c r="D8" s="7">
        <f t="shared" si="0"/>
        <v>27.3</v>
      </c>
      <c r="E8" s="8">
        <v>0</v>
      </c>
      <c r="F8" s="5">
        <v>0</v>
      </c>
      <c r="G8" s="5">
        <v>0</v>
      </c>
      <c r="H8" s="5">
        <v>0</v>
      </c>
      <c r="I8" s="5">
        <v>0</v>
      </c>
      <c r="J8" s="9">
        <v>0</v>
      </c>
      <c r="K8" s="8">
        <v>0</v>
      </c>
      <c r="L8" s="5">
        <v>0</v>
      </c>
      <c r="M8" s="5">
        <v>0</v>
      </c>
      <c r="N8" s="9">
        <v>0</v>
      </c>
      <c r="O8" s="8">
        <v>6</v>
      </c>
      <c r="P8" s="5">
        <v>153</v>
      </c>
      <c r="Q8" s="5">
        <v>1</v>
      </c>
      <c r="R8" s="9">
        <v>0</v>
      </c>
      <c r="S8" s="8">
        <v>0</v>
      </c>
      <c r="T8" s="5">
        <v>0</v>
      </c>
    </row>
    <row r="9" spans="1:20" x14ac:dyDescent="0.2">
      <c r="A9" s="5" t="s">
        <v>313</v>
      </c>
      <c r="B9" s="5" t="s">
        <v>69</v>
      </c>
      <c r="C9" s="10" t="s">
        <v>613</v>
      </c>
      <c r="D9" s="7">
        <f t="shared" si="0"/>
        <v>27</v>
      </c>
      <c r="E9" s="8">
        <v>0</v>
      </c>
      <c r="F9" s="5">
        <v>0</v>
      </c>
      <c r="G9" s="5">
        <v>0</v>
      </c>
      <c r="H9" s="5">
        <v>0</v>
      </c>
      <c r="I9" s="5">
        <v>0</v>
      </c>
      <c r="J9" s="9">
        <v>0</v>
      </c>
      <c r="K9" s="8">
        <v>0</v>
      </c>
      <c r="L9" s="5">
        <v>0</v>
      </c>
      <c r="M9" s="5">
        <v>0</v>
      </c>
      <c r="N9" s="9">
        <v>0</v>
      </c>
      <c r="O9" s="8">
        <v>10</v>
      </c>
      <c r="P9" s="5">
        <v>130</v>
      </c>
      <c r="Q9" s="5">
        <v>1</v>
      </c>
      <c r="R9" s="9">
        <v>0</v>
      </c>
      <c r="S9" s="8">
        <v>1</v>
      </c>
      <c r="T9" s="5">
        <v>0</v>
      </c>
    </row>
    <row r="10" spans="1:20" x14ac:dyDescent="0.2">
      <c r="A10" s="5" t="s">
        <v>45</v>
      </c>
      <c r="B10" s="5" t="s">
        <v>17</v>
      </c>
      <c r="C10" s="10" t="s">
        <v>614</v>
      </c>
      <c r="D10" s="7">
        <f t="shared" si="0"/>
        <v>25.880000000000003</v>
      </c>
      <c r="E10" s="8">
        <v>23</v>
      </c>
      <c r="F10" s="5">
        <v>17</v>
      </c>
      <c r="G10" s="5">
        <v>207</v>
      </c>
      <c r="H10" s="5">
        <v>2</v>
      </c>
      <c r="I10" s="5">
        <v>0</v>
      </c>
      <c r="J10" s="9">
        <v>0</v>
      </c>
      <c r="K10" s="8">
        <v>10</v>
      </c>
      <c r="L10" s="5">
        <v>36</v>
      </c>
      <c r="M10" s="5">
        <v>1</v>
      </c>
      <c r="N10" s="9">
        <v>0</v>
      </c>
      <c r="O10" s="8">
        <v>0</v>
      </c>
      <c r="P10" s="5">
        <v>0</v>
      </c>
      <c r="Q10" s="5">
        <v>0</v>
      </c>
      <c r="R10" s="9">
        <v>0</v>
      </c>
      <c r="S10" s="8">
        <v>0</v>
      </c>
      <c r="T10" s="5">
        <v>0</v>
      </c>
    </row>
    <row r="11" spans="1:20" x14ac:dyDescent="0.2">
      <c r="A11" s="5" t="s">
        <v>63</v>
      </c>
      <c r="B11" s="5" t="s">
        <v>17</v>
      </c>
      <c r="C11" s="17" t="s">
        <v>615</v>
      </c>
      <c r="D11" s="7">
        <f t="shared" si="0"/>
        <v>24.92</v>
      </c>
      <c r="E11" s="8">
        <v>30</v>
      </c>
      <c r="F11" s="5">
        <v>20</v>
      </c>
      <c r="G11" s="5">
        <v>158</v>
      </c>
      <c r="H11" s="5">
        <v>2</v>
      </c>
      <c r="I11" s="5">
        <v>0</v>
      </c>
      <c r="J11" s="9">
        <v>1</v>
      </c>
      <c r="K11" s="8">
        <v>7</v>
      </c>
      <c r="L11" s="5">
        <v>66</v>
      </c>
      <c r="M11" s="5">
        <v>1</v>
      </c>
      <c r="N11" s="9">
        <v>0</v>
      </c>
      <c r="O11" s="8">
        <v>0</v>
      </c>
      <c r="P11" s="5">
        <v>0</v>
      </c>
      <c r="Q11" s="5">
        <v>0</v>
      </c>
      <c r="R11" s="9">
        <v>0</v>
      </c>
      <c r="S11" s="8">
        <v>2</v>
      </c>
      <c r="T11" s="5">
        <v>0</v>
      </c>
    </row>
    <row r="12" spans="1:20" x14ac:dyDescent="0.2">
      <c r="A12" s="5" t="s">
        <v>218</v>
      </c>
      <c r="B12" s="5" t="s">
        <v>162</v>
      </c>
      <c r="C12" s="10" t="s">
        <v>616</v>
      </c>
      <c r="D12" s="7">
        <f t="shared" si="0"/>
        <v>24.9</v>
      </c>
      <c r="E12" s="8">
        <v>0</v>
      </c>
      <c r="F12" s="5">
        <v>0</v>
      </c>
      <c r="G12" s="5">
        <v>0</v>
      </c>
      <c r="H12" s="5">
        <v>0</v>
      </c>
      <c r="I12" s="5">
        <v>0</v>
      </c>
      <c r="J12" s="9">
        <v>0</v>
      </c>
      <c r="K12" s="8">
        <v>0</v>
      </c>
      <c r="L12" s="5">
        <v>0</v>
      </c>
      <c r="M12" s="5">
        <v>0</v>
      </c>
      <c r="N12" s="9">
        <v>0</v>
      </c>
      <c r="O12" s="8">
        <v>5</v>
      </c>
      <c r="P12" s="5">
        <v>139</v>
      </c>
      <c r="Q12" s="5">
        <v>1</v>
      </c>
      <c r="R12" s="9">
        <v>0</v>
      </c>
      <c r="S12" s="8">
        <v>0</v>
      </c>
      <c r="T12" s="5">
        <v>0</v>
      </c>
    </row>
    <row r="13" spans="1:20" x14ac:dyDescent="0.2">
      <c r="A13" s="5" t="s">
        <v>48</v>
      </c>
      <c r="B13" s="5" t="s">
        <v>17</v>
      </c>
      <c r="C13" s="17" t="s">
        <v>617</v>
      </c>
      <c r="D13" s="7">
        <f t="shared" si="0"/>
        <v>24.72</v>
      </c>
      <c r="E13" s="8">
        <v>38</v>
      </c>
      <c r="F13" s="5">
        <v>26</v>
      </c>
      <c r="G13" s="5">
        <v>258</v>
      </c>
      <c r="H13" s="5">
        <v>1</v>
      </c>
      <c r="I13" s="5">
        <v>1</v>
      </c>
      <c r="J13" s="9">
        <v>1</v>
      </c>
      <c r="K13" s="8">
        <v>8</v>
      </c>
      <c r="L13" s="5">
        <v>44</v>
      </c>
      <c r="M13" s="5">
        <v>1</v>
      </c>
      <c r="N13" s="9">
        <v>0</v>
      </c>
      <c r="O13" s="8">
        <v>0</v>
      </c>
      <c r="P13" s="5">
        <v>0</v>
      </c>
      <c r="Q13" s="5">
        <v>0</v>
      </c>
      <c r="R13" s="9">
        <v>0</v>
      </c>
      <c r="S13" s="8">
        <v>0</v>
      </c>
      <c r="T13" s="5">
        <v>0</v>
      </c>
    </row>
    <row r="14" spans="1:20" x14ac:dyDescent="0.2">
      <c r="A14" s="5" t="s">
        <v>277</v>
      </c>
      <c r="B14" s="5" t="s">
        <v>69</v>
      </c>
      <c r="C14" s="17" t="s">
        <v>618</v>
      </c>
      <c r="D14" s="7">
        <f t="shared" si="0"/>
        <v>23.5</v>
      </c>
      <c r="E14" s="8">
        <v>0</v>
      </c>
      <c r="F14" s="5">
        <v>0</v>
      </c>
      <c r="G14" s="5">
        <v>0</v>
      </c>
      <c r="H14" s="5">
        <v>0</v>
      </c>
      <c r="I14" s="5">
        <v>0</v>
      </c>
      <c r="J14" s="9">
        <v>0</v>
      </c>
      <c r="K14" s="8">
        <v>0</v>
      </c>
      <c r="L14" s="5">
        <v>0</v>
      </c>
      <c r="M14" s="5">
        <v>0</v>
      </c>
      <c r="N14" s="9">
        <v>0</v>
      </c>
      <c r="O14" s="8">
        <v>6</v>
      </c>
      <c r="P14" s="5">
        <v>55</v>
      </c>
      <c r="Q14" s="5">
        <v>2</v>
      </c>
      <c r="R14" s="9">
        <v>0</v>
      </c>
      <c r="S14" s="8">
        <v>0</v>
      </c>
      <c r="T14" s="5">
        <v>0</v>
      </c>
    </row>
    <row r="15" spans="1:20" x14ac:dyDescent="0.2">
      <c r="A15" s="5" t="s">
        <v>309</v>
      </c>
      <c r="B15" s="5" t="s">
        <v>69</v>
      </c>
      <c r="C15" s="17" t="s">
        <v>613</v>
      </c>
      <c r="D15" s="7">
        <f t="shared" si="0"/>
        <v>23</v>
      </c>
      <c r="E15" s="8">
        <v>0</v>
      </c>
      <c r="F15" s="5">
        <v>0</v>
      </c>
      <c r="G15" s="5">
        <v>0</v>
      </c>
      <c r="H15" s="5">
        <v>0</v>
      </c>
      <c r="I15" s="5">
        <v>0</v>
      </c>
      <c r="J15" s="9">
        <v>0</v>
      </c>
      <c r="K15" s="8">
        <v>0</v>
      </c>
      <c r="L15" s="5">
        <v>0</v>
      </c>
      <c r="M15" s="5">
        <v>0</v>
      </c>
      <c r="N15" s="9">
        <v>0</v>
      </c>
      <c r="O15" s="8">
        <v>6</v>
      </c>
      <c r="P15" s="5">
        <v>70</v>
      </c>
      <c r="Q15" s="5">
        <v>2</v>
      </c>
      <c r="R15" s="9">
        <v>0</v>
      </c>
      <c r="S15" s="8">
        <v>1</v>
      </c>
      <c r="T15" s="5">
        <v>0</v>
      </c>
    </row>
    <row r="16" spans="1:20" x14ac:dyDescent="0.2">
      <c r="A16" s="5" t="s">
        <v>87</v>
      </c>
      <c r="B16" s="5" t="s">
        <v>75</v>
      </c>
      <c r="C16" s="10" t="s">
        <v>619</v>
      </c>
      <c r="D16" s="7">
        <f t="shared" si="0"/>
        <v>22.900000000000002</v>
      </c>
      <c r="E16" s="8">
        <v>0</v>
      </c>
      <c r="F16" s="5">
        <v>0</v>
      </c>
      <c r="G16" s="5">
        <v>0</v>
      </c>
      <c r="H16" s="5">
        <v>0</v>
      </c>
      <c r="I16" s="5">
        <v>0</v>
      </c>
      <c r="J16" s="9">
        <v>0</v>
      </c>
      <c r="K16" s="8">
        <v>9</v>
      </c>
      <c r="L16" s="5">
        <v>87</v>
      </c>
      <c r="M16" s="5">
        <v>1</v>
      </c>
      <c r="N16" s="9">
        <v>0</v>
      </c>
      <c r="O16" s="8">
        <v>4</v>
      </c>
      <c r="P16" s="5">
        <v>42</v>
      </c>
      <c r="Q16" s="5">
        <v>0</v>
      </c>
      <c r="R16" s="9">
        <v>0</v>
      </c>
      <c r="S16" s="8">
        <v>0</v>
      </c>
      <c r="T16" s="5">
        <v>0</v>
      </c>
    </row>
    <row r="17" spans="1:20" x14ac:dyDescent="0.2">
      <c r="A17" s="5" t="s">
        <v>165</v>
      </c>
      <c r="B17" s="5" t="s">
        <v>162</v>
      </c>
      <c r="C17" s="17" t="s">
        <v>617</v>
      </c>
      <c r="D17" s="7">
        <f t="shared" si="0"/>
        <v>22.6</v>
      </c>
      <c r="E17" s="8">
        <v>0</v>
      </c>
      <c r="F17" s="5">
        <v>0</v>
      </c>
      <c r="G17" s="5">
        <v>0</v>
      </c>
      <c r="H17" s="5">
        <v>0</v>
      </c>
      <c r="I17" s="5">
        <v>0</v>
      </c>
      <c r="J17" s="9">
        <v>0</v>
      </c>
      <c r="K17" s="8">
        <v>0</v>
      </c>
      <c r="L17" s="5">
        <v>0</v>
      </c>
      <c r="M17" s="5">
        <v>0</v>
      </c>
      <c r="N17" s="9">
        <v>0</v>
      </c>
      <c r="O17" s="8">
        <v>6</v>
      </c>
      <c r="P17" s="5">
        <v>86</v>
      </c>
      <c r="Q17" s="5">
        <v>1</v>
      </c>
      <c r="R17" s="9">
        <v>1</v>
      </c>
      <c r="S17" s="8">
        <v>0</v>
      </c>
      <c r="T17" s="5">
        <v>0</v>
      </c>
    </row>
    <row r="18" spans="1:20" x14ac:dyDescent="0.2">
      <c r="A18" s="5" t="s">
        <v>62</v>
      </c>
      <c r="B18" s="5" t="s">
        <v>17</v>
      </c>
      <c r="C18" s="10" t="s">
        <v>617</v>
      </c>
      <c r="D18" s="7">
        <f t="shared" si="0"/>
        <v>22.32</v>
      </c>
      <c r="E18" s="8">
        <v>44</v>
      </c>
      <c r="F18" s="5">
        <v>31</v>
      </c>
      <c r="G18" s="5">
        <v>348</v>
      </c>
      <c r="H18" s="5">
        <v>2</v>
      </c>
      <c r="I18" s="5">
        <v>0</v>
      </c>
      <c r="J18" s="9">
        <v>0</v>
      </c>
      <c r="K18" s="8">
        <v>5</v>
      </c>
      <c r="L18" s="5">
        <v>4</v>
      </c>
      <c r="M18" s="5">
        <v>0</v>
      </c>
      <c r="N18" s="9">
        <v>0</v>
      </c>
      <c r="O18" s="8">
        <v>0</v>
      </c>
      <c r="P18" s="5">
        <v>0</v>
      </c>
      <c r="Q18" s="5">
        <v>0</v>
      </c>
      <c r="R18" s="9">
        <v>0</v>
      </c>
      <c r="S18" s="8">
        <v>0</v>
      </c>
      <c r="T18" s="5">
        <v>0</v>
      </c>
    </row>
    <row r="19" spans="1:20" x14ac:dyDescent="0.2">
      <c r="A19" s="5" t="s">
        <v>304</v>
      </c>
      <c r="B19" s="5" t="s">
        <v>69</v>
      </c>
      <c r="C19" s="17" t="s">
        <v>614</v>
      </c>
      <c r="D19" s="7">
        <f t="shared" si="0"/>
        <v>22.1</v>
      </c>
      <c r="E19" s="8">
        <v>0</v>
      </c>
      <c r="F19" s="5">
        <v>0</v>
      </c>
      <c r="G19" s="5">
        <v>0</v>
      </c>
      <c r="H19" s="5">
        <v>0</v>
      </c>
      <c r="I19" s="5">
        <v>0</v>
      </c>
      <c r="J19" s="9">
        <v>0</v>
      </c>
      <c r="K19" s="8">
        <v>0</v>
      </c>
      <c r="L19" s="5">
        <v>0</v>
      </c>
      <c r="M19" s="5">
        <v>0</v>
      </c>
      <c r="N19" s="9">
        <v>0</v>
      </c>
      <c r="O19" s="8">
        <v>7</v>
      </c>
      <c r="P19" s="5">
        <v>91</v>
      </c>
      <c r="Q19" s="5">
        <v>1</v>
      </c>
      <c r="R19" s="9">
        <v>0</v>
      </c>
      <c r="S19" s="8">
        <v>0</v>
      </c>
      <c r="T19" s="5">
        <v>0</v>
      </c>
    </row>
    <row r="20" spans="1:20" x14ac:dyDescent="0.2">
      <c r="A20" s="5" t="s">
        <v>214</v>
      </c>
      <c r="B20" s="5" t="s">
        <v>162</v>
      </c>
      <c r="C20" s="10" t="s">
        <v>620</v>
      </c>
      <c r="D20" s="7">
        <f t="shared" si="0"/>
        <v>22</v>
      </c>
      <c r="E20" s="8">
        <v>0</v>
      </c>
      <c r="F20" s="5">
        <v>0</v>
      </c>
      <c r="G20" s="5">
        <v>0</v>
      </c>
      <c r="H20" s="5">
        <v>0</v>
      </c>
      <c r="I20" s="5">
        <v>0</v>
      </c>
      <c r="J20" s="9">
        <v>0</v>
      </c>
      <c r="K20" s="8">
        <v>0</v>
      </c>
      <c r="L20" s="5">
        <v>0</v>
      </c>
      <c r="M20" s="5">
        <v>0</v>
      </c>
      <c r="N20" s="9">
        <v>0</v>
      </c>
      <c r="O20" s="8">
        <v>7</v>
      </c>
      <c r="P20" s="5">
        <v>90</v>
      </c>
      <c r="Q20" s="5">
        <v>1</v>
      </c>
      <c r="R20" s="9">
        <v>0</v>
      </c>
      <c r="S20" s="8">
        <v>0</v>
      </c>
      <c r="T20" s="5">
        <v>0</v>
      </c>
    </row>
    <row r="21" spans="1:20" x14ac:dyDescent="0.2">
      <c r="A21" s="5" t="s">
        <v>109</v>
      </c>
      <c r="B21" s="5" t="s">
        <v>75</v>
      </c>
      <c r="C21" s="10" t="s">
        <v>621</v>
      </c>
      <c r="D21" s="7">
        <f t="shared" si="0"/>
        <v>21.8</v>
      </c>
      <c r="E21" s="8">
        <v>0</v>
      </c>
      <c r="F21" s="5">
        <v>0</v>
      </c>
      <c r="G21" s="5">
        <v>0</v>
      </c>
      <c r="H21" s="5">
        <v>0</v>
      </c>
      <c r="I21" s="5">
        <v>0</v>
      </c>
      <c r="J21" s="9">
        <v>0</v>
      </c>
      <c r="K21" s="8">
        <v>26</v>
      </c>
      <c r="L21" s="5">
        <v>98</v>
      </c>
      <c r="M21" s="5">
        <v>2</v>
      </c>
      <c r="N21" s="9">
        <v>0</v>
      </c>
      <c r="O21" s="8">
        <v>0</v>
      </c>
      <c r="P21" s="5">
        <v>0</v>
      </c>
      <c r="Q21" s="5">
        <v>0</v>
      </c>
      <c r="R21" s="9">
        <v>0</v>
      </c>
      <c r="S21" s="8">
        <v>0</v>
      </c>
      <c r="T21" s="5">
        <v>0</v>
      </c>
    </row>
    <row r="22" spans="1:20" x14ac:dyDescent="0.2">
      <c r="A22" s="5" t="s">
        <v>76</v>
      </c>
      <c r="B22" s="5" t="s">
        <v>75</v>
      </c>
      <c r="C22" s="17" t="s">
        <v>622</v>
      </c>
      <c r="D22" s="7">
        <f t="shared" si="0"/>
        <v>21</v>
      </c>
      <c r="E22" s="8">
        <v>0</v>
      </c>
      <c r="F22" s="5">
        <v>0</v>
      </c>
      <c r="G22" s="5">
        <v>0</v>
      </c>
      <c r="H22" s="5">
        <v>0</v>
      </c>
      <c r="I22" s="5">
        <v>0</v>
      </c>
      <c r="J22" s="9">
        <v>0</v>
      </c>
      <c r="K22" s="8">
        <v>14</v>
      </c>
      <c r="L22" s="5">
        <v>47</v>
      </c>
      <c r="M22" s="5">
        <v>2</v>
      </c>
      <c r="N22" s="9">
        <v>0</v>
      </c>
      <c r="O22" s="8">
        <v>2</v>
      </c>
      <c r="P22" s="5">
        <v>23</v>
      </c>
      <c r="Q22" s="5">
        <v>0</v>
      </c>
      <c r="R22" s="9">
        <v>0</v>
      </c>
      <c r="S22" s="8">
        <v>0</v>
      </c>
      <c r="T22" s="5">
        <v>0</v>
      </c>
    </row>
    <row r="23" spans="1:20" x14ac:dyDescent="0.2">
      <c r="A23" s="5" t="s">
        <v>348</v>
      </c>
      <c r="B23" s="5" t="s">
        <v>69</v>
      </c>
      <c r="C23" s="10" t="s">
        <v>615</v>
      </c>
      <c r="D23" s="7">
        <f t="shared" si="0"/>
        <v>21</v>
      </c>
      <c r="E23" s="8">
        <v>0</v>
      </c>
      <c r="F23" s="5">
        <v>0</v>
      </c>
      <c r="G23" s="5">
        <v>0</v>
      </c>
      <c r="H23" s="5">
        <v>0</v>
      </c>
      <c r="I23" s="5">
        <v>0</v>
      </c>
      <c r="J23" s="9">
        <v>0</v>
      </c>
      <c r="K23" s="8">
        <v>1</v>
      </c>
      <c r="L23" s="5">
        <v>0</v>
      </c>
      <c r="M23" s="5">
        <v>0</v>
      </c>
      <c r="N23" s="9">
        <v>0</v>
      </c>
      <c r="O23" s="8">
        <v>5</v>
      </c>
      <c r="P23" s="5">
        <v>100</v>
      </c>
      <c r="Q23" s="5">
        <v>1</v>
      </c>
      <c r="R23" s="9">
        <v>0</v>
      </c>
      <c r="S23" s="8">
        <v>0</v>
      </c>
      <c r="T23" s="5">
        <v>0</v>
      </c>
    </row>
    <row r="24" spans="1:20" x14ac:dyDescent="0.2">
      <c r="A24" s="5" t="s">
        <v>68</v>
      </c>
      <c r="B24" s="5" t="s">
        <v>69</v>
      </c>
      <c r="C24" s="10" t="s">
        <v>618</v>
      </c>
      <c r="D24" s="7">
        <f t="shared" si="0"/>
        <v>20.62</v>
      </c>
      <c r="E24" s="8">
        <v>1</v>
      </c>
      <c r="F24" s="5">
        <v>1</v>
      </c>
      <c r="G24" s="5">
        <v>3</v>
      </c>
      <c r="H24" s="5">
        <v>1</v>
      </c>
      <c r="I24" s="5">
        <v>0</v>
      </c>
      <c r="J24" s="9">
        <v>0</v>
      </c>
      <c r="K24" s="8">
        <v>11</v>
      </c>
      <c r="L24" s="5">
        <v>52</v>
      </c>
      <c r="M24" s="5">
        <v>0</v>
      </c>
      <c r="N24" s="9">
        <v>0</v>
      </c>
      <c r="O24" s="8">
        <v>4</v>
      </c>
      <c r="P24" s="5">
        <v>13</v>
      </c>
      <c r="Q24" s="5">
        <v>1</v>
      </c>
      <c r="R24" s="9">
        <v>0</v>
      </c>
      <c r="S24" s="8">
        <v>0</v>
      </c>
      <c r="T24" s="5">
        <v>0</v>
      </c>
    </row>
    <row r="25" spans="1:20" x14ac:dyDescent="0.2">
      <c r="A25" s="5" t="s">
        <v>578</v>
      </c>
      <c r="B25" s="5" t="s">
        <v>75</v>
      </c>
      <c r="C25" s="10" t="s">
        <v>623</v>
      </c>
      <c r="D25" s="7">
        <f t="shared" si="0"/>
        <v>20.400000000000002</v>
      </c>
      <c r="E25" s="8">
        <v>0</v>
      </c>
      <c r="F25" s="5">
        <v>0</v>
      </c>
      <c r="G25" s="5">
        <v>0</v>
      </c>
      <c r="H25" s="5">
        <v>0</v>
      </c>
      <c r="I25" s="5">
        <v>0</v>
      </c>
      <c r="J25" s="9">
        <v>0</v>
      </c>
      <c r="K25" s="8">
        <v>9</v>
      </c>
      <c r="L25" s="5">
        <v>138</v>
      </c>
      <c r="M25" s="5">
        <v>1</v>
      </c>
      <c r="N25" s="9">
        <v>0</v>
      </c>
      <c r="O25" s="8">
        <v>1</v>
      </c>
      <c r="P25" s="5">
        <v>-4</v>
      </c>
      <c r="Q25" s="5">
        <v>0</v>
      </c>
      <c r="R25" s="9">
        <v>0</v>
      </c>
      <c r="S25" s="8">
        <v>0</v>
      </c>
      <c r="T25" s="5">
        <v>0</v>
      </c>
    </row>
    <row r="26" spans="1:20" x14ac:dyDescent="0.2">
      <c r="A26" s="5" t="s">
        <v>182</v>
      </c>
      <c r="B26" s="5" t="s">
        <v>162</v>
      </c>
      <c r="C26" s="10" t="s">
        <v>614</v>
      </c>
      <c r="D26" s="7">
        <f t="shared" si="0"/>
        <v>19.600000000000001</v>
      </c>
      <c r="E26" s="8">
        <v>0</v>
      </c>
      <c r="F26" s="5">
        <v>0</v>
      </c>
      <c r="G26" s="5">
        <v>0</v>
      </c>
      <c r="H26" s="5">
        <v>0</v>
      </c>
      <c r="I26" s="5">
        <v>0</v>
      </c>
      <c r="J26" s="9">
        <v>0</v>
      </c>
      <c r="K26" s="8">
        <v>0</v>
      </c>
      <c r="L26" s="5">
        <v>0</v>
      </c>
      <c r="M26" s="5">
        <v>0</v>
      </c>
      <c r="N26" s="9">
        <v>0</v>
      </c>
      <c r="O26" s="8">
        <v>7</v>
      </c>
      <c r="P26" s="5">
        <v>66</v>
      </c>
      <c r="Q26" s="5">
        <v>1</v>
      </c>
      <c r="R26" s="9">
        <v>0</v>
      </c>
      <c r="S26" s="8">
        <v>0</v>
      </c>
      <c r="T26" s="5">
        <v>0</v>
      </c>
    </row>
    <row r="27" spans="1:20" x14ac:dyDescent="0.2">
      <c r="A27" s="5" t="s">
        <v>88</v>
      </c>
      <c r="B27" s="5" t="s">
        <v>75</v>
      </c>
      <c r="C27" s="17" t="s">
        <v>620</v>
      </c>
      <c r="D27" s="7">
        <f t="shared" si="0"/>
        <v>19.2</v>
      </c>
      <c r="E27" s="8">
        <v>0</v>
      </c>
      <c r="F27" s="5">
        <v>0</v>
      </c>
      <c r="G27" s="5">
        <v>0</v>
      </c>
      <c r="H27" s="5">
        <v>0</v>
      </c>
      <c r="I27" s="5">
        <v>0</v>
      </c>
      <c r="J27" s="9">
        <v>0</v>
      </c>
      <c r="K27" s="8">
        <v>17</v>
      </c>
      <c r="L27" s="5">
        <v>75</v>
      </c>
      <c r="M27" s="5">
        <v>1</v>
      </c>
      <c r="N27" s="9">
        <v>0</v>
      </c>
      <c r="O27" s="8">
        <v>3</v>
      </c>
      <c r="P27" s="5">
        <v>27</v>
      </c>
      <c r="Q27" s="5">
        <v>0</v>
      </c>
      <c r="R27" s="9">
        <v>0</v>
      </c>
      <c r="S27" s="8">
        <v>0</v>
      </c>
      <c r="T27" s="5">
        <v>0</v>
      </c>
    </row>
    <row r="28" spans="1:20" x14ac:dyDescent="0.2">
      <c r="A28" s="5" t="s">
        <v>37</v>
      </c>
      <c r="B28" s="5" t="s">
        <v>17</v>
      </c>
      <c r="C28" s="17" t="s">
        <v>613</v>
      </c>
      <c r="D28" s="7">
        <f t="shared" si="0"/>
        <v>19</v>
      </c>
      <c r="E28" s="8">
        <v>30</v>
      </c>
      <c r="F28" s="5">
        <v>21</v>
      </c>
      <c r="G28" s="5">
        <v>265</v>
      </c>
      <c r="H28" s="5">
        <v>2</v>
      </c>
      <c r="I28" s="5">
        <v>0</v>
      </c>
      <c r="J28" s="9">
        <v>0</v>
      </c>
      <c r="K28" s="8">
        <v>4</v>
      </c>
      <c r="L28" s="5">
        <v>4</v>
      </c>
      <c r="M28" s="5">
        <v>0</v>
      </c>
      <c r="N28" s="9">
        <v>0</v>
      </c>
      <c r="O28" s="8">
        <v>0</v>
      </c>
      <c r="P28" s="5">
        <v>0</v>
      </c>
      <c r="Q28" s="5">
        <v>0</v>
      </c>
      <c r="R28" s="9">
        <v>0</v>
      </c>
      <c r="S28" s="8">
        <v>0</v>
      </c>
      <c r="T28" s="5">
        <v>0</v>
      </c>
    </row>
    <row r="29" spans="1:20" x14ac:dyDescent="0.2">
      <c r="A29" s="5" t="s">
        <v>326</v>
      </c>
      <c r="B29" s="5" t="s">
        <v>162</v>
      </c>
      <c r="C29" s="10" t="s">
        <v>617</v>
      </c>
      <c r="D29" s="7">
        <f t="shared" si="0"/>
        <v>19</v>
      </c>
      <c r="E29" s="8">
        <v>0</v>
      </c>
      <c r="F29" s="5">
        <v>0</v>
      </c>
      <c r="G29" s="5">
        <v>0</v>
      </c>
      <c r="H29" s="5">
        <v>0</v>
      </c>
      <c r="I29" s="5">
        <v>0</v>
      </c>
      <c r="J29" s="9">
        <v>0</v>
      </c>
      <c r="K29" s="8">
        <v>0</v>
      </c>
      <c r="L29" s="5">
        <v>0</v>
      </c>
      <c r="M29" s="5">
        <v>0</v>
      </c>
      <c r="N29" s="9">
        <v>0</v>
      </c>
      <c r="O29" s="8">
        <v>8</v>
      </c>
      <c r="P29" s="5">
        <v>110</v>
      </c>
      <c r="Q29" s="5">
        <v>0</v>
      </c>
      <c r="R29" s="9">
        <v>0</v>
      </c>
      <c r="S29" s="8">
        <v>0</v>
      </c>
      <c r="T29" s="5">
        <v>0</v>
      </c>
    </row>
    <row r="30" spans="1:20" x14ac:dyDescent="0.2">
      <c r="A30" s="5" t="s">
        <v>28</v>
      </c>
      <c r="B30" s="5" t="s">
        <v>17</v>
      </c>
      <c r="C30" s="10" t="s">
        <v>616</v>
      </c>
      <c r="D30" s="7">
        <f t="shared" si="0"/>
        <v>18.959999999999997</v>
      </c>
      <c r="E30" s="8">
        <v>30</v>
      </c>
      <c r="F30" s="5">
        <v>19</v>
      </c>
      <c r="G30" s="5">
        <v>219</v>
      </c>
      <c r="H30" s="5">
        <v>2</v>
      </c>
      <c r="I30" s="5">
        <v>0</v>
      </c>
      <c r="J30" s="9">
        <v>0</v>
      </c>
      <c r="K30" s="8">
        <v>3</v>
      </c>
      <c r="L30" s="5">
        <v>22</v>
      </c>
      <c r="M30" s="5">
        <v>0</v>
      </c>
      <c r="N30" s="9">
        <v>0</v>
      </c>
      <c r="O30" s="8">
        <v>0</v>
      </c>
      <c r="P30" s="5">
        <v>0</v>
      </c>
      <c r="Q30" s="5">
        <v>0</v>
      </c>
      <c r="R30" s="9">
        <v>0</v>
      </c>
      <c r="S30" s="8">
        <v>0</v>
      </c>
      <c r="T30" s="5">
        <v>0</v>
      </c>
    </row>
    <row r="31" spans="1:20" x14ac:dyDescent="0.2">
      <c r="A31" s="5" t="s">
        <v>74</v>
      </c>
      <c r="B31" s="5" t="s">
        <v>75</v>
      </c>
      <c r="C31" s="10" t="s">
        <v>624</v>
      </c>
      <c r="D31" s="7">
        <f t="shared" si="0"/>
        <v>17.900000000000002</v>
      </c>
      <c r="E31" s="8">
        <v>0</v>
      </c>
      <c r="F31" s="5">
        <v>0</v>
      </c>
      <c r="G31" s="5">
        <v>0</v>
      </c>
      <c r="H31" s="5">
        <v>0</v>
      </c>
      <c r="I31" s="5">
        <v>0</v>
      </c>
      <c r="J31" s="9">
        <v>0</v>
      </c>
      <c r="K31" s="8">
        <v>20</v>
      </c>
      <c r="L31" s="5">
        <v>73</v>
      </c>
      <c r="M31" s="5">
        <v>1</v>
      </c>
      <c r="N31" s="9">
        <v>0</v>
      </c>
      <c r="O31" s="8">
        <v>4</v>
      </c>
      <c r="P31" s="5">
        <v>26</v>
      </c>
      <c r="Q31" s="5">
        <v>0</v>
      </c>
      <c r="R31" s="9">
        <v>0</v>
      </c>
      <c r="S31" s="8">
        <v>1</v>
      </c>
      <c r="T31" s="5">
        <v>0</v>
      </c>
    </row>
    <row r="32" spans="1:20" x14ac:dyDescent="0.2">
      <c r="A32" s="5" t="s">
        <v>515</v>
      </c>
      <c r="B32" s="5" t="s">
        <v>75</v>
      </c>
      <c r="C32" s="17" t="s">
        <v>625</v>
      </c>
      <c r="D32" s="7">
        <f t="shared" si="0"/>
        <v>17.899999999999999</v>
      </c>
      <c r="E32" s="8">
        <v>0</v>
      </c>
      <c r="F32" s="5">
        <v>0</v>
      </c>
      <c r="G32" s="5">
        <v>0</v>
      </c>
      <c r="H32" s="5">
        <v>0</v>
      </c>
      <c r="I32" s="5">
        <v>0</v>
      </c>
      <c r="J32" s="9">
        <v>0</v>
      </c>
      <c r="K32" s="8">
        <v>18</v>
      </c>
      <c r="L32" s="5">
        <v>47</v>
      </c>
      <c r="M32" s="5">
        <v>0</v>
      </c>
      <c r="N32" s="9">
        <v>0</v>
      </c>
      <c r="O32" s="8">
        <v>5</v>
      </c>
      <c r="P32" s="5">
        <v>22</v>
      </c>
      <c r="Q32" s="5">
        <v>1</v>
      </c>
      <c r="R32" s="9">
        <v>0</v>
      </c>
      <c r="S32" s="8">
        <v>0</v>
      </c>
      <c r="T32" s="5">
        <v>0</v>
      </c>
    </row>
    <row r="33" spans="1:20" x14ac:dyDescent="0.2">
      <c r="A33" s="5" t="s">
        <v>103</v>
      </c>
      <c r="B33" s="5" t="s">
        <v>75</v>
      </c>
      <c r="C33" s="10" t="s">
        <v>617</v>
      </c>
      <c r="D33" s="7">
        <f t="shared" si="0"/>
        <v>17.8</v>
      </c>
      <c r="E33" s="8">
        <v>0</v>
      </c>
      <c r="F33" s="5">
        <v>0</v>
      </c>
      <c r="G33" s="5">
        <v>0</v>
      </c>
      <c r="H33" s="5">
        <v>0</v>
      </c>
      <c r="I33" s="5">
        <v>0</v>
      </c>
      <c r="J33" s="9">
        <v>0</v>
      </c>
      <c r="K33" s="8">
        <v>14</v>
      </c>
      <c r="L33" s="5">
        <v>37</v>
      </c>
      <c r="M33" s="5">
        <v>1</v>
      </c>
      <c r="N33" s="9">
        <v>0</v>
      </c>
      <c r="O33" s="8">
        <v>5</v>
      </c>
      <c r="P33" s="5">
        <v>31</v>
      </c>
      <c r="Q33" s="5">
        <v>0</v>
      </c>
      <c r="R33" s="9">
        <v>0</v>
      </c>
      <c r="S33" s="8">
        <v>0</v>
      </c>
      <c r="T33" s="5">
        <v>0</v>
      </c>
    </row>
    <row r="34" spans="1:20" x14ac:dyDescent="0.2">
      <c r="A34" s="5" t="s">
        <v>39</v>
      </c>
      <c r="B34" s="5" t="s">
        <v>17</v>
      </c>
      <c r="C34" s="17" t="s">
        <v>619</v>
      </c>
      <c r="D34" s="7">
        <f t="shared" si="0"/>
        <v>17.7</v>
      </c>
      <c r="E34" s="8">
        <v>45</v>
      </c>
      <c r="F34" s="5">
        <v>29</v>
      </c>
      <c r="G34" s="5">
        <v>325</v>
      </c>
      <c r="H34" s="5">
        <v>1</v>
      </c>
      <c r="I34" s="5">
        <v>1</v>
      </c>
      <c r="J34" s="9">
        <v>0</v>
      </c>
      <c r="K34" s="8">
        <v>5</v>
      </c>
      <c r="L34" s="5">
        <v>27</v>
      </c>
      <c r="M34" s="5">
        <v>0</v>
      </c>
      <c r="N34" s="9">
        <v>0</v>
      </c>
      <c r="O34" s="8">
        <v>0</v>
      </c>
      <c r="P34" s="5">
        <v>0</v>
      </c>
      <c r="Q34" s="5">
        <v>0</v>
      </c>
      <c r="R34" s="9">
        <v>0</v>
      </c>
      <c r="S34" s="8">
        <v>0</v>
      </c>
      <c r="T34" s="5">
        <v>0</v>
      </c>
    </row>
    <row r="35" spans="1:20" x14ac:dyDescent="0.2">
      <c r="A35" s="5" t="s">
        <v>89</v>
      </c>
      <c r="B35" s="5" t="s">
        <v>75</v>
      </c>
      <c r="C35" s="17" t="s">
        <v>615</v>
      </c>
      <c r="D35" s="7">
        <f t="shared" si="0"/>
        <v>17.3</v>
      </c>
      <c r="E35" s="8">
        <v>0</v>
      </c>
      <c r="F35" s="5">
        <v>0</v>
      </c>
      <c r="G35" s="5">
        <v>0</v>
      </c>
      <c r="H35" s="5">
        <v>0</v>
      </c>
      <c r="I35" s="5">
        <v>0</v>
      </c>
      <c r="J35" s="9">
        <v>0</v>
      </c>
      <c r="K35" s="8">
        <v>16</v>
      </c>
      <c r="L35" s="5">
        <v>44</v>
      </c>
      <c r="M35" s="5">
        <v>0</v>
      </c>
      <c r="N35" s="9">
        <v>0</v>
      </c>
      <c r="O35" s="8">
        <v>2</v>
      </c>
      <c r="P35" s="5">
        <v>49</v>
      </c>
      <c r="Q35" s="5">
        <v>1</v>
      </c>
      <c r="R35" s="9">
        <v>0</v>
      </c>
      <c r="S35" s="8">
        <v>0</v>
      </c>
      <c r="T35" s="5">
        <v>0</v>
      </c>
    </row>
    <row r="36" spans="1:20" x14ac:dyDescent="0.2">
      <c r="A36" s="5" t="s">
        <v>116</v>
      </c>
      <c r="B36" s="5" t="s">
        <v>75</v>
      </c>
      <c r="C36" s="10" t="s">
        <v>623</v>
      </c>
      <c r="D36" s="7">
        <f t="shared" si="0"/>
        <v>17.2</v>
      </c>
      <c r="E36" s="8">
        <v>0</v>
      </c>
      <c r="F36" s="5">
        <v>0</v>
      </c>
      <c r="G36" s="5">
        <v>0</v>
      </c>
      <c r="H36" s="5">
        <v>0</v>
      </c>
      <c r="I36" s="5">
        <v>0</v>
      </c>
      <c r="J36" s="9">
        <v>0</v>
      </c>
      <c r="K36" s="8">
        <v>5</v>
      </c>
      <c r="L36" s="5">
        <v>52</v>
      </c>
      <c r="M36" s="5">
        <v>2</v>
      </c>
      <c r="N36" s="9">
        <v>0</v>
      </c>
      <c r="O36" s="8">
        <v>0</v>
      </c>
      <c r="P36" s="5">
        <v>0</v>
      </c>
      <c r="Q36" s="5">
        <v>0</v>
      </c>
      <c r="R36" s="9">
        <v>0</v>
      </c>
      <c r="S36" s="8">
        <v>0</v>
      </c>
      <c r="T36" s="5">
        <v>0</v>
      </c>
    </row>
    <row r="37" spans="1:20" x14ac:dyDescent="0.2">
      <c r="A37" s="5" t="s">
        <v>341</v>
      </c>
      <c r="B37" s="5" t="s">
        <v>69</v>
      </c>
      <c r="C37" s="10" t="s">
        <v>623</v>
      </c>
      <c r="D37" s="7">
        <f t="shared" si="0"/>
        <v>17</v>
      </c>
      <c r="E37" s="8">
        <v>0</v>
      </c>
      <c r="F37" s="5">
        <v>0</v>
      </c>
      <c r="G37" s="5">
        <v>0</v>
      </c>
      <c r="H37" s="5">
        <v>0</v>
      </c>
      <c r="I37" s="5">
        <v>0</v>
      </c>
      <c r="J37" s="9">
        <v>0</v>
      </c>
      <c r="K37" s="8">
        <v>0</v>
      </c>
      <c r="L37" s="5">
        <v>0</v>
      </c>
      <c r="M37" s="5">
        <v>0</v>
      </c>
      <c r="N37" s="9">
        <v>0</v>
      </c>
      <c r="O37" s="8">
        <v>9</v>
      </c>
      <c r="P37" s="5">
        <v>80</v>
      </c>
      <c r="Q37" s="5">
        <v>0</v>
      </c>
      <c r="R37" s="9">
        <v>0</v>
      </c>
      <c r="S37" s="8">
        <v>0</v>
      </c>
      <c r="T37" s="5">
        <v>0</v>
      </c>
    </row>
    <row r="38" spans="1:20" x14ac:dyDescent="0.2">
      <c r="A38" s="5" t="s">
        <v>203</v>
      </c>
      <c r="B38" s="5" t="s">
        <v>162</v>
      </c>
      <c r="C38" s="17" t="s">
        <v>619</v>
      </c>
      <c r="D38" s="7">
        <f t="shared" si="0"/>
        <v>16.899999999999999</v>
      </c>
      <c r="E38" s="8">
        <v>0</v>
      </c>
      <c r="F38" s="5">
        <v>0</v>
      </c>
      <c r="G38" s="5">
        <v>0</v>
      </c>
      <c r="H38" s="5">
        <v>0</v>
      </c>
      <c r="I38" s="5">
        <v>0</v>
      </c>
      <c r="J38" s="9">
        <v>0</v>
      </c>
      <c r="K38" s="8">
        <v>0</v>
      </c>
      <c r="L38" s="5">
        <v>0</v>
      </c>
      <c r="M38" s="5">
        <v>0</v>
      </c>
      <c r="N38" s="9">
        <v>0</v>
      </c>
      <c r="O38" s="8">
        <v>4</v>
      </c>
      <c r="P38" s="5">
        <v>69</v>
      </c>
      <c r="Q38" s="5">
        <v>1</v>
      </c>
      <c r="R38" s="9">
        <v>0</v>
      </c>
      <c r="S38" s="8">
        <v>0</v>
      </c>
      <c r="T38" s="5">
        <v>0</v>
      </c>
    </row>
    <row r="39" spans="1:20" x14ac:dyDescent="0.2">
      <c r="A39" s="5" t="s">
        <v>41</v>
      </c>
      <c r="B39" s="5" t="s">
        <v>17</v>
      </c>
      <c r="C39" s="10" t="s">
        <v>618</v>
      </c>
      <c r="D39" s="7">
        <f t="shared" si="0"/>
        <v>16.739999999999998</v>
      </c>
      <c r="E39" s="8">
        <v>34</v>
      </c>
      <c r="F39" s="5">
        <v>25</v>
      </c>
      <c r="G39" s="5">
        <v>211</v>
      </c>
      <c r="H39" s="5">
        <v>2</v>
      </c>
      <c r="I39" s="5">
        <v>0</v>
      </c>
      <c r="J39" s="9">
        <v>0</v>
      </c>
      <c r="K39" s="8">
        <v>3</v>
      </c>
      <c r="L39" s="5">
        <v>3</v>
      </c>
      <c r="M39" s="5">
        <v>0</v>
      </c>
      <c r="N39" s="9">
        <v>0</v>
      </c>
      <c r="O39" s="8">
        <v>0</v>
      </c>
      <c r="P39" s="5">
        <v>0</v>
      </c>
      <c r="Q39" s="5">
        <v>0</v>
      </c>
      <c r="R39" s="9">
        <v>0</v>
      </c>
      <c r="S39" s="8">
        <v>0</v>
      </c>
      <c r="T39" s="5">
        <v>0</v>
      </c>
    </row>
    <row r="40" spans="1:20" x14ac:dyDescent="0.2">
      <c r="A40" s="5" t="s">
        <v>171</v>
      </c>
      <c r="B40" s="5" t="s">
        <v>162</v>
      </c>
      <c r="C40" s="10" t="s">
        <v>618</v>
      </c>
      <c r="D40" s="7">
        <f t="shared" si="0"/>
        <v>16.600000000000001</v>
      </c>
      <c r="E40" s="8">
        <v>0</v>
      </c>
      <c r="F40" s="5">
        <v>0</v>
      </c>
      <c r="G40" s="5">
        <v>0</v>
      </c>
      <c r="H40" s="5">
        <v>0</v>
      </c>
      <c r="I40" s="5">
        <v>0</v>
      </c>
      <c r="J40" s="9">
        <v>0</v>
      </c>
      <c r="K40" s="8">
        <v>0</v>
      </c>
      <c r="L40" s="5">
        <v>0</v>
      </c>
      <c r="M40" s="5">
        <v>0</v>
      </c>
      <c r="N40" s="9">
        <v>0</v>
      </c>
      <c r="O40" s="8">
        <v>6</v>
      </c>
      <c r="P40" s="5">
        <v>46</v>
      </c>
      <c r="Q40" s="5">
        <v>1</v>
      </c>
      <c r="R40" s="9">
        <v>0</v>
      </c>
      <c r="S40" s="8">
        <v>0</v>
      </c>
      <c r="T40" s="5">
        <v>0</v>
      </c>
    </row>
    <row r="41" spans="1:20" x14ac:dyDescent="0.2">
      <c r="A41" s="5" t="s">
        <v>291</v>
      </c>
      <c r="B41" s="5" t="s">
        <v>69</v>
      </c>
      <c r="C41" s="17" t="s">
        <v>617</v>
      </c>
      <c r="D41" s="7">
        <f t="shared" si="0"/>
        <v>16.100000000000001</v>
      </c>
      <c r="E41" s="8">
        <v>0</v>
      </c>
      <c r="F41" s="5">
        <v>0</v>
      </c>
      <c r="G41" s="5">
        <v>0</v>
      </c>
      <c r="H41" s="5">
        <v>0</v>
      </c>
      <c r="I41" s="5">
        <v>0</v>
      </c>
      <c r="J41" s="9">
        <v>0</v>
      </c>
      <c r="K41" s="8">
        <v>0</v>
      </c>
      <c r="L41" s="5">
        <v>0</v>
      </c>
      <c r="M41" s="5">
        <v>0</v>
      </c>
      <c r="N41" s="9">
        <v>0</v>
      </c>
      <c r="O41" s="8">
        <v>10</v>
      </c>
      <c r="P41" s="5">
        <v>81</v>
      </c>
      <c r="Q41" s="5">
        <v>0</v>
      </c>
      <c r="R41" s="9">
        <v>0</v>
      </c>
      <c r="S41" s="8">
        <v>1</v>
      </c>
      <c r="T41" s="5">
        <v>0</v>
      </c>
    </row>
    <row r="42" spans="1:20" x14ac:dyDescent="0.2">
      <c r="A42" s="5" t="s">
        <v>548</v>
      </c>
      <c r="B42" s="5" t="s">
        <v>17</v>
      </c>
      <c r="C42" s="17" t="s">
        <v>618</v>
      </c>
      <c r="D42" s="7">
        <f t="shared" si="0"/>
        <v>15.8</v>
      </c>
      <c r="E42" s="8">
        <v>30</v>
      </c>
      <c r="F42" s="5">
        <v>18</v>
      </c>
      <c r="G42" s="5">
        <v>220</v>
      </c>
      <c r="H42" s="5">
        <v>2</v>
      </c>
      <c r="I42" s="5">
        <v>3</v>
      </c>
      <c r="J42" s="9">
        <v>0</v>
      </c>
      <c r="K42" s="8">
        <v>8</v>
      </c>
      <c r="L42" s="5">
        <v>70</v>
      </c>
      <c r="M42" s="5">
        <v>0</v>
      </c>
      <c r="N42" s="9">
        <v>0</v>
      </c>
      <c r="O42" s="8">
        <v>0</v>
      </c>
      <c r="P42" s="5">
        <v>0</v>
      </c>
      <c r="Q42" s="5">
        <v>0</v>
      </c>
      <c r="R42" s="9">
        <v>0</v>
      </c>
      <c r="S42" s="8">
        <v>1</v>
      </c>
      <c r="T42" s="5">
        <v>0</v>
      </c>
    </row>
    <row r="43" spans="1:20" x14ac:dyDescent="0.2">
      <c r="A43" s="5" t="s">
        <v>23</v>
      </c>
      <c r="B43" s="5" t="s">
        <v>17</v>
      </c>
      <c r="C43" s="10" t="s">
        <v>626</v>
      </c>
      <c r="D43" s="7">
        <f t="shared" si="0"/>
        <v>15.8</v>
      </c>
      <c r="E43" s="8">
        <v>30</v>
      </c>
      <c r="F43" s="5">
        <v>20</v>
      </c>
      <c r="G43" s="5">
        <v>185</v>
      </c>
      <c r="H43" s="5">
        <v>2</v>
      </c>
      <c r="I43" s="5">
        <v>0</v>
      </c>
      <c r="J43" s="9">
        <v>0</v>
      </c>
      <c r="K43" s="8">
        <v>6</v>
      </c>
      <c r="L43" s="5">
        <v>24</v>
      </c>
      <c r="M43" s="5">
        <v>0</v>
      </c>
      <c r="N43" s="9">
        <v>0</v>
      </c>
      <c r="O43" s="8">
        <v>0</v>
      </c>
      <c r="P43" s="5">
        <v>0</v>
      </c>
      <c r="Q43" s="5">
        <v>0</v>
      </c>
      <c r="R43" s="9">
        <v>0</v>
      </c>
      <c r="S43" s="8">
        <v>1</v>
      </c>
      <c r="T43" s="5">
        <v>0</v>
      </c>
    </row>
    <row r="44" spans="1:20" x14ac:dyDescent="0.2">
      <c r="A44" s="5" t="s">
        <v>185</v>
      </c>
      <c r="B44" s="5" t="s">
        <v>162</v>
      </c>
      <c r="C44" s="17" t="s">
        <v>622</v>
      </c>
      <c r="D44" s="7">
        <f t="shared" si="0"/>
        <v>15.7</v>
      </c>
      <c r="E44" s="8">
        <v>0</v>
      </c>
      <c r="F44" s="5">
        <v>0</v>
      </c>
      <c r="G44" s="5">
        <v>0</v>
      </c>
      <c r="H44" s="5">
        <v>0</v>
      </c>
      <c r="I44" s="5">
        <v>0</v>
      </c>
      <c r="J44" s="9">
        <v>0</v>
      </c>
      <c r="K44" s="8">
        <v>0</v>
      </c>
      <c r="L44" s="5">
        <v>0</v>
      </c>
      <c r="M44" s="5">
        <v>0</v>
      </c>
      <c r="N44" s="9">
        <v>0</v>
      </c>
      <c r="O44" s="8">
        <v>8</v>
      </c>
      <c r="P44" s="5">
        <v>77</v>
      </c>
      <c r="Q44" s="5">
        <v>0</v>
      </c>
      <c r="R44" s="9">
        <v>0</v>
      </c>
      <c r="S44" s="8">
        <v>0</v>
      </c>
      <c r="T44" s="5">
        <v>0</v>
      </c>
    </row>
    <row r="45" spans="1:20" x14ac:dyDescent="0.2">
      <c r="A45" s="5" t="s">
        <v>117</v>
      </c>
      <c r="B45" s="5" t="s">
        <v>75</v>
      </c>
      <c r="C45" s="10" t="s">
        <v>620</v>
      </c>
      <c r="D45" s="7">
        <f t="shared" si="0"/>
        <v>15.6</v>
      </c>
      <c r="E45" s="8">
        <v>0</v>
      </c>
      <c r="F45" s="5">
        <v>0</v>
      </c>
      <c r="G45" s="5">
        <v>0</v>
      </c>
      <c r="H45" s="5">
        <v>0</v>
      </c>
      <c r="I45" s="5">
        <v>0</v>
      </c>
      <c r="J45" s="9">
        <v>0</v>
      </c>
      <c r="K45" s="8">
        <v>16</v>
      </c>
      <c r="L45" s="5">
        <v>69</v>
      </c>
      <c r="M45" s="5">
        <v>1</v>
      </c>
      <c r="N45" s="9">
        <v>0</v>
      </c>
      <c r="O45" s="8">
        <v>2</v>
      </c>
      <c r="P45" s="5">
        <v>7</v>
      </c>
      <c r="Q45" s="5">
        <v>0</v>
      </c>
      <c r="R45" s="9">
        <v>0</v>
      </c>
      <c r="S45" s="8">
        <v>0</v>
      </c>
      <c r="T45" s="5">
        <v>0</v>
      </c>
    </row>
    <row r="46" spans="1:20" x14ac:dyDescent="0.2">
      <c r="A46" s="5" t="s">
        <v>603</v>
      </c>
      <c r="B46" s="5" t="s">
        <v>17</v>
      </c>
      <c r="C46" s="10" t="s">
        <v>615</v>
      </c>
      <c r="D46" s="7">
        <f t="shared" si="0"/>
        <v>14.72</v>
      </c>
      <c r="E46" s="8">
        <v>38</v>
      </c>
      <c r="F46" s="5">
        <v>21</v>
      </c>
      <c r="G46" s="5">
        <v>268</v>
      </c>
      <c r="H46" s="5">
        <v>1</v>
      </c>
      <c r="I46" s="5">
        <v>1</v>
      </c>
      <c r="J46" s="9">
        <v>0</v>
      </c>
      <c r="K46" s="8">
        <v>3</v>
      </c>
      <c r="L46" s="5">
        <v>20</v>
      </c>
      <c r="M46" s="5">
        <v>0</v>
      </c>
      <c r="N46" s="9">
        <v>0</v>
      </c>
      <c r="O46" s="8">
        <v>0</v>
      </c>
      <c r="P46" s="5">
        <v>0</v>
      </c>
      <c r="Q46" s="5">
        <v>0</v>
      </c>
      <c r="R46" s="9">
        <v>0</v>
      </c>
      <c r="S46" s="8">
        <v>0</v>
      </c>
      <c r="T46" s="5">
        <v>0</v>
      </c>
    </row>
    <row r="47" spans="1:20" x14ac:dyDescent="0.2">
      <c r="A47" s="5" t="s">
        <v>228</v>
      </c>
      <c r="B47" s="5" t="s">
        <v>162</v>
      </c>
      <c r="C47" s="10" t="s">
        <v>623</v>
      </c>
      <c r="D47" s="7">
        <f t="shared" si="0"/>
        <v>14.600000000000001</v>
      </c>
      <c r="E47" s="8">
        <v>0</v>
      </c>
      <c r="F47" s="5">
        <v>0</v>
      </c>
      <c r="G47" s="5">
        <v>0</v>
      </c>
      <c r="H47" s="5">
        <v>0</v>
      </c>
      <c r="I47" s="5">
        <v>0</v>
      </c>
      <c r="J47" s="9">
        <v>0</v>
      </c>
      <c r="K47" s="8">
        <v>0</v>
      </c>
      <c r="L47" s="5">
        <v>0</v>
      </c>
      <c r="M47" s="5">
        <v>0</v>
      </c>
      <c r="N47" s="9">
        <v>0</v>
      </c>
      <c r="O47" s="8">
        <v>5</v>
      </c>
      <c r="P47" s="5">
        <v>56</v>
      </c>
      <c r="Q47" s="5">
        <v>1</v>
      </c>
      <c r="R47" s="9">
        <v>0</v>
      </c>
      <c r="S47" s="8">
        <v>1</v>
      </c>
      <c r="T47" s="5">
        <v>0</v>
      </c>
    </row>
    <row r="48" spans="1:20" x14ac:dyDescent="0.2">
      <c r="A48" s="5" t="s">
        <v>92</v>
      </c>
      <c r="B48" s="5" t="s">
        <v>75</v>
      </c>
      <c r="C48" s="17" t="s">
        <v>626</v>
      </c>
      <c r="D48" s="7">
        <f t="shared" si="0"/>
        <v>14.5</v>
      </c>
      <c r="E48" s="8">
        <v>0</v>
      </c>
      <c r="F48" s="5">
        <v>0</v>
      </c>
      <c r="G48" s="5">
        <v>0</v>
      </c>
      <c r="H48" s="5">
        <v>0</v>
      </c>
      <c r="I48" s="5">
        <v>0</v>
      </c>
      <c r="J48" s="9">
        <v>0</v>
      </c>
      <c r="K48" s="8">
        <v>12</v>
      </c>
      <c r="L48" s="5">
        <v>85</v>
      </c>
      <c r="M48" s="5">
        <v>1</v>
      </c>
      <c r="N48" s="9">
        <v>0</v>
      </c>
      <c r="O48" s="8">
        <v>0</v>
      </c>
      <c r="P48" s="5">
        <v>0</v>
      </c>
      <c r="Q48" s="5">
        <v>0</v>
      </c>
      <c r="R48" s="9">
        <v>0</v>
      </c>
      <c r="S48" s="8">
        <v>0</v>
      </c>
      <c r="T48" s="5">
        <v>0</v>
      </c>
    </row>
    <row r="49" spans="1:20" x14ac:dyDescent="0.2">
      <c r="A49" s="5" t="s">
        <v>183</v>
      </c>
      <c r="B49" s="5" t="s">
        <v>162</v>
      </c>
      <c r="C49" s="10" t="s">
        <v>613</v>
      </c>
      <c r="D49" s="7">
        <f t="shared" si="0"/>
        <v>14.4</v>
      </c>
      <c r="E49" s="8">
        <v>0</v>
      </c>
      <c r="F49" s="5">
        <v>0</v>
      </c>
      <c r="G49" s="5">
        <v>0</v>
      </c>
      <c r="H49" s="5">
        <v>0</v>
      </c>
      <c r="I49" s="5">
        <v>0</v>
      </c>
      <c r="J49" s="9">
        <v>0</v>
      </c>
      <c r="K49" s="8">
        <v>0</v>
      </c>
      <c r="L49" s="5">
        <v>0</v>
      </c>
      <c r="M49" s="5">
        <v>0</v>
      </c>
      <c r="N49" s="9">
        <v>0</v>
      </c>
      <c r="O49" s="8">
        <v>3</v>
      </c>
      <c r="P49" s="5">
        <v>54</v>
      </c>
      <c r="Q49" s="5">
        <v>1</v>
      </c>
      <c r="R49" s="9">
        <v>0</v>
      </c>
      <c r="S49" s="8">
        <v>0</v>
      </c>
      <c r="T49" s="5">
        <v>0</v>
      </c>
    </row>
    <row r="50" spans="1:20" x14ac:dyDescent="0.2">
      <c r="A50" s="5" t="s">
        <v>169</v>
      </c>
      <c r="B50" s="5" t="s">
        <v>162</v>
      </c>
      <c r="C50" s="17" t="s">
        <v>625</v>
      </c>
      <c r="D50" s="7">
        <f t="shared" si="0"/>
        <v>14.4</v>
      </c>
      <c r="E50" s="8">
        <v>0</v>
      </c>
      <c r="F50" s="5">
        <v>0</v>
      </c>
      <c r="G50" s="5">
        <v>0</v>
      </c>
      <c r="H50" s="5">
        <v>0</v>
      </c>
      <c r="I50" s="5">
        <v>0</v>
      </c>
      <c r="J50" s="9">
        <v>0</v>
      </c>
      <c r="K50" s="8">
        <v>0</v>
      </c>
      <c r="L50" s="5">
        <v>0</v>
      </c>
      <c r="M50" s="5">
        <v>0</v>
      </c>
      <c r="N50" s="9">
        <v>0</v>
      </c>
      <c r="O50" s="8">
        <v>8</v>
      </c>
      <c r="P50" s="5">
        <v>64</v>
      </c>
      <c r="Q50" s="5">
        <v>0</v>
      </c>
      <c r="R50" s="9">
        <v>0</v>
      </c>
      <c r="S50" s="8">
        <v>0</v>
      </c>
      <c r="T50" s="5">
        <v>0</v>
      </c>
    </row>
    <row r="51" spans="1:20" x14ac:dyDescent="0.2">
      <c r="A51" s="5" t="s">
        <v>101</v>
      </c>
      <c r="B51" s="5" t="s">
        <v>75</v>
      </c>
      <c r="C51" s="17" t="s">
        <v>621</v>
      </c>
      <c r="D51" s="7">
        <f t="shared" si="0"/>
        <v>14.3</v>
      </c>
      <c r="E51" s="8">
        <v>0</v>
      </c>
      <c r="F51" s="5">
        <v>0</v>
      </c>
      <c r="G51" s="5">
        <v>0</v>
      </c>
      <c r="H51" s="5">
        <v>0</v>
      </c>
      <c r="I51" s="5">
        <v>0</v>
      </c>
      <c r="J51" s="9">
        <v>0</v>
      </c>
      <c r="K51" s="8">
        <v>16</v>
      </c>
      <c r="L51" s="5">
        <v>90</v>
      </c>
      <c r="M51" s="5">
        <v>0</v>
      </c>
      <c r="N51" s="9">
        <v>0</v>
      </c>
      <c r="O51" s="8">
        <v>3</v>
      </c>
      <c r="P51" s="5">
        <v>23</v>
      </c>
      <c r="Q51" s="5">
        <v>0</v>
      </c>
      <c r="R51" s="9">
        <v>0</v>
      </c>
      <c r="S51" s="8">
        <v>0</v>
      </c>
      <c r="T51" s="5">
        <v>0</v>
      </c>
    </row>
    <row r="52" spans="1:20" x14ac:dyDescent="0.2">
      <c r="A52" s="5" t="s">
        <v>113</v>
      </c>
      <c r="B52" s="5" t="s">
        <v>75</v>
      </c>
      <c r="C52" s="10" t="s">
        <v>620</v>
      </c>
      <c r="D52" s="7">
        <f t="shared" si="0"/>
        <v>14.3</v>
      </c>
      <c r="E52" s="8">
        <v>0</v>
      </c>
      <c r="F52" s="5">
        <v>0</v>
      </c>
      <c r="G52" s="5">
        <v>0</v>
      </c>
      <c r="H52" s="5">
        <v>0</v>
      </c>
      <c r="I52" s="5">
        <v>0</v>
      </c>
      <c r="J52" s="9">
        <v>0</v>
      </c>
      <c r="K52" s="8">
        <v>11</v>
      </c>
      <c r="L52" s="5">
        <v>88</v>
      </c>
      <c r="M52" s="5">
        <v>0</v>
      </c>
      <c r="N52" s="9">
        <v>0</v>
      </c>
      <c r="O52" s="8">
        <v>3</v>
      </c>
      <c r="P52" s="5">
        <v>25</v>
      </c>
      <c r="Q52" s="5">
        <v>0</v>
      </c>
      <c r="R52" s="9">
        <v>0</v>
      </c>
      <c r="S52" s="8">
        <v>0</v>
      </c>
      <c r="T52" s="5">
        <v>0</v>
      </c>
    </row>
    <row r="53" spans="1:20" x14ac:dyDescent="0.2">
      <c r="A53" s="5" t="s">
        <v>177</v>
      </c>
      <c r="B53" s="5" t="s">
        <v>162</v>
      </c>
      <c r="C53" s="10" t="s">
        <v>614</v>
      </c>
      <c r="D53" s="7">
        <f t="shared" si="0"/>
        <v>14.100000000000001</v>
      </c>
      <c r="E53" s="8">
        <v>0</v>
      </c>
      <c r="F53" s="5">
        <v>0</v>
      </c>
      <c r="G53" s="5">
        <v>0</v>
      </c>
      <c r="H53" s="5">
        <v>0</v>
      </c>
      <c r="I53" s="5">
        <v>0</v>
      </c>
      <c r="J53" s="9">
        <v>0</v>
      </c>
      <c r="K53" s="8">
        <v>0</v>
      </c>
      <c r="L53" s="5">
        <v>0</v>
      </c>
      <c r="M53" s="5">
        <v>0</v>
      </c>
      <c r="N53" s="9">
        <v>0</v>
      </c>
      <c r="O53" s="8">
        <v>3</v>
      </c>
      <c r="P53" s="5">
        <v>51</v>
      </c>
      <c r="Q53" s="5">
        <v>1</v>
      </c>
      <c r="R53" s="9">
        <v>0</v>
      </c>
      <c r="S53" s="8">
        <v>0</v>
      </c>
      <c r="T53" s="5">
        <v>0</v>
      </c>
    </row>
    <row r="54" spans="1:20" x14ac:dyDescent="0.2">
      <c r="A54" s="5" t="s">
        <v>281</v>
      </c>
      <c r="B54" s="5" t="s">
        <v>69</v>
      </c>
      <c r="C54" s="10" t="s">
        <v>624</v>
      </c>
      <c r="D54" s="7">
        <f t="shared" si="0"/>
        <v>14.100000000000001</v>
      </c>
      <c r="E54" s="8">
        <v>0</v>
      </c>
      <c r="F54" s="5">
        <v>0</v>
      </c>
      <c r="G54" s="5">
        <v>0</v>
      </c>
      <c r="H54" s="5">
        <v>0</v>
      </c>
      <c r="I54" s="5">
        <v>0</v>
      </c>
      <c r="J54" s="9">
        <v>0</v>
      </c>
      <c r="K54" s="8">
        <v>0</v>
      </c>
      <c r="L54" s="5">
        <v>0</v>
      </c>
      <c r="M54" s="5">
        <v>0</v>
      </c>
      <c r="N54" s="9">
        <v>0</v>
      </c>
      <c r="O54" s="8">
        <v>3</v>
      </c>
      <c r="P54" s="5">
        <v>51</v>
      </c>
      <c r="Q54" s="5">
        <v>1</v>
      </c>
      <c r="R54" s="9">
        <v>0</v>
      </c>
      <c r="S54" s="8">
        <v>0</v>
      </c>
      <c r="T54" s="5">
        <v>0</v>
      </c>
    </row>
    <row r="55" spans="1:20" x14ac:dyDescent="0.2">
      <c r="A55" s="5" t="s">
        <v>361</v>
      </c>
      <c r="B55" s="5" t="s">
        <v>162</v>
      </c>
      <c r="C55" s="17" t="s">
        <v>614</v>
      </c>
      <c r="D55" s="7">
        <f t="shared" si="0"/>
        <v>13.9</v>
      </c>
      <c r="E55" s="8">
        <v>0</v>
      </c>
      <c r="F55" s="5">
        <v>0</v>
      </c>
      <c r="G55" s="5">
        <v>0</v>
      </c>
      <c r="H55" s="5">
        <v>0</v>
      </c>
      <c r="I55" s="5">
        <v>0</v>
      </c>
      <c r="J55" s="9">
        <v>0</v>
      </c>
      <c r="K55" s="8">
        <v>0</v>
      </c>
      <c r="L55" s="5">
        <v>0</v>
      </c>
      <c r="M55" s="5">
        <v>0</v>
      </c>
      <c r="N55" s="9">
        <v>0</v>
      </c>
      <c r="O55" s="8">
        <v>3</v>
      </c>
      <c r="P55" s="5">
        <v>49</v>
      </c>
      <c r="Q55" s="5">
        <v>1</v>
      </c>
      <c r="R55" s="9">
        <v>0</v>
      </c>
      <c r="S55" s="8">
        <v>0</v>
      </c>
      <c r="T55" s="5">
        <v>0</v>
      </c>
    </row>
    <row r="56" spans="1:20" x14ac:dyDescent="0.2">
      <c r="A56" s="5" t="s">
        <v>271</v>
      </c>
      <c r="B56" s="5" t="s">
        <v>69</v>
      </c>
      <c r="C56" s="10" t="s">
        <v>619</v>
      </c>
      <c r="D56" s="7">
        <f t="shared" si="0"/>
        <v>13.9</v>
      </c>
      <c r="E56" s="8">
        <v>0</v>
      </c>
      <c r="F56" s="5">
        <v>0</v>
      </c>
      <c r="G56" s="5">
        <v>0</v>
      </c>
      <c r="H56" s="5">
        <v>0</v>
      </c>
      <c r="I56" s="5">
        <v>0</v>
      </c>
      <c r="J56" s="9">
        <v>0</v>
      </c>
      <c r="K56" s="8">
        <v>0</v>
      </c>
      <c r="L56" s="5">
        <v>0</v>
      </c>
      <c r="M56" s="5">
        <v>0</v>
      </c>
      <c r="N56" s="9">
        <v>0</v>
      </c>
      <c r="O56" s="8">
        <v>4</v>
      </c>
      <c r="P56" s="5">
        <v>39</v>
      </c>
      <c r="Q56" s="5">
        <v>1</v>
      </c>
      <c r="R56" s="9">
        <v>0</v>
      </c>
      <c r="S56" s="8">
        <v>0</v>
      </c>
      <c r="T56" s="5">
        <v>0</v>
      </c>
    </row>
    <row r="57" spans="1:20" x14ac:dyDescent="0.2">
      <c r="A57" s="5" t="s">
        <v>290</v>
      </c>
      <c r="B57" s="5" t="s">
        <v>69</v>
      </c>
      <c r="C57" s="10" t="s">
        <v>618</v>
      </c>
      <c r="D57" s="7">
        <f t="shared" si="0"/>
        <v>13.9</v>
      </c>
      <c r="E57" s="8">
        <v>0</v>
      </c>
      <c r="F57" s="5">
        <v>0</v>
      </c>
      <c r="G57" s="5">
        <v>0</v>
      </c>
      <c r="H57" s="5">
        <v>0</v>
      </c>
      <c r="I57" s="5">
        <v>0</v>
      </c>
      <c r="J57" s="9">
        <v>0</v>
      </c>
      <c r="K57" s="8">
        <v>0</v>
      </c>
      <c r="L57" s="5">
        <v>0</v>
      </c>
      <c r="M57" s="5">
        <v>0</v>
      </c>
      <c r="N57" s="9">
        <v>0</v>
      </c>
      <c r="O57" s="8">
        <v>5</v>
      </c>
      <c r="P57" s="5">
        <v>29</v>
      </c>
      <c r="Q57" s="5">
        <v>1</v>
      </c>
      <c r="R57" s="9">
        <v>0</v>
      </c>
      <c r="S57" s="8">
        <v>0</v>
      </c>
      <c r="T57" s="5">
        <v>0</v>
      </c>
    </row>
    <row r="58" spans="1:20" x14ac:dyDescent="0.2">
      <c r="A58" s="5" t="s">
        <v>273</v>
      </c>
      <c r="B58" s="5" t="s">
        <v>69</v>
      </c>
      <c r="C58" s="17" t="s">
        <v>615</v>
      </c>
      <c r="D58" s="7">
        <f t="shared" si="0"/>
        <v>13.9</v>
      </c>
      <c r="E58" s="8">
        <v>0</v>
      </c>
      <c r="F58" s="5">
        <v>0</v>
      </c>
      <c r="G58" s="5">
        <v>0</v>
      </c>
      <c r="H58" s="5">
        <v>0</v>
      </c>
      <c r="I58" s="5">
        <v>0</v>
      </c>
      <c r="J58" s="9">
        <v>0</v>
      </c>
      <c r="K58" s="8">
        <v>0</v>
      </c>
      <c r="L58" s="5">
        <v>0</v>
      </c>
      <c r="M58" s="5">
        <v>0</v>
      </c>
      <c r="N58" s="9">
        <v>0</v>
      </c>
      <c r="O58" s="8">
        <v>7</v>
      </c>
      <c r="P58" s="5">
        <v>69</v>
      </c>
      <c r="Q58" s="5">
        <v>0</v>
      </c>
      <c r="R58" s="9">
        <v>0</v>
      </c>
      <c r="S58" s="8">
        <v>0</v>
      </c>
      <c r="T58" s="5">
        <v>0</v>
      </c>
    </row>
    <row r="59" spans="1:20" x14ac:dyDescent="0.2">
      <c r="A59" s="5" t="s">
        <v>21</v>
      </c>
      <c r="B59" s="5" t="s">
        <v>17</v>
      </c>
      <c r="C59" s="10" t="s">
        <v>624</v>
      </c>
      <c r="D59" s="7">
        <f t="shared" si="0"/>
        <v>13.82</v>
      </c>
      <c r="E59" s="8">
        <v>26</v>
      </c>
      <c r="F59" s="5">
        <v>20</v>
      </c>
      <c r="G59" s="5">
        <v>228</v>
      </c>
      <c r="H59" s="5">
        <v>1</v>
      </c>
      <c r="I59" s="5">
        <v>0</v>
      </c>
      <c r="J59" s="9">
        <v>0</v>
      </c>
      <c r="K59" s="8">
        <v>4</v>
      </c>
      <c r="L59" s="5">
        <v>7</v>
      </c>
      <c r="M59" s="5">
        <v>0</v>
      </c>
      <c r="N59" s="9">
        <v>0</v>
      </c>
      <c r="O59" s="8">
        <v>0</v>
      </c>
      <c r="P59" s="5">
        <v>0</v>
      </c>
      <c r="Q59" s="5">
        <v>0</v>
      </c>
      <c r="R59" s="9">
        <v>0</v>
      </c>
      <c r="S59" s="8">
        <v>0</v>
      </c>
      <c r="T59" s="5">
        <v>0</v>
      </c>
    </row>
    <row r="60" spans="1:20" x14ac:dyDescent="0.2">
      <c r="A60" s="5" t="s">
        <v>164</v>
      </c>
      <c r="B60" s="5" t="s">
        <v>162</v>
      </c>
      <c r="C60" s="10" t="s">
        <v>621</v>
      </c>
      <c r="D60" s="7">
        <f t="shared" si="0"/>
        <v>13.5</v>
      </c>
      <c r="E60" s="8">
        <v>0</v>
      </c>
      <c r="F60" s="5">
        <v>0</v>
      </c>
      <c r="G60" s="5">
        <v>0</v>
      </c>
      <c r="H60" s="5">
        <v>0</v>
      </c>
      <c r="I60" s="5">
        <v>0</v>
      </c>
      <c r="J60" s="9">
        <v>0</v>
      </c>
      <c r="K60" s="8">
        <v>1</v>
      </c>
      <c r="L60" s="5">
        <v>17</v>
      </c>
      <c r="M60" s="5">
        <v>1</v>
      </c>
      <c r="N60" s="9">
        <v>0</v>
      </c>
      <c r="O60" s="8">
        <v>2</v>
      </c>
      <c r="P60" s="5">
        <v>38</v>
      </c>
      <c r="Q60" s="5">
        <v>0</v>
      </c>
      <c r="R60" s="9">
        <v>0</v>
      </c>
      <c r="S60" s="8">
        <v>0</v>
      </c>
      <c r="T60" s="5">
        <v>0</v>
      </c>
    </row>
    <row r="61" spans="1:20" x14ac:dyDescent="0.2">
      <c r="A61" s="5" t="s">
        <v>427</v>
      </c>
      <c r="B61" s="5" t="s">
        <v>162</v>
      </c>
      <c r="C61" s="17" t="s">
        <v>621</v>
      </c>
      <c r="D61" s="7">
        <f t="shared" si="0"/>
        <v>13.5</v>
      </c>
      <c r="E61" s="8">
        <v>0</v>
      </c>
      <c r="F61" s="5">
        <v>0</v>
      </c>
      <c r="G61" s="5">
        <v>0</v>
      </c>
      <c r="H61" s="5">
        <v>0</v>
      </c>
      <c r="I61" s="5">
        <v>0</v>
      </c>
      <c r="J61" s="9">
        <v>0</v>
      </c>
      <c r="K61" s="8">
        <v>0</v>
      </c>
      <c r="L61" s="5">
        <v>0</v>
      </c>
      <c r="M61" s="5">
        <v>0</v>
      </c>
      <c r="N61" s="9">
        <v>0</v>
      </c>
      <c r="O61" s="8">
        <v>4</v>
      </c>
      <c r="P61" s="5">
        <v>35</v>
      </c>
      <c r="Q61" s="5">
        <v>1</v>
      </c>
      <c r="R61" s="9">
        <v>0</v>
      </c>
      <c r="S61" s="8">
        <v>0</v>
      </c>
      <c r="T61" s="5">
        <v>0</v>
      </c>
    </row>
    <row r="62" spans="1:20" x14ac:dyDescent="0.2">
      <c r="A62" s="5" t="s">
        <v>181</v>
      </c>
      <c r="B62" s="5" t="s">
        <v>162</v>
      </c>
      <c r="C62" s="17" t="s">
        <v>618</v>
      </c>
      <c r="D62" s="7">
        <f t="shared" si="0"/>
        <v>13.200000000000001</v>
      </c>
      <c r="E62" s="8">
        <v>0</v>
      </c>
      <c r="F62" s="5">
        <v>0</v>
      </c>
      <c r="G62" s="5">
        <v>0</v>
      </c>
      <c r="H62" s="5">
        <v>0</v>
      </c>
      <c r="I62" s="5">
        <v>0</v>
      </c>
      <c r="J62" s="9">
        <v>0</v>
      </c>
      <c r="K62" s="8">
        <v>0</v>
      </c>
      <c r="L62" s="5">
        <v>0</v>
      </c>
      <c r="M62" s="5">
        <v>0</v>
      </c>
      <c r="N62" s="9">
        <v>0</v>
      </c>
      <c r="O62" s="8">
        <v>5</v>
      </c>
      <c r="P62" s="5">
        <v>82</v>
      </c>
      <c r="Q62" s="5">
        <v>0</v>
      </c>
      <c r="R62" s="9">
        <v>0</v>
      </c>
      <c r="S62" s="8">
        <v>0</v>
      </c>
      <c r="T62" s="5">
        <v>0</v>
      </c>
    </row>
    <row r="63" spans="1:20" x14ac:dyDescent="0.2">
      <c r="A63" s="5" t="s">
        <v>184</v>
      </c>
      <c r="B63" s="5" t="s">
        <v>162</v>
      </c>
      <c r="C63" s="10" t="s">
        <v>622</v>
      </c>
      <c r="D63" s="7">
        <f t="shared" si="0"/>
        <v>13</v>
      </c>
      <c r="E63" s="8">
        <v>0</v>
      </c>
      <c r="F63" s="5">
        <v>0</v>
      </c>
      <c r="G63" s="5">
        <v>0</v>
      </c>
      <c r="H63" s="5">
        <v>0</v>
      </c>
      <c r="I63" s="5">
        <v>0</v>
      </c>
      <c r="J63" s="9">
        <v>0</v>
      </c>
      <c r="K63" s="8">
        <v>0</v>
      </c>
      <c r="L63" s="5">
        <v>0</v>
      </c>
      <c r="M63" s="5">
        <v>0</v>
      </c>
      <c r="N63" s="9">
        <v>0</v>
      </c>
      <c r="O63" s="8">
        <v>7</v>
      </c>
      <c r="P63" s="5">
        <v>80</v>
      </c>
      <c r="Q63" s="5">
        <v>0</v>
      </c>
      <c r="R63" s="9">
        <v>0</v>
      </c>
      <c r="S63" s="8">
        <v>1</v>
      </c>
      <c r="T63" s="5">
        <v>0</v>
      </c>
    </row>
    <row r="64" spans="1:20" x14ac:dyDescent="0.2">
      <c r="A64" s="5" t="s">
        <v>136</v>
      </c>
      <c r="B64" s="5" t="s">
        <v>75</v>
      </c>
      <c r="C64" s="10" t="s">
        <v>616</v>
      </c>
      <c r="D64" s="7">
        <f t="shared" si="0"/>
        <v>12.700000000000001</v>
      </c>
      <c r="E64" s="8">
        <v>0</v>
      </c>
      <c r="F64" s="5">
        <v>0</v>
      </c>
      <c r="G64" s="5">
        <v>0</v>
      </c>
      <c r="H64" s="5">
        <v>0</v>
      </c>
      <c r="I64" s="5">
        <v>0</v>
      </c>
      <c r="J64" s="9">
        <v>0</v>
      </c>
      <c r="K64" s="8">
        <v>20</v>
      </c>
      <c r="L64" s="5">
        <v>44</v>
      </c>
      <c r="M64" s="5">
        <v>0</v>
      </c>
      <c r="N64" s="9">
        <v>0</v>
      </c>
      <c r="O64" s="8">
        <v>5</v>
      </c>
      <c r="P64" s="5">
        <v>33</v>
      </c>
      <c r="Q64" s="5">
        <v>0</v>
      </c>
      <c r="R64" s="9">
        <v>0</v>
      </c>
      <c r="S64" s="8">
        <v>0</v>
      </c>
      <c r="T64" s="5">
        <v>0</v>
      </c>
    </row>
    <row r="65" spans="1:20" x14ac:dyDescent="0.2">
      <c r="A65" s="5" t="s">
        <v>175</v>
      </c>
      <c r="B65" s="5" t="s">
        <v>162</v>
      </c>
      <c r="C65" s="17" t="s">
        <v>613</v>
      </c>
      <c r="D65" s="7">
        <f t="shared" si="0"/>
        <v>12.700000000000001</v>
      </c>
      <c r="E65" s="8">
        <v>0</v>
      </c>
      <c r="F65" s="5">
        <v>0</v>
      </c>
      <c r="G65" s="5">
        <v>0</v>
      </c>
      <c r="H65" s="5">
        <v>0</v>
      </c>
      <c r="I65" s="5">
        <v>0</v>
      </c>
      <c r="J65" s="9">
        <v>0</v>
      </c>
      <c r="K65" s="8">
        <v>0</v>
      </c>
      <c r="L65" s="5">
        <v>0</v>
      </c>
      <c r="M65" s="5">
        <v>0</v>
      </c>
      <c r="N65" s="9">
        <v>0</v>
      </c>
      <c r="O65" s="8">
        <v>4</v>
      </c>
      <c r="P65" s="5">
        <v>87</v>
      </c>
      <c r="Q65" s="5">
        <v>0</v>
      </c>
      <c r="R65" s="9">
        <v>0</v>
      </c>
      <c r="S65" s="8">
        <v>0</v>
      </c>
      <c r="T65" s="5">
        <v>0</v>
      </c>
    </row>
    <row r="66" spans="1:20" x14ac:dyDescent="0.2">
      <c r="A66" s="5" t="s">
        <v>145</v>
      </c>
      <c r="B66" s="5" t="s">
        <v>75</v>
      </c>
      <c r="C66" s="17" t="s">
        <v>619</v>
      </c>
      <c r="D66" s="7">
        <f t="shared" si="0"/>
        <v>12.600000000000001</v>
      </c>
      <c r="E66" s="8">
        <v>0</v>
      </c>
      <c r="F66" s="5">
        <v>0</v>
      </c>
      <c r="G66" s="5">
        <v>0</v>
      </c>
      <c r="H66" s="5">
        <v>0</v>
      </c>
      <c r="I66" s="5">
        <v>0</v>
      </c>
      <c r="J66" s="9">
        <v>0</v>
      </c>
      <c r="K66" s="8">
        <v>6</v>
      </c>
      <c r="L66" s="5">
        <v>34</v>
      </c>
      <c r="M66" s="5">
        <v>0</v>
      </c>
      <c r="N66" s="9">
        <v>0</v>
      </c>
      <c r="O66" s="8">
        <v>5</v>
      </c>
      <c r="P66" s="5">
        <v>42</v>
      </c>
      <c r="Q66" s="5">
        <v>0</v>
      </c>
      <c r="R66" s="9">
        <v>0</v>
      </c>
      <c r="S66" s="8">
        <v>0</v>
      </c>
      <c r="T66" s="5">
        <v>0</v>
      </c>
    </row>
    <row r="67" spans="1:20" x14ac:dyDescent="0.2">
      <c r="A67" s="5" t="s">
        <v>316</v>
      </c>
      <c r="B67" s="5" t="s">
        <v>69</v>
      </c>
      <c r="C67" s="10" t="s">
        <v>622</v>
      </c>
      <c r="D67" s="7">
        <f t="shared" si="0"/>
        <v>12.600000000000001</v>
      </c>
      <c r="E67" s="8">
        <v>0</v>
      </c>
      <c r="F67" s="5">
        <v>0</v>
      </c>
      <c r="G67" s="5">
        <v>0</v>
      </c>
      <c r="H67" s="5">
        <v>0</v>
      </c>
      <c r="I67" s="5">
        <v>0</v>
      </c>
      <c r="J67" s="9">
        <v>0</v>
      </c>
      <c r="K67" s="8">
        <v>0</v>
      </c>
      <c r="L67" s="5">
        <v>0</v>
      </c>
      <c r="M67" s="5">
        <v>0</v>
      </c>
      <c r="N67" s="9">
        <v>0</v>
      </c>
      <c r="O67" s="8">
        <v>6</v>
      </c>
      <c r="P67" s="5">
        <v>66</v>
      </c>
      <c r="Q67" s="5">
        <v>0</v>
      </c>
      <c r="R67" s="9">
        <v>0</v>
      </c>
      <c r="S67" s="8">
        <v>0</v>
      </c>
      <c r="T67" s="5">
        <v>0</v>
      </c>
    </row>
    <row r="68" spans="1:20" x14ac:dyDescent="0.2">
      <c r="A68" s="5" t="s">
        <v>300</v>
      </c>
      <c r="B68" s="5" t="s">
        <v>69</v>
      </c>
      <c r="C68" s="10" t="s">
        <v>616</v>
      </c>
      <c r="D68" s="7">
        <f t="shared" si="0"/>
        <v>12.6</v>
      </c>
      <c r="E68" s="8">
        <v>0</v>
      </c>
      <c r="F68" s="5">
        <v>0</v>
      </c>
      <c r="G68" s="5">
        <v>0</v>
      </c>
      <c r="H68" s="5">
        <v>0</v>
      </c>
      <c r="I68" s="5">
        <v>0</v>
      </c>
      <c r="J68" s="9">
        <v>0</v>
      </c>
      <c r="K68" s="8">
        <v>0</v>
      </c>
      <c r="L68" s="5">
        <v>0</v>
      </c>
      <c r="M68" s="5">
        <v>0</v>
      </c>
      <c r="N68" s="9">
        <v>0</v>
      </c>
      <c r="O68" s="8">
        <v>4</v>
      </c>
      <c r="P68" s="5">
        <v>26</v>
      </c>
      <c r="Q68" s="5">
        <v>1</v>
      </c>
      <c r="R68" s="9">
        <v>0</v>
      </c>
      <c r="S68" s="8">
        <v>0</v>
      </c>
      <c r="T68" s="5">
        <v>0</v>
      </c>
    </row>
    <row r="69" spans="1:20" x14ac:dyDescent="0.2">
      <c r="A69" s="5" t="s">
        <v>161</v>
      </c>
      <c r="B69" s="5" t="s">
        <v>162</v>
      </c>
      <c r="C69" s="17" t="s">
        <v>626</v>
      </c>
      <c r="D69" s="7">
        <f t="shared" si="0"/>
        <v>12.5</v>
      </c>
      <c r="E69" s="8">
        <v>0</v>
      </c>
      <c r="F69" s="5">
        <v>0</v>
      </c>
      <c r="G69" s="5">
        <v>0</v>
      </c>
      <c r="H69" s="5">
        <v>0</v>
      </c>
      <c r="I69" s="5">
        <v>0</v>
      </c>
      <c r="J69" s="9">
        <v>0</v>
      </c>
      <c r="K69" s="8">
        <v>1</v>
      </c>
      <c r="L69" s="5">
        <v>3</v>
      </c>
      <c r="M69" s="5">
        <v>0</v>
      </c>
      <c r="N69" s="9">
        <v>0</v>
      </c>
      <c r="O69" s="8">
        <v>8</v>
      </c>
      <c r="P69" s="5">
        <v>62</v>
      </c>
      <c r="Q69" s="5">
        <v>0</v>
      </c>
      <c r="R69" s="9">
        <v>0</v>
      </c>
      <c r="S69" s="8">
        <v>1</v>
      </c>
      <c r="T69" s="5">
        <v>0</v>
      </c>
    </row>
    <row r="70" spans="1:20" x14ac:dyDescent="0.2">
      <c r="A70" s="5" t="s">
        <v>16</v>
      </c>
      <c r="B70" s="5" t="s">
        <v>17</v>
      </c>
      <c r="C70" s="17" t="s">
        <v>626</v>
      </c>
      <c r="D70" s="7">
        <f t="shared" si="0"/>
        <v>12.419999999999998</v>
      </c>
      <c r="E70" s="8">
        <v>34</v>
      </c>
      <c r="F70" s="5">
        <v>21</v>
      </c>
      <c r="G70" s="5">
        <v>193</v>
      </c>
      <c r="H70" s="5">
        <v>1</v>
      </c>
      <c r="I70" s="5">
        <v>0</v>
      </c>
      <c r="J70" s="9">
        <v>0</v>
      </c>
      <c r="K70" s="8">
        <v>2</v>
      </c>
      <c r="L70" s="5">
        <v>7</v>
      </c>
      <c r="M70" s="5">
        <v>0</v>
      </c>
      <c r="N70" s="9">
        <v>0</v>
      </c>
      <c r="O70" s="8">
        <v>0</v>
      </c>
      <c r="P70" s="5">
        <v>0</v>
      </c>
      <c r="Q70" s="5">
        <v>0</v>
      </c>
      <c r="R70" s="9">
        <v>0</v>
      </c>
      <c r="S70" s="8">
        <v>0</v>
      </c>
      <c r="T70" s="5">
        <v>0</v>
      </c>
    </row>
    <row r="71" spans="1:20" x14ac:dyDescent="0.2">
      <c r="A71" s="5" t="s">
        <v>232</v>
      </c>
      <c r="B71" s="5" t="s">
        <v>162</v>
      </c>
      <c r="C71" s="17" t="s">
        <v>619</v>
      </c>
      <c r="D71" s="7">
        <f t="shared" si="0"/>
        <v>12.3</v>
      </c>
      <c r="E71" s="8">
        <v>0</v>
      </c>
      <c r="F71" s="5">
        <v>0</v>
      </c>
      <c r="G71" s="5">
        <v>0</v>
      </c>
      <c r="H71" s="5">
        <v>0</v>
      </c>
      <c r="I71" s="5">
        <v>0</v>
      </c>
      <c r="J71" s="9">
        <v>0</v>
      </c>
      <c r="K71" s="8">
        <v>0</v>
      </c>
      <c r="L71" s="5">
        <v>0</v>
      </c>
      <c r="M71" s="5">
        <v>0</v>
      </c>
      <c r="N71" s="9">
        <v>0</v>
      </c>
      <c r="O71" s="8">
        <v>5</v>
      </c>
      <c r="P71" s="5">
        <v>73</v>
      </c>
      <c r="Q71" s="5">
        <v>0</v>
      </c>
      <c r="R71" s="9">
        <v>0</v>
      </c>
      <c r="S71" s="8">
        <v>0</v>
      </c>
      <c r="T71" s="5">
        <v>0</v>
      </c>
    </row>
    <row r="72" spans="1:20" x14ac:dyDescent="0.2">
      <c r="A72" s="5" t="s">
        <v>237</v>
      </c>
      <c r="B72" s="5" t="s">
        <v>162</v>
      </c>
      <c r="C72" s="17" t="s">
        <v>623</v>
      </c>
      <c r="D72" s="7">
        <f t="shared" si="0"/>
        <v>12.3</v>
      </c>
      <c r="E72" s="8">
        <v>0</v>
      </c>
      <c r="F72" s="5">
        <v>0</v>
      </c>
      <c r="G72" s="5">
        <v>0</v>
      </c>
      <c r="H72" s="5">
        <v>0</v>
      </c>
      <c r="I72" s="5">
        <v>0</v>
      </c>
      <c r="J72" s="9">
        <v>0</v>
      </c>
      <c r="K72" s="8">
        <v>0</v>
      </c>
      <c r="L72" s="5">
        <v>0</v>
      </c>
      <c r="M72" s="5">
        <v>0</v>
      </c>
      <c r="N72" s="9">
        <v>0</v>
      </c>
      <c r="O72" s="8">
        <v>6</v>
      </c>
      <c r="P72" s="5">
        <v>63</v>
      </c>
      <c r="Q72" s="5">
        <v>0</v>
      </c>
      <c r="R72" s="9">
        <v>0</v>
      </c>
      <c r="S72" s="8">
        <v>0</v>
      </c>
      <c r="T72" s="5">
        <v>0</v>
      </c>
    </row>
    <row r="73" spans="1:20" x14ac:dyDescent="0.2">
      <c r="A73" s="5" t="s">
        <v>446</v>
      </c>
      <c r="B73" s="5" t="s">
        <v>69</v>
      </c>
      <c r="C73" s="10" t="s">
        <v>617</v>
      </c>
      <c r="D73" s="7">
        <f t="shared" si="0"/>
        <v>12</v>
      </c>
      <c r="E73" s="8">
        <v>0</v>
      </c>
      <c r="F73" s="5">
        <v>0</v>
      </c>
      <c r="G73" s="5">
        <v>0</v>
      </c>
      <c r="H73" s="5">
        <v>0</v>
      </c>
      <c r="I73" s="5">
        <v>0</v>
      </c>
      <c r="J73" s="9">
        <v>0</v>
      </c>
      <c r="K73" s="8">
        <v>0</v>
      </c>
      <c r="L73" s="5">
        <v>0</v>
      </c>
      <c r="M73" s="5">
        <v>0</v>
      </c>
      <c r="N73" s="9">
        <v>0</v>
      </c>
      <c r="O73" s="8">
        <v>3</v>
      </c>
      <c r="P73" s="5">
        <v>30</v>
      </c>
      <c r="Q73" s="5">
        <v>1</v>
      </c>
      <c r="R73" s="9">
        <v>0</v>
      </c>
      <c r="S73" s="8">
        <v>0</v>
      </c>
      <c r="T73" s="5">
        <v>0</v>
      </c>
    </row>
    <row r="74" spans="1:20" x14ac:dyDescent="0.2">
      <c r="A74" s="5" t="s">
        <v>93</v>
      </c>
      <c r="B74" s="5" t="s">
        <v>75</v>
      </c>
      <c r="C74" s="17" t="s">
        <v>619</v>
      </c>
      <c r="D74" s="7">
        <f t="shared" si="0"/>
        <v>11.700000000000001</v>
      </c>
      <c r="E74" s="8">
        <v>0</v>
      </c>
      <c r="F74" s="5">
        <v>0</v>
      </c>
      <c r="G74" s="5">
        <v>0</v>
      </c>
      <c r="H74" s="5">
        <v>0</v>
      </c>
      <c r="I74" s="5">
        <v>0</v>
      </c>
      <c r="J74" s="9">
        <v>0</v>
      </c>
      <c r="K74" s="8">
        <v>18</v>
      </c>
      <c r="L74" s="5">
        <v>63</v>
      </c>
      <c r="M74" s="5">
        <v>1</v>
      </c>
      <c r="N74" s="9">
        <v>0</v>
      </c>
      <c r="O74" s="8">
        <v>1</v>
      </c>
      <c r="P74" s="5">
        <v>4</v>
      </c>
      <c r="Q74" s="5">
        <v>0</v>
      </c>
      <c r="R74" s="9">
        <v>0</v>
      </c>
      <c r="S74" s="8">
        <v>1</v>
      </c>
      <c r="T74" s="5">
        <v>0</v>
      </c>
    </row>
    <row r="75" spans="1:20" x14ac:dyDescent="0.2">
      <c r="A75" s="5" t="s">
        <v>301</v>
      </c>
      <c r="B75" s="5" t="s">
        <v>69</v>
      </c>
      <c r="C75" s="10" t="s">
        <v>617</v>
      </c>
      <c r="D75" s="7">
        <f t="shared" si="0"/>
        <v>11.6</v>
      </c>
      <c r="E75" s="8">
        <v>0</v>
      </c>
      <c r="F75" s="5">
        <v>0</v>
      </c>
      <c r="G75" s="5">
        <v>0</v>
      </c>
      <c r="H75" s="5">
        <v>0</v>
      </c>
      <c r="I75" s="5">
        <v>0</v>
      </c>
      <c r="J75" s="9">
        <v>0</v>
      </c>
      <c r="K75" s="8">
        <v>0</v>
      </c>
      <c r="L75" s="5">
        <v>0</v>
      </c>
      <c r="M75" s="5">
        <v>0</v>
      </c>
      <c r="N75" s="9">
        <v>0</v>
      </c>
      <c r="O75" s="8">
        <v>3</v>
      </c>
      <c r="P75" s="5">
        <v>26</v>
      </c>
      <c r="Q75" s="5">
        <v>1</v>
      </c>
      <c r="R75" s="9">
        <v>0</v>
      </c>
      <c r="S75" s="8">
        <v>0</v>
      </c>
      <c r="T75" s="5">
        <v>0</v>
      </c>
    </row>
    <row r="76" spans="1:20" x14ac:dyDescent="0.2">
      <c r="A76" s="5" t="s">
        <v>58</v>
      </c>
      <c r="B76" s="5" t="s">
        <v>17</v>
      </c>
      <c r="C76" s="10" t="s">
        <v>623</v>
      </c>
      <c r="D76" s="7">
        <f t="shared" si="0"/>
        <v>11.48</v>
      </c>
      <c r="E76" s="8">
        <v>26</v>
      </c>
      <c r="F76" s="5">
        <v>21</v>
      </c>
      <c r="G76" s="5">
        <v>187</v>
      </c>
      <c r="H76" s="5">
        <v>0</v>
      </c>
      <c r="I76" s="5">
        <v>0</v>
      </c>
      <c r="J76" s="9">
        <v>0</v>
      </c>
      <c r="K76" s="8">
        <v>10</v>
      </c>
      <c r="L76" s="5">
        <v>60</v>
      </c>
      <c r="M76" s="5">
        <v>0</v>
      </c>
      <c r="N76" s="9">
        <v>0</v>
      </c>
      <c r="O76" s="8">
        <v>0</v>
      </c>
      <c r="P76" s="5">
        <v>0</v>
      </c>
      <c r="Q76" s="5">
        <v>0</v>
      </c>
      <c r="R76" s="9">
        <v>0</v>
      </c>
      <c r="S76" s="8">
        <v>1</v>
      </c>
      <c r="T76" s="5">
        <v>0</v>
      </c>
    </row>
    <row r="77" spans="1:20" x14ac:dyDescent="0.2">
      <c r="A77" s="5" t="s">
        <v>19</v>
      </c>
      <c r="B77" s="5" t="s">
        <v>17</v>
      </c>
      <c r="C77" s="10" t="s">
        <v>619</v>
      </c>
      <c r="D77" s="7">
        <f t="shared" si="0"/>
        <v>11.100000000000001</v>
      </c>
      <c r="E77" s="8">
        <v>44</v>
      </c>
      <c r="F77" s="5">
        <v>24</v>
      </c>
      <c r="G77" s="5">
        <v>220</v>
      </c>
      <c r="H77" s="5">
        <v>1</v>
      </c>
      <c r="I77" s="5">
        <v>1</v>
      </c>
      <c r="J77" s="9">
        <v>0</v>
      </c>
      <c r="K77" s="8">
        <v>3</v>
      </c>
      <c r="L77" s="5">
        <v>3</v>
      </c>
      <c r="M77" s="5">
        <v>0</v>
      </c>
      <c r="N77" s="9">
        <v>0</v>
      </c>
      <c r="O77" s="8">
        <v>0</v>
      </c>
      <c r="P77" s="5">
        <v>0</v>
      </c>
      <c r="Q77" s="5">
        <v>0</v>
      </c>
      <c r="R77" s="9">
        <v>0</v>
      </c>
      <c r="S77" s="8">
        <v>0</v>
      </c>
      <c r="T77" s="5">
        <v>0</v>
      </c>
    </row>
    <row r="78" spans="1:20" x14ac:dyDescent="0.2">
      <c r="A78" s="5" t="s">
        <v>216</v>
      </c>
      <c r="B78" s="5" t="s">
        <v>162</v>
      </c>
      <c r="C78" s="10" t="s">
        <v>619</v>
      </c>
      <c r="D78" s="7">
        <f t="shared" si="0"/>
        <v>11.100000000000001</v>
      </c>
      <c r="E78" s="8">
        <v>0</v>
      </c>
      <c r="F78" s="5">
        <v>0</v>
      </c>
      <c r="G78" s="5">
        <v>0</v>
      </c>
      <c r="H78" s="5">
        <v>0</v>
      </c>
      <c r="I78" s="5">
        <v>0</v>
      </c>
      <c r="J78" s="9">
        <v>0</v>
      </c>
      <c r="K78" s="8">
        <v>0</v>
      </c>
      <c r="L78" s="5">
        <v>0</v>
      </c>
      <c r="M78" s="5">
        <v>0</v>
      </c>
      <c r="N78" s="9">
        <v>0</v>
      </c>
      <c r="O78" s="8">
        <v>6</v>
      </c>
      <c r="P78" s="5">
        <v>51</v>
      </c>
      <c r="Q78" s="5">
        <v>0</v>
      </c>
      <c r="R78" s="9">
        <v>0</v>
      </c>
      <c r="S78" s="8">
        <v>0</v>
      </c>
      <c r="T78" s="5">
        <v>0</v>
      </c>
    </row>
    <row r="79" spans="1:20" x14ac:dyDescent="0.2">
      <c r="A79" s="5" t="s">
        <v>78</v>
      </c>
      <c r="B79" s="5" t="s">
        <v>75</v>
      </c>
      <c r="C79" s="10" t="s">
        <v>615</v>
      </c>
      <c r="D79" s="7">
        <f t="shared" si="0"/>
        <v>11</v>
      </c>
      <c r="E79" s="8">
        <v>0</v>
      </c>
      <c r="F79" s="5">
        <v>0</v>
      </c>
      <c r="G79" s="5">
        <v>0</v>
      </c>
      <c r="H79" s="5">
        <v>0</v>
      </c>
      <c r="I79" s="5">
        <v>0</v>
      </c>
      <c r="J79" s="9">
        <v>0</v>
      </c>
      <c r="K79" s="8">
        <v>12</v>
      </c>
      <c r="L79" s="5">
        <v>39</v>
      </c>
      <c r="M79" s="5">
        <v>1</v>
      </c>
      <c r="N79" s="9">
        <v>0</v>
      </c>
      <c r="O79" s="8">
        <v>2</v>
      </c>
      <c r="P79" s="5">
        <v>-9</v>
      </c>
      <c r="Q79" s="5">
        <v>0</v>
      </c>
      <c r="R79" s="9">
        <v>0</v>
      </c>
      <c r="S79" s="8">
        <v>0</v>
      </c>
      <c r="T79" s="5">
        <v>0</v>
      </c>
    </row>
    <row r="80" spans="1:20" x14ac:dyDescent="0.2">
      <c r="A80" s="5" t="s">
        <v>470</v>
      </c>
      <c r="B80" s="5" t="s">
        <v>75</v>
      </c>
      <c r="C80" s="10" t="s">
        <v>618</v>
      </c>
      <c r="D80" s="7">
        <f t="shared" si="0"/>
        <v>11</v>
      </c>
      <c r="E80" s="8">
        <v>0</v>
      </c>
      <c r="F80" s="5">
        <v>0</v>
      </c>
      <c r="G80" s="5">
        <v>0</v>
      </c>
      <c r="H80" s="5">
        <v>0</v>
      </c>
      <c r="I80" s="5">
        <v>0</v>
      </c>
      <c r="J80" s="9">
        <v>0</v>
      </c>
      <c r="K80" s="8">
        <v>9</v>
      </c>
      <c r="L80" s="5">
        <v>26</v>
      </c>
      <c r="M80" s="5">
        <v>0</v>
      </c>
      <c r="N80" s="9">
        <v>0</v>
      </c>
      <c r="O80" s="8">
        <v>4</v>
      </c>
      <c r="P80" s="5">
        <v>44</v>
      </c>
      <c r="Q80" s="5">
        <v>0</v>
      </c>
      <c r="R80" s="9">
        <v>0</v>
      </c>
      <c r="S80" s="8">
        <v>0</v>
      </c>
      <c r="T80" s="5">
        <v>0</v>
      </c>
    </row>
    <row r="81" spans="1:20" x14ac:dyDescent="0.2">
      <c r="A81" s="5" t="s">
        <v>559</v>
      </c>
      <c r="B81" s="5" t="s">
        <v>162</v>
      </c>
      <c r="C81" s="17" t="s">
        <v>620</v>
      </c>
      <c r="D81" s="7">
        <f t="shared" si="0"/>
        <v>10.8</v>
      </c>
      <c r="E81" s="8">
        <v>0</v>
      </c>
      <c r="F81" s="5">
        <v>0</v>
      </c>
      <c r="G81" s="5">
        <v>0</v>
      </c>
      <c r="H81" s="5">
        <v>0</v>
      </c>
      <c r="I81" s="5">
        <v>0</v>
      </c>
      <c r="J81" s="9">
        <v>0</v>
      </c>
      <c r="K81" s="8">
        <v>0</v>
      </c>
      <c r="L81" s="5">
        <v>0</v>
      </c>
      <c r="M81" s="5">
        <v>0</v>
      </c>
      <c r="N81" s="9">
        <v>0</v>
      </c>
      <c r="O81" s="8">
        <v>4</v>
      </c>
      <c r="P81" s="5">
        <v>68</v>
      </c>
      <c r="Q81" s="5">
        <v>0</v>
      </c>
      <c r="R81" s="9">
        <v>0</v>
      </c>
      <c r="S81" s="8">
        <v>0</v>
      </c>
      <c r="T81" s="5">
        <v>0</v>
      </c>
    </row>
    <row r="82" spans="1:20" x14ac:dyDescent="0.2">
      <c r="A82" s="5" t="s">
        <v>108</v>
      </c>
      <c r="B82" s="5" t="s">
        <v>75</v>
      </c>
      <c r="C82" s="10" t="s">
        <v>625</v>
      </c>
      <c r="D82" s="7">
        <f t="shared" si="0"/>
        <v>10.700000000000001</v>
      </c>
      <c r="E82" s="8">
        <v>0</v>
      </c>
      <c r="F82" s="5">
        <v>0</v>
      </c>
      <c r="G82" s="5">
        <v>0</v>
      </c>
      <c r="H82" s="5">
        <v>0</v>
      </c>
      <c r="I82" s="5">
        <v>0</v>
      </c>
      <c r="J82" s="9">
        <v>0</v>
      </c>
      <c r="K82" s="8">
        <v>16</v>
      </c>
      <c r="L82" s="5">
        <v>58</v>
      </c>
      <c r="M82" s="5">
        <v>0</v>
      </c>
      <c r="N82" s="9">
        <v>0</v>
      </c>
      <c r="O82" s="8">
        <v>4</v>
      </c>
      <c r="P82" s="5">
        <v>9</v>
      </c>
      <c r="Q82" s="5">
        <v>0</v>
      </c>
      <c r="R82" s="9">
        <v>0</v>
      </c>
      <c r="S82" s="8">
        <v>0</v>
      </c>
      <c r="T82" s="5">
        <v>0</v>
      </c>
    </row>
    <row r="83" spans="1:20" x14ac:dyDescent="0.2">
      <c r="A83" s="5" t="s">
        <v>187</v>
      </c>
      <c r="B83" s="5" t="s">
        <v>162</v>
      </c>
      <c r="C83" s="17" t="s">
        <v>620</v>
      </c>
      <c r="D83" s="7">
        <f t="shared" si="0"/>
        <v>10.5</v>
      </c>
      <c r="E83" s="8">
        <v>0</v>
      </c>
      <c r="F83" s="5">
        <v>0</v>
      </c>
      <c r="G83" s="5">
        <v>0</v>
      </c>
      <c r="H83" s="5">
        <v>0</v>
      </c>
      <c r="I83" s="5">
        <v>0</v>
      </c>
      <c r="J83" s="9">
        <v>0</v>
      </c>
      <c r="K83" s="8">
        <v>1</v>
      </c>
      <c r="L83" s="5">
        <v>5</v>
      </c>
      <c r="M83" s="5">
        <v>0</v>
      </c>
      <c r="N83" s="9">
        <v>0</v>
      </c>
      <c r="O83" s="8">
        <v>4</v>
      </c>
      <c r="P83" s="5">
        <v>60</v>
      </c>
      <c r="Q83" s="5">
        <v>0</v>
      </c>
      <c r="R83" s="9">
        <v>0</v>
      </c>
      <c r="S83" s="8">
        <v>0</v>
      </c>
      <c r="T83" s="5">
        <v>0</v>
      </c>
    </row>
    <row r="84" spans="1:20" x14ac:dyDescent="0.2">
      <c r="A84" s="5" t="s">
        <v>207</v>
      </c>
      <c r="B84" s="5" t="s">
        <v>162</v>
      </c>
      <c r="C84" s="10" t="s">
        <v>619</v>
      </c>
      <c r="D84" s="7">
        <f t="shared" si="0"/>
        <v>10.5</v>
      </c>
      <c r="E84" s="8">
        <v>0</v>
      </c>
      <c r="F84" s="5">
        <v>0</v>
      </c>
      <c r="G84" s="5">
        <v>0</v>
      </c>
      <c r="H84" s="5">
        <v>0</v>
      </c>
      <c r="I84" s="5">
        <v>0</v>
      </c>
      <c r="J84" s="9">
        <v>0</v>
      </c>
      <c r="K84" s="8">
        <v>1</v>
      </c>
      <c r="L84" s="5">
        <v>0</v>
      </c>
      <c r="M84" s="5">
        <v>0</v>
      </c>
      <c r="N84" s="9">
        <v>0</v>
      </c>
      <c r="O84" s="8">
        <v>5</v>
      </c>
      <c r="P84" s="5">
        <v>55</v>
      </c>
      <c r="Q84" s="5">
        <v>0</v>
      </c>
      <c r="R84" s="9">
        <v>0</v>
      </c>
      <c r="S84" s="8">
        <v>0</v>
      </c>
      <c r="T84" s="5">
        <v>0</v>
      </c>
    </row>
    <row r="85" spans="1:20" x14ac:dyDescent="0.2">
      <c r="A85" s="5" t="s">
        <v>138</v>
      </c>
      <c r="B85" s="5" t="s">
        <v>75</v>
      </c>
      <c r="C85" s="10" t="s">
        <v>626</v>
      </c>
      <c r="D85" s="7">
        <f t="shared" si="0"/>
        <v>10.4</v>
      </c>
      <c r="E85" s="8">
        <v>0</v>
      </c>
      <c r="F85" s="5">
        <v>0</v>
      </c>
      <c r="G85" s="5">
        <v>0</v>
      </c>
      <c r="H85" s="5">
        <v>0</v>
      </c>
      <c r="I85" s="5">
        <v>0</v>
      </c>
      <c r="J85" s="9">
        <v>0</v>
      </c>
      <c r="K85" s="8">
        <v>1</v>
      </c>
      <c r="L85" s="5">
        <v>2</v>
      </c>
      <c r="M85" s="5">
        <v>0</v>
      </c>
      <c r="N85" s="9">
        <v>0</v>
      </c>
      <c r="O85" s="8">
        <v>2</v>
      </c>
      <c r="P85" s="5">
        <v>22</v>
      </c>
      <c r="Q85" s="5">
        <v>1</v>
      </c>
      <c r="R85" s="9">
        <v>0</v>
      </c>
      <c r="S85" s="8">
        <v>0</v>
      </c>
      <c r="T85" s="5">
        <v>0</v>
      </c>
    </row>
    <row r="86" spans="1:20" x14ac:dyDescent="0.2">
      <c r="A86" s="5" t="s">
        <v>50</v>
      </c>
      <c r="B86" s="5" t="s">
        <v>17</v>
      </c>
      <c r="C86" s="10" t="s">
        <v>620</v>
      </c>
      <c r="D86" s="7">
        <f t="shared" si="0"/>
        <v>10.3</v>
      </c>
      <c r="E86" s="8">
        <v>30</v>
      </c>
      <c r="F86" s="5">
        <v>19</v>
      </c>
      <c r="G86" s="5">
        <v>160</v>
      </c>
      <c r="H86" s="5">
        <v>1</v>
      </c>
      <c r="I86" s="5">
        <v>0</v>
      </c>
      <c r="J86" s="9">
        <v>0</v>
      </c>
      <c r="K86" s="8">
        <v>1</v>
      </c>
      <c r="L86" s="5">
        <v>-1</v>
      </c>
      <c r="M86" s="5">
        <v>0</v>
      </c>
      <c r="N86" s="9">
        <v>0</v>
      </c>
      <c r="O86" s="8">
        <v>0</v>
      </c>
      <c r="P86" s="5">
        <v>0</v>
      </c>
      <c r="Q86" s="5">
        <v>0</v>
      </c>
      <c r="R86" s="9">
        <v>0</v>
      </c>
      <c r="S86" s="8">
        <v>0</v>
      </c>
      <c r="T86" s="5">
        <v>0</v>
      </c>
    </row>
    <row r="87" spans="1:20" x14ac:dyDescent="0.2">
      <c r="A87" s="5" t="s">
        <v>178</v>
      </c>
      <c r="B87" s="5" t="s">
        <v>162</v>
      </c>
      <c r="C87" s="17" t="s">
        <v>615</v>
      </c>
      <c r="D87" s="7">
        <f t="shared" si="0"/>
        <v>10.199999999999999</v>
      </c>
      <c r="E87" s="8">
        <v>0</v>
      </c>
      <c r="F87" s="5">
        <v>0</v>
      </c>
      <c r="G87" s="5">
        <v>0</v>
      </c>
      <c r="H87" s="5">
        <v>0</v>
      </c>
      <c r="I87" s="5">
        <v>0</v>
      </c>
      <c r="J87" s="9">
        <v>0</v>
      </c>
      <c r="K87" s="8">
        <v>0</v>
      </c>
      <c r="L87" s="5">
        <v>0</v>
      </c>
      <c r="M87" s="5">
        <v>0</v>
      </c>
      <c r="N87" s="9">
        <v>0</v>
      </c>
      <c r="O87" s="8">
        <v>5</v>
      </c>
      <c r="P87" s="5">
        <v>52</v>
      </c>
      <c r="Q87" s="5">
        <v>0</v>
      </c>
      <c r="R87" s="9">
        <v>0</v>
      </c>
      <c r="S87" s="8">
        <v>0</v>
      </c>
      <c r="T87" s="5">
        <v>0</v>
      </c>
    </row>
    <row r="88" spans="1:20" x14ac:dyDescent="0.2">
      <c r="A88" s="5" t="s">
        <v>485</v>
      </c>
      <c r="B88" s="5" t="s">
        <v>162</v>
      </c>
      <c r="C88" s="17" t="s">
        <v>626</v>
      </c>
      <c r="D88" s="7">
        <f t="shared" si="0"/>
        <v>10.1</v>
      </c>
      <c r="E88" s="8">
        <v>0</v>
      </c>
      <c r="F88" s="5">
        <v>0</v>
      </c>
      <c r="G88" s="5">
        <v>0</v>
      </c>
      <c r="H88" s="5">
        <v>0</v>
      </c>
      <c r="I88" s="5">
        <v>0</v>
      </c>
      <c r="J88" s="9">
        <v>0</v>
      </c>
      <c r="K88" s="8">
        <v>0</v>
      </c>
      <c r="L88" s="5">
        <v>0</v>
      </c>
      <c r="M88" s="5">
        <v>0</v>
      </c>
      <c r="N88" s="9">
        <v>0</v>
      </c>
      <c r="O88" s="8">
        <v>1</v>
      </c>
      <c r="P88" s="5">
        <v>31</v>
      </c>
      <c r="Q88" s="5">
        <v>1</v>
      </c>
      <c r="R88" s="9">
        <v>0</v>
      </c>
      <c r="S88" s="8">
        <v>0</v>
      </c>
      <c r="T88" s="5">
        <v>0</v>
      </c>
    </row>
    <row r="89" spans="1:20" x14ac:dyDescent="0.2">
      <c r="A89" s="5" t="s">
        <v>85</v>
      </c>
      <c r="B89" s="5" t="s">
        <v>75</v>
      </c>
      <c r="C89" s="10" t="s">
        <v>622</v>
      </c>
      <c r="D89" s="7">
        <f t="shared" si="0"/>
        <v>10</v>
      </c>
      <c r="E89" s="8">
        <v>0</v>
      </c>
      <c r="F89" s="5">
        <v>0</v>
      </c>
      <c r="G89" s="5">
        <v>0</v>
      </c>
      <c r="H89" s="5">
        <v>0</v>
      </c>
      <c r="I89" s="5">
        <v>0</v>
      </c>
      <c r="J89" s="9">
        <v>0</v>
      </c>
      <c r="K89" s="8">
        <v>16</v>
      </c>
      <c r="L89" s="5">
        <v>50</v>
      </c>
      <c r="M89" s="5">
        <v>0</v>
      </c>
      <c r="N89" s="9">
        <v>0</v>
      </c>
      <c r="O89" s="8">
        <v>4</v>
      </c>
      <c r="P89" s="5">
        <v>10</v>
      </c>
      <c r="Q89" s="5">
        <v>0</v>
      </c>
      <c r="R89" s="9">
        <v>0</v>
      </c>
      <c r="S89" s="8">
        <v>0</v>
      </c>
      <c r="T89" s="5">
        <v>0</v>
      </c>
    </row>
    <row r="90" spans="1:20" x14ac:dyDescent="0.2">
      <c r="A90" s="5" t="s">
        <v>236</v>
      </c>
      <c r="B90" s="5" t="s">
        <v>162</v>
      </c>
      <c r="C90" s="17" t="s">
        <v>621</v>
      </c>
      <c r="D90" s="7">
        <f t="shared" si="0"/>
        <v>9.9</v>
      </c>
      <c r="E90" s="8">
        <v>0</v>
      </c>
      <c r="F90" s="5">
        <v>0</v>
      </c>
      <c r="G90" s="5">
        <v>0</v>
      </c>
      <c r="H90" s="5">
        <v>0</v>
      </c>
      <c r="I90" s="5">
        <v>0</v>
      </c>
      <c r="J90" s="9">
        <v>0</v>
      </c>
      <c r="K90" s="8">
        <v>0</v>
      </c>
      <c r="L90" s="5">
        <v>0</v>
      </c>
      <c r="M90" s="5">
        <v>0</v>
      </c>
      <c r="N90" s="9">
        <v>0</v>
      </c>
      <c r="O90" s="8">
        <v>4</v>
      </c>
      <c r="P90" s="5">
        <v>59</v>
      </c>
      <c r="Q90" s="5">
        <v>0</v>
      </c>
      <c r="R90" s="9">
        <v>0</v>
      </c>
      <c r="S90" s="8">
        <v>0</v>
      </c>
      <c r="T90" s="5">
        <v>0</v>
      </c>
    </row>
    <row r="91" spans="1:20" x14ac:dyDescent="0.2">
      <c r="A91" s="5" t="s">
        <v>428</v>
      </c>
      <c r="B91" s="5" t="s">
        <v>75</v>
      </c>
      <c r="C91" s="10" t="s">
        <v>616</v>
      </c>
      <c r="D91" s="7">
        <f t="shared" si="0"/>
        <v>9.8000000000000007</v>
      </c>
      <c r="E91" s="8">
        <v>0</v>
      </c>
      <c r="F91" s="5">
        <v>0</v>
      </c>
      <c r="G91" s="5">
        <v>0</v>
      </c>
      <c r="H91" s="5">
        <v>0</v>
      </c>
      <c r="I91" s="5">
        <v>0</v>
      </c>
      <c r="J91" s="9">
        <v>0</v>
      </c>
      <c r="K91" s="8">
        <v>14</v>
      </c>
      <c r="L91" s="5">
        <v>38</v>
      </c>
      <c r="M91" s="5">
        <v>1</v>
      </c>
      <c r="N91" s="9">
        <v>0</v>
      </c>
      <c r="O91" s="8">
        <v>0</v>
      </c>
      <c r="P91" s="5">
        <v>0</v>
      </c>
      <c r="Q91" s="5">
        <v>0</v>
      </c>
      <c r="R91" s="9">
        <v>0</v>
      </c>
      <c r="S91" s="8">
        <v>0</v>
      </c>
      <c r="T91" s="5">
        <v>0</v>
      </c>
    </row>
    <row r="92" spans="1:20" x14ac:dyDescent="0.2">
      <c r="A92" s="5" t="s">
        <v>193</v>
      </c>
      <c r="B92" s="5" t="s">
        <v>162</v>
      </c>
      <c r="C92" s="10" t="s">
        <v>626</v>
      </c>
      <c r="D92" s="7">
        <f t="shared" si="0"/>
        <v>9.6999999999999993</v>
      </c>
      <c r="E92" s="8">
        <v>0</v>
      </c>
      <c r="F92" s="5">
        <v>0</v>
      </c>
      <c r="G92" s="5">
        <v>0</v>
      </c>
      <c r="H92" s="5">
        <v>0</v>
      </c>
      <c r="I92" s="5">
        <v>0</v>
      </c>
      <c r="J92" s="9">
        <v>0</v>
      </c>
      <c r="K92" s="8">
        <v>0</v>
      </c>
      <c r="L92" s="5">
        <v>0</v>
      </c>
      <c r="M92" s="5">
        <v>0</v>
      </c>
      <c r="N92" s="9">
        <v>0</v>
      </c>
      <c r="O92" s="8">
        <v>2</v>
      </c>
      <c r="P92" s="5">
        <v>17</v>
      </c>
      <c r="Q92" s="5">
        <v>1</v>
      </c>
      <c r="R92" s="9">
        <v>0</v>
      </c>
      <c r="S92" s="8">
        <v>0</v>
      </c>
      <c r="T92" s="5">
        <v>0</v>
      </c>
    </row>
    <row r="93" spans="1:20" x14ac:dyDescent="0.2">
      <c r="A93" s="5" t="s">
        <v>350</v>
      </c>
      <c r="B93" s="5" t="s">
        <v>162</v>
      </c>
      <c r="C93" s="17" t="s">
        <v>617</v>
      </c>
      <c r="D93" s="7">
        <f t="shared" si="0"/>
        <v>9.6999999999999993</v>
      </c>
      <c r="E93" s="8">
        <v>0</v>
      </c>
      <c r="F93" s="5">
        <v>0</v>
      </c>
      <c r="G93" s="5">
        <v>0</v>
      </c>
      <c r="H93" s="5">
        <v>0</v>
      </c>
      <c r="I93" s="5">
        <v>0</v>
      </c>
      <c r="J93" s="9">
        <v>0</v>
      </c>
      <c r="K93" s="8">
        <v>0</v>
      </c>
      <c r="L93" s="5">
        <v>0</v>
      </c>
      <c r="M93" s="5">
        <v>0</v>
      </c>
      <c r="N93" s="9">
        <v>0</v>
      </c>
      <c r="O93" s="8">
        <v>4</v>
      </c>
      <c r="P93" s="5">
        <v>57</v>
      </c>
      <c r="Q93" s="5">
        <v>0</v>
      </c>
      <c r="R93" s="9">
        <v>0</v>
      </c>
      <c r="S93" s="8">
        <v>0</v>
      </c>
      <c r="T93" s="5">
        <v>0</v>
      </c>
    </row>
    <row r="94" spans="1:20" x14ac:dyDescent="0.2">
      <c r="A94" s="5" t="s">
        <v>293</v>
      </c>
      <c r="B94" s="5" t="s">
        <v>69</v>
      </c>
      <c r="C94" s="10" t="s">
        <v>615</v>
      </c>
      <c r="D94" s="7">
        <f t="shared" si="0"/>
        <v>9.6000000000000014</v>
      </c>
      <c r="E94" s="8">
        <v>0</v>
      </c>
      <c r="F94" s="5">
        <v>0</v>
      </c>
      <c r="G94" s="5">
        <v>0</v>
      </c>
      <c r="H94" s="5">
        <v>0</v>
      </c>
      <c r="I94" s="5">
        <v>0</v>
      </c>
      <c r="J94" s="9">
        <v>0</v>
      </c>
      <c r="K94" s="8">
        <v>0</v>
      </c>
      <c r="L94" s="5">
        <v>0</v>
      </c>
      <c r="M94" s="5">
        <v>0</v>
      </c>
      <c r="N94" s="9">
        <v>0</v>
      </c>
      <c r="O94" s="8">
        <v>4</v>
      </c>
      <c r="P94" s="5">
        <v>56</v>
      </c>
      <c r="Q94" s="5">
        <v>0</v>
      </c>
      <c r="R94" s="9">
        <v>0</v>
      </c>
      <c r="S94" s="8">
        <v>0</v>
      </c>
      <c r="T94" s="5">
        <v>0</v>
      </c>
    </row>
    <row r="95" spans="1:20" x14ac:dyDescent="0.2">
      <c r="A95" s="5" t="s">
        <v>70</v>
      </c>
      <c r="B95" s="5" t="s">
        <v>17</v>
      </c>
      <c r="C95" s="17" t="s">
        <v>625</v>
      </c>
      <c r="D95" s="7">
        <f t="shared" si="0"/>
        <v>9.58</v>
      </c>
      <c r="E95" s="8">
        <v>26</v>
      </c>
      <c r="F95" s="5">
        <v>17</v>
      </c>
      <c r="G95" s="5">
        <v>127</v>
      </c>
      <c r="H95" s="5">
        <v>1</v>
      </c>
      <c r="I95" s="5">
        <v>0</v>
      </c>
      <c r="J95" s="9">
        <v>0</v>
      </c>
      <c r="K95" s="8">
        <v>5</v>
      </c>
      <c r="L95" s="5">
        <v>5</v>
      </c>
      <c r="M95" s="5">
        <v>0</v>
      </c>
      <c r="N95" s="9">
        <v>0</v>
      </c>
      <c r="O95" s="8">
        <v>0</v>
      </c>
      <c r="P95" s="5">
        <v>0</v>
      </c>
      <c r="Q95" s="5">
        <v>0</v>
      </c>
      <c r="R95" s="9">
        <v>0</v>
      </c>
      <c r="S95" s="8">
        <v>0</v>
      </c>
      <c r="T95" s="5">
        <v>0</v>
      </c>
    </row>
    <row r="96" spans="1:20" x14ac:dyDescent="0.2">
      <c r="A96" s="5" t="s">
        <v>400</v>
      </c>
      <c r="B96" s="5" t="s">
        <v>162</v>
      </c>
      <c r="C96" s="17" t="s">
        <v>615</v>
      </c>
      <c r="D96" s="7">
        <f t="shared" si="0"/>
        <v>9.5</v>
      </c>
      <c r="E96" s="8">
        <v>0</v>
      </c>
      <c r="F96" s="5">
        <v>0</v>
      </c>
      <c r="G96" s="5">
        <v>0</v>
      </c>
      <c r="H96" s="5">
        <v>0</v>
      </c>
      <c r="I96" s="5">
        <v>0</v>
      </c>
      <c r="J96" s="9">
        <v>0</v>
      </c>
      <c r="K96" s="8">
        <v>0</v>
      </c>
      <c r="L96" s="5">
        <v>0</v>
      </c>
      <c r="M96" s="5">
        <v>0</v>
      </c>
      <c r="N96" s="9">
        <v>0</v>
      </c>
      <c r="O96" s="8">
        <v>2</v>
      </c>
      <c r="P96" s="5">
        <v>15</v>
      </c>
      <c r="Q96" s="5">
        <v>1</v>
      </c>
      <c r="R96" s="9">
        <v>0</v>
      </c>
      <c r="S96" s="8">
        <v>0</v>
      </c>
      <c r="T96" s="5">
        <v>0</v>
      </c>
    </row>
    <row r="97" spans="1:20" x14ac:dyDescent="0.2">
      <c r="A97" s="5" t="s">
        <v>152</v>
      </c>
      <c r="B97" s="5" t="s">
        <v>75</v>
      </c>
      <c r="C97" s="10" t="s">
        <v>614</v>
      </c>
      <c r="D97" s="7">
        <f t="shared" si="0"/>
        <v>9.4</v>
      </c>
      <c r="E97" s="8">
        <v>0</v>
      </c>
      <c r="F97" s="5">
        <v>0</v>
      </c>
      <c r="G97" s="5">
        <v>0</v>
      </c>
      <c r="H97" s="5">
        <v>0</v>
      </c>
      <c r="I97" s="5">
        <v>0</v>
      </c>
      <c r="J97" s="9">
        <v>0</v>
      </c>
      <c r="K97" s="8">
        <v>18</v>
      </c>
      <c r="L97" s="5">
        <v>43</v>
      </c>
      <c r="M97" s="5">
        <v>0</v>
      </c>
      <c r="N97" s="9">
        <v>0</v>
      </c>
      <c r="O97" s="8">
        <v>2</v>
      </c>
      <c r="P97" s="5">
        <v>31</v>
      </c>
      <c r="Q97" s="5">
        <v>0</v>
      </c>
      <c r="R97" s="9">
        <v>0</v>
      </c>
      <c r="S97" s="8">
        <v>0</v>
      </c>
      <c r="T97" s="5">
        <v>0</v>
      </c>
    </row>
    <row r="98" spans="1:20" x14ac:dyDescent="0.2">
      <c r="A98" s="5" t="s">
        <v>79</v>
      </c>
      <c r="B98" s="5" t="s">
        <v>75</v>
      </c>
      <c r="C98" s="17" t="s">
        <v>614</v>
      </c>
      <c r="D98" s="7">
        <f t="shared" si="0"/>
        <v>9.3000000000000007</v>
      </c>
      <c r="E98" s="8">
        <v>0</v>
      </c>
      <c r="F98" s="5">
        <v>0</v>
      </c>
      <c r="G98" s="5">
        <v>0</v>
      </c>
      <c r="H98" s="5">
        <v>0</v>
      </c>
      <c r="I98" s="5">
        <v>0</v>
      </c>
      <c r="J98" s="9">
        <v>0</v>
      </c>
      <c r="K98" s="8">
        <v>12</v>
      </c>
      <c r="L98" s="5">
        <v>51</v>
      </c>
      <c r="M98" s="5">
        <v>0</v>
      </c>
      <c r="N98" s="9">
        <v>0</v>
      </c>
      <c r="O98" s="8">
        <v>3</v>
      </c>
      <c r="P98" s="5">
        <v>12</v>
      </c>
      <c r="Q98" s="5">
        <v>0</v>
      </c>
      <c r="R98" s="9">
        <v>0</v>
      </c>
      <c r="S98" s="8">
        <v>0</v>
      </c>
      <c r="T98" s="5">
        <v>0</v>
      </c>
    </row>
    <row r="99" spans="1:20" x14ac:dyDescent="0.2">
      <c r="A99" s="5" t="s">
        <v>97</v>
      </c>
      <c r="B99" s="5" t="s">
        <v>75</v>
      </c>
      <c r="C99" s="10" t="s">
        <v>614</v>
      </c>
      <c r="D99" s="7">
        <f t="shared" si="0"/>
        <v>9.2999999999999989</v>
      </c>
      <c r="E99" s="8">
        <v>0</v>
      </c>
      <c r="F99" s="5">
        <v>0</v>
      </c>
      <c r="G99" s="5">
        <v>0</v>
      </c>
      <c r="H99" s="5">
        <v>0</v>
      </c>
      <c r="I99" s="5">
        <v>0</v>
      </c>
      <c r="J99" s="9">
        <v>0</v>
      </c>
      <c r="K99" s="8">
        <v>3</v>
      </c>
      <c r="L99" s="5">
        <v>22</v>
      </c>
      <c r="M99" s="5">
        <v>1</v>
      </c>
      <c r="N99" s="9">
        <v>0</v>
      </c>
      <c r="O99" s="8">
        <v>1</v>
      </c>
      <c r="P99" s="5">
        <v>1</v>
      </c>
      <c r="Q99" s="5">
        <v>0</v>
      </c>
      <c r="R99" s="9">
        <v>0</v>
      </c>
      <c r="S99" s="8">
        <v>0</v>
      </c>
      <c r="T99" s="5">
        <v>0</v>
      </c>
    </row>
    <row r="100" spans="1:20" x14ac:dyDescent="0.2">
      <c r="A100" s="5" t="s">
        <v>94</v>
      </c>
      <c r="B100" s="5" t="s">
        <v>75</v>
      </c>
      <c r="C100" s="10" t="s">
        <v>625</v>
      </c>
      <c r="D100" s="7">
        <f t="shared" si="0"/>
        <v>9.1000000000000014</v>
      </c>
      <c r="E100" s="8">
        <v>0</v>
      </c>
      <c r="F100" s="5">
        <v>0</v>
      </c>
      <c r="G100" s="5">
        <v>0</v>
      </c>
      <c r="H100" s="5">
        <v>0</v>
      </c>
      <c r="I100" s="5">
        <v>0</v>
      </c>
      <c r="J100" s="9">
        <v>0</v>
      </c>
      <c r="K100" s="8">
        <v>6</v>
      </c>
      <c r="L100" s="5">
        <v>39</v>
      </c>
      <c r="M100" s="5">
        <v>0</v>
      </c>
      <c r="N100" s="9">
        <v>0</v>
      </c>
      <c r="O100" s="8">
        <v>3</v>
      </c>
      <c r="P100" s="5">
        <v>22</v>
      </c>
      <c r="Q100" s="5">
        <v>0</v>
      </c>
      <c r="R100" s="9">
        <v>0</v>
      </c>
      <c r="S100" s="8">
        <v>0</v>
      </c>
      <c r="T100" s="5">
        <v>0</v>
      </c>
    </row>
    <row r="101" spans="1:20" x14ac:dyDescent="0.2">
      <c r="A101" s="5" t="s">
        <v>57</v>
      </c>
      <c r="B101" s="5" t="s">
        <v>17</v>
      </c>
      <c r="C101" s="10" t="s">
        <v>625</v>
      </c>
      <c r="D101" s="7">
        <f t="shared" si="0"/>
        <v>9.02</v>
      </c>
      <c r="E101" s="8">
        <v>39</v>
      </c>
      <c r="F101" s="5">
        <v>24</v>
      </c>
      <c r="G101" s="5">
        <v>173</v>
      </c>
      <c r="H101" s="5">
        <v>1</v>
      </c>
      <c r="I101" s="5">
        <v>3</v>
      </c>
      <c r="J101" s="9">
        <v>0</v>
      </c>
      <c r="K101" s="8">
        <v>5</v>
      </c>
      <c r="L101" s="5">
        <v>41</v>
      </c>
      <c r="M101" s="5">
        <v>0</v>
      </c>
      <c r="N101" s="9">
        <v>0</v>
      </c>
      <c r="O101" s="8">
        <v>0</v>
      </c>
      <c r="P101" s="5">
        <v>0</v>
      </c>
      <c r="Q101" s="5">
        <v>0</v>
      </c>
      <c r="R101" s="9">
        <v>0</v>
      </c>
      <c r="S101" s="8">
        <v>0</v>
      </c>
      <c r="T101" s="5">
        <v>0</v>
      </c>
    </row>
    <row r="102" spans="1:20" x14ac:dyDescent="0.2">
      <c r="A102" s="5" t="s">
        <v>439</v>
      </c>
      <c r="B102" s="5" t="s">
        <v>162</v>
      </c>
      <c r="C102" s="10" t="s">
        <v>615</v>
      </c>
      <c r="D102" s="7">
        <f t="shared" si="0"/>
        <v>9</v>
      </c>
      <c r="E102" s="8">
        <v>0</v>
      </c>
      <c r="F102" s="5">
        <v>0</v>
      </c>
      <c r="G102" s="5">
        <v>0</v>
      </c>
      <c r="H102" s="5">
        <v>0</v>
      </c>
      <c r="I102" s="5">
        <v>0</v>
      </c>
      <c r="J102" s="9">
        <v>0</v>
      </c>
      <c r="K102" s="8">
        <v>0</v>
      </c>
      <c r="L102" s="5">
        <v>0</v>
      </c>
      <c r="M102" s="5">
        <v>0</v>
      </c>
      <c r="N102" s="9">
        <v>0</v>
      </c>
      <c r="O102" s="8">
        <v>3</v>
      </c>
      <c r="P102" s="5">
        <v>60</v>
      </c>
      <c r="Q102" s="5">
        <v>0</v>
      </c>
      <c r="R102" s="9">
        <v>0</v>
      </c>
      <c r="S102" s="8">
        <v>0</v>
      </c>
      <c r="T102" s="5">
        <v>0</v>
      </c>
    </row>
    <row r="103" spans="1:20" x14ac:dyDescent="0.2">
      <c r="A103" s="5" t="s">
        <v>371</v>
      </c>
      <c r="B103" s="5" t="s">
        <v>162</v>
      </c>
      <c r="C103" s="10" t="s">
        <v>625</v>
      </c>
      <c r="D103" s="7">
        <f t="shared" si="0"/>
        <v>8.9</v>
      </c>
      <c r="E103" s="8">
        <v>0</v>
      </c>
      <c r="F103" s="5">
        <v>0</v>
      </c>
      <c r="G103" s="5">
        <v>0</v>
      </c>
      <c r="H103" s="5">
        <v>0</v>
      </c>
      <c r="I103" s="5">
        <v>0</v>
      </c>
      <c r="J103" s="9">
        <v>0</v>
      </c>
      <c r="K103" s="8">
        <v>0</v>
      </c>
      <c r="L103" s="5">
        <v>0</v>
      </c>
      <c r="M103" s="5">
        <v>0</v>
      </c>
      <c r="N103" s="9">
        <v>0</v>
      </c>
      <c r="O103" s="8">
        <v>2</v>
      </c>
      <c r="P103" s="5">
        <v>9</v>
      </c>
      <c r="Q103" s="5">
        <v>1</v>
      </c>
      <c r="R103" s="9">
        <v>0</v>
      </c>
      <c r="S103" s="8">
        <v>0</v>
      </c>
      <c r="T103" s="5">
        <v>0</v>
      </c>
    </row>
    <row r="104" spans="1:20" x14ac:dyDescent="0.2">
      <c r="A104" s="5" t="s">
        <v>605</v>
      </c>
      <c r="B104" s="5" t="s">
        <v>17</v>
      </c>
      <c r="C104" s="17" t="s">
        <v>621</v>
      </c>
      <c r="D104" s="7">
        <f t="shared" si="0"/>
        <v>8.6999999999999993</v>
      </c>
      <c r="E104" s="8">
        <v>20</v>
      </c>
      <c r="F104" s="5">
        <v>15</v>
      </c>
      <c r="G104" s="5">
        <v>175</v>
      </c>
      <c r="H104" s="5">
        <v>1</v>
      </c>
      <c r="I104" s="5">
        <v>2</v>
      </c>
      <c r="J104" s="9">
        <v>0</v>
      </c>
      <c r="K104" s="8">
        <v>4</v>
      </c>
      <c r="L104" s="5">
        <v>17</v>
      </c>
      <c r="M104" s="5">
        <v>0</v>
      </c>
      <c r="N104" s="9">
        <v>0</v>
      </c>
      <c r="O104" s="8">
        <v>0</v>
      </c>
      <c r="P104" s="5">
        <v>0</v>
      </c>
      <c r="Q104" s="5">
        <v>0</v>
      </c>
      <c r="R104" s="9">
        <v>0</v>
      </c>
      <c r="S104" s="8">
        <v>0</v>
      </c>
      <c r="T104" s="5">
        <v>0</v>
      </c>
    </row>
    <row r="105" spans="1:20" x14ac:dyDescent="0.2">
      <c r="A105" s="5" t="s">
        <v>594</v>
      </c>
      <c r="B105" s="5" t="s">
        <v>17</v>
      </c>
      <c r="C105" s="17" t="s">
        <v>620</v>
      </c>
      <c r="D105" s="7">
        <f t="shared" si="0"/>
        <v>8.68</v>
      </c>
      <c r="E105" s="8">
        <v>39</v>
      </c>
      <c r="F105" s="5">
        <v>22</v>
      </c>
      <c r="G105" s="5">
        <v>262</v>
      </c>
      <c r="H105" s="5">
        <v>0</v>
      </c>
      <c r="I105" s="5">
        <v>1</v>
      </c>
      <c r="J105" s="9">
        <v>0</v>
      </c>
      <c r="K105" s="8">
        <v>1</v>
      </c>
      <c r="L105" s="5">
        <v>2</v>
      </c>
      <c r="M105" s="5">
        <v>0</v>
      </c>
      <c r="N105" s="9">
        <v>0</v>
      </c>
      <c r="O105" s="8">
        <v>0</v>
      </c>
      <c r="P105" s="5">
        <v>0</v>
      </c>
      <c r="Q105" s="5">
        <v>0</v>
      </c>
      <c r="R105" s="9">
        <v>0</v>
      </c>
      <c r="S105" s="8">
        <v>0</v>
      </c>
      <c r="T105" s="5">
        <v>0</v>
      </c>
    </row>
    <row r="106" spans="1:20" x14ac:dyDescent="0.2">
      <c r="A106" s="5" t="s">
        <v>238</v>
      </c>
      <c r="B106" s="5" t="s">
        <v>162</v>
      </c>
      <c r="C106" s="10" t="s">
        <v>617</v>
      </c>
      <c r="D106" s="7">
        <f t="shared" si="0"/>
        <v>8.6000000000000014</v>
      </c>
      <c r="E106" s="8">
        <v>0</v>
      </c>
      <c r="F106" s="5">
        <v>0</v>
      </c>
      <c r="G106" s="5">
        <v>0</v>
      </c>
      <c r="H106" s="5">
        <v>0</v>
      </c>
      <c r="I106" s="5">
        <v>0</v>
      </c>
      <c r="J106" s="9">
        <v>0</v>
      </c>
      <c r="K106" s="8">
        <v>0</v>
      </c>
      <c r="L106" s="5">
        <v>0</v>
      </c>
      <c r="M106" s="5">
        <v>0</v>
      </c>
      <c r="N106" s="9">
        <v>0</v>
      </c>
      <c r="O106" s="8">
        <v>3</v>
      </c>
      <c r="P106" s="5">
        <v>56</v>
      </c>
      <c r="Q106" s="5">
        <v>0</v>
      </c>
      <c r="R106" s="9">
        <v>0</v>
      </c>
      <c r="S106" s="8">
        <v>0</v>
      </c>
      <c r="T106" s="5">
        <v>0</v>
      </c>
    </row>
    <row r="107" spans="1:20" x14ac:dyDescent="0.2">
      <c r="A107" s="5" t="s">
        <v>384</v>
      </c>
      <c r="B107" s="5" t="s">
        <v>162</v>
      </c>
      <c r="C107" s="17" t="s">
        <v>619</v>
      </c>
      <c r="D107" s="7">
        <f t="shared" si="0"/>
        <v>8.5</v>
      </c>
      <c r="E107" s="8">
        <v>0</v>
      </c>
      <c r="F107" s="5">
        <v>0</v>
      </c>
      <c r="G107" s="5">
        <v>0</v>
      </c>
      <c r="H107" s="5">
        <v>0</v>
      </c>
      <c r="I107" s="5">
        <v>0</v>
      </c>
      <c r="J107" s="9">
        <v>0</v>
      </c>
      <c r="K107" s="8">
        <v>0</v>
      </c>
      <c r="L107" s="5">
        <v>0</v>
      </c>
      <c r="M107" s="5">
        <v>0</v>
      </c>
      <c r="N107" s="9">
        <v>0</v>
      </c>
      <c r="O107" s="8">
        <v>3</v>
      </c>
      <c r="P107" s="5">
        <v>55</v>
      </c>
      <c r="Q107" s="5">
        <v>0</v>
      </c>
      <c r="R107" s="9">
        <v>0</v>
      </c>
      <c r="S107" s="8">
        <v>0</v>
      </c>
      <c r="T107" s="5">
        <v>0</v>
      </c>
    </row>
    <row r="108" spans="1:20" x14ac:dyDescent="0.2">
      <c r="A108" s="5" t="s">
        <v>429</v>
      </c>
      <c r="B108" s="5" t="s">
        <v>69</v>
      </c>
      <c r="C108" s="10" t="s">
        <v>617</v>
      </c>
      <c r="D108" s="7">
        <f t="shared" si="0"/>
        <v>8.5</v>
      </c>
      <c r="E108" s="8">
        <v>0</v>
      </c>
      <c r="F108" s="5">
        <v>0</v>
      </c>
      <c r="G108" s="5">
        <v>0</v>
      </c>
      <c r="H108" s="5">
        <v>0</v>
      </c>
      <c r="I108" s="5">
        <v>0</v>
      </c>
      <c r="J108" s="9">
        <v>0</v>
      </c>
      <c r="K108" s="8">
        <v>0</v>
      </c>
      <c r="L108" s="5">
        <v>0</v>
      </c>
      <c r="M108" s="5">
        <v>0</v>
      </c>
      <c r="N108" s="9">
        <v>0</v>
      </c>
      <c r="O108" s="8">
        <v>4</v>
      </c>
      <c r="P108" s="5">
        <v>45</v>
      </c>
      <c r="Q108" s="5">
        <v>0</v>
      </c>
      <c r="R108" s="9">
        <v>0</v>
      </c>
      <c r="S108" s="8">
        <v>0</v>
      </c>
      <c r="T108" s="5">
        <v>0</v>
      </c>
    </row>
    <row r="109" spans="1:20" x14ac:dyDescent="0.2">
      <c r="A109" s="5" t="s">
        <v>123</v>
      </c>
      <c r="B109" s="5" t="s">
        <v>75</v>
      </c>
      <c r="C109" s="17" t="s">
        <v>622</v>
      </c>
      <c r="D109" s="7">
        <f t="shared" si="0"/>
        <v>8.4</v>
      </c>
      <c r="E109" s="8">
        <v>0</v>
      </c>
      <c r="F109" s="5">
        <v>0</v>
      </c>
      <c r="G109" s="5">
        <v>0</v>
      </c>
      <c r="H109" s="5">
        <v>0</v>
      </c>
      <c r="I109" s="5">
        <v>0</v>
      </c>
      <c r="J109" s="9">
        <v>0</v>
      </c>
      <c r="K109" s="8">
        <v>0</v>
      </c>
      <c r="L109" s="5">
        <v>0</v>
      </c>
      <c r="M109" s="5">
        <v>0</v>
      </c>
      <c r="N109" s="9">
        <v>0</v>
      </c>
      <c r="O109" s="8">
        <v>6</v>
      </c>
      <c r="P109" s="5">
        <v>24</v>
      </c>
      <c r="Q109" s="5">
        <v>0</v>
      </c>
      <c r="R109" s="9">
        <v>0</v>
      </c>
      <c r="S109" s="8">
        <v>0</v>
      </c>
      <c r="T109" s="5">
        <v>0</v>
      </c>
    </row>
    <row r="110" spans="1:20" x14ac:dyDescent="0.2">
      <c r="A110" s="5" t="s">
        <v>196</v>
      </c>
      <c r="B110" s="5" t="s">
        <v>162</v>
      </c>
      <c r="C110" s="17" t="s">
        <v>626</v>
      </c>
      <c r="D110" s="7">
        <f t="shared" si="0"/>
        <v>8.4</v>
      </c>
      <c r="E110" s="8">
        <v>0</v>
      </c>
      <c r="F110" s="5">
        <v>0</v>
      </c>
      <c r="G110" s="5">
        <v>0</v>
      </c>
      <c r="H110" s="5">
        <v>0</v>
      </c>
      <c r="I110" s="5">
        <v>0</v>
      </c>
      <c r="J110" s="9">
        <v>0</v>
      </c>
      <c r="K110" s="8">
        <v>1</v>
      </c>
      <c r="L110" s="5">
        <v>12</v>
      </c>
      <c r="M110" s="5">
        <v>0</v>
      </c>
      <c r="N110" s="9">
        <v>0</v>
      </c>
      <c r="O110" s="8">
        <v>3</v>
      </c>
      <c r="P110" s="5">
        <v>42</v>
      </c>
      <c r="Q110" s="5">
        <v>0</v>
      </c>
      <c r="R110" s="9">
        <v>0</v>
      </c>
      <c r="S110" s="8">
        <v>0</v>
      </c>
      <c r="T110" s="5">
        <v>0</v>
      </c>
    </row>
    <row r="111" spans="1:20" x14ac:dyDescent="0.2">
      <c r="A111" s="5" t="s">
        <v>476</v>
      </c>
      <c r="B111" s="5" t="s">
        <v>17</v>
      </c>
      <c r="C111" s="10" t="s">
        <v>621</v>
      </c>
      <c r="D111" s="7">
        <f t="shared" si="0"/>
        <v>8.36</v>
      </c>
      <c r="E111" s="8">
        <v>25</v>
      </c>
      <c r="F111" s="5">
        <v>16</v>
      </c>
      <c r="G111" s="5">
        <v>209</v>
      </c>
      <c r="H111" s="5">
        <v>0</v>
      </c>
      <c r="I111" s="5">
        <v>0</v>
      </c>
      <c r="J111" s="9">
        <v>0</v>
      </c>
      <c r="K111" s="8">
        <v>0</v>
      </c>
      <c r="L111" s="5">
        <v>0</v>
      </c>
      <c r="M111" s="5">
        <v>0</v>
      </c>
      <c r="N111" s="9">
        <v>0</v>
      </c>
      <c r="O111" s="8">
        <v>0</v>
      </c>
      <c r="P111" s="5">
        <v>0</v>
      </c>
      <c r="Q111" s="5">
        <v>0</v>
      </c>
      <c r="R111" s="9">
        <v>0</v>
      </c>
      <c r="S111" s="8">
        <v>0</v>
      </c>
      <c r="T111" s="5">
        <v>0</v>
      </c>
    </row>
    <row r="112" spans="1:20" x14ac:dyDescent="0.2">
      <c r="A112" s="5" t="s">
        <v>125</v>
      </c>
      <c r="B112" s="5" t="s">
        <v>75</v>
      </c>
      <c r="C112" s="17" t="s">
        <v>618</v>
      </c>
      <c r="D112" s="7">
        <f t="shared" si="0"/>
        <v>8.3000000000000007</v>
      </c>
      <c r="E112" s="8">
        <v>0</v>
      </c>
      <c r="F112" s="5">
        <v>0</v>
      </c>
      <c r="G112" s="5">
        <v>0</v>
      </c>
      <c r="H112" s="5">
        <v>0</v>
      </c>
      <c r="I112" s="5">
        <v>0</v>
      </c>
      <c r="J112" s="9">
        <v>0</v>
      </c>
      <c r="K112" s="8">
        <v>20</v>
      </c>
      <c r="L112" s="5">
        <v>83</v>
      </c>
      <c r="M112" s="5">
        <v>0</v>
      </c>
      <c r="N112" s="9">
        <v>0</v>
      </c>
      <c r="O112" s="8">
        <v>0</v>
      </c>
      <c r="P112" s="5">
        <v>0</v>
      </c>
      <c r="Q112" s="5">
        <v>0</v>
      </c>
      <c r="R112" s="9">
        <v>0</v>
      </c>
      <c r="S112" s="8">
        <v>0</v>
      </c>
      <c r="T112" s="5">
        <v>0</v>
      </c>
    </row>
    <row r="113" spans="1:20" x14ac:dyDescent="0.2">
      <c r="A113" s="5" t="s">
        <v>317</v>
      </c>
      <c r="B113" s="5" t="s">
        <v>69</v>
      </c>
      <c r="C113" s="10" t="s">
        <v>623</v>
      </c>
      <c r="D113" s="7">
        <f t="shared" si="0"/>
        <v>8.1999999999999993</v>
      </c>
      <c r="E113" s="8">
        <v>0</v>
      </c>
      <c r="F113" s="5">
        <v>0</v>
      </c>
      <c r="G113" s="5">
        <v>0</v>
      </c>
      <c r="H113" s="5">
        <v>0</v>
      </c>
      <c r="I113" s="5">
        <v>0</v>
      </c>
      <c r="J113" s="9">
        <v>0</v>
      </c>
      <c r="K113" s="8">
        <v>0</v>
      </c>
      <c r="L113" s="5">
        <v>0</v>
      </c>
      <c r="M113" s="5">
        <v>0</v>
      </c>
      <c r="N113" s="9">
        <v>0</v>
      </c>
      <c r="O113" s="8">
        <v>4</v>
      </c>
      <c r="P113" s="5">
        <v>42</v>
      </c>
      <c r="Q113" s="5">
        <v>0</v>
      </c>
      <c r="R113" s="9">
        <v>0</v>
      </c>
      <c r="S113" s="8">
        <v>0</v>
      </c>
      <c r="T113" s="5">
        <v>0</v>
      </c>
    </row>
    <row r="114" spans="1:20" x14ac:dyDescent="0.2">
      <c r="A114" s="5" t="s">
        <v>209</v>
      </c>
      <c r="B114" s="5" t="s">
        <v>162</v>
      </c>
      <c r="C114" s="17" t="s">
        <v>613</v>
      </c>
      <c r="D114" s="7">
        <f t="shared" si="0"/>
        <v>8.1000000000000014</v>
      </c>
      <c r="E114" s="8">
        <v>0</v>
      </c>
      <c r="F114" s="5">
        <v>0</v>
      </c>
      <c r="G114" s="5">
        <v>0</v>
      </c>
      <c r="H114" s="5">
        <v>0</v>
      </c>
      <c r="I114" s="5">
        <v>0</v>
      </c>
      <c r="J114" s="9">
        <v>0</v>
      </c>
      <c r="K114" s="8">
        <v>0</v>
      </c>
      <c r="L114" s="5">
        <v>0</v>
      </c>
      <c r="M114" s="5">
        <v>0</v>
      </c>
      <c r="N114" s="9">
        <v>0</v>
      </c>
      <c r="O114" s="8">
        <v>3</v>
      </c>
      <c r="P114" s="5">
        <v>51</v>
      </c>
      <c r="Q114" s="5">
        <v>0</v>
      </c>
      <c r="R114" s="9">
        <v>0</v>
      </c>
      <c r="S114" s="8">
        <v>0</v>
      </c>
      <c r="T114" s="5">
        <v>0</v>
      </c>
    </row>
    <row r="115" spans="1:20" x14ac:dyDescent="0.2">
      <c r="A115" s="5" t="s">
        <v>206</v>
      </c>
      <c r="B115" s="5" t="s">
        <v>162</v>
      </c>
      <c r="C115" s="10" t="s">
        <v>617</v>
      </c>
      <c r="D115" s="7">
        <f t="shared" si="0"/>
        <v>8.1000000000000014</v>
      </c>
      <c r="E115" s="8">
        <v>0</v>
      </c>
      <c r="F115" s="5">
        <v>0</v>
      </c>
      <c r="G115" s="5">
        <v>0</v>
      </c>
      <c r="H115" s="5">
        <v>0</v>
      </c>
      <c r="I115" s="5">
        <v>0</v>
      </c>
      <c r="J115" s="9">
        <v>0</v>
      </c>
      <c r="K115" s="8">
        <v>0</v>
      </c>
      <c r="L115" s="5">
        <v>0</v>
      </c>
      <c r="M115" s="5">
        <v>0</v>
      </c>
      <c r="N115" s="9">
        <v>0</v>
      </c>
      <c r="O115" s="8">
        <v>4</v>
      </c>
      <c r="P115" s="5">
        <v>41</v>
      </c>
      <c r="Q115" s="5">
        <v>0</v>
      </c>
      <c r="R115" s="9">
        <v>0</v>
      </c>
      <c r="S115" s="8">
        <v>0</v>
      </c>
      <c r="T115" s="5">
        <v>0</v>
      </c>
    </row>
    <row r="116" spans="1:20" x14ac:dyDescent="0.2">
      <c r="A116" s="5" t="s">
        <v>349</v>
      </c>
      <c r="B116" s="5" t="s">
        <v>69</v>
      </c>
      <c r="C116" s="10" t="s">
        <v>614</v>
      </c>
      <c r="D116" s="7">
        <f t="shared" si="0"/>
        <v>8</v>
      </c>
      <c r="E116" s="8">
        <v>0</v>
      </c>
      <c r="F116" s="5">
        <v>0</v>
      </c>
      <c r="G116" s="5">
        <v>0</v>
      </c>
      <c r="H116" s="5">
        <v>0</v>
      </c>
      <c r="I116" s="5">
        <v>0</v>
      </c>
      <c r="J116" s="9">
        <v>0</v>
      </c>
      <c r="K116" s="8">
        <v>0</v>
      </c>
      <c r="L116" s="5">
        <v>0</v>
      </c>
      <c r="M116" s="5">
        <v>0</v>
      </c>
      <c r="N116" s="9">
        <v>0</v>
      </c>
      <c r="O116" s="8">
        <v>3</v>
      </c>
      <c r="P116" s="5">
        <v>50</v>
      </c>
      <c r="Q116" s="5">
        <v>0</v>
      </c>
      <c r="R116" s="9">
        <v>0</v>
      </c>
      <c r="S116" s="8">
        <v>0</v>
      </c>
      <c r="T116" s="5">
        <v>0</v>
      </c>
    </row>
    <row r="117" spans="1:20" x14ac:dyDescent="0.2">
      <c r="A117" s="5" t="s">
        <v>102</v>
      </c>
      <c r="B117" s="5" t="s">
        <v>75</v>
      </c>
      <c r="C117" s="17" t="s">
        <v>617</v>
      </c>
      <c r="D117" s="7">
        <f t="shared" si="0"/>
        <v>7.9</v>
      </c>
      <c r="E117" s="8">
        <v>0</v>
      </c>
      <c r="F117" s="5">
        <v>0</v>
      </c>
      <c r="G117" s="5">
        <v>0</v>
      </c>
      <c r="H117" s="5">
        <v>0</v>
      </c>
      <c r="I117" s="5">
        <v>0</v>
      </c>
      <c r="J117" s="9">
        <v>0</v>
      </c>
      <c r="K117" s="8">
        <v>6</v>
      </c>
      <c r="L117" s="5">
        <v>20</v>
      </c>
      <c r="M117" s="5">
        <v>0</v>
      </c>
      <c r="N117" s="9">
        <v>0</v>
      </c>
      <c r="O117" s="8">
        <v>4</v>
      </c>
      <c r="P117" s="5">
        <v>19</v>
      </c>
      <c r="Q117" s="5">
        <v>0</v>
      </c>
      <c r="R117" s="9">
        <v>0</v>
      </c>
      <c r="S117" s="8">
        <v>0</v>
      </c>
      <c r="T117" s="5">
        <v>0</v>
      </c>
    </row>
    <row r="118" spans="1:20" x14ac:dyDescent="0.2">
      <c r="A118" s="5" t="s">
        <v>246</v>
      </c>
      <c r="B118" s="5" t="s">
        <v>162</v>
      </c>
      <c r="C118" s="10" t="s">
        <v>625</v>
      </c>
      <c r="D118" s="7">
        <f t="shared" si="0"/>
        <v>7.9</v>
      </c>
      <c r="E118" s="8">
        <v>0</v>
      </c>
      <c r="F118" s="5">
        <v>0</v>
      </c>
      <c r="G118" s="5">
        <v>0</v>
      </c>
      <c r="H118" s="5">
        <v>0</v>
      </c>
      <c r="I118" s="5">
        <v>0</v>
      </c>
      <c r="J118" s="9">
        <v>0</v>
      </c>
      <c r="K118" s="8">
        <v>0</v>
      </c>
      <c r="L118" s="5">
        <v>0</v>
      </c>
      <c r="M118" s="5">
        <v>0</v>
      </c>
      <c r="N118" s="9">
        <v>0</v>
      </c>
      <c r="O118" s="8">
        <v>5</v>
      </c>
      <c r="P118" s="5">
        <v>29</v>
      </c>
      <c r="Q118" s="5">
        <v>0</v>
      </c>
      <c r="R118" s="9">
        <v>0</v>
      </c>
      <c r="S118" s="8">
        <v>0</v>
      </c>
      <c r="T118" s="5">
        <v>0</v>
      </c>
    </row>
    <row r="119" spans="1:20" x14ac:dyDescent="0.2">
      <c r="A119" s="5" t="s">
        <v>365</v>
      </c>
      <c r="B119" s="5" t="s">
        <v>162</v>
      </c>
      <c r="C119" s="10" t="s">
        <v>621</v>
      </c>
      <c r="D119" s="7">
        <f t="shared" si="0"/>
        <v>7.6</v>
      </c>
      <c r="E119" s="8">
        <v>0</v>
      </c>
      <c r="F119" s="5">
        <v>0</v>
      </c>
      <c r="G119" s="5">
        <v>0</v>
      </c>
      <c r="H119" s="5">
        <v>0</v>
      </c>
      <c r="I119" s="5">
        <v>0</v>
      </c>
      <c r="J119" s="9">
        <v>0</v>
      </c>
      <c r="K119" s="8">
        <v>1</v>
      </c>
      <c r="L119" s="5">
        <v>4</v>
      </c>
      <c r="M119" s="5">
        <v>0</v>
      </c>
      <c r="N119" s="9">
        <v>0</v>
      </c>
      <c r="O119" s="8">
        <v>2</v>
      </c>
      <c r="P119" s="5">
        <v>52</v>
      </c>
      <c r="Q119" s="5">
        <v>0</v>
      </c>
      <c r="R119" s="9">
        <v>0</v>
      </c>
      <c r="S119" s="8">
        <v>0</v>
      </c>
      <c r="T119" s="5">
        <v>0</v>
      </c>
    </row>
    <row r="120" spans="1:20" x14ac:dyDescent="0.2">
      <c r="A120" s="5" t="s">
        <v>201</v>
      </c>
      <c r="B120" s="5" t="s">
        <v>162</v>
      </c>
      <c r="C120" s="17" t="s">
        <v>614</v>
      </c>
      <c r="D120" s="7">
        <f t="shared" si="0"/>
        <v>7.5</v>
      </c>
      <c r="E120" s="8">
        <v>0</v>
      </c>
      <c r="F120" s="5">
        <v>0</v>
      </c>
      <c r="G120" s="5">
        <v>0</v>
      </c>
      <c r="H120" s="5">
        <v>0</v>
      </c>
      <c r="I120" s="5">
        <v>0</v>
      </c>
      <c r="J120" s="9">
        <v>0</v>
      </c>
      <c r="K120" s="8">
        <v>1</v>
      </c>
      <c r="L120" s="5">
        <v>0</v>
      </c>
      <c r="M120" s="5">
        <v>0</v>
      </c>
      <c r="N120" s="9">
        <v>0</v>
      </c>
      <c r="O120" s="8">
        <v>1</v>
      </c>
      <c r="P120" s="5">
        <v>5</v>
      </c>
      <c r="Q120" s="5">
        <v>1</v>
      </c>
      <c r="R120" s="9">
        <v>0</v>
      </c>
      <c r="S120" s="8">
        <v>0</v>
      </c>
      <c r="T120" s="5">
        <v>0</v>
      </c>
    </row>
    <row r="121" spans="1:20" x14ac:dyDescent="0.2">
      <c r="A121" s="5" t="s">
        <v>190</v>
      </c>
      <c r="B121" s="5" t="s">
        <v>162</v>
      </c>
      <c r="C121" s="10" t="s">
        <v>621</v>
      </c>
      <c r="D121" s="7">
        <f t="shared" si="0"/>
        <v>7.4</v>
      </c>
      <c r="E121" s="8">
        <v>0</v>
      </c>
      <c r="F121" s="5">
        <v>0</v>
      </c>
      <c r="G121" s="5">
        <v>0</v>
      </c>
      <c r="H121" s="5">
        <v>0</v>
      </c>
      <c r="I121" s="5">
        <v>0</v>
      </c>
      <c r="J121" s="9">
        <v>0</v>
      </c>
      <c r="K121" s="8">
        <v>0</v>
      </c>
      <c r="L121" s="5">
        <v>0</v>
      </c>
      <c r="M121" s="5">
        <v>0</v>
      </c>
      <c r="N121" s="9">
        <v>0</v>
      </c>
      <c r="O121" s="8">
        <v>4</v>
      </c>
      <c r="P121" s="5">
        <v>34</v>
      </c>
      <c r="Q121" s="5">
        <v>0</v>
      </c>
      <c r="R121" s="9">
        <v>0</v>
      </c>
      <c r="S121" s="8">
        <v>0</v>
      </c>
      <c r="T121" s="5">
        <v>0</v>
      </c>
    </row>
    <row r="122" spans="1:20" x14ac:dyDescent="0.2">
      <c r="A122" s="5" t="s">
        <v>272</v>
      </c>
      <c r="B122" s="5" t="s">
        <v>69</v>
      </c>
      <c r="C122" s="10" t="s">
        <v>625</v>
      </c>
      <c r="D122" s="7">
        <f t="shared" si="0"/>
        <v>7.4</v>
      </c>
      <c r="E122" s="8">
        <v>0</v>
      </c>
      <c r="F122" s="5">
        <v>0</v>
      </c>
      <c r="G122" s="5">
        <v>0</v>
      </c>
      <c r="H122" s="5">
        <v>0</v>
      </c>
      <c r="I122" s="5">
        <v>0</v>
      </c>
      <c r="J122" s="9">
        <v>0</v>
      </c>
      <c r="K122" s="8">
        <v>0</v>
      </c>
      <c r="L122" s="5">
        <v>0</v>
      </c>
      <c r="M122" s="5">
        <v>0</v>
      </c>
      <c r="N122" s="9">
        <v>0</v>
      </c>
      <c r="O122" s="8">
        <v>2</v>
      </c>
      <c r="P122" s="5">
        <v>54</v>
      </c>
      <c r="Q122" s="5">
        <v>0</v>
      </c>
      <c r="R122" s="9">
        <v>0</v>
      </c>
      <c r="S122" s="8">
        <v>0</v>
      </c>
      <c r="T122" s="5">
        <v>0</v>
      </c>
    </row>
    <row r="123" spans="1:20" x14ac:dyDescent="0.2">
      <c r="A123" s="5" t="s">
        <v>315</v>
      </c>
      <c r="B123" s="5" t="s">
        <v>69</v>
      </c>
      <c r="C123" s="17" t="s">
        <v>621</v>
      </c>
      <c r="D123" s="7">
        <f t="shared" si="0"/>
        <v>7.3</v>
      </c>
      <c r="E123" s="8">
        <v>0</v>
      </c>
      <c r="F123" s="5">
        <v>0</v>
      </c>
      <c r="G123" s="5">
        <v>0</v>
      </c>
      <c r="H123" s="5">
        <v>0</v>
      </c>
      <c r="I123" s="5">
        <v>0</v>
      </c>
      <c r="J123" s="9">
        <v>0</v>
      </c>
      <c r="K123" s="8">
        <v>0</v>
      </c>
      <c r="L123" s="5">
        <v>0</v>
      </c>
      <c r="M123" s="5">
        <v>0</v>
      </c>
      <c r="N123" s="9">
        <v>0</v>
      </c>
      <c r="O123" s="8">
        <v>3</v>
      </c>
      <c r="P123" s="5">
        <v>43</v>
      </c>
      <c r="Q123" s="5">
        <v>0</v>
      </c>
      <c r="R123" s="9">
        <v>0</v>
      </c>
      <c r="S123" s="8">
        <v>0</v>
      </c>
      <c r="T123" s="5">
        <v>0</v>
      </c>
    </row>
    <row r="124" spans="1:20" x14ac:dyDescent="0.2">
      <c r="A124" s="5" t="s">
        <v>56</v>
      </c>
      <c r="B124" s="5" t="s">
        <v>17</v>
      </c>
      <c r="C124" s="10" t="s">
        <v>622</v>
      </c>
      <c r="D124" s="7">
        <f t="shared" si="0"/>
        <v>7.2199999999999989</v>
      </c>
      <c r="E124" s="8">
        <v>49</v>
      </c>
      <c r="F124" s="5">
        <v>33</v>
      </c>
      <c r="G124" s="5">
        <v>263</v>
      </c>
      <c r="H124" s="5">
        <v>0</v>
      </c>
      <c r="I124" s="5">
        <v>0</v>
      </c>
      <c r="J124" s="9">
        <v>0</v>
      </c>
      <c r="K124" s="8">
        <v>2</v>
      </c>
      <c r="L124" s="5">
        <v>7</v>
      </c>
      <c r="M124" s="5">
        <v>0</v>
      </c>
      <c r="N124" s="9">
        <v>0</v>
      </c>
      <c r="O124" s="8">
        <v>0</v>
      </c>
      <c r="P124" s="5">
        <v>0</v>
      </c>
      <c r="Q124" s="5">
        <v>0</v>
      </c>
      <c r="R124" s="9">
        <v>0</v>
      </c>
      <c r="S124" s="8">
        <v>2</v>
      </c>
      <c r="T124" s="5">
        <v>0</v>
      </c>
    </row>
    <row r="125" spans="1:20" x14ac:dyDescent="0.2">
      <c r="A125" s="5" t="s">
        <v>25</v>
      </c>
      <c r="B125" s="5" t="s">
        <v>17</v>
      </c>
      <c r="C125" s="17" t="s">
        <v>622</v>
      </c>
      <c r="D125" s="7">
        <f t="shared" si="0"/>
        <v>7.1400000000000006</v>
      </c>
      <c r="E125" s="8">
        <v>30</v>
      </c>
      <c r="F125" s="5">
        <v>16</v>
      </c>
      <c r="G125" s="5">
        <v>136</v>
      </c>
      <c r="H125" s="5">
        <v>0</v>
      </c>
      <c r="I125" s="5">
        <v>0</v>
      </c>
      <c r="J125" s="9">
        <v>0</v>
      </c>
      <c r="K125" s="8">
        <v>3</v>
      </c>
      <c r="L125" s="5">
        <v>17</v>
      </c>
      <c r="M125" s="5">
        <v>0</v>
      </c>
      <c r="N125" s="9">
        <v>0</v>
      </c>
      <c r="O125" s="8">
        <v>0</v>
      </c>
      <c r="P125" s="5">
        <v>0</v>
      </c>
      <c r="Q125" s="5">
        <v>0</v>
      </c>
      <c r="R125" s="9">
        <v>0</v>
      </c>
      <c r="S125" s="8">
        <v>0</v>
      </c>
      <c r="T125" s="5">
        <v>0</v>
      </c>
    </row>
    <row r="126" spans="1:20" x14ac:dyDescent="0.2">
      <c r="A126" s="5" t="s">
        <v>282</v>
      </c>
      <c r="B126" s="5" t="s">
        <v>69</v>
      </c>
      <c r="C126" s="17" t="s">
        <v>619</v>
      </c>
      <c r="D126" s="7">
        <f t="shared" si="0"/>
        <v>7.1</v>
      </c>
      <c r="E126" s="8">
        <v>0</v>
      </c>
      <c r="F126" s="5">
        <v>0</v>
      </c>
      <c r="G126" s="5">
        <v>0</v>
      </c>
      <c r="H126" s="5">
        <v>0</v>
      </c>
      <c r="I126" s="5">
        <v>0</v>
      </c>
      <c r="J126" s="9">
        <v>0</v>
      </c>
      <c r="K126" s="8">
        <v>0</v>
      </c>
      <c r="L126" s="5">
        <v>0</v>
      </c>
      <c r="M126" s="5">
        <v>0</v>
      </c>
      <c r="N126" s="9">
        <v>0</v>
      </c>
      <c r="O126" s="8">
        <v>4</v>
      </c>
      <c r="P126" s="5">
        <v>31</v>
      </c>
      <c r="Q126" s="5">
        <v>0</v>
      </c>
      <c r="R126" s="9">
        <v>0</v>
      </c>
      <c r="S126" s="8">
        <v>0</v>
      </c>
      <c r="T126" s="5">
        <v>0</v>
      </c>
    </row>
    <row r="127" spans="1:20" x14ac:dyDescent="0.2">
      <c r="A127" s="5" t="s">
        <v>225</v>
      </c>
      <c r="B127" s="5" t="s">
        <v>162</v>
      </c>
      <c r="C127" s="10" t="s">
        <v>624</v>
      </c>
      <c r="D127" s="7">
        <f t="shared" si="0"/>
        <v>7</v>
      </c>
      <c r="E127" s="8">
        <v>0</v>
      </c>
      <c r="F127" s="5">
        <v>0</v>
      </c>
      <c r="G127" s="5">
        <v>0</v>
      </c>
      <c r="H127" s="5">
        <v>0</v>
      </c>
      <c r="I127" s="5">
        <v>0</v>
      </c>
      <c r="J127" s="9">
        <v>0</v>
      </c>
      <c r="K127" s="8">
        <v>1</v>
      </c>
      <c r="L127" s="5">
        <v>21</v>
      </c>
      <c r="M127" s="5">
        <v>0</v>
      </c>
      <c r="N127" s="9">
        <v>0</v>
      </c>
      <c r="O127" s="8">
        <v>3</v>
      </c>
      <c r="P127" s="5">
        <v>19</v>
      </c>
      <c r="Q127" s="5">
        <v>0</v>
      </c>
      <c r="R127" s="9">
        <v>0</v>
      </c>
      <c r="S127" s="8">
        <v>0</v>
      </c>
      <c r="T127" s="5">
        <v>0</v>
      </c>
    </row>
    <row r="128" spans="1:20" x14ac:dyDescent="0.2">
      <c r="A128" s="5" t="s">
        <v>344</v>
      </c>
      <c r="B128" s="5" t="s">
        <v>162</v>
      </c>
      <c r="C128" s="10" t="s">
        <v>624</v>
      </c>
      <c r="D128" s="7">
        <f t="shared" si="0"/>
        <v>6.9</v>
      </c>
      <c r="E128" s="8">
        <v>0</v>
      </c>
      <c r="F128" s="5">
        <v>0</v>
      </c>
      <c r="G128" s="5">
        <v>0</v>
      </c>
      <c r="H128" s="5">
        <v>0</v>
      </c>
      <c r="I128" s="5">
        <v>0</v>
      </c>
      <c r="J128" s="9">
        <v>0</v>
      </c>
      <c r="K128" s="8">
        <v>0</v>
      </c>
      <c r="L128" s="5">
        <v>0</v>
      </c>
      <c r="M128" s="5">
        <v>0</v>
      </c>
      <c r="N128" s="9">
        <v>0</v>
      </c>
      <c r="O128" s="8">
        <v>4</v>
      </c>
      <c r="P128" s="5">
        <v>49</v>
      </c>
      <c r="Q128" s="5">
        <v>0</v>
      </c>
      <c r="R128" s="9">
        <v>0</v>
      </c>
      <c r="S128" s="8">
        <v>1</v>
      </c>
      <c r="T128" s="5">
        <v>0</v>
      </c>
    </row>
    <row r="129" spans="1:20" x14ac:dyDescent="0.2">
      <c r="A129" s="5" t="s">
        <v>580</v>
      </c>
      <c r="B129" s="5" t="s">
        <v>75</v>
      </c>
      <c r="C129" s="17" t="s">
        <v>626</v>
      </c>
      <c r="D129" s="7">
        <f t="shared" si="0"/>
        <v>6.8000000000000007</v>
      </c>
      <c r="E129" s="8">
        <v>0</v>
      </c>
      <c r="F129" s="5">
        <v>0</v>
      </c>
      <c r="G129" s="5">
        <v>0</v>
      </c>
      <c r="H129" s="5">
        <v>0</v>
      </c>
      <c r="I129" s="5">
        <v>0</v>
      </c>
      <c r="J129" s="9">
        <v>0</v>
      </c>
      <c r="K129" s="8">
        <v>2</v>
      </c>
      <c r="L129" s="5">
        <v>6</v>
      </c>
      <c r="M129" s="5">
        <v>0</v>
      </c>
      <c r="N129" s="9">
        <v>0</v>
      </c>
      <c r="O129" s="8">
        <v>3</v>
      </c>
      <c r="P129" s="5">
        <v>32</v>
      </c>
      <c r="Q129" s="5">
        <v>0</v>
      </c>
      <c r="R129" s="9">
        <v>0</v>
      </c>
      <c r="S129" s="8">
        <v>0</v>
      </c>
      <c r="T129" s="5">
        <v>0</v>
      </c>
    </row>
    <row r="130" spans="1:20" x14ac:dyDescent="0.2">
      <c r="A130" s="5" t="s">
        <v>513</v>
      </c>
      <c r="B130" s="5" t="s">
        <v>162</v>
      </c>
      <c r="C130" s="17" t="s">
        <v>624</v>
      </c>
      <c r="D130" s="7">
        <f t="shared" si="0"/>
        <v>6.8000000000000007</v>
      </c>
      <c r="E130" s="8">
        <v>0</v>
      </c>
      <c r="F130" s="5">
        <v>0</v>
      </c>
      <c r="G130" s="5">
        <v>0</v>
      </c>
      <c r="H130" s="5">
        <v>0</v>
      </c>
      <c r="I130" s="5">
        <v>0</v>
      </c>
      <c r="J130" s="9">
        <v>0</v>
      </c>
      <c r="K130" s="8">
        <v>0</v>
      </c>
      <c r="L130" s="5">
        <v>0</v>
      </c>
      <c r="M130" s="5">
        <v>0</v>
      </c>
      <c r="N130" s="9">
        <v>0</v>
      </c>
      <c r="O130" s="8">
        <v>2</v>
      </c>
      <c r="P130" s="5">
        <v>48</v>
      </c>
      <c r="Q130" s="5">
        <v>0</v>
      </c>
      <c r="R130" s="9">
        <v>0</v>
      </c>
      <c r="S130" s="8">
        <v>0</v>
      </c>
      <c r="T130" s="5">
        <v>0</v>
      </c>
    </row>
    <row r="131" spans="1:20" x14ac:dyDescent="0.2">
      <c r="A131" s="5" t="s">
        <v>606</v>
      </c>
      <c r="B131" s="5" t="s">
        <v>69</v>
      </c>
      <c r="C131" s="10" t="s">
        <v>625</v>
      </c>
      <c r="D131" s="7">
        <f t="shared" si="0"/>
        <v>6.8000000000000007</v>
      </c>
      <c r="E131" s="8">
        <v>0</v>
      </c>
      <c r="F131" s="5">
        <v>0</v>
      </c>
      <c r="G131" s="5">
        <v>0</v>
      </c>
      <c r="H131" s="5">
        <v>0</v>
      </c>
      <c r="I131" s="5">
        <v>0</v>
      </c>
      <c r="J131" s="9">
        <v>0</v>
      </c>
      <c r="K131" s="8">
        <v>0</v>
      </c>
      <c r="L131" s="5">
        <v>0</v>
      </c>
      <c r="M131" s="5">
        <v>0</v>
      </c>
      <c r="N131" s="9">
        <v>0</v>
      </c>
      <c r="O131" s="8">
        <v>4</v>
      </c>
      <c r="P131" s="5">
        <v>28</v>
      </c>
      <c r="Q131" s="5">
        <v>0</v>
      </c>
      <c r="R131" s="9">
        <v>0</v>
      </c>
      <c r="S131" s="8">
        <v>0</v>
      </c>
      <c r="T131" s="5">
        <v>0</v>
      </c>
    </row>
    <row r="132" spans="1:20" x14ac:dyDescent="0.2">
      <c r="A132" s="5" t="s">
        <v>106</v>
      </c>
      <c r="B132" s="5" t="s">
        <v>75</v>
      </c>
      <c r="C132" s="17" t="s">
        <v>615</v>
      </c>
      <c r="D132" s="7">
        <f t="shared" si="0"/>
        <v>6.8</v>
      </c>
      <c r="E132" s="8">
        <v>0</v>
      </c>
      <c r="F132" s="5">
        <v>0</v>
      </c>
      <c r="G132" s="5">
        <v>0</v>
      </c>
      <c r="H132" s="5">
        <v>0</v>
      </c>
      <c r="I132" s="5">
        <v>0</v>
      </c>
      <c r="J132" s="9">
        <v>0</v>
      </c>
      <c r="K132" s="8">
        <v>8</v>
      </c>
      <c r="L132" s="5">
        <v>25</v>
      </c>
      <c r="M132" s="5">
        <v>0</v>
      </c>
      <c r="N132" s="9">
        <v>0</v>
      </c>
      <c r="O132" s="8">
        <v>3</v>
      </c>
      <c r="P132" s="5">
        <v>13</v>
      </c>
      <c r="Q132" s="5">
        <v>0</v>
      </c>
      <c r="R132" s="9">
        <v>0</v>
      </c>
      <c r="S132" s="8">
        <v>0</v>
      </c>
      <c r="T132" s="5">
        <v>0</v>
      </c>
    </row>
    <row r="133" spans="1:20" x14ac:dyDescent="0.2">
      <c r="A133" s="5" t="s">
        <v>104</v>
      </c>
      <c r="B133" s="5" t="s">
        <v>75</v>
      </c>
      <c r="C133" s="10" t="s">
        <v>626</v>
      </c>
      <c r="D133" s="7">
        <f t="shared" si="0"/>
        <v>6.6000000000000005</v>
      </c>
      <c r="E133" s="8">
        <v>0</v>
      </c>
      <c r="F133" s="5">
        <v>0</v>
      </c>
      <c r="G133" s="5">
        <v>0</v>
      </c>
      <c r="H133" s="5">
        <v>0</v>
      </c>
      <c r="I133" s="5">
        <v>0</v>
      </c>
      <c r="J133" s="9">
        <v>0</v>
      </c>
      <c r="K133" s="8">
        <v>16</v>
      </c>
      <c r="L133" s="5">
        <v>66</v>
      </c>
      <c r="M133" s="5">
        <v>0</v>
      </c>
      <c r="N133" s="9">
        <v>0</v>
      </c>
      <c r="O133" s="8">
        <v>0</v>
      </c>
      <c r="P133" s="5">
        <v>0</v>
      </c>
      <c r="Q133" s="5">
        <v>0</v>
      </c>
      <c r="R133" s="9">
        <v>0</v>
      </c>
      <c r="S133" s="8">
        <v>0</v>
      </c>
      <c r="T133" s="5">
        <v>0</v>
      </c>
    </row>
    <row r="134" spans="1:20" x14ac:dyDescent="0.2">
      <c r="A134" s="5" t="s">
        <v>174</v>
      </c>
      <c r="B134" s="5" t="s">
        <v>162</v>
      </c>
      <c r="C134" s="10" t="s">
        <v>624</v>
      </c>
      <c r="D134" s="7">
        <f t="shared" si="0"/>
        <v>6.6</v>
      </c>
      <c r="E134" s="8">
        <v>0</v>
      </c>
      <c r="F134" s="5">
        <v>0</v>
      </c>
      <c r="G134" s="5">
        <v>0</v>
      </c>
      <c r="H134" s="5">
        <v>0</v>
      </c>
      <c r="I134" s="5">
        <v>0</v>
      </c>
      <c r="J134" s="9">
        <v>0</v>
      </c>
      <c r="K134" s="8">
        <v>0</v>
      </c>
      <c r="L134" s="5">
        <v>0</v>
      </c>
      <c r="M134" s="5">
        <v>0</v>
      </c>
      <c r="N134" s="9">
        <v>0</v>
      </c>
      <c r="O134" s="8">
        <v>3</v>
      </c>
      <c r="P134" s="5">
        <v>36</v>
      </c>
      <c r="Q134" s="5">
        <v>0</v>
      </c>
      <c r="R134" s="9">
        <v>0</v>
      </c>
      <c r="S134" s="8">
        <v>0</v>
      </c>
      <c r="T134" s="5">
        <v>0</v>
      </c>
    </row>
    <row r="135" spans="1:20" x14ac:dyDescent="0.2">
      <c r="A135" s="5" t="s">
        <v>221</v>
      </c>
      <c r="B135" s="5" t="s">
        <v>162</v>
      </c>
      <c r="C135" s="10" t="s">
        <v>615</v>
      </c>
      <c r="D135" s="7">
        <f t="shared" si="0"/>
        <v>6.6</v>
      </c>
      <c r="E135" s="8">
        <v>0</v>
      </c>
      <c r="F135" s="5">
        <v>0</v>
      </c>
      <c r="G135" s="5">
        <v>0</v>
      </c>
      <c r="H135" s="5">
        <v>0</v>
      </c>
      <c r="I135" s="5">
        <v>0</v>
      </c>
      <c r="J135" s="9">
        <v>0</v>
      </c>
      <c r="K135" s="8">
        <v>0</v>
      </c>
      <c r="L135" s="5">
        <v>0</v>
      </c>
      <c r="M135" s="5">
        <v>0</v>
      </c>
      <c r="N135" s="9">
        <v>0</v>
      </c>
      <c r="O135" s="8">
        <v>3</v>
      </c>
      <c r="P135" s="5">
        <v>36</v>
      </c>
      <c r="Q135" s="5">
        <v>0</v>
      </c>
      <c r="R135" s="9">
        <v>0</v>
      </c>
      <c r="S135" s="8">
        <v>0</v>
      </c>
      <c r="T135" s="5">
        <v>0</v>
      </c>
    </row>
    <row r="136" spans="1:20" x14ac:dyDescent="0.2">
      <c r="A136" s="5" t="s">
        <v>213</v>
      </c>
      <c r="B136" s="5" t="s">
        <v>162</v>
      </c>
      <c r="C136" s="17" t="s">
        <v>616</v>
      </c>
      <c r="D136" s="7">
        <f t="shared" si="0"/>
        <v>6.4</v>
      </c>
      <c r="E136" s="8">
        <v>0</v>
      </c>
      <c r="F136" s="5">
        <v>0</v>
      </c>
      <c r="G136" s="5">
        <v>0</v>
      </c>
      <c r="H136" s="5">
        <v>0</v>
      </c>
      <c r="I136" s="5">
        <v>0</v>
      </c>
      <c r="J136" s="9">
        <v>0</v>
      </c>
      <c r="K136" s="8">
        <v>0</v>
      </c>
      <c r="L136" s="5">
        <v>0</v>
      </c>
      <c r="M136" s="5">
        <v>0</v>
      </c>
      <c r="N136" s="9">
        <v>0</v>
      </c>
      <c r="O136" s="8">
        <v>4</v>
      </c>
      <c r="P136" s="5">
        <v>24</v>
      </c>
      <c r="Q136" s="5">
        <v>0</v>
      </c>
      <c r="R136" s="9">
        <v>0</v>
      </c>
      <c r="S136" s="8">
        <v>0</v>
      </c>
      <c r="T136" s="5">
        <v>0</v>
      </c>
    </row>
    <row r="137" spans="1:20" x14ac:dyDescent="0.2">
      <c r="A137" s="5" t="s">
        <v>289</v>
      </c>
      <c r="B137" s="5" t="s">
        <v>69</v>
      </c>
      <c r="C137" s="10" t="s">
        <v>626</v>
      </c>
      <c r="D137" s="7">
        <f t="shared" si="0"/>
        <v>6.4</v>
      </c>
      <c r="E137" s="8">
        <v>0</v>
      </c>
      <c r="F137" s="5">
        <v>0</v>
      </c>
      <c r="G137" s="5">
        <v>0</v>
      </c>
      <c r="H137" s="5">
        <v>0</v>
      </c>
      <c r="I137" s="5">
        <v>0</v>
      </c>
      <c r="J137" s="9">
        <v>0</v>
      </c>
      <c r="K137" s="8">
        <v>0</v>
      </c>
      <c r="L137" s="5">
        <v>0</v>
      </c>
      <c r="M137" s="5">
        <v>0</v>
      </c>
      <c r="N137" s="9">
        <v>0</v>
      </c>
      <c r="O137" s="8">
        <v>3</v>
      </c>
      <c r="P137" s="5">
        <v>34</v>
      </c>
      <c r="Q137" s="5">
        <v>0</v>
      </c>
      <c r="R137" s="9">
        <v>0</v>
      </c>
      <c r="S137" s="8">
        <v>0</v>
      </c>
      <c r="T137" s="5">
        <v>0</v>
      </c>
    </row>
    <row r="138" spans="1:20" x14ac:dyDescent="0.2">
      <c r="A138" s="5" t="s">
        <v>497</v>
      </c>
      <c r="B138" s="5" t="s">
        <v>17</v>
      </c>
      <c r="C138" s="10" t="s">
        <v>623</v>
      </c>
      <c r="D138" s="7">
        <f t="shared" si="0"/>
        <v>6.3199999999999994</v>
      </c>
      <c r="E138" s="8">
        <v>7</v>
      </c>
      <c r="F138" s="5">
        <v>5</v>
      </c>
      <c r="G138" s="5">
        <v>38</v>
      </c>
      <c r="H138" s="5">
        <v>1</v>
      </c>
      <c r="I138" s="5">
        <v>0</v>
      </c>
      <c r="J138" s="9">
        <v>0</v>
      </c>
      <c r="K138" s="8">
        <v>4</v>
      </c>
      <c r="L138" s="5">
        <v>8</v>
      </c>
      <c r="M138" s="5">
        <v>0</v>
      </c>
      <c r="N138" s="9">
        <v>0</v>
      </c>
      <c r="O138" s="8">
        <v>0</v>
      </c>
      <c r="P138" s="5">
        <v>0</v>
      </c>
      <c r="Q138" s="5">
        <v>0</v>
      </c>
      <c r="R138" s="9">
        <v>0</v>
      </c>
      <c r="S138" s="8">
        <v>0</v>
      </c>
      <c r="T138" s="5">
        <v>0</v>
      </c>
    </row>
    <row r="139" spans="1:20" x14ac:dyDescent="0.2">
      <c r="A139" s="5" t="s">
        <v>517</v>
      </c>
      <c r="B139" s="5" t="s">
        <v>162</v>
      </c>
      <c r="C139" s="17" t="s">
        <v>619</v>
      </c>
      <c r="D139" s="7">
        <f t="shared" si="0"/>
        <v>6.3000000000000007</v>
      </c>
      <c r="E139" s="8">
        <v>0</v>
      </c>
      <c r="F139" s="5">
        <v>0</v>
      </c>
      <c r="G139" s="5">
        <v>0</v>
      </c>
      <c r="H139" s="5">
        <v>0</v>
      </c>
      <c r="I139" s="5">
        <v>0</v>
      </c>
      <c r="J139" s="9">
        <v>0</v>
      </c>
      <c r="K139" s="8">
        <v>0</v>
      </c>
      <c r="L139" s="5">
        <v>0</v>
      </c>
      <c r="M139" s="5">
        <v>0</v>
      </c>
      <c r="N139" s="9">
        <v>0</v>
      </c>
      <c r="O139" s="8">
        <v>4</v>
      </c>
      <c r="P139" s="5">
        <v>23</v>
      </c>
      <c r="Q139" s="5">
        <v>0</v>
      </c>
      <c r="R139" s="9">
        <v>0</v>
      </c>
      <c r="S139" s="8">
        <v>0</v>
      </c>
      <c r="T139" s="5">
        <v>0</v>
      </c>
    </row>
    <row r="140" spans="1:20" x14ac:dyDescent="0.2">
      <c r="A140" s="5" t="s">
        <v>110</v>
      </c>
      <c r="B140" s="5" t="s">
        <v>75</v>
      </c>
      <c r="C140" s="10" t="s">
        <v>619</v>
      </c>
      <c r="D140" s="7">
        <f t="shared" si="0"/>
        <v>6.2</v>
      </c>
      <c r="E140" s="8">
        <v>0</v>
      </c>
      <c r="F140" s="5">
        <v>0</v>
      </c>
      <c r="G140" s="5">
        <v>0</v>
      </c>
      <c r="H140" s="5">
        <v>0</v>
      </c>
      <c r="I140" s="5">
        <v>0</v>
      </c>
      <c r="J140" s="9">
        <v>0</v>
      </c>
      <c r="K140" s="8">
        <v>6</v>
      </c>
      <c r="L140" s="5">
        <v>17</v>
      </c>
      <c r="M140" s="5">
        <v>0</v>
      </c>
      <c r="N140" s="9">
        <v>0</v>
      </c>
      <c r="O140" s="8">
        <v>3</v>
      </c>
      <c r="P140" s="5">
        <v>15</v>
      </c>
      <c r="Q140" s="5">
        <v>0</v>
      </c>
      <c r="R140" s="9">
        <v>0</v>
      </c>
      <c r="S140" s="8">
        <v>0</v>
      </c>
      <c r="T140" s="5">
        <v>0</v>
      </c>
    </row>
    <row r="141" spans="1:20" x14ac:dyDescent="0.2">
      <c r="A141" s="5" t="s">
        <v>129</v>
      </c>
      <c r="B141" s="5" t="s">
        <v>75</v>
      </c>
      <c r="C141" s="17" t="s">
        <v>620</v>
      </c>
      <c r="D141" s="7">
        <f t="shared" si="0"/>
        <v>6.2</v>
      </c>
      <c r="E141" s="8">
        <v>0</v>
      </c>
      <c r="F141" s="5">
        <v>0</v>
      </c>
      <c r="G141" s="5">
        <v>0</v>
      </c>
      <c r="H141" s="5">
        <v>0</v>
      </c>
      <c r="I141" s="5">
        <v>0</v>
      </c>
      <c r="J141" s="9">
        <v>0</v>
      </c>
      <c r="K141" s="8">
        <v>5</v>
      </c>
      <c r="L141" s="5">
        <v>18</v>
      </c>
      <c r="M141" s="5">
        <v>0</v>
      </c>
      <c r="N141" s="9">
        <v>0</v>
      </c>
      <c r="O141" s="8">
        <v>4</v>
      </c>
      <c r="P141" s="5">
        <v>4</v>
      </c>
      <c r="Q141" s="5">
        <v>0</v>
      </c>
      <c r="R141" s="9">
        <v>0</v>
      </c>
      <c r="S141" s="8">
        <v>0</v>
      </c>
      <c r="T141" s="5">
        <v>0</v>
      </c>
    </row>
    <row r="142" spans="1:20" x14ac:dyDescent="0.2">
      <c r="A142" s="5" t="s">
        <v>241</v>
      </c>
      <c r="B142" s="5" t="s">
        <v>162</v>
      </c>
      <c r="C142" s="17" t="s">
        <v>623</v>
      </c>
      <c r="D142" s="7">
        <f t="shared" si="0"/>
        <v>6.2</v>
      </c>
      <c r="E142" s="8">
        <v>0</v>
      </c>
      <c r="F142" s="5">
        <v>0</v>
      </c>
      <c r="G142" s="5">
        <v>0</v>
      </c>
      <c r="H142" s="5">
        <v>0</v>
      </c>
      <c r="I142" s="5">
        <v>0</v>
      </c>
      <c r="J142" s="9">
        <v>0</v>
      </c>
      <c r="K142" s="8">
        <v>0</v>
      </c>
      <c r="L142" s="5">
        <v>0</v>
      </c>
      <c r="M142" s="5">
        <v>0</v>
      </c>
      <c r="N142" s="9">
        <v>0</v>
      </c>
      <c r="O142" s="8">
        <v>3</v>
      </c>
      <c r="P142" s="5">
        <v>32</v>
      </c>
      <c r="Q142" s="5">
        <v>0</v>
      </c>
      <c r="R142" s="9">
        <v>0</v>
      </c>
      <c r="S142" s="8">
        <v>0</v>
      </c>
      <c r="T142" s="5">
        <v>0</v>
      </c>
    </row>
    <row r="143" spans="1:20" x14ac:dyDescent="0.2">
      <c r="A143" s="5" t="s">
        <v>170</v>
      </c>
      <c r="B143" s="5" t="s">
        <v>162</v>
      </c>
      <c r="C143" s="17" t="s">
        <v>624</v>
      </c>
      <c r="D143" s="7">
        <f t="shared" si="0"/>
        <v>6.2</v>
      </c>
      <c r="E143" s="8">
        <v>0</v>
      </c>
      <c r="F143" s="5">
        <v>0</v>
      </c>
      <c r="G143" s="5">
        <v>0</v>
      </c>
      <c r="H143" s="5">
        <v>0</v>
      </c>
      <c r="I143" s="5">
        <v>0</v>
      </c>
      <c r="J143" s="9">
        <v>0</v>
      </c>
      <c r="K143" s="8">
        <v>0</v>
      </c>
      <c r="L143" s="5">
        <v>0</v>
      </c>
      <c r="M143" s="5">
        <v>0</v>
      </c>
      <c r="N143" s="9">
        <v>0</v>
      </c>
      <c r="O143" s="8">
        <v>3</v>
      </c>
      <c r="P143" s="5">
        <v>32</v>
      </c>
      <c r="Q143" s="5">
        <v>0</v>
      </c>
      <c r="R143" s="9">
        <v>0</v>
      </c>
      <c r="S143" s="8">
        <v>0</v>
      </c>
      <c r="T143" s="5">
        <v>0</v>
      </c>
    </row>
    <row r="144" spans="1:20" x14ac:dyDescent="0.2">
      <c r="A144" s="5" t="s">
        <v>188</v>
      </c>
      <c r="B144" s="5" t="s">
        <v>162</v>
      </c>
      <c r="C144" s="17" t="s">
        <v>623</v>
      </c>
      <c r="D144" s="7">
        <f t="shared" si="0"/>
        <v>6</v>
      </c>
      <c r="E144" s="8">
        <v>0</v>
      </c>
      <c r="F144" s="5">
        <v>0</v>
      </c>
      <c r="G144" s="5">
        <v>0</v>
      </c>
      <c r="H144" s="5">
        <v>0</v>
      </c>
      <c r="I144" s="5">
        <v>0</v>
      </c>
      <c r="J144" s="9">
        <v>0</v>
      </c>
      <c r="K144" s="8">
        <v>0</v>
      </c>
      <c r="L144" s="5">
        <v>0</v>
      </c>
      <c r="M144" s="5">
        <v>0</v>
      </c>
      <c r="N144" s="9">
        <v>0</v>
      </c>
      <c r="O144" s="8">
        <v>1</v>
      </c>
      <c r="P144" s="5">
        <v>50</v>
      </c>
      <c r="Q144" s="5">
        <v>0</v>
      </c>
      <c r="R144" s="9">
        <v>0</v>
      </c>
      <c r="S144" s="8">
        <v>0</v>
      </c>
      <c r="T144" s="5">
        <v>0</v>
      </c>
    </row>
    <row r="145" spans="1:20" x14ac:dyDescent="0.2">
      <c r="A145" s="5" t="s">
        <v>81</v>
      </c>
      <c r="B145" s="5" t="s">
        <v>75</v>
      </c>
      <c r="C145" s="10" t="s">
        <v>615</v>
      </c>
      <c r="D145" s="7">
        <f t="shared" si="0"/>
        <v>5.9</v>
      </c>
      <c r="E145" s="8">
        <v>0</v>
      </c>
      <c r="F145" s="5">
        <v>0</v>
      </c>
      <c r="G145" s="5">
        <v>0</v>
      </c>
      <c r="H145" s="5">
        <v>0</v>
      </c>
      <c r="I145" s="5">
        <v>0</v>
      </c>
      <c r="J145" s="9">
        <v>0</v>
      </c>
      <c r="K145" s="8">
        <v>11</v>
      </c>
      <c r="L145" s="5">
        <v>51</v>
      </c>
      <c r="M145" s="5">
        <v>0</v>
      </c>
      <c r="N145" s="9">
        <v>0</v>
      </c>
      <c r="O145" s="8">
        <v>2</v>
      </c>
      <c r="P145" s="5">
        <v>8</v>
      </c>
      <c r="Q145" s="5">
        <v>0</v>
      </c>
      <c r="R145" s="9">
        <v>0</v>
      </c>
      <c r="S145" s="8">
        <v>1</v>
      </c>
      <c r="T145" s="5">
        <v>0</v>
      </c>
    </row>
    <row r="146" spans="1:20" x14ac:dyDescent="0.2">
      <c r="A146" s="5" t="s">
        <v>217</v>
      </c>
      <c r="B146" s="5" t="s">
        <v>162</v>
      </c>
      <c r="C146" s="10" t="s">
        <v>623</v>
      </c>
      <c r="D146" s="7">
        <f t="shared" si="0"/>
        <v>5.8000000000000007</v>
      </c>
      <c r="E146" s="8">
        <v>0</v>
      </c>
      <c r="F146" s="5">
        <v>0</v>
      </c>
      <c r="G146" s="5">
        <v>0</v>
      </c>
      <c r="H146" s="5">
        <v>0</v>
      </c>
      <c r="I146" s="5">
        <v>0</v>
      </c>
      <c r="J146" s="9">
        <v>0</v>
      </c>
      <c r="K146" s="8">
        <v>0</v>
      </c>
      <c r="L146" s="5">
        <v>0</v>
      </c>
      <c r="M146" s="5">
        <v>0</v>
      </c>
      <c r="N146" s="9">
        <v>0</v>
      </c>
      <c r="O146" s="8">
        <v>3</v>
      </c>
      <c r="P146" s="5">
        <v>28</v>
      </c>
      <c r="Q146" s="5">
        <v>0</v>
      </c>
      <c r="R146" s="9">
        <v>0</v>
      </c>
      <c r="S146" s="8">
        <v>0</v>
      </c>
      <c r="T146" s="5">
        <v>0</v>
      </c>
    </row>
    <row r="147" spans="1:20" x14ac:dyDescent="0.2">
      <c r="A147" s="5" t="s">
        <v>352</v>
      </c>
      <c r="B147" s="5" t="s">
        <v>69</v>
      </c>
      <c r="C147" s="17" t="s">
        <v>620</v>
      </c>
      <c r="D147" s="7">
        <f t="shared" si="0"/>
        <v>5.8000000000000007</v>
      </c>
      <c r="E147" s="8">
        <v>0</v>
      </c>
      <c r="F147" s="5">
        <v>0</v>
      </c>
      <c r="G147" s="5">
        <v>0</v>
      </c>
      <c r="H147" s="5">
        <v>0</v>
      </c>
      <c r="I147" s="5">
        <v>0</v>
      </c>
      <c r="J147" s="9">
        <v>0</v>
      </c>
      <c r="K147" s="8">
        <v>0</v>
      </c>
      <c r="L147" s="5">
        <v>0</v>
      </c>
      <c r="M147" s="5">
        <v>0</v>
      </c>
      <c r="N147" s="9">
        <v>0</v>
      </c>
      <c r="O147" s="8">
        <v>3</v>
      </c>
      <c r="P147" s="5">
        <v>28</v>
      </c>
      <c r="Q147" s="5">
        <v>0</v>
      </c>
      <c r="R147" s="9">
        <v>0</v>
      </c>
      <c r="S147" s="8">
        <v>0</v>
      </c>
      <c r="T147" s="5">
        <v>0</v>
      </c>
    </row>
    <row r="148" spans="1:20" x14ac:dyDescent="0.2">
      <c r="A148" s="5" t="s">
        <v>574</v>
      </c>
      <c r="B148" s="5" t="s">
        <v>75</v>
      </c>
      <c r="C148" s="17" t="s">
        <v>624</v>
      </c>
      <c r="D148" s="7">
        <f t="shared" si="0"/>
        <v>5.5</v>
      </c>
      <c r="E148" s="8">
        <v>0</v>
      </c>
      <c r="F148" s="5">
        <v>0</v>
      </c>
      <c r="G148" s="5">
        <v>0</v>
      </c>
      <c r="H148" s="5">
        <v>0</v>
      </c>
      <c r="I148" s="5">
        <v>0</v>
      </c>
      <c r="J148" s="9">
        <v>0</v>
      </c>
      <c r="K148" s="8">
        <v>10</v>
      </c>
      <c r="L148" s="5">
        <v>19</v>
      </c>
      <c r="M148" s="5">
        <v>0</v>
      </c>
      <c r="N148" s="9">
        <v>0</v>
      </c>
      <c r="O148" s="8">
        <v>2</v>
      </c>
      <c r="P148" s="5">
        <v>16</v>
      </c>
      <c r="Q148" s="5">
        <v>0</v>
      </c>
      <c r="R148" s="9">
        <v>0</v>
      </c>
      <c r="S148" s="8">
        <v>0</v>
      </c>
      <c r="T148" s="5">
        <v>0</v>
      </c>
    </row>
    <row r="149" spans="1:20" x14ac:dyDescent="0.2">
      <c r="A149" s="5" t="s">
        <v>235</v>
      </c>
      <c r="B149" s="5" t="s">
        <v>162</v>
      </c>
      <c r="C149" s="17" t="s">
        <v>618</v>
      </c>
      <c r="D149" s="7">
        <f t="shared" si="0"/>
        <v>5.4</v>
      </c>
      <c r="E149" s="8">
        <v>0</v>
      </c>
      <c r="F149" s="5">
        <v>0</v>
      </c>
      <c r="G149" s="5">
        <v>0</v>
      </c>
      <c r="H149" s="5">
        <v>0</v>
      </c>
      <c r="I149" s="5">
        <v>0</v>
      </c>
      <c r="J149" s="9">
        <v>0</v>
      </c>
      <c r="K149" s="8">
        <v>0</v>
      </c>
      <c r="L149" s="5">
        <v>0</v>
      </c>
      <c r="M149" s="5">
        <v>0</v>
      </c>
      <c r="N149" s="9">
        <v>0</v>
      </c>
      <c r="O149" s="8">
        <v>3</v>
      </c>
      <c r="P149" s="5">
        <v>44</v>
      </c>
      <c r="Q149" s="5">
        <v>0</v>
      </c>
      <c r="R149" s="9">
        <v>0</v>
      </c>
      <c r="S149" s="8">
        <v>1</v>
      </c>
      <c r="T149" s="5">
        <v>0</v>
      </c>
    </row>
    <row r="150" spans="1:20" x14ac:dyDescent="0.2">
      <c r="A150" s="5" t="s">
        <v>359</v>
      </c>
      <c r="B150" s="5" t="s">
        <v>162</v>
      </c>
      <c r="C150" s="17" t="s">
        <v>619</v>
      </c>
      <c r="D150" s="7">
        <f t="shared" si="0"/>
        <v>5.3000000000000007</v>
      </c>
      <c r="E150" s="8">
        <v>0</v>
      </c>
      <c r="F150" s="5">
        <v>0</v>
      </c>
      <c r="G150" s="5">
        <v>0</v>
      </c>
      <c r="H150" s="5">
        <v>0</v>
      </c>
      <c r="I150" s="5">
        <v>0</v>
      </c>
      <c r="J150" s="9">
        <v>0</v>
      </c>
      <c r="K150" s="8">
        <v>0</v>
      </c>
      <c r="L150" s="5">
        <v>0</v>
      </c>
      <c r="M150" s="5">
        <v>0</v>
      </c>
      <c r="N150" s="9">
        <v>0</v>
      </c>
      <c r="O150" s="8">
        <v>2</v>
      </c>
      <c r="P150" s="5">
        <v>33</v>
      </c>
      <c r="Q150" s="5">
        <v>0</v>
      </c>
      <c r="R150" s="9">
        <v>0</v>
      </c>
      <c r="S150" s="8">
        <v>0</v>
      </c>
      <c r="T150" s="5">
        <v>0</v>
      </c>
    </row>
    <row r="151" spans="1:20" x14ac:dyDescent="0.2">
      <c r="A151" s="5" t="s">
        <v>270</v>
      </c>
      <c r="B151" s="5" t="s">
        <v>162</v>
      </c>
      <c r="C151" s="10" t="s">
        <v>626</v>
      </c>
      <c r="D151" s="7">
        <f t="shared" si="0"/>
        <v>5.3000000000000007</v>
      </c>
      <c r="E151" s="8">
        <v>0</v>
      </c>
      <c r="F151" s="5">
        <v>0</v>
      </c>
      <c r="G151" s="5">
        <v>0</v>
      </c>
      <c r="H151" s="5">
        <v>0</v>
      </c>
      <c r="I151" s="5">
        <v>0</v>
      </c>
      <c r="J151" s="9">
        <v>0</v>
      </c>
      <c r="K151" s="8">
        <v>0</v>
      </c>
      <c r="L151" s="5">
        <v>0</v>
      </c>
      <c r="M151" s="5">
        <v>0</v>
      </c>
      <c r="N151" s="9">
        <v>0</v>
      </c>
      <c r="O151" s="8">
        <v>2</v>
      </c>
      <c r="P151" s="5">
        <v>33</v>
      </c>
      <c r="Q151" s="5">
        <v>0</v>
      </c>
      <c r="R151" s="9">
        <v>0</v>
      </c>
      <c r="S151" s="8">
        <v>0</v>
      </c>
      <c r="T151" s="5">
        <v>0</v>
      </c>
    </row>
    <row r="152" spans="1:20" x14ac:dyDescent="0.2">
      <c r="A152" s="5" t="s">
        <v>122</v>
      </c>
      <c r="B152" s="5" t="s">
        <v>75</v>
      </c>
      <c r="C152" s="10" t="s">
        <v>624</v>
      </c>
      <c r="D152" s="7">
        <f t="shared" si="0"/>
        <v>5.3</v>
      </c>
      <c r="E152" s="8">
        <v>0</v>
      </c>
      <c r="F152" s="5">
        <v>0</v>
      </c>
      <c r="G152" s="5">
        <v>0</v>
      </c>
      <c r="H152" s="5">
        <v>0</v>
      </c>
      <c r="I152" s="5">
        <v>0</v>
      </c>
      <c r="J152" s="9">
        <v>0</v>
      </c>
      <c r="K152" s="8">
        <v>9</v>
      </c>
      <c r="L152" s="5">
        <v>40</v>
      </c>
      <c r="M152" s="5">
        <v>0</v>
      </c>
      <c r="N152" s="9">
        <v>0</v>
      </c>
      <c r="O152" s="8">
        <v>1</v>
      </c>
      <c r="P152" s="5">
        <v>3</v>
      </c>
      <c r="Q152" s="5">
        <v>0</v>
      </c>
      <c r="R152" s="9">
        <v>0</v>
      </c>
      <c r="S152" s="8">
        <v>0</v>
      </c>
      <c r="T152" s="5">
        <v>0</v>
      </c>
    </row>
    <row r="153" spans="1:20" x14ac:dyDescent="0.2">
      <c r="A153" s="5" t="s">
        <v>176</v>
      </c>
      <c r="B153" s="5" t="s">
        <v>162</v>
      </c>
      <c r="C153" s="17" t="s">
        <v>624</v>
      </c>
      <c r="D153" s="7">
        <f t="shared" si="0"/>
        <v>5.3</v>
      </c>
      <c r="E153" s="8">
        <v>0</v>
      </c>
      <c r="F153" s="5">
        <v>0</v>
      </c>
      <c r="G153" s="5">
        <v>0</v>
      </c>
      <c r="H153" s="5">
        <v>0</v>
      </c>
      <c r="I153" s="5">
        <v>0</v>
      </c>
      <c r="J153" s="9">
        <v>0</v>
      </c>
      <c r="K153" s="8">
        <v>0</v>
      </c>
      <c r="L153" s="5">
        <v>0</v>
      </c>
      <c r="M153" s="5">
        <v>0</v>
      </c>
      <c r="N153" s="9">
        <v>0</v>
      </c>
      <c r="O153" s="8">
        <v>4</v>
      </c>
      <c r="P153" s="5">
        <v>13</v>
      </c>
      <c r="Q153" s="5">
        <v>0</v>
      </c>
      <c r="R153" s="9">
        <v>0</v>
      </c>
      <c r="S153" s="8">
        <v>0</v>
      </c>
      <c r="T153" s="5">
        <v>0</v>
      </c>
    </row>
    <row r="154" spans="1:20" x14ac:dyDescent="0.2">
      <c r="A154" s="5" t="s">
        <v>484</v>
      </c>
      <c r="B154" s="5" t="s">
        <v>162</v>
      </c>
      <c r="C154" s="10" t="s">
        <v>622</v>
      </c>
      <c r="D154" s="7">
        <f t="shared" si="0"/>
        <v>5.2</v>
      </c>
      <c r="E154" s="8">
        <v>0</v>
      </c>
      <c r="F154" s="5">
        <v>0</v>
      </c>
      <c r="G154" s="5">
        <v>0</v>
      </c>
      <c r="H154" s="5">
        <v>0</v>
      </c>
      <c r="I154" s="5">
        <v>0</v>
      </c>
      <c r="J154" s="9">
        <v>0</v>
      </c>
      <c r="K154" s="8">
        <v>0</v>
      </c>
      <c r="L154" s="5">
        <v>0</v>
      </c>
      <c r="M154" s="5">
        <v>0</v>
      </c>
      <c r="N154" s="9">
        <v>0</v>
      </c>
      <c r="O154" s="8">
        <v>2</v>
      </c>
      <c r="P154" s="5">
        <v>32</v>
      </c>
      <c r="Q154" s="5">
        <v>0</v>
      </c>
      <c r="R154" s="9">
        <v>0</v>
      </c>
      <c r="S154" s="8">
        <v>0</v>
      </c>
      <c r="T154" s="5">
        <v>0</v>
      </c>
    </row>
    <row r="155" spans="1:20" x14ac:dyDescent="0.2">
      <c r="A155" s="5" t="s">
        <v>367</v>
      </c>
      <c r="B155" s="5" t="s">
        <v>162</v>
      </c>
      <c r="C155" s="10" t="s">
        <v>621</v>
      </c>
      <c r="D155" s="7">
        <f t="shared" si="0"/>
        <v>5.2</v>
      </c>
      <c r="E155" s="8">
        <v>0</v>
      </c>
      <c r="F155" s="5">
        <v>0</v>
      </c>
      <c r="G155" s="5">
        <v>0</v>
      </c>
      <c r="H155" s="5">
        <v>0</v>
      </c>
      <c r="I155" s="5">
        <v>0</v>
      </c>
      <c r="J155" s="9">
        <v>0</v>
      </c>
      <c r="K155" s="8">
        <v>0</v>
      </c>
      <c r="L155" s="5">
        <v>0</v>
      </c>
      <c r="M155" s="5">
        <v>0</v>
      </c>
      <c r="N155" s="9">
        <v>0</v>
      </c>
      <c r="O155" s="8">
        <v>2</v>
      </c>
      <c r="P155" s="5">
        <v>32</v>
      </c>
      <c r="Q155" s="5">
        <v>0</v>
      </c>
      <c r="R155" s="9">
        <v>0</v>
      </c>
      <c r="S155" s="8">
        <v>0</v>
      </c>
      <c r="T155" s="5">
        <v>0</v>
      </c>
    </row>
    <row r="156" spans="1:20" x14ac:dyDescent="0.2">
      <c r="A156" s="5" t="s">
        <v>172</v>
      </c>
      <c r="B156" s="5" t="s">
        <v>162</v>
      </c>
      <c r="C156" s="10" t="s">
        <v>618</v>
      </c>
      <c r="D156" s="7">
        <f t="shared" si="0"/>
        <v>5.2</v>
      </c>
      <c r="E156" s="8">
        <v>0</v>
      </c>
      <c r="F156" s="5">
        <v>0</v>
      </c>
      <c r="G156" s="5">
        <v>0</v>
      </c>
      <c r="H156" s="5">
        <v>0</v>
      </c>
      <c r="I156" s="5">
        <v>0</v>
      </c>
      <c r="J156" s="9">
        <v>0</v>
      </c>
      <c r="K156" s="8">
        <v>0</v>
      </c>
      <c r="L156" s="5">
        <v>0</v>
      </c>
      <c r="M156" s="5">
        <v>0</v>
      </c>
      <c r="N156" s="9">
        <v>0</v>
      </c>
      <c r="O156" s="8">
        <v>3</v>
      </c>
      <c r="P156" s="5">
        <v>22</v>
      </c>
      <c r="Q156" s="5">
        <v>0</v>
      </c>
      <c r="R156" s="9">
        <v>0</v>
      </c>
      <c r="S156" s="8">
        <v>0</v>
      </c>
      <c r="T156" s="5">
        <v>0</v>
      </c>
    </row>
    <row r="157" spans="1:20" x14ac:dyDescent="0.2">
      <c r="A157" s="5" t="s">
        <v>299</v>
      </c>
      <c r="B157" s="5" t="s">
        <v>69</v>
      </c>
      <c r="C157" s="17" t="s">
        <v>616</v>
      </c>
      <c r="D157" s="7">
        <f t="shared" si="0"/>
        <v>5.2</v>
      </c>
      <c r="E157" s="8">
        <v>0</v>
      </c>
      <c r="F157" s="5">
        <v>0</v>
      </c>
      <c r="G157" s="5">
        <v>0</v>
      </c>
      <c r="H157" s="5">
        <v>0</v>
      </c>
      <c r="I157" s="5">
        <v>0</v>
      </c>
      <c r="J157" s="9">
        <v>0</v>
      </c>
      <c r="K157" s="8">
        <v>0</v>
      </c>
      <c r="L157" s="5">
        <v>0</v>
      </c>
      <c r="M157" s="5">
        <v>0</v>
      </c>
      <c r="N157" s="9">
        <v>0</v>
      </c>
      <c r="O157" s="8">
        <v>3</v>
      </c>
      <c r="P157" s="5">
        <v>22</v>
      </c>
      <c r="Q157" s="5">
        <v>0</v>
      </c>
      <c r="R157" s="9">
        <v>0</v>
      </c>
      <c r="S157" s="8">
        <v>0</v>
      </c>
      <c r="T157" s="5">
        <v>0</v>
      </c>
    </row>
    <row r="158" spans="1:20" x14ac:dyDescent="0.2">
      <c r="A158" s="5" t="s">
        <v>239</v>
      </c>
      <c r="B158" s="5" t="s">
        <v>162</v>
      </c>
      <c r="C158" s="17" t="s">
        <v>620</v>
      </c>
      <c r="D158" s="7">
        <f t="shared" si="0"/>
        <v>4.8000000000000007</v>
      </c>
      <c r="E158" s="8">
        <v>0</v>
      </c>
      <c r="F158" s="5">
        <v>0</v>
      </c>
      <c r="G158" s="5">
        <v>0</v>
      </c>
      <c r="H158" s="5">
        <v>0</v>
      </c>
      <c r="I158" s="5">
        <v>0</v>
      </c>
      <c r="J158" s="9">
        <v>0</v>
      </c>
      <c r="K158" s="8">
        <v>1</v>
      </c>
      <c r="L158" s="5">
        <v>5</v>
      </c>
      <c r="M158" s="5">
        <v>0</v>
      </c>
      <c r="N158" s="9">
        <v>0</v>
      </c>
      <c r="O158" s="8">
        <v>2</v>
      </c>
      <c r="P158" s="5">
        <v>23</v>
      </c>
      <c r="Q158" s="5">
        <v>0</v>
      </c>
      <c r="R158" s="9">
        <v>0</v>
      </c>
      <c r="S158" s="8">
        <v>0</v>
      </c>
      <c r="T158" s="5">
        <v>0</v>
      </c>
    </row>
    <row r="159" spans="1:20" x14ac:dyDescent="0.2">
      <c r="A159" s="5" t="s">
        <v>475</v>
      </c>
      <c r="B159" s="5" t="s">
        <v>162</v>
      </c>
      <c r="C159" s="10" t="s">
        <v>624</v>
      </c>
      <c r="D159" s="7">
        <f t="shared" si="0"/>
        <v>4.7</v>
      </c>
      <c r="E159" s="8">
        <v>0</v>
      </c>
      <c r="F159" s="5">
        <v>0</v>
      </c>
      <c r="G159" s="5">
        <v>0</v>
      </c>
      <c r="H159" s="5">
        <v>0</v>
      </c>
      <c r="I159" s="5">
        <v>0</v>
      </c>
      <c r="J159" s="9">
        <v>0</v>
      </c>
      <c r="K159" s="8">
        <v>0</v>
      </c>
      <c r="L159" s="5">
        <v>0</v>
      </c>
      <c r="M159" s="5">
        <v>0</v>
      </c>
      <c r="N159" s="9">
        <v>0</v>
      </c>
      <c r="O159" s="8">
        <v>1</v>
      </c>
      <c r="P159" s="5">
        <v>37</v>
      </c>
      <c r="Q159" s="5">
        <v>0</v>
      </c>
      <c r="R159" s="9">
        <v>0</v>
      </c>
      <c r="S159" s="8">
        <v>0</v>
      </c>
      <c r="T159" s="5">
        <v>0</v>
      </c>
    </row>
    <row r="160" spans="1:20" x14ac:dyDescent="0.2">
      <c r="A160" s="5" t="s">
        <v>287</v>
      </c>
      <c r="B160" s="5" t="s">
        <v>69</v>
      </c>
      <c r="C160" s="17" t="s">
        <v>626</v>
      </c>
      <c r="D160" s="7">
        <f t="shared" si="0"/>
        <v>4.7</v>
      </c>
      <c r="E160" s="8">
        <v>0</v>
      </c>
      <c r="F160" s="5">
        <v>0</v>
      </c>
      <c r="G160" s="5">
        <v>0</v>
      </c>
      <c r="H160" s="5">
        <v>0</v>
      </c>
      <c r="I160" s="5">
        <v>0</v>
      </c>
      <c r="J160" s="9">
        <v>0</v>
      </c>
      <c r="K160" s="8">
        <v>0</v>
      </c>
      <c r="L160" s="5">
        <v>0</v>
      </c>
      <c r="M160" s="5">
        <v>0</v>
      </c>
      <c r="N160" s="9">
        <v>0</v>
      </c>
      <c r="O160" s="8">
        <v>3</v>
      </c>
      <c r="P160" s="5">
        <v>17</v>
      </c>
      <c r="Q160" s="5">
        <v>0</v>
      </c>
      <c r="R160" s="9">
        <v>0</v>
      </c>
      <c r="S160" s="8">
        <v>0</v>
      </c>
      <c r="T160" s="5">
        <v>0</v>
      </c>
    </row>
    <row r="161" spans="1:20" x14ac:dyDescent="0.2">
      <c r="A161" s="5" t="s">
        <v>151</v>
      </c>
      <c r="B161" s="5" t="s">
        <v>75</v>
      </c>
      <c r="C161" s="10" t="s">
        <v>613</v>
      </c>
      <c r="D161" s="7">
        <f t="shared" si="0"/>
        <v>4.5999999999999996</v>
      </c>
      <c r="E161" s="8">
        <v>0</v>
      </c>
      <c r="F161" s="5">
        <v>0</v>
      </c>
      <c r="G161" s="5">
        <v>0</v>
      </c>
      <c r="H161" s="5">
        <v>0</v>
      </c>
      <c r="I161" s="5">
        <v>0</v>
      </c>
      <c r="J161" s="9">
        <v>0</v>
      </c>
      <c r="K161" s="8">
        <v>13</v>
      </c>
      <c r="L161" s="5">
        <v>26</v>
      </c>
      <c r="M161" s="5">
        <v>0</v>
      </c>
      <c r="N161" s="9">
        <v>0</v>
      </c>
      <c r="O161" s="8">
        <v>2</v>
      </c>
      <c r="P161" s="5">
        <v>0</v>
      </c>
      <c r="Q161" s="5">
        <v>0</v>
      </c>
      <c r="R161" s="9">
        <v>0</v>
      </c>
      <c r="S161" s="8">
        <v>0</v>
      </c>
      <c r="T161" s="5">
        <v>0</v>
      </c>
    </row>
    <row r="162" spans="1:20" x14ac:dyDescent="0.2">
      <c r="A162" s="5" t="s">
        <v>380</v>
      </c>
      <c r="B162" s="5" t="s">
        <v>75</v>
      </c>
      <c r="C162" s="10" t="s">
        <v>621</v>
      </c>
      <c r="D162" s="7">
        <f t="shared" si="0"/>
        <v>4.5</v>
      </c>
      <c r="E162" s="8">
        <v>0</v>
      </c>
      <c r="F162" s="5">
        <v>0</v>
      </c>
      <c r="G162" s="5">
        <v>0</v>
      </c>
      <c r="H162" s="5">
        <v>0</v>
      </c>
      <c r="I162" s="5">
        <v>0</v>
      </c>
      <c r="J162" s="9">
        <v>0</v>
      </c>
      <c r="K162" s="8">
        <v>2</v>
      </c>
      <c r="L162" s="5">
        <v>8</v>
      </c>
      <c r="M162" s="5">
        <v>0</v>
      </c>
      <c r="N162" s="9">
        <v>0</v>
      </c>
      <c r="O162" s="8">
        <v>2</v>
      </c>
      <c r="P162" s="5">
        <v>17</v>
      </c>
      <c r="Q162" s="5">
        <v>0</v>
      </c>
      <c r="R162" s="9">
        <v>0</v>
      </c>
      <c r="S162" s="8">
        <v>0</v>
      </c>
      <c r="T162" s="5">
        <v>0</v>
      </c>
    </row>
    <row r="163" spans="1:20" x14ac:dyDescent="0.2">
      <c r="A163" s="5" t="s">
        <v>343</v>
      </c>
      <c r="B163" s="5" t="s">
        <v>69</v>
      </c>
      <c r="C163" s="10" t="s">
        <v>626</v>
      </c>
      <c r="D163" s="7">
        <f t="shared" si="0"/>
        <v>4.4000000000000004</v>
      </c>
      <c r="E163" s="8">
        <v>0</v>
      </c>
      <c r="F163" s="5">
        <v>0</v>
      </c>
      <c r="G163" s="5">
        <v>0</v>
      </c>
      <c r="H163" s="5">
        <v>0</v>
      </c>
      <c r="I163" s="5">
        <v>0</v>
      </c>
      <c r="J163" s="9">
        <v>0</v>
      </c>
      <c r="K163" s="8">
        <v>0</v>
      </c>
      <c r="L163" s="5">
        <v>0</v>
      </c>
      <c r="M163" s="5">
        <v>0</v>
      </c>
      <c r="N163" s="9">
        <v>0</v>
      </c>
      <c r="O163" s="8">
        <v>3</v>
      </c>
      <c r="P163" s="5">
        <v>14</v>
      </c>
      <c r="Q163" s="5">
        <v>0</v>
      </c>
      <c r="R163" s="9">
        <v>0</v>
      </c>
      <c r="S163" s="8">
        <v>0</v>
      </c>
      <c r="T163" s="5">
        <v>0</v>
      </c>
    </row>
    <row r="164" spans="1:20" x14ac:dyDescent="0.2">
      <c r="A164" s="5" t="s">
        <v>391</v>
      </c>
      <c r="B164" s="5" t="s">
        <v>75</v>
      </c>
      <c r="C164" s="10" t="s">
        <v>624</v>
      </c>
      <c r="D164" s="7">
        <f t="shared" si="0"/>
        <v>4.3</v>
      </c>
      <c r="E164" s="8">
        <v>0</v>
      </c>
      <c r="F164" s="5">
        <v>0</v>
      </c>
      <c r="G164" s="5">
        <v>0</v>
      </c>
      <c r="H164" s="5">
        <v>0</v>
      </c>
      <c r="I164" s="5">
        <v>0</v>
      </c>
      <c r="J164" s="9">
        <v>0</v>
      </c>
      <c r="K164" s="8">
        <v>4</v>
      </c>
      <c r="L164" s="5">
        <v>43</v>
      </c>
      <c r="M164" s="5">
        <v>0</v>
      </c>
      <c r="N164" s="9">
        <v>0</v>
      </c>
      <c r="O164" s="8">
        <v>0</v>
      </c>
      <c r="P164" s="5">
        <v>0</v>
      </c>
      <c r="Q164" s="5">
        <v>0</v>
      </c>
      <c r="R164" s="9">
        <v>0</v>
      </c>
      <c r="S164" s="8">
        <v>0</v>
      </c>
      <c r="T164" s="5">
        <v>0</v>
      </c>
    </row>
    <row r="165" spans="1:20" x14ac:dyDescent="0.2">
      <c r="A165" s="5" t="s">
        <v>612</v>
      </c>
      <c r="B165" s="5" t="s">
        <v>17</v>
      </c>
      <c r="C165" s="17" t="s">
        <v>615</v>
      </c>
      <c r="D165" s="7">
        <f t="shared" si="0"/>
        <v>4.2200000000000006</v>
      </c>
      <c r="E165" s="8">
        <v>6</v>
      </c>
      <c r="F165" s="5">
        <v>5</v>
      </c>
      <c r="G165" s="5">
        <v>78</v>
      </c>
      <c r="H165" s="5">
        <v>0</v>
      </c>
      <c r="I165" s="5">
        <v>0</v>
      </c>
      <c r="J165" s="9">
        <v>0</v>
      </c>
      <c r="K165" s="8">
        <v>2</v>
      </c>
      <c r="L165" s="5">
        <v>11</v>
      </c>
      <c r="M165" s="5">
        <v>0</v>
      </c>
      <c r="N165" s="9">
        <v>0</v>
      </c>
      <c r="O165" s="8">
        <v>0</v>
      </c>
      <c r="P165" s="5">
        <v>0</v>
      </c>
      <c r="Q165" s="5">
        <v>0</v>
      </c>
      <c r="R165" s="9">
        <v>0</v>
      </c>
      <c r="S165" s="8">
        <v>0</v>
      </c>
      <c r="T165" s="5">
        <v>0</v>
      </c>
    </row>
    <row r="166" spans="1:20" x14ac:dyDescent="0.2">
      <c r="A166" s="5" t="s">
        <v>226</v>
      </c>
      <c r="B166" s="5" t="s">
        <v>162</v>
      </c>
      <c r="C166" s="10" t="s">
        <v>626</v>
      </c>
      <c r="D166" s="7">
        <f t="shared" si="0"/>
        <v>4.2</v>
      </c>
      <c r="E166" s="8">
        <v>0</v>
      </c>
      <c r="F166" s="5">
        <v>0</v>
      </c>
      <c r="G166" s="5">
        <v>0</v>
      </c>
      <c r="H166" s="5">
        <v>0</v>
      </c>
      <c r="I166" s="5">
        <v>0</v>
      </c>
      <c r="J166" s="9">
        <v>0</v>
      </c>
      <c r="K166" s="8">
        <v>0</v>
      </c>
      <c r="L166" s="5">
        <v>0</v>
      </c>
      <c r="M166" s="5">
        <v>0</v>
      </c>
      <c r="N166" s="9">
        <v>0</v>
      </c>
      <c r="O166" s="8">
        <v>2</v>
      </c>
      <c r="P166" s="5">
        <v>22</v>
      </c>
      <c r="Q166" s="5">
        <v>0</v>
      </c>
      <c r="R166" s="9">
        <v>0</v>
      </c>
      <c r="S166" s="8">
        <v>0</v>
      </c>
      <c r="T166" s="5">
        <v>0</v>
      </c>
    </row>
    <row r="167" spans="1:20" x14ac:dyDescent="0.2">
      <c r="A167" s="5" t="s">
        <v>551</v>
      </c>
      <c r="B167" s="5" t="s">
        <v>75</v>
      </c>
      <c r="C167" s="17" t="s">
        <v>618</v>
      </c>
      <c r="D167" s="7">
        <f t="shared" si="0"/>
        <v>4.1000000000000005</v>
      </c>
      <c r="E167" s="8">
        <v>0</v>
      </c>
      <c r="F167" s="5">
        <v>0</v>
      </c>
      <c r="G167" s="5">
        <v>0</v>
      </c>
      <c r="H167" s="5">
        <v>0</v>
      </c>
      <c r="I167" s="5">
        <v>0</v>
      </c>
      <c r="J167" s="9">
        <v>0</v>
      </c>
      <c r="K167" s="8">
        <v>1</v>
      </c>
      <c r="L167" s="5">
        <v>2</v>
      </c>
      <c r="M167" s="5">
        <v>0</v>
      </c>
      <c r="N167" s="9">
        <v>0</v>
      </c>
      <c r="O167" s="8">
        <v>2</v>
      </c>
      <c r="P167" s="5">
        <v>19</v>
      </c>
      <c r="Q167" s="5">
        <v>0</v>
      </c>
      <c r="R167" s="9">
        <v>0</v>
      </c>
      <c r="S167" s="8">
        <v>0</v>
      </c>
      <c r="T167" s="5">
        <v>0</v>
      </c>
    </row>
    <row r="168" spans="1:20" x14ac:dyDescent="0.2">
      <c r="A168" s="5" t="s">
        <v>430</v>
      </c>
      <c r="B168" s="5" t="s">
        <v>75</v>
      </c>
      <c r="C168" s="10" t="s">
        <v>618</v>
      </c>
      <c r="D168" s="7">
        <f t="shared" si="0"/>
        <v>4.0999999999999996</v>
      </c>
      <c r="E168" s="8">
        <v>0</v>
      </c>
      <c r="F168" s="5">
        <v>0</v>
      </c>
      <c r="G168" s="5">
        <v>0</v>
      </c>
      <c r="H168" s="5">
        <v>0</v>
      </c>
      <c r="I168" s="5">
        <v>0</v>
      </c>
      <c r="J168" s="9">
        <v>0</v>
      </c>
      <c r="K168" s="8">
        <v>1</v>
      </c>
      <c r="L168" s="5">
        <v>0</v>
      </c>
      <c r="M168" s="5">
        <v>0</v>
      </c>
      <c r="N168" s="9">
        <v>0</v>
      </c>
      <c r="O168" s="8">
        <v>1</v>
      </c>
      <c r="P168" s="5">
        <v>31</v>
      </c>
      <c r="Q168" s="5">
        <v>0</v>
      </c>
      <c r="R168" s="9">
        <v>0</v>
      </c>
      <c r="S168" s="8">
        <v>0</v>
      </c>
      <c r="T168" s="5">
        <v>0</v>
      </c>
    </row>
    <row r="169" spans="1:20" x14ac:dyDescent="0.2">
      <c r="A169" s="5" t="s">
        <v>91</v>
      </c>
      <c r="B169" s="5" t="s">
        <v>75</v>
      </c>
      <c r="C169" s="10" t="s">
        <v>623</v>
      </c>
      <c r="D169" s="7">
        <f t="shared" si="0"/>
        <v>4</v>
      </c>
      <c r="E169" s="8">
        <v>0</v>
      </c>
      <c r="F169" s="5">
        <v>0</v>
      </c>
      <c r="G169" s="5">
        <v>0</v>
      </c>
      <c r="H169" s="5">
        <v>0</v>
      </c>
      <c r="I169" s="5">
        <v>0</v>
      </c>
      <c r="J169" s="9">
        <v>0</v>
      </c>
      <c r="K169" s="8">
        <v>13</v>
      </c>
      <c r="L169" s="5">
        <v>40</v>
      </c>
      <c r="M169" s="5">
        <v>0</v>
      </c>
      <c r="N169" s="9">
        <v>0</v>
      </c>
      <c r="O169" s="8">
        <v>0</v>
      </c>
      <c r="P169" s="5">
        <v>0</v>
      </c>
      <c r="Q169" s="5">
        <v>0</v>
      </c>
      <c r="R169" s="9">
        <v>0</v>
      </c>
      <c r="S169" s="8">
        <v>0</v>
      </c>
      <c r="T169" s="5">
        <v>0</v>
      </c>
    </row>
    <row r="170" spans="1:20" x14ac:dyDescent="0.2">
      <c r="A170" s="5" t="s">
        <v>378</v>
      </c>
      <c r="B170" s="5" t="s">
        <v>162</v>
      </c>
      <c r="C170" s="10" t="s">
        <v>626</v>
      </c>
      <c r="D170" s="7">
        <f t="shared" si="0"/>
        <v>4</v>
      </c>
      <c r="E170" s="8">
        <v>0</v>
      </c>
      <c r="F170" s="5">
        <v>0</v>
      </c>
      <c r="G170" s="5">
        <v>0</v>
      </c>
      <c r="H170" s="5">
        <v>0</v>
      </c>
      <c r="I170" s="5">
        <v>0</v>
      </c>
      <c r="J170" s="9">
        <v>0</v>
      </c>
      <c r="K170" s="8">
        <v>0</v>
      </c>
      <c r="L170" s="5">
        <v>0</v>
      </c>
      <c r="M170" s="5">
        <v>0</v>
      </c>
      <c r="N170" s="9">
        <v>0</v>
      </c>
      <c r="O170" s="8">
        <v>3</v>
      </c>
      <c r="P170" s="5">
        <v>10</v>
      </c>
      <c r="Q170" s="5">
        <v>0</v>
      </c>
      <c r="R170" s="9">
        <v>0</v>
      </c>
      <c r="S170" s="8">
        <v>0</v>
      </c>
      <c r="T170" s="5">
        <v>0</v>
      </c>
    </row>
    <row r="171" spans="1:20" x14ac:dyDescent="0.2">
      <c r="A171" s="5" t="s">
        <v>357</v>
      </c>
      <c r="B171" s="5" t="s">
        <v>162</v>
      </c>
      <c r="C171" s="17" t="s">
        <v>620</v>
      </c>
      <c r="D171" s="7">
        <f t="shared" si="0"/>
        <v>3.9000000000000004</v>
      </c>
      <c r="E171" s="8">
        <v>0</v>
      </c>
      <c r="F171" s="5">
        <v>0</v>
      </c>
      <c r="G171" s="5">
        <v>0</v>
      </c>
      <c r="H171" s="5">
        <v>0</v>
      </c>
      <c r="I171" s="5">
        <v>0</v>
      </c>
      <c r="J171" s="9">
        <v>0</v>
      </c>
      <c r="K171" s="8">
        <v>0</v>
      </c>
      <c r="L171" s="5">
        <v>0</v>
      </c>
      <c r="M171" s="5">
        <v>0</v>
      </c>
      <c r="N171" s="9">
        <v>0</v>
      </c>
      <c r="O171" s="8">
        <v>1</v>
      </c>
      <c r="P171" s="5">
        <v>29</v>
      </c>
      <c r="Q171" s="5">
        <v>0</v>
      </c>
      <c r="R171" s="9">
        <v>0</v>
      </c>
      <c r="S171" s="8">
        <v>0</v>
      </c>
      <c r="T171" s="5">
        <v>0</v>
      </c>
    </row>
    <row r="172" spans="1:20" x14ac:dyDescent="0.2">
      <c r="A172" s="5" t="s">
        <v>251</v>
      </c>
      <c r="B172" s="5" t="s">
        <v>162</v>
      </c>
      <c r="C172" s="17" t="s">
        <v>614</v>
      </c>
      <c r="D172" s="7">
        <f t="shared" si="0"/>
        <v>3.9000000000000004</v>
      </c>
      <c r="E172" s="8">
        <v>0</v>
      </c>
      <c r="F172" s="5">
        <v>0</v>
      </c>
      <c r="G172" s="5">
        <v>0</v>
      </c>
      <c r="H172" s="5">
        <v>0</v>
      </c>
      <c r="I172" s="5">
        <v>0</v>
      </c>
      <c r="J172" s="9">
        <v>0</v>
      </c>
      <c r="K172" s="8">
        <v>0</v>
      </c>
      <c r="L172" s="5">
        <v>0</v>
      </c>
      <c r="M172" s="5">
        <v>0</v>
      </c>
      <c r="N172" s="9">
        <v>0</v>
      </c>
      <c r="O172" s="8">
        <v>2</v>
      </c>
      <c r="P172" s="5">
        <v>19</v>
      </c>
      <c r="Q172" s="5">
        <v>0</v>
      </c>
      <c r="R172" s="9">
        <v>0</v>
      </c>
      <c r="S172" s="8">
        <v>0</v>
      </c>
      <c r="T172" s="5">
        <v>0</v>
      </c>
    </row>
    <row r="173" spans="1:20" x14ac:dyDescent="0.2">
      <c r="A173" s="5" t="s">
        <v>346</v>
      </c>
      <c r="B173" s="5" t="s">
        <v>162</v>
      </c>
      <c r="C173" s="17" t="s">
        <v>621</v>
      </c>
      <c r="D173" s="7">
        <f t="shared" si="0"/>
        <v>3.9000000000000004</v>
      </c>
      <c r="E173" s="8">
        <v>0</v>
      </c>
      <c r="F173" s="5">
        <v>0</v>
      </c>
      <c r="G173" s="5">
        <v>0</v>
      </c>
      <c r="H173" s="5">
        <v>0</v>
      </c>
      <c r="I173" s="5">
        <v>0</v>
      </c>
      <c r="J173" s="9">
        <v>0</v>
      </c>
      <c r="K173" s="8">
        <v>0</v>
      </c>
      <c r="L173" s="5">
        <v>0</v>
      </c>
      <c r="M173" s="5">
        <v>0</v>
      </c>
      <c r="N173" s="9">
        <v>0</v>
      </c>
      <c r="O173" s="8">
        <v>2</v>
      </c>
      <c r="P173" s="5">
        <v>19</v>
      </c>
      <c r="Q173" s="5">
        <v>0</v>
      </c>
      <c r="R173" s="9">
        <v>0</v>
      </c>
      <c r="S173" s="8">
        <v>0</v>
      </c>
      <c r="T173" s="5">
        <v>0</v>
      </c>
    </row>
    <row r="174" spans="1:20" x14ac:dyDescent="0.2">
      <c r="A174" s="5" t="s">
        <v>223</v>
      </c>
      <c r="B174" s="5" t="s">
        <v>162</v>
      </c>
      <c r="C174" s="10" t="s">
        <v>622</v>
      </c>
      <c r="D174" s="7">
        <f t="shared" si="0"/>
        <v>3.8</v>
      </c>
      <c r="E174" s="8">
        <v>0</v>
      </c>
      <c r="F174" s="5">
        <v>0</v>
      </c>
      <c r="G174" s="5">
        <v>0</v>
      </c>
      <c r="H174" s="5">
        <v>0</v>
      </c>
      <c r="I174" s="5">
        <v>0</v>
      </c>
      <c r="J174" s="9">
        <v>0</v>
      </c>
      <c r="K174" s="8">
        <v>0</v>
      </c>
      <c r="L174" s="5">
        <v>0</v>
      </c>
      <c r="M174" s="5">
        <v>0</v>
      </c>
      <c r="N174" s="9">
        <v>0</v>
      </c>
      <c r="O174" s="8">
        <v>2</v>
      </c>
      <c r="P174" s="5">
        <v>18</v>
      </c>
      <c r="Q174" s="5">
        <v>0</v>
      </c>
      <c r="R174" s="9">
        <v>0</v>
      </c>
      <c r="S174" s="8">
        <v>0</v>
      </c>
      <c r="T174" s="5">
        <v>0</v>
      </c>
    </row>
    <row r="175" spans="1:20" x14ac:dyDescent="0.2">
      <c r="A175" s="5" t="s">
        <v>297</v>
      </c>
      <c r="B175" s="5" t="s">
        <v>69</v>
      </c>
      <c r="C175" s="17" t="s">
        <v>622</v>
      </c>
      <c r="D175" s="7">
        <f t="shared" si="0"/>
        <v>3.8</v>
      </c>
      <c r="E175" s="8">
        <v>0</v>
      </c>
      <c r="F175" s="5">
        <v>0</v>
      </c>
      <c r="G175" s="5">
        <v>0</v>
      </c>
      <c r="H175" s="5">
        <v>0</v>
      </c>
      <c r="I175" s="5">
        <v>0</v>
      </c>
      <c r="J175" s="9">
        <v>0</v>
      </c>
      <c r="K175" s="8">
        <v>0</v>
      </c>
      <c r="L175" s="5">
        <v>0</v>
      </c>
      <c r="M175" s="5">
        <v>0</v>
      </c>
      <c r="N175" s="9">
        <v>0</v>
      </c>
      <c r="O175" s="8">
        <v>2</v>
      </c>
      <c r="P175" s="5">
        <v>18</v>
      </c>
      <c r="Q175" s="5">
        <v>0</v>
      </c>
      <c r="R175" s="9">
        <v>0</v>
      </c>
      <c r="S175" s="8">
        <v>0</v>
      </c>
      <c r="T175" s="5">
        <v>0</v>
      </c>
    </row>
    <row r="176" spans="1:20" x14ac:dyDescent="0.2">
      <c r="A176" s="5" t="s">
        <v>224</v>
      </c>
      <c r="B176" s="5" t="s">
        <v>162</v>
      </c>
      <c r="C176" s="17" t="s">
        <v>615</v>
      </c>
      <c r="D176" s="7">
        <f t="shared" si="0"/>
        <v>3.7</v>
      </c>
      <c r="E176" s="8">
        <v>0</v>
      </c>
      <c r="F176" s="5">
        <v>0</v>
      </c>
      <c r="G176" s="5">
        <v>0</v>
      </c>
      <c r="H176" s="5">
        <v>0</v>
      </c>
      <c r="I176" s="5">
        <v>0</v>
      </c>
      <c r="J176" s="9">
        <v>0</v>
      </c>
      <c r="K176" s="8">
        <v>0</v>
      </c>
      <c r="L176" s="5">
        <v>0</v>
      </c>
      <c r="M176" s="5">
        <v>0</v>
      </c>
      <c r="N176" s="9">
        <v>0</v>
      </c>
      <c r="O176" s="8">
        <v>2</v>
      </c>
      <c r="P176" s="5">
        <v>17</v>
      </c>
      <c r="Q176" s="5">
        <v>0</v>
      </c>
      <c r="R176" s="9">
        <v>0</v>
      </c>
      <c r="S176" s="8">
        <v>0</v>
      </c>
      <c r="T176" s="5">
        <v>0</v>
      </c>
    </row>
    <row r="177" spans="1:20" x14ac:dyDescent="0.2">
      <c r="A177" s="5" t="s">
        <v>253</v>
      </c>
      <c r="B177" s="5" t="s">
        <v>162</v>
      </c>
      <c r="C177" s="17" t="s">
        <v>622</v>
      </c>
      <c r="D177" s="7">
        <f t="shared" si="0"/>
        <v>3.6000000000000005</v>
      </c>
      <c r="E177" s="8">
        <v>0</v>
      </c>
      <c r="F177" s="5">
        <v>0</v>
      </c>
      <c r="G177" s="5">
        <v>0</v>
      </c>
      <c r="H177" s="5">
        <v>0</v>
      </c>
      <c r="I177" s="5">
        <v>0</v>
      </c>
      <c r="J177" s="9">
        <v>0</v>
      </c>
      <c r="K177" s="8">
        <v>1</v>
      </c>
      <c r="L177" s="5">
        <v>2</v>
      </c>
      <c r="M177" s="5">
        <v>0</v>
      </c>
      <c r="N177" s="9">
        <v>0</v>
      </c>
      <c r="O177" s="8">
        <v>2</v>
      </c>
      <c r="P177" s="5">
        <v>14</v>
      </c>
      <c r="Q177" s="5">
        <v>0</v>
      </c>
      <c r="R177" s="9">
        <v>0</v>
      </c>
      <c r="S177" s="8">
        <v>0</v>
      </c>
      <c r="T177" s="5">
        <v>0</v>
      </c>
    </row>
    <row r="178" spans="1:20" x14ac:dyDescent="0.2">
      <c r="A178" s="5" t="s">
        <v>198</v>
      </c>
      <c r="B178" s="5" t="s">
        <v>162</v>
      </c>
      <c r="C178" s="17" t="s">
        <v>613</v>
      </c>
      <c r="D178" s="7">
        <f t="shared" si="0"/>
        <v>3.6</v>
      </c>
      <c r="E178" s="8">
        <v>0</v>
      </c>
      <c r="F178" s="5">
        <v>0</v>
      </c>
      <c r="G178" s="5">
        <v>0</v>
      </c>
      <c r="H178" s="5">
        <v>0</v>
      </c>
      <c r="I178" s="5">
        <v>0</v>
      </c>
      <c r="J178" s="9">
        <v>0</v>
      </c>
      <c r="K178" s="8">
        <v>0</v>
      </c>
      <c r="L178" s="5">
        <v>0</v>
      </c>
      <c r="M178" s="5">
        <v>0</v>
      </c>
      <c r="N178" s="9">
        <v>0</v>
      </c>
      <c r="O178" s="8">
        <v>2</v>
      </c>
      <c r="P178" s="5">
        <v>16</v>
      </c>
      <c r="Q178" s="5">
        <v>0</v>
      </c>
      <c r="R178" s="9">
        <v>0</v>
      </c>
      <c r="S178" s="8">
        <v>0</v>
      </c>
      <c r="T178" s="5">
        <v>0</v>
      </c>
    </row>
    <row r="179" spans="1:20" x14ac:dyDescent="0.2">
      <c r="A179" s="5" t="s">
        <v>305</v>
      </c>
      <c r="B179" s="5" t="s">
        <v>69</v>
      </c>
      <c r="C179" s="10" t="s">
        <v>620</v>
      </c>
      <c r="D179" s="7">
        <f t="shared" si="0"/>
        <v>3.6</v>
      </c>
      <c r="E179" s="8">
        <v>0</v>
      </c>
      <c r="F179" s="5">
        <v>0</v>
      </c>
      <c r="G179" s="5">
        <v>0</v>
      </c>
      <c r="H179" s="5">
        <v>0</v>
      </c>
      <c r="I179" s="5">
        <v>0</v>
      </c>
      <c r="J179" s="9">
        <v>0</v>
      </c>
      <c r="K179" s="8">
        <v>0</v>
      </c>
      <c r="L179" s="5">
        <v>0</v>
      </c>
      <c r="M179" s="5">
        <v>0</v>
      </c>
      <c r="N179" s="9">
        <v>0</v>
      </c>
      <c r="O179" s="8">
        <v>2</v>
      </c>
      <c r="P179" s="5">
        <v>16</v>
      </c>
      <c r="Q179" s="5">
        <v>0</v>
      </c>
      <c r="R179" s="9">
        <v>0</v>
      </c>
      <c r="S179" s="8">
        <v>0</v>
      </c>
      <c r="T179" s="5">
        <v>0</v>
      </c>
    </row>
    <row r="180" spans="1:20" x14ac:dyDescent="0.2">
      <c r="A180" s="5" t="s">
        <v>256</v>
      </c>
      <c r="B180" s="5" t="s">
        <v>162</v>
      </c>
      <c r="C180" s="17" t="s">
        <v>621</v>
      </c>
      <c r="D180" s="7">
        <f t="shared" si="0"/>
        <v>3.5</v>
      </c>
      <c r="E180" s="8">
        <v>0</v>
      </c>
      <c r="F180" s="5">
        <v>0</v>
      </c>
      <c r="G180" s="5">
        <v>0</v>
      </c>
      <c r="H180" s="5">
        <v>0</v>
      </c>
      <c r="I180" s="5">
        <v>0</v>
      </c>
      <c r="J180" s="9">
        <v>0</v>
      </c>
      <c r="K180" s="8">
        <v>0</v>
      </c>
      <c r="L180" s="5">
        <v>0</v>
      </c>
      <c r="M180" s="5">
        <v>0</v>
      </c>
      <c r="N180" s="9">
        <v>0</v>
      </c>
      <c r="O180" s="8">
        <v>2</v>
      </c>
      <c r="P180" s="5">
        <v>15</v>
      </c>
      <c r="Q180" s="5">
        <v>0</v>
      </c>
      <c r="R180" s="9">
        <v>0</v>
      </c>
      <c r="S180" s="8">
        <v>0</v>
      </c>
      <c r="T180" s="5">
        <v>0</v>
      </c>
    </row>
    <row r="181" spans="1:20" x14ac:dyDescent="0.2">
      <c r="A181" s="5" t="s">
        <v>227</v>
      </c>
      <c r="B181" s="5" t="s">
        <v>162</v>
      </c>
      <c r="C181" s="10" t="s">
        <v>626</v>
      </c>
      <c r="D181" s="7">
        <f t="shared" si="0"/>
        <v>3.5</v>
      </c>
      <c r="E181" s="8">
        <v>0</v>
      </c>
      <c r="F181" s="5">
        <v>0</v>
      </c>
      <c r="G181" s="5">
        <v>0</v>
      </c>
      <c r="H181" s="5">
        <v>0</v>
      </c>
      <c r="I181" s="5">
        <v>0</v>
      </c>
      <c r="J181" s="9">
        <v>0</v>
      </c>
      <c r="K181" s="8">
        <v>0</v>
      </c>
      <c r="L181" s="5">
        <v>0</v>
      </c>
      <c r="M181" s="5">
        <v>0</v>
      </c>
      <c r="N181" s="9">
        <v>0</v>
      </c>
      <c r="O181" s="8">
        <v>2</v>
      </c>
      <c r="P181" s="5">
        <v>15</v>
      </c>
      <c r="Q181" s="5">
        <v>0</v>
      </c>
      <c r="R181" s="9">
        <v>0</v>
      </c>
      <c r="S181" s="8">
        <v>0</v>
      </c>
      <c r="T181" s="5">
        <v>0</v>
      </c>
    </row>
    <row r="182" spans="1:20" x14ac:dyDescent="0.2">
      <c r="A182" s="5" t="s">
        <v>208</v>
      </c>
      <c r="B182" s="5" t="s">
        <v>162</v>
      </c>
      <c r="C182" s="10" t="s">
        <v>616</v>
      </c>
      <c r="D182" s="7">
        <f t="shared" si="0"/>
        <v>3.4000000000000004</v>
      </c>
      <c r="E182" s="8">
        <v>0</v>
      </c>
      <c r="F182" s="5">
        <v>0</v>
      </c>
      <c r="G182" s="5">
        <v>0</v>
      </c>
      <c r="H182" s="5">
        <v>0</v>
      </c>
      <c r="I182" s="5">
        <v>0</v>
      </c>
      <c r="J182" s="9">
        <v>0</v>
      </c>
      <c r="K182" s="8">
        <v>0</v>
      </c>
      <c r="L182" s="5">
        <v>0</v>
      </c>
      <c r="M182" s="5">
        <v>0</v>
      </c>
      <c r="N182" s="9">
        <v>0</v>
      </c>
      <c r="O182" s="8">
        <v>2</v>
      </c>
      <c r="P182" s="5">
        <v>14</v>
      </c>
      <c r="Q182" s="5">
        <v>0</v>
      </c>
      <c r="R182" s="9">
        <v>0</v>
      </c>
      <c r="S182" s="8">
        <v>0</v>
      </c>
      <c r="T182" s="5">
        <v>0</v>
      </c>
    </row>
    <row r="183" spans="1:20" x14ac:dyDescent="0.2">
      <c r="A183" s="5" t="s">
        <v>205</v>
      </c>
      <c r="B183" s="5" t="s">
        <v>162</v>
      </c>
      <c r="C183" s="17" t="s">
        <v>620</v>
      </c>
      <c r="D183" s="7">
        <f t="shared" si="0"/>
        <v>3.3000000000000003</v>
      </c>
      <c r="E183" s="8">
        <v>0</v>
      </c>
      <c r="F183" s="5">
        <v>0</v>
      </c>
      <c r="G183" s="5">
        <v>0</v>
      </c>
      <c r="H183" s="5">
        <v>0</v>
      </c>
      <c r="I183" s="5">
        <v>0</v>
      </c>
      <c r="J183" s="9">
        <v>0</v>
      </c>
      <c r="K183" s="8">
        <v>0</v>
      </c>
      <c r="L183" s="5">
        <v>0</v>
      </c>
      <c r="M183" s="5">
        <v>0</v>
      </c>
      <c r="N183" s="9">
        <v>0</v>
      </c>
      <c r="O183" s="8">
        <v>1</v>
      </c>
      <c r="P183" s="5">
        <v>23</v>
      </c>
      <c r="Q183" s="5">
        <v>0</v>
      </c>
      <c r="R183" s="9">
        <v>0</v>
      </c>
      <c r="S183" s="8">
        <v>0</v>
      </c>
      <c r="T183" s="5">
        <v>0</v>
      </c>
    </row>
    <row r="184" spans="1:20" x14ac:dyDescent="0.2">
      <c r="A184" s="5" t="s">
        <v>363</v>
      </c>
      <c r="B184" s="5" t="s">
        <v>69</v>
      </c>
      <c r="C184" s="10" t="s">
        <v>618</v>
      </c>
      <c r="D184" s="7">
        <f t="shared" si="0"/>
        <v>3.3000000000000003</v>
      </c>
      <c r="E184" s="8">
        <v>0</v>
      </c>
      <c r="F184" s="5">
        <v>0</v>
      </c>
      <c r="G184" s="5">
        <v>0</v>
      </c>
      <c r="H184" s="5">
        <v>0</v>
      </c>
      <c r="I184" s="5">
        <v>0</v>
      </c>
      <c r="J184" s="9">
        <v>0</v>
      </c>
      <c r="K184" s="8">
        <v>0</v>
      </c>
      <c r="L184" s="5">
        <v>0</v>
      </c>
      <c r="M184" s="5">
        <v>0</v>
      </c>
      <c r="N184" s="9">
        <v>0</v>
      </c>
      <c r="O184" s="8">
        <v>1</v>
      </c>
      <c r="P184" s="5">
        <v>23</v>
      </c>
      <c r="Q184" s="5">
        <v>0</v>
      </c>
      <c r="R184" s="9">
        <v>0</v>
      </c>
      <c r="S184" s="8">
        <v>0</v>
      </c>
      <c r="T184" s="5">
        <v>0</v>
      </c>
    </row>
    <row r="185" spans="1:20" x14ac:dyDescent="0.2">
      <c r="A185" s="5" t="s">
        <v>575</v>
      </c>
      <c r="B185" s="5" t="s">
        <v>75</v>
      </c>
      <c r="C185" s="17" t="s">
        <v>624</v>
      </c>
      <c r="D185" s="7">
        <f t="shared" si="0"/>
        <v>3.2</v>
      </c>
      <c r="E185" s="8">
        <v>0</v>
      </c>
      <c r="F185" s="5">
        <v>0</v>
      </c>
      <c r="G185" s="5">
        <v>0</v>
      </c>
      <c r="H185" s="5">
        <v>0</v>
      </c>
      <c r="I185" s="5">
        <v>0</v>
      </c>
      <c r="J185" s="9">
        <v>0</v>
      </c>
      <c r="K185" s="8">
        <v>12</v>
      </c>
      <c r="L185" s="5">
        <v>32</v>
      </c>
      <c r="M185" s="5">
        <v>0</v>
      </c>
      <c r="N185" s="9">
        <v>0</v>
      </c>
      <c r="O185" s="8">
        <v>0</v>
      </c>
      <c r="P185" s="5">
        <v>0</v>
      </c>
      <c r="Q185" s="5">
        <v>0</v>
      </c>
      <c r="R185" s="9">
        <v>0</v>
      </c>
      <c r="S185" s="8">
        <v>0</v>
      </c>
      <c r="T185" s="5">
        <v>0</v>
      </c>
    </row>
    <row r="186" spans="1:20" x14ac:dyDescent="0.2">
      <c r="A186" s="5" t="s">
        <v>141</v>
      </c>
      <c r="B186" s="5" t="s">
        <v>75</v>
      </c>
      <c r="C186" s="17" t="s">
        <v>626</v>
      </c>
      <c r="D186" s="7">
        <f t="shared" si="0"/>
        <v>3.2</v>
      </c>
      <c r="E186" s="8">
        <v>0</v>
      </c>
      <c r="F186" s="5">
        <v>0</v>
      </c>
      <c r="G186" s="5">
        <v>0</v>
      </c>
      <c r="H186" s="5">
        <v>0</v>
      </c>
      <c r="I186" s="5">
        <v>0</v>
      </c>
      <c r="J186" s="9">
        <v>0</v>
      </c>
      <c r="K186" s="8">
        <v>3</v>
      </c>
      <c r="L186" s="5">
        <v>4</v>
      </c>
      <c r="M186" s="5">
        <v>0</v>
      </c>
      <c r="N186" s="9">
        <v>0</v>
      </c>
      <c r="O186" s="8">
        <v>2</v>
      </c>
      <c r="P186" s="5">
        <v>8</v>
      </c>
      <c r="Q186" s="5">
        <v>0</v>
      </c>
      <c r="R186" s="9">
        <v>0</v>
      </c>
      <c r="S186" s="8">
        <v>0</v>
      </c>
      <c r="T186" s="5">
        <v>0</v>
      </c>
    </row>
    <row r="187" spans="1:20" x14ac:dyDescent="0.2">
      <c r="A187" s="5" t="s">
        <v>115</v>
      </c>
      <c r="B187" s="5" t="s">
        <v>75</v>
      </c>
      <c r="C187" s="10" t="s">
        <v>618</v>
      </c>
      <c r="D187" s="7">
        <f t="shared" si="0"/>
        <v>3.2</v>
      </c>
      <c r="E187" s="8">
        <v>0</v>
      </c>
      <c r="F187" s="5">
        <v>0</v>
      </c>
      <c r="G187" s="5">
        <v>0</v>
      </c>
      <c r="H187" s="5">
        <v>0</v>
      </c>
      <c r="I187" s="5">
        <v>0</v>
      </c>
      <c r="J187" s="9">
        <v>0</v>
      </c>
      <c r="K187" s="8">
        <v>3</v>
      </c>
      <c r="L187" s="5">
        <v>6</v>
      </c>
      <c r="M187" s="5">
        <v>0</v>
      </c>
      <c r="N187" s="9">
        <v>0</v>
      </c>
      <c r="O187" s="8">
        <v>2</v>
      </c>
      <c r="P187" s="5">
        <v>6</v>
      </c>
      <c r="Q187" s="5">
        <v>0</v>
      </c>
      <c r="R187" s="9">
        <v>0</v>
      </c>
      <c r="S187" s="8">
        <v>0</v>
      </c>
      <c r="T187" s="5">
        <v>0</v>
      </c>
    </row>
    <row r="188" spans="1:20" x14ac:dyDescent="0.2">
      <c r="A188" s="5" t="s">
        <v>579</v>
      </c>
      <c r="B188" s="5" t="s">
        <v>162</v>
      </c>
      <c r="C188" s="17" t="s">
        <v>615</v>
      </c>
      <c r="D188" s="7">
        <f t="shared" si="0"/>
        <v>3.2</v>
      </c>
      <c r="E188" s="8">
        <v>0</v>
      </c>
      <c r="F188" s="5">
        <v>0</v>
      </c>
      <c r="G188" s="5">
        <v>0</v>
      </c>
      <c r="H188" s="5">
        <v>0</v>
      </c>
      <c r="I188" s="5">
        <v>0</v>
      </c>
      <c r="J188" s="9">
        <v>0</v>
      </c>
      <c r="K188" s="8">
        <v>0</v>
      </c>
      <c r="L188" s="5">
        <v>0</v>
      </c>
      <c r="M188" s="5">
        <v>0</v>
      </c>
      <c r="N188" s="9">
        <v>0</v>
      </c>
      <c r="O188" s="8">
        <v>1</v>
      </c>
      <c r="P188" s="5">
        <v>2</v>
      </c>
      <c r="Q188" s="5">
        <v>0</v>
      </c>
      <c r="R188" s="9">
        <v>1</v>
      </c>
      <c r="S188" s="8">
        <v>0</v>
      </c>
      <c r="T188" s="5">
        <v>0</v>
      </c>
    </row>
    <row r="189" spans="1:20" x14ac:dyDescent="0.2">
      <c r="A189" s="5" t="s">
        <v>440</v>
      </c>
      <c r="B189" s="5" t="s">
        <v>69</v>
      </c>
      <c r="C189" s="10" t="s">
        <v>625</v>
      </c>
      <c r="D189" s="7">
        <f t="shared" si="0"/>
        <v>3.2</v>
      </c>
      <c r="E189" s="8">
        <v>0</v>
      </c>
      <c r="F189" s="5">
        <v>0</v>
      </c>
      <c r="G189" s="5">
        <v>0</v>
      </c>
      <c r="H189" s="5">
        <v>0</v>
      </c>
      <c r="I189" s="5">
        <v>0</v>
      </c>
      <c r="J189" s="9">
        <v>0</v>
      </c>
      <c r="K189" s="8">
        <v>0</v>
      </c>
      <c r="L189" s="5">
        <v>0</v>
      </c>
      <c r="M189" s="5">
        <v>0</v>
      </c>
      <c r="N189" s="9">
        <v>0</v>
      </c>
      <c r="O189" s="8">
        <v>2</v>
      </c>
      <c r="P189" s="5">
        <v>12</v>
      </c>
      <c r="Q189" s="5">
        <v>0</v>
      </c>
      <c r="R189" s="9">
        <v>0</v>
      </c>
      <c r="S189" s="8">
        <v>0</v>
      </c>
      <c r="T189" s="5">
        <v>0</v>
      </c>
    </row>
    <row r="190" spans="1:20" x14ac:dyDescent="0.2">
      <c r="A190" s="5" t="s">
        <v>86</v>
      </c>
      <c r="B190" s="5" t="s">
        <v>75</v>
      </c>
      <c r="C190" s="17" t="s">
        <v>622</v>
      </c>
      <c r="D190" s="7">
        <f t="shared" si="0"/>
        <v>3.1999999999999997</v>
      </c>
      <c r="E190" s="8">
        <v>0</v>
      </c>
      <c r="F190" s="5">
        <v>0</v>
      </c>
      <c r="G190" s="5">
        <v>0</v>
      </c>
      <c r="H190" s="5">
        <v>0</v>
      </c>
      <c r="I190" s="5">
        <v>0</v>
      </c>
      <c r="J190" s="9">
        <v>0</v>
      </c>
      <c r="K190" s="8">
        <v>3</v>
      </c>
      <c r="L190" s="5">
        <v>18</v>
      </c>
      <c r="M190" s="5">
        <v>0</v>
      </c>
      <c r="N190" s="9">
        <v>0</v>
      </c>
      <c r="O190" s="8">
        <v>1</v>
      </c>
      <c r="P190" s="5">
        <v>4</v>
      </c>
      <c r="Q190" s="5">
        <v>0</v>
      </c>
      <c r="R190" s="9">
        <v>0</v>
      </c>
      <c r="S190" s="8">
        <v>0</v>
      </c>
      <c r="T190" s="5">
        <v>0</v>
      </c>
    </row>
    <row r="191" spans="1:20" x14ac:dyDescent="0.2">
      <c r="A191" s="5" t="s">
        <v>607</v>
      </c>
      <c r="B191" s="5" t="s">
        <v>17</v>
      </c>
      <c r="C191" s="17" t="s">
        <v>624</v>
      </c>
      <c r="D191" s="7">
        <f t="shared" si="0"/>
        <v>3.1000000000000005</v>
      </c>
      <c r="E191" s="8">
        <v>28</v>
      </c>
      <c r="F191" s="5">
        <v>13</v>
      </c>
      <c r="G191" s="5">
        <v>130</v>
      </c>
      <c r="H191" s="5">
        <v>0</v>
      </c>
      <c r="I191" s="5">
        <v>1</v>
      </c>
      <c r="J191" s="9">
        <v>0</v>
      </c>
      <c r="K191" s="8">
        <v>3</v>
      </c>
      <c r="L191" s="5">
        <v>19</v>
      </c>
      <c r="M191" s="5">
        <v>0</v>
      </c>
      <c r="N191" s="9">
        <v>0</v>
      </c>
      <c r="O191" s="8">
        <v>0</v>
      </c>
      <c r="P191" s="5">
        <v>0</v>
      </c>
      <c r="Q191" s="5">
        <v>0</v>
      </c>
      <c r="R191" s="9">
        <v>0</v>
      </c>
      <c r="S191" s="8">
        <v>1</v>
      </c>
      <c r="T191" s="5">
        <v>0</v>
      </c>
    </row>
    <row r="192" spans="1:20" x14ac:dyDescent="0.2">
      <c r="A192" s="5" t="s">
        <v>389</v>
      </c>
      <c r="B192" s="5" t="s">
        <v>69</v>
      </c>
      <c r="C192" s="10" t="s">
        <v>621</v>
      </c>
      <c r="D192" s="7">
        <f t="shared" si="0"/>
        <v>3.1</v>
      </c>
      <c r="E192" s="8">
        <v>0</v>
      </c>
      <c r="F192" s="5">
        <v>0</v>
      </c>
      <c r="G192" s="5">
        <v>0</v>
      </c>
      <c r="H192" s="5">
        <v>0</v>
      </c>
      <c r="I192" s="5">
        <v>0</v>
      </c>
      <c r="J192" s="9">
        <v>0</v>
      </c>
      <c r="K192" s="8">
        <v>0</v>
      </c>
      <c r="L192" s="5">
        <v>0</v>
      </c>
      <c r="M192" s="5">
        <v>0</v>
      </c>
      <c r="N192" s="9">
        <v>0</v>
      </c>
      <c r="O192" s="8">
        <v>2</v>
      </c>
      <c r="P192" s="5">
        <v>11</v>
      </c>
      <c r="Q192" s="5">
        <v>0</v>
      </c>
      <c r="R192" s="9">
        <v>0</v>
      </c>
      <c r="S192" s="8">
        <v>0</v>
      </c>
      <c r="T192" s="5">
        <v>0</v>
      </c>
    </row>
    <row r="193" spans="1:20" x14ac:dyDescent="0.2">
      <c r="A193" s="5" t="s">
        <v>444</v>
      </c>
      <c r="B193" s="5" t="s">
        <v>69</v>
      </c>
      <c r="C193" s="10" t="s">
        <v>622</v>
      </c>
      <c r="D193" s="7">
        <f t="shared" si="0"/>
        <v>3.1</v>
      </c>
      <c r="E193" s="8">
        <v>0</v>
      </c>
      <c r="F193" s="5">
        <v>0</v>
      </c>
      <c r="G193" s="5">
        <v>0</v>
      </c>
      <c r="H193" s="5">
        <v>0</v>
      </c>
      <c r="I193" s="5">
        <v>0</v>
      </c>
      <c r="J193" s="9">
        <v>0</v>
      </c>
      <c r="K193" s="8">
        <v>0</v>
      </c>
      <c r="L193" s="5">
        <v>0</v>
      </c>
      <c r="M193" s="5">
        <v>0</v>
      </c>
      <c r="N193" s="9">
        <v>0</v>
      </c>
      <c r="O193" s="8">
        <v>2</v>
      </c>
      <c r="P193" s="5">
        <v>11</v>
      </c>
      <c r="Q193" s="5">
        <v>0</v>
      </c>
      <c r="R193" s="9">
        <v>0</v>
      </c>
      <c r="S193" s="8">
        <v>0</v>
      </c>
      <c r="T193" s="5">
        <v>0</v>
      </c>
    </row>
    <row r="194" spans="1:20" x14ac:dyDescent="0.2">
      <c r="A194" s="5" t="s">
        <v>382</v>
      </c>
      <c r="B194" s="5" t="s">
        <v>162</v>
      </c>
      <c r="C194" s="10" t="s">
        <v>623</v>
      </c>
      <c r="D194" s="7">
        <f t="shared" si="0"/>
        <v>3</v>
      </c>
      <c r="E194" s="8">
        <v>0</v>
      </c>
      <c r="F194" s="5">
        <v>0</v>
      </c>
      <c r="G194" s="5">
        <v>0</v>
      </c>
      <c r="H194" s="5">
        <v>0</v>
      </c>
      <c r="I194" s="5">
        <v>0</v>
      </c>
      <c r="J194" s="9">
        <v>0</v>
      </c>
      <c r="K194" s="8">
        <v>0</v>
      </c>
      <c r="L194" s="5">
        <v>0</v>
      </c>
      <c r="M194" s="5">
        <v>0</v>
      </c>
      <c r="N194" s="9">
        <v>0</v>
      </c>
      <c r="O194" s="8">
        <v>2</v>
      </c>
      <c r="P194" s="5">
        <v>10</v>
      </c>
      <c r="Q194" s="5">
        <v>0</v>
      </c>
      <c r="R194" s="9">
        <v>0</v>
      </c>
      <c r="S194" s="8">
        <v>0</v>
      </c>
      <c r="T194" s="5">
        <v>0</v>
      </c>
    </row>
    <row r="195" spans="1:20" x14ac:dyDescent="0.2">
      <c r="A195" s="5" t="s">
        <v>308</v>
      </c>
      <c r="B195" s="5" t="s">
        <v>69</v>
      </c>
      <c r="C195" s="17" t="s">
        <v>625</v>
      </c>
      <c r="D195" s="7">
        <f t="shared" si="0"/>
        <v>2.9000000000000004</v>
      </c>
      <c r="E195" s="8">
        <v>0</v>
      </c>
      <c r="F195" s="5">
        <v>0</v>
      </c>
      <c r="G195" s="5">
        <v>0</v>
      </c>
      <c r="H195" s="5">
        <v>0</v>
      </c>
      <c r="I195" s="5">
        <v>0</v>
      </c>
      <c r="J195" s="9">
        <v>0</v>
      </c>
      <c r="K195" s="8">
        <v>0</v>
      </c>
      <c r="L195" s="5">
        <v>0</v>
      </c>
      <c r="M195" s="5">
        <v>0</v>
      </c>
      <c r="N195" s="9">
        <v>0</v>
      </c>
      <c r="O195" s="8">
        <v>1</v>
      </c>
      <c r="P195" s="5">
        <v>19</v>
      </c>
      <c r="Q195" s="5">
        <v>0</v>
      </c>
      <c r="R195" s="9">
        <v>0</v>
      </c>
      <c r="S195" s="8">
        <v>0</v>
      </c>
      <c r="T195" s="5">
        <v>0</v>
      </c>
    </row>
    <row r="196" spans="1:20" x14ac:dyDescent="0.2">
      <c r="A196" s="5" t="s">
        <v>267</v>
      </c>
      <c r="B196" s="5" t="s">
        <v>162</v>
      </c>
      <c r="C196" s="10" t="s">
        <v>626</v>
      </c>
      <c r="D196" s="7">
        <f t="shared" si="0"/>
        <v>2.8</v>
      </c>
      <c r="E196" s="8">
        <v>0</v>
      </c>
      <c r="F196" s="5">
        <v>0</v>
      </c>
      <c r="G196" s="5">
        <v>0</v>
      </c>
      <c r="H196" s="5">
        <v>0</v>
      </c>
      <c r="I196" s="5">
        <v>0</v>
      </c>
      <c r="J196" s="9">
        <v>0</v>
      </c>
      <c r="K196" s="8">
        <v>0</v>
      </c>
      <c r="L196" s="5">
        <v>0</v>
      </c>
      <c r="M196" s="5">
        <v>0</v>
      </c>
      <c r="N196" s="9">
        <v>0</v>
      </c>
      <c r="O196" s="8">
        <v>1</v>
      </c>
      <c r="P196" s="5">
        <v>18</v>
      </c>
      <c r="Q196" s="5">
        <v>0</v>
      </c>
      <c r="R196" s="9">
        <v>0</v>
      </c>
      <c r="S196" s="8">
        <v>0</v>
      </c>
      <c r="T196" s="5">
        <v>0</v>
      </c>
    </row>
    <row r="197" spans="1:20" x14ac:dyDescent="0.2">
      <c r="A197" s="5" t="s">
        <v>526</v>
      </c>
      <c r="B197" s="5" t="s">
        <v>69</v>
      </c>
      <c r="C197" s="17" t="s">
        <v>615</v>
      </c>
      <c r="D197" s="7">
        <f t="shared" si="0"/>
        <v>2.8</v>
      </c>
      <c r="E197" s="8">
        <v>0</v>
      </c>
      <c r="F197" s="5">
        <v>0</v>
      </c>
      <c r="G197" s="5">
        <v>0</v>
      </c>
      <c r="H197" s="5">
        <v>0</v>
      </c>
      <c r="I197" s="5">
        <v>0</v>
      </c>
      <c r="J197" s="9">
        <v>0</v>
      </c>
      <c r="K197" s="8">
        <v>0</v>
      </c>
      <c r="L197" s="5">
        <v>0</v>
      </c>
      <c r="M197" s="5">
        <v>0</v>
      </c>
      <c r="N197" s="9">
        <v>0</v>
      </c>
      <c r="O197" s="8">
        <v>1</v>
      </c>
      <c r="P197" s="5">
        <v>18</v>
      </c>
      <c r="Q197" s="5">
        <v>0</v>
      </c>
      <c r="R197" s="9">
        <v>0</v>
      </c>
      <c r="S197" s="8">
        <v>0</v>
      </c>
      <c r="T197" s="5">
        <v>0</v>
      </c>
    </row>
    <row r="198" spans="1:20" x14ac:dyDescent="0.2">
      <c r="A198" s="5" t="s">
        <v>100</v>
      </c>
      <c r="B198" s="5" t="s">
        <v>75</v>
      </c>
      <c r="C198" s="17" t="s">
        <v>623</v>
      </c>
      <c r="D198" s="7">
        <f t="shared" si="0"/>
        <v>2.7</v>
      </c>
      <c r="E198" s="8">
        <v>0</v>
      </c>
      <c r="F198" s="5">
        <v>0</v>
      </c>
      <c r="G198" s="5">
        <v>0</v>
      </c>
      <c r="H198" s="5">
        <v>0</v>
      </c>
      <c r="I198" s="5">
        <v>0</v>
      </c>
      <c r="J198" s="9">
        <v>0</v>
      </c>
      <c r="K198" s="8">
        <v>9</v>
      </c>
      <c r="L198" s="5">
        <v>16</v>
      </c>
      <c r="M198" s="5">
        <v>0</v>
      </c>
      <c r="N198" s="9">
        <v>0</v>
      </c>
      <c r="O198" s="8">
        <v>1</v>
      </c>
      <c r="P198" s="5">
        <v>1</v>
      </c>
      <c r="Q198" s="5">
        <v>0</v>
      </c>
      <c r="R198" s="9">
        <v>0</v>
      </c>
      <c r="S198" s="8">
        <v>0</v>
      </c>
      <c r="T198" s="5">
        <v>0</v>
      </c>
    </row>
    <row r="199" spans="1:20" x14ac:dyDescent="0.2">
      <c r="A199" s="5" t="s">
        <v>157</v>
      </c>
      <c r="B199" s="5" t="s">
        <v>75</v>
      </c>
      <c r="C199" s="17" t="s">
        <v>616</v>
      </c>
      <c r="D199" s="7">
        <f t="shared" si="0"/>
        <v>2.7</v>
      </c>
      <c r="E199" s="8">
        <v>0</v>
      </c>
      <c r="F199" s="5">
        <v>0</v>
      </c>
      <c r="G199" s="5">
        <v>0</v>
      </c>
      <c r="H199" s="5">
        <v>0</v>
      </c>
      <c r="I199" s="5">
        <v>0</v>
      </c>
      <c r="J199" s="9">
        <v>0</v>
      </c>
      <c r="K199" s="8">
        <v>3</v>
      </c>
      <c r="L199" s="5">
        <v>2</v>
      </c>
      <c r="M199" s="5">
        <v>0</v>
      </c>
      <c r="N199" s="9">
        <v>0</v>
      </c>
      <c r="O199" s="8">
        <v>2</v>
      </c>
      <c r="P199" s="5">
        <v>5</v>
      </c>
      <c r="Q199" s="5">
        <v>0</v>
      </c>
      <c r="R199" s="9">
        <v>0</v>
      </c>
      <c r="S199" s="8">
        <v>0</v>
      </c>
      <c r="T199" s="5">
        <v>0</v>
      </c>
    </row>
    <row r="200" spans="1:20" x14ac:dyDescent="0.2">
      <c r="A200" s="5" t="s">
        <v>55</v>
      </c>
      <c r="B200" s="5" t="s">
        <v>17</v>
      </c>
      <c r="C200" s="17" t="s">
        <v>623</v>
      </c>
      <c r="D200" s="7">
        <f t="shared" si="0"/>
        <v>2.6800000000000006</v>
      </c>
      <c r="E200" s="8">
        <v>28</v>
      </c>
      <c r="F200" s="5">
        <v>13</v>
      </c>
      <c r="G200" s="5">
        <v>157</v>
      </c>
      <c r="H200" s="5">
        <v>0</v>
      </c>
      <c r="I200" s="5">
        <v>1</v>
      </c>
      <c r="J200" s="9">
        <v>0</v>
      </c>
      <c r="K200" s="8">
        <v>2</v>
      </c>
      <c r="L200" s="5">
        <v>4</v>
      </c>
      <c r="M200" s="5">
        <v>0</v>
      </c>
      <c r="N200" s="9">
        <v>0</v>
      </c>
      <c r="O200" s="8">
        <v>0</v>
      </c>
      <c r="P200" s="5">
        <v>0</v>
      </c>
      <c r="Q200" s="5">
        <v>0</v>
      </c>
      <c r="R200" s="9">
        <v>0</v>
      </c>
      <c r="S200" s="8">
        <v>1</v>
      </c>
      <c r="T200" s="5">
        <v>0</v>
      </c>
    </row>
    <row r="201" spans="1:20" x14ac:dyDescent="0.2">
      <c r="A201" s="5" t="s">
        <v>337</v>
      </c>
      <c r="B201" s="5" t="s">
        <v>75</v>
      </c>
      <c r="C201" s="17" t="s">
        <v>625</v>
      </c>
      <c r="D201" s="7">
        <f t="shared" si="0"/>
        <v>2.6</v>
      </c>
      <c r="E201" s="8">
        <v>0</v>
      </c>
      <c r="F201" s="5">
        <v>0</v>
      </c>
      <c r="G201" s="5">
        <v>0</v>
      </c>
      <c r="H201" s="5">
        <v>0</v>
      </c>
      <c r="I201" s="5">
        <v>0</v>
      </c>
      <c r="J201" s="9">
        <v>0</v>
      </c>
      <c r="K201" s="8">
        <v>7</v>
      </c>
      <c r="L201" s="5">
        <v>26</v>
      </c>
      <c r="M201" s="5">
        <v>0</v>
      </c>
      <c r="N201" s="9">
        <v>0</v>
      </c>
      <c r="O201" s="8">
        <v>0</v>
      </c>
      <c r="P201" s="5">
        <v>0</v>
      </c>
      <c r="Q201" s="5">
        <v>0</v>
      </c>
      <c r="R201" s="9">
        <v>0</v>
      </c>
      <c r="S201" s="8">
        <v>0</v>
      </c>
      <c r="T201" s="5">
        <v>0</v>
      </c>
    </row>
    <row r="202" spans="1:20" x14ac:dyDescent="0.2">
      <c r="A202" s="5" t="s">
        <v>394</v>
      </c>
      <c r="B202" s="5" t="s">
        <v>75</v>
      </c>
      <c r="C202" s="10" t="s">
        <v>613</v>
      </c>
      <c r="D202" s="7">
        <f t="shared" si="0"/>
        <v>2.5</v>
      </c>
      <c r="E202" s="8">
        <v>0</v>
      </c>
      <c r="F202" s="5">
        <v>0</v>
      </c>
      <c r="G202" s="5">
        <v>0</v>
      </c>
      <c r="H202" s="5">
        <v>0</v>
      </c>
      <c r="I202" s="5">
        <v>0</v>
      </c>
      <c r="J202" s="9">
        <v>0</v>
      </c>
      <c r="K202" s="8">
        <v>0</v>
      </c>
      <c r="L202" s="5">
        <v>0</v>
      </c>
      <c r="M202" s="5">
        <v>0</v>
      </c>
      <c r="N202" s="9">
        <v>0</v>
      </c>
      <c r="O202" s="8">
        <v>2</v>
      </c>
      <c r="P202" s="5">
        <v>5</v>
      </c>
      <c r="Q202" s="5">
        <v>0</v>
      </c>
      <c r="R202" s="9">
        <v>0</v>
      </c>
      <c r="S202" s="8">
        <v>0</v>
      </c>
      <c r="T202" s="5">
        <v>0</v>
      </c>
    </row>
    <row r="203" spans="1:20" x14ac:dyDescent="0.2">
      <c r="A203" s="5" t="s">
        <v>82</v>
      </c>
      <c r="B203" s="5" t="s">
        <v>75</v>
      </c>
      <c r="C203" s="17" t="s">
        <v>618</v>
      </c>
      <c r="D203" s="7">
        <f t="shared" si="0"/>
        <v>2.5</v>
      </c>
      <c r="E203" s="8">
        <v>0</v>
      </c>
      <c r="F203" s="5">
        <v>0</v>
      </c>
      <c r="G203" s="5">
        <v>0</v>
      </c>
      <c r="H203" s="5">
        <v>0</v>
      </c>
      <c r="I203" s="5">
        <v>0</v>
      </c>
      <c r="J203" s="9">
        <v>0</v>
      </c>
      <c r="K203" s="8">
        <v>2</v>
      </c>
      <c r="L203" s="5">
        <v>6</v>
      </c>
      <c r="M203" s="5">
        <v>0</v>
      </c>
      <c r="N203" s="9">
        <v>0</v>
      </c>
      <c r="O203" s="8">
        <v>1</v>
      </c>
      <c r="P203" s="5">
        <v>9</v>
      </c>
      <c r="Q203" s="5">
        <v>0</v>
      </c>
      <c r="R203" s="9">
        <v>0</v>
      </c>
      <c r="S203" s="8">
        <v>0</v>
      </c>
      <c r="T203" s="5">
        <v>0</v>
      </c>
    </row>
    <row r="204" spans="1:20" x14ac:dyDescent="0.2">
      <c r="A204" s="5" t="s">
        <v>257</v>
      </c>
      <c r="B204" s="5" t="s">
        <v>162</v>
      </c>
      <c r="C204" s="10" t="s">
        <v>621</v>
      </c>
      <c r="D204" s="7">
        <f t="shared" si="0"/>
        <v>2.5</v>
      </c>
      <c r="E204" s="8">
        <v>0</v>
      </c>
      <c r="F204" s="5">
        <v>0</v>
      </c>
      <c r="G204" s="5">
        <v>0</v>
      </c>
      <c r="H204" s="5">
        <v>0</v>
      </c>
      <c r="I204" s="5">
        <v>0</v>
      </c>
      <c r="J204" s="9">
        <v>0</v>
      </c>
      <c r="K204" s="8">
        <v>0</v>
      </c>
      <c r="L204" s="5">
        <v>0</v>
      </c>
      <c r="M204" s="5">
        <v>0</v>
      </c>
      <c r="N204" s="9">
        <v>0</v>
      </c>
      <c r="O204" s="8">
        <v>1</v>
      </c>
      <c r="P204" s="5">
        <v>15</v>
      </c>
      <c r="Q204" s="5">
        <v>0</v>
      </c>
      <c r="R204" s="9">
        <v>0</v>
      </c>
      <c r="S204" s="8">
        <v>0</v>
      </c>
      <c r="T204" s="5">
        <v>0</v>
      </c>
    </row>
    <row r="205" spans="1:20" x14ac:dyDescent="0.2">
      <c r="A205" s="5" t="s">
        <v>627</v>
      </c>
      <c r="B205" s="5" t="s">
        <v>162</v>
      </c>
      <c r="C205" s="17" t="s">
        <v>624</v>
      </c>
      <c r="D205" s="7">
        <f t="shared" si="0"/>
        <v>2.5</v>
      </c>
      <c r="E205" s="8">
        <v>0</v>
      </c>
      <c r="F205" s="5">
        <v>0</v>
      </c>
      <c r="G205" s="5">
        <v>0</v>
      </c>
      <c r="H205" s="5">
        <v>0</v>
      </c>
      <c r="I205" s="5">
        <v>0</v>
      </c>
      <c r="J205" s="9">
        <v>0</v>
      </c>
      <c r="K205" s="8">
        <v>0</v>
      </c>
      <c r="L205" s="5">
        <v>0</v>
      </c>
      <c r="M205" s="5">
        <v>0</v>
      </c>
      <c r="N205" s="9">
        <v>0</v>
      </c>
      <c r="O205" s="8">
        <v>1</v>
      </c>
      <c r="P205" s="5">
        <v>15</v>
      </c>
      <c r="Q205" s="5">
        <v>0</v>
      </c>
      <c r="R205" s="9">
        <v>0</v>
      </c>
      <c r="S205" s="8">
        <v>0</v>
      </c>
      <c r="T205" s="5">
        <v>0</v>
      </c>
    </row>
    <row r="206" spans="1:20" x14ac:dyDescent="0.2">
      <c r="A206" s="5" t="s">
        <v>222</v>
      </c>
      <c r="B206" s="5" t="s">
        <v>162</v>
      </c>
      <c r="C206" s="10" t="s">
        <v>615</v>
      </c>
      <c r="D206" s="7">
        <f t="shared" si="0"/>
        <v>2.4000000000000004</v>
      </c>
      <c r="E206" s="8">
        <v>0</v>
      </c>
      <c r="F206" s="5">
        <v>0</v>
      </c>
      <c r="G206" s="5">
        <v>0</v>
      </c>
      <c r="H206" s="5">
        <v>0</v>
      </c>
      <c r="I206" s="5">
        <v>0</v>
      </c>
      <c r="J206" s="9">
        <v>0</v>
      </c>
      <c r="K206" s="8">
        <v>0</v>
      </c>
      <c r="L206" s="5">
        <v>0</v>
      </c>
      <c r="M206" s="5">
        <v>0</v>
      </c>
      <c r="N206" s="9">
        <v>0</v>
      </c>
      <c r="O206" s="8">
        <v>1</v>
      </c>
      <c r="P206" s="5">
        <v>14</v>
      </c>
      <c r="Q206" s="5">
        <v>0</v>
      </c>
      <c r="R206" s="9">
        <v>0</v>
      </c>
      <c r="S206" s="8">
        <v>0</v>
      </c>
      <c r="T206" s="5">
        <v>0</v>
      </c>
    </row>
    <row r="207" spans="1:20" x14ac:dyDescent="0.2">
      <c r="A207" s="5" t="s">
        <v>369</v>
      </c>
      <c r="B207" s="5" t="s">
        <v>162</v>
      </c>
      <c r="C207" s="10" t="s">
        <v>613</v>
      </c>
      <c r="D207" s="7">
        <f t="shared" si="0"/>
        <v>2.4000000000000004</v>
      </c>
      <c r="E207" s="8">
        <v>0</v>
      </c>
      <c r="F207" s="5">
        <v>0</v>
      </c>
      <c r="G207" s="5">
        <v>0</v>
      </c>
      <c r="H207" s="5">
        <v>0</v>
      </c>
      <c r="I207" s="5">
        <v>0</v>
      </c>
      <c r="J207" s="9">
        <v>0</v>
      </c>
      <c r="K207" s="8">
        <v>0</v>
      </c>
      <c r="L207" s="5">
        <v>0</v>
      </c>
      <c r="M207" s="5">
        <v>0</v>
      </c>
      <c r="N207" s="9">
        <v>0</v>
      </c>
      <c r="O207" s="8">
        <v>1</v>
      </c>
      <c r="P207" s="5">
        <v>14</v>
      </c>
      <c r="Q207" s="5">
        <v>0</v>
      </c>
      <c r="R207" s="9">
        <v>0</v>
      </c>
      <c r="S207" s="8">
        <v>0</v>
      </c>
      <c r="T207" s="5">
        <v>0</v>
      </c>
    </row>
    <row r="208" spans="1:20" x14ac:dyDescent="0.2">
      <c r="A208" s="5" t="s">
        <v>144</v>
      </c>
      <c r="B208" s="5" t="s">
        <v>75</v>
      </c>
      <c r="C208" s="17" t="s">
        <v>623</v>
      </c>
      <c r="D208" s="7">
        <f t="shared" si="0"/>
        <v>2.2999999999999998</v>
      </c>
      <c r="E208" s="8">
        <v>0</v>
      </c>
      <c r="F208" s="5">
        <v>0</v>
      </c>
      <c r="G208" s="5">
        <v>0</v>
      </c>
      <c r="H208" s="5">
        <v>0</v>
      </c>
      <c r="I208" s="5">
        <v>0</v>
      </c>
      <c r="J208" s="9">
        <v>0</v>
      </c>
      <c r="K208" s="8">
        <v>4</v>
      </c>
      <c r="L208" s="5">
        <v>8</v>
      </c>
      <c r="M208" s="5">
        <v>0</v>
      </c>
      <c r="N208" s="9">
        <v>0</v>
      </c>
      <c r="O208" s="8">
        <v>1</v>
      </c>
      <c r="P208" s="5">
        <v>5</v>
      </c>
      <c r="Q208" s="5">
        <v>0</v>
      </c>
      <c r="R208" s="9">
        <v>0</v>
      </c>
      <c r="S208" s="8">
        <v>0</v>
      </c>
      <c r="T208" s="5">
        <v>0</v>
      </c>
    </row>
    <row r="209" spans="1:20" x14ac:dyDescent="0.2">
      <c r="A209" s="5" t="s">
        <v>142</v>
      </c>
      <c r="B209" s="5" t="s">
        <v>75</v>
      </c>
      <c r="C209" s="17" t="s">
        <v>621</v>
      </c>
      <c r="D209" s="7">
        <f t="shared" si="0"/>
        <v>2.1</v>
      </c>
      <c r="E209" s="8">
        <v>0</v>
      </c>
      <c r="F209" s="5">
        <v>0</v>
      </c>
      <c r="G209" s="5">
        <v>0</v>
      </c>
      <c r="H209" s="5">
        <v>0</v>
      </c>
      <c r="I209" s="5">
        <v>0</v>
      </c>
      <c r="J209" s="9">
        <v>0</v>
      </c>
      <c r="K209" s="8">
        <v>2</v>
      </c>
      <c r="L209" s="5">
        <v>5</v>
      </c>
      <c r="M209" s="5">
        <v>0</v>
      </c>
      <c r="N209" s="9">
        <v>0</v>
      </c>
      <c r="O209" s="8">
        <v>1</v>
      </c>
      <c r="P209" s="5">
        <v>6</v>
      </c>
      <c r="Q209" s="5">
        <v>0</v>
      </c>
      <c r="R209" s="9">
        <v>0</v>
      </c>
      <c r="S209" s="8">
        <v>0</v>
      </c>
      <c r="T209" s="5">
        <v>0</v>
      </c>
    </row>
    <row r="210" spans="1:20" x14ac:dyDescent="0.2">
      <c r="A210" s="5" t="s">
        <v>179</v>
      </c>
      <c r="B210" s="5" t="s">
        <v>162</v>
      </c>
      <c r="C210" s="10" t="s">
        <v>623</v>
      </c>
      <c r="D210" s="7">
        <f t="shared" si="0"/>
        <v>2.1</v>
      </c>
      <c r="E210" s="8">
        <v>0</v>
      </c>
      <c r="F210" s="5">
        <v>0</v>
      </c>
      <c r="G210" s="5">
        <v>0</v>
      </c>
      <c r="H210" s="5">
        <v>0</v>
      </c>
      <c r="I210" s="5">
        <v>0</v>
      </c>
      <c r="J210" s="9">
        <v>0</v>
      </c>
      <c r="K210" s="8">
        <v>0</v>
      </c>
      <c r="L210" s="5">
        <v>0</v>
      </c>
      <c r="M210" s="5">
        <v>0</v>
      </c>
      <c r="N210" s="9">
        <v>0</v>
      </c>
      <c r="O210" s="8">
        <v>1</v>
      </c>
      <c r="P210" s="5">
        <v>11</v>
      </c>
      <c r="Q210" s="5">
        <v>0</v>
      </c>
      <c r="R210" s="9">
        <v>0</v>
      </c>
      <c r="S210" s="8">
        <v>0</v>
      </c>
      <c r="T210" s="5">
        <v>0</v>
      </c>
    </row>
    <row r="211" spans="1:20" x14ac:dyDescent="0.2">
      <c r="A211" s="5" t="s">
        <v>577</v>
      </c>
      <c r="B211" s="5" t="s">
        <v>162</v>
      </c>
      <c r="C211" s="10" t="s">
        <v>619</v>
      </c>
      <c r="D211" s="7">
        <f t="shared" si="0"/>
        <v>2.1</v>
      </c>
      <c r="E211" s="8">
        <v>0</v>
      </c>
      <c r="F211" s="5">
        <v>0</v>
      </c>
      <c r="G211" s="5">
        <v>0</v>
      </c>
      <c r="H211" s="5">
        <v>0</v>
      </c>
      <c r="I211" s="5">
        <v>0</v>
      </c>
      <c r="J211" s="9">
        <v>0</v>
      </c>
      <c r="K211" s="8">
        <v>0</v>
      </c>
      <c r="L211" s="5">
        <v>0</v>
      </c>
      <c r="M211" s="5">
        <v>0</v>
      </c>
      <c r="N211" s="9">
        <v>0</v>
      </c>
      <c r="O211" s="8">
        <v>1</v>
      </c>
      <c r="P211" s="5">
        <v>11</v>
      </c>
      <c r="Q211" s="5">
        <v>0</v>
      </c>
      <c r="R211" s="9">
        <v>0</v>
      </c>
      <c r="S211" s="8">
        <v>0</v>
      </c>
      <c r="T211" s="5">
        <v>0</v>
      </c>
    </row>
    <row r="212" spans="1:20" x14ac:dyDescent="0.2">
      <c r="A212" s="5" t="s">
        <v>311</v>
      </c>
      <c r="B212" s="5" t="s">
        <v>69</v>
      </c>
      <c r="C212" s="10" t="s">
        <v>616</v>
      </c>
      <c r="D212" s="7">
        <f t="shared" si="0"/>
        <v>2.1</v>
      </c>
      <c r="E212" s="8">
        <v>0</v>
      </c>
      <c r="F212" s="5">
        <v>0</v>
      </c>
      <c r="G212" s="5">
        <v>0</v>
      </c>
      <c r="H212" s="5">
        <v>0</v>
      </c>
      <c r="I212" s="5">
        <v>0</v>
      </c>
      <c r="J212" s="9">
        <v>0</v>
      </c>
      <c r="K212" s="8">
        <v>0</v>
      </c>
      <c r="L212" s="5">
        <v>0</v>
      </c>
      <c r="M212" s="5">
        <v>0</v>
      </c>
      <c r="N212" s="9">
        <v>0</v>
      </c>
      <c r="O212" s="8">
        <v>1</v>
      </c>
      <c r="P212" s="5">
        <v>11</v>
      </c>
      <c r="Q212" s="5">
        <v>0</v>
      </c>
      <c r="R212" s="9">
        <v>0</v>
      </c>
      <c r="S212" s="8">
        <v>0</v>
      </c>
      <c r="T212" s="5">
        <v>0</v>
      </c>
    </row>
    <row r="213" spans="1:20" x14ac:dyDescent="0.2">
      <c r="A213" s="5" t="s">
        <v>479</v>
      </c>
      <c r="B213" s="5" t="s">
        <v>69</v>
      </c>
      <c r="C213" s="17" t="s">
        <v>618</v>
      </c>
      <c r="D213" s="7">
        <f t="shared" si="0"/>
        <v>2.1</v>
      </c>
      <c r="E213" s="8">
        <v>0</v>
      </c>
      <c r="F213" s="5">
        <v>0</v>
      </c>
      <c r="G213" s="5">
        <v>0</v>
      </c>
      <c r="H213" s="5">
        <v>0</v>
      </c>
      <c r="I213" s="5">
        <v>0</v>
      </c>
      <c r="J213" s="9">
        <v>0</v>
      </c>
      <c r="K213" s="8">
        <v>0</v>
      </c>
      <c r="L213" s="5">
        <v>0</v>
      </c>
      <c r="M213" s="5">
        <v>0</v>
      </c>
      <c r="N213" s="9">
        <v>0</v>
      </c>
      <c r="O213" s="8">
        <v>1</v>
      </c>
      <c r="P213" s="5">
        <v>11</v>
      </c>
      <c r="Q213" s="5">
        <v>0</v>
      </c>
      <c r="R213" s="9">
        <v>0</v>
      </c>
      <c r="S213" s="8">
        <v>0</v>
      </c>
      <c r="T213" s="5">
        <v>0</v>
      </c>
    </row>
    <row r="214" spans="1:20" x14ac:dyDescent="0.2">
      <c r="A214" s="5" t="s">
        <v>292</v>
      </c>
      <c r="B214" s="5" t="s">
        <v>69</v>
      </c>
      <c r="C214" s="17" t="s">
        <v>615</v>
      </c>
      <c r="D214" s="7">
        <f t="shared" si="0"/>
        <v>2.1</v>
      </c>
      <c r="E214" s="8">
        <v>0</v>
      </c>
      <c r="F214" s="5">
        <v>0</v>
      </c>
      <c r="G214" s="5">
        <v>0</v>
      </c>
      <c r="H214" s="5">
        <v>0</v>
      </c>
      <c r="I214" s="5">
        <v>0</v>
      </c>
      <c r="J214" s="9">
        <v>0</v>
      </c>
      <c r="K214" s="8">
        <v>0</v>
      </c>
      <c r="L214" s="5">
        <v>0</v>
      </c>
      <c r="M214" s="5">
        <v>0</v>
      </c>
      <c r="N214" s="9">
        <v>0</v>
      </c>
      <c r="O214" s="8">
        <v>2</v>
      </c>
      <c r="P214" s="5">
        <v>1</v>
      </c>
      <c r="Q214" s="5">
        <v>0</v>
      </c>
      <c r="R214" s="9">
        <v>0</v>
      </c>
      <c r="S214" s="8">
        <v>0</v>
      </c>
      <c r="T214" s="5">
        <v>0</v>
      </c>
    </row>
    <row r="215" spans="1:20" x14ac:dyDescent="0.2">
      <c r="A215" s="5" t="s">
        <v>149</v>
      </c>
      <c r="B215" s="5" t="s">
        <v>75</v>
      </c>
      <c r="C215" s="17" t="s">
        <v>617</v>
      </c>
      <c r="D215" s="7">
        <f t="shared" si="0"/>
        <v>2</v>
      </c>
      <c r="E215" s="8">
        <v>0</v>
      </c>
      <c r="F215" s="5">
        <v>0</v>
      </c>
      <c r="G215" s="5">
        <v>0</v>
      </c>
      <c r="H215" s="5">
        <v>0</v>
      </c>
      <c r="I215" s="5">
        <v>0</v>
      </c>
      <c r="J215" s="9">
        <v>0</v>
      </c>
      <c r="K215" s="8">
        <v>2</v>
      </c>
      <c r="L215" s="5">
        <v>4</v>
      </c>
      <c r="M215" s="5">
        <v>0</v>
      </c>
      <c r="N215" s="9">
        <v>0</v>
      </c>
      <c r="O215" s="8">
        <v>1</v>
      </c>
      <c r="P215" s="5">
        <v>6</v>
      </c>
      <c r="Q215" s="5">
        <v>0</v>
      </c>
      <c r="R215" s="9">
        <v>0</v>
      </c>
      <c r="S215" s="8">
        <v>0</v>
      </c>
      <c r="T215" s="5">
        <v>0</v>
      </c>
    </row>
    <row r="216" spans="1:20" x14ac:dyDescent="0.2">
      <c r="A216" s="5" t="s">
        <v>220</v>
      </c>
      <c r="B216" s="5" t="s">
        <v>162</v>
      </c>
      <c r="C216" s="17" t="s">
        <v>625</v>
      </c>
      <c r="D216" s="7">
        <f t="shared" si="0"/>
        <v>2</v>
      </c>
      <c r="E216" s="8">
        <v>0</v>
      </c>
      <c r="F216" s="5">
        <v>0</v>
      </c>
      <c r="G216" s="5">
        <v>0</v>
      </c>
      <c r="H216" s="5">
        <v>0</v>
      </c>
      <c r="I216" s="5">
        <v>0</v>
      </c>
      <c r="J216" s="9">
        <v>0</v>
      </c>
      <c r="K216" s="8">
        <v>0</v>
      </c>
      <c r="L216" s="5">
        <v>0</v>
      </c>
      <c r="M216" s="5">
        <v>0</v>
      </c>
      <c r="N216" s="9">
        <v>0</v>
      </c>
      <c r="O216" s="8">
        <v>1</v>
      </c>
      <c r="P216" s="5">
        <v>10</v>
      </c>
      <c r="Q216" s="5">
        <v>0</v>
      </c>
      <c r="R216" s="9">
        <v>0</v>
      </c>
      <c r="S216" s="8">
        <v>0</v>
      </c>
      <c r="T216" s="5">
        <v>0</v>
      </c>
    </row>
    <row r="217" spans="1:20" x14ac:dyDescent="0.2">
      <c r="A217" s="5" t="s">
        <v>194</v>
      </c>
      <c r="B217" s="5" t="s">
        <v>162</v>
      </c>
      <c r="C217" s="10" t="s">
        <v>620</v>
      </c>
      <c r="D217" s="7">
        <f t="shared" si="0"/>
        <v>2</v>
      </c>
      <c r="E217" s="8">
        <v>0</v>
      </c>
      <c r="F217" s="5">
        <v>0</v>
      </c>
      <c r="G217" s="5">
        <v>0</v>
      </c>
      <c r="H217" s="5">
        <v>0</v>
      </c>
      <c r="I217" s="5">
        <v>0</v>
      </c>
      <c r="J217" s="9">
        <v>0</v>
      </c>
      <c r="K217" s="8">
        <v>0</v>
      </c>
      <c r="L217" s="5">
        <v>0</v>
      </c>
      <c r="M217" s="5">
        <v>0</v>
      </c>
      <c r="N217" s="9">
        <v>0</v>
      </c>
      <c r="O217" s="8">
        <v>1</v>
      </c>
      <c r="P217" s="5">
        <v>10</v>
      </c>
      <c r="Q217" s="5">
        <v>0</v>
      </c>
      <c r="R217" s="9">
        <v>0</v>
      </c>
      <c r="S217" s="8">
        <v>0</v>
      </c>
      <c r="T217" s="5">
        <v>0</v>
      </c>
    </row>
    <row r="218" spans="1:20" x14ac:dyDescent="0.2">
      <c r="A218" s="5" t="s">
        <v>306</v>
      </c>
      <c r="B218" s="5" t="s">
        <v>69</v>
      </c>
      <c r="C218" s="10" t="s">
        <v>621</v>
      </c>
      <c r="D218" s="7">
        <f t="shared" si="0"/>
        <v>2</v>
      </c>
      <c r="E218" s="8">
        <v>0</v>
      </c>
      <c r="F218" s="5">
        <v>0</v>
      </c>
      <c r="G218" s="5">
        <v>0</v>
      </c>
      <c r="H218" s="5">
        <v>0</v>
      </c>
      <c r="I218" s="5">
        <v>0</v>
      </c>
      <c r="J218" s="9">
        <v>0</v>
      </c>
      <c r="K218" s="8">
        <v>0</v>
      </c>
      <c r="L218" s="5">
        <v>0</v>
      </c>
      <c r="M218" s="5">
        <v>0</v>
      </c>
      <c r="N218" s="9">
        <v>0</v>
      </c>
      <c r="O218" s="8">
        <v>1</v>
      </c>
      <c r="P218" s="5">
        <v>10</v>
      </c>
      <c r="Q218" s="5">
        <v>0</v>
      </c>
      <c r="R218" s="9">
        <v>0</v>
      </c>
      <c r="S218" s="8">
        <v>0</v>
      </c>
      <c r="T218" s="5">
        <v>0</v>
      </c>
    </row>
    <row r="219" spans="1:20" x14ac:dyDescent="0.2">
      <c r="A219" s="5" t="s">
        <v>61</v>
      </c>
      <c r="B219" s="5" t="s">
        <v>17</v>
      </c>
      <c r="C219" s="17" t="s">
        <v>621</v>
      </c>
      <c r="D219" s="7">
        <f t="shared" si="0"/>
        <v>1.9</v>
      </c>
      <c r="E219" s="8">
        <v>9</v>
      </c>
      <c r="F219" s="5">
        <v>4</v>
      </c>
      <c r="G219" s="5">
        <v>25</v>
      </c>
      <c r="H219" s="5">
        <v>0</v>
      </c>
      <c r="I219" s="5">
        <v>0</v>
      </c>
      <c r="J219" s="9">
        <v>0</v>
      </c>
      <c r="K219" s="8">
        <v>2</v>
      </c>
      <c r="L219" s="5">
        <v>9</v>
      </c>
      <c r="M219" s="5">
        <v>0</v>
      </c>
      <c r="N219" s="9">
        <v>0</v>
      </c>
      <c r="O219" s="8">
        <v>0</v>
      </c>
      <c r="P219" s="5">
        <v>0</v>
      </c>
      <c r="Q219" s="5">
        <v>0</v>
      </c>
      <c r="R219" s="9">
        <v>0</v>
      </c>
      <c r="S219" s="8">
        <v>0</v>
      </c>
      <c r="T219" s="5">
        <v>0</v>
      </c>
    </row>
    <row r="220" spans="1:20" x14ac:dyDescent="0.2">
      <c r="A220" s="5" t="s">
        <v>527</v>
      </c>
      <c r="B220" s="5" t="s">
        <v>162</v>
      </c>
      <c r="C220" s="10" t="s">
        <v>617</v>
      </c>
      <c r="D220" s="7">
        <f t="shared" si="0"/>
        <v>1.9</v>
      </c>
      <c r="E220" s="8">
        <v>0</v>
      </c>
      <c r="F220" s="5">
        <v>0</v>
      </c>
      <c r="G220" s="5">
        <v>0</v>
      </c>
      <c r="H220" s="5">
        <v>0</v>
      </c>
      <c r="I220" s="5">
        <v>0</v>
      </c>
      <c r="J220" s="9">
        <v>0</v>
      </c>
      <c r="K220" s="8">
        <v>0</v>
      </c>
      <c r="L220" s="5">
        <v>0</v>
      </c>
      <c r="M220" s="5">
        <v>0</v>
      </c>
      <c r="N220" s="9">
        <v>0</v>
      </c>
      <c r="O220" s="8">
        <v>1</v>
      </c>
      <c r="P220" s="5">
        <v>9</v>
      </c>
      <c r="Q220" s="5">
        <v>0</v>
      </c>
      <c r="R220" s="9">
        <v>0</v>
      </c>
      <c r="S220" s="8">
        <v>0</v>
      </c>
      <c r="T220" s="5">
        <v>0</v>
      </c>
    </row>
    <row r="221" spans="1:20" x14ac:dyDescent="0.2">
      <c r="A221" s="5" t="s">
        <v>210</v>
      </c>
      <c r="B221" s="5" t="s">
        <v>162</v>
      </c>
      <c r="C221" s="10" t="s">
        <v>620</v>
      </c>
      <c r="D221" s="7">
        <f t="shared" si="0"/>
        <v>1.9</v>
      </c>
      <c r="E221" s="8">
        <v>0</v>
      </c>
      <c r="F221" s="5">
        <v>0</v>
      </c>
      <c r="G221" s="5">
        <v>0</v>
      </c>
      <c r="H221" s="5">
        <v>0</v>
      </c>
      <c r="I221" s="5">
        <v>0</v>
      </c>
      <c r="J221" s="9">
        <v>0</v>
      </c>
      <c r="K221" s="8">
        <v>0</v>
      </c>
      <c r="L221" s="5">
        <v>0</v>
      </c>
      <c r="M221" s="5">
        <v>0</v>
      </c>
      <c r="N221" s="9">
        <v>0</v>
      </c>
      <c r="O221" s="8">
        <v>2</v>
      </c>
      <c r="P221" s="5">
        <v>-1</v>
      </c>
      <c r="Q221" s="5">
        <v>0</v>
      </c>
      <c r="R221" s="9">
        <v>0</v>
      </c>
      <c r="S221" s="8">
        <v>0</v>
      </c>
      <c r="T221" s="5">
        <v>0</v>
      </c>
    </row>
    <row r="222" spans="1:20" x14ac:dyDescent="0.2">
      <c r="A222" s="5" t="s">
        <v>432</v>
      </c>
      <c r="B222" s="5" t="s">
        <v>162</v>
      </c>
      <c r="C222" s="17" t="s">
        <v>617</v>
      </c>
      <c r="D222" s="7">
        <f t="shared" si="0"/>
        <v>1.9</v>
      </c>
      <c r="E222" s="8">
        <v>0</v>
      </c>
      <c r="F222" s="5">
        <v>0</v>
      </c>
      <c r="G222" s="5">
        <v>0</v>
      </c>
      <c r="H222" s="5">
        <v>0</v>
      </c>
      <c r="I222" s="5">
        <v>0</v>
      </c>
      <c r="J222" s="9">
        <v>0</v>
      </c>
      <c r="K222" s="8">
        <v>0</v>
      </c>
      <c r="L222" s="5">
        <v>0</v>
      </c>
      <c r="M222" s="5">
        <v>0</v>
      </c>
      <c r="N222" s="9">
        <v>0</v>
      </c>
      <c r="O222" s="8">
        <v>1</v>
      </c>
      <c r="P222" s="5">
        <v>9</v>
      </c>
      <c r="Q222" s="5">
        <v>0</v>
      </c>
      <c r="R222" s="9">
        <v>0</v>
      </c>
      <c r="S222" s="8">
        <v>0</v>
      </c>
      <c r="T222" s="5">
        <v>0</v>
      </c>
    </row>
    <row r="223" spans="1:20" x14ac:dyDescent="0.2">
      <c r="A223" s="5" t="s">
        <v>107</v>
      </c>
      <c r="B223" s="5" t="s">
        <v>75</v>
      </c>
      <c r="C223" s="10" t="s">
        <v>622</v>
      </c>
      <c r="D223" s="7">
        <f t="shared" si="0"/>
        <v>1.8000000000000003</v>
      </c>
      <c r="E223" s="8">
        <v>0</v>
      </c>
      <c r="F223" s="5">
        <v>0</v>
      </c>
      <c r="G223" s="5">
        <v>0</v>
      </c>
      <c r="H223" s="5">
        <v>0</v>
      </c>
      <c r="I223" s="5">
        <v>0</v>
      </c>
      <c r="J223" s="9">
        <v>0</v>
      </c>
      <c r="K223" s="8">
        <v>2</v>
      </c>
      <c r="L223" s="5">
        <v>7</v>
      </c>
      <c r="M223" s="5">
        <v>0</v>
      </c>
      <c r="N223" s="9">
        <v>0</v>
      </c>
      <c r="O223" s="8">
        <v>1</v>
      </c>
      <c r="P223" s="5">
        <v>1</v>
      </c>
      <c r="Q223" s="5">
        <v>0</v>
      </c>
      <c r="R223" s="9">
        <v>0</v>
      </c>
      <c r="S223" s="8">
        <v>0</v>
      </c>
      <c r="T223" s="5">
        <v>0</v>
      </c>
    </row>
    <row r="224" spans="1:20" x14ac:dyDescent="0.2">
      <c r="A224" s="5" t="s">
        <v>215</v>
      </c>
      <c r="B224" s="5" t="s">
        <v>162</v>
      </c>
      <c r="C224" s="17" t="s">
        <v>616</v>
      </c>
      <c r="D224" s="7">
        <f t="shared" si="0"/>
        <v>1.8</v>
      </c>
      <c r="E224" s="8">
        <v>0</v>
      </c>
      <c r="F224" s="5">
        <v>0</v>
      </c>
      <c r="G224" s="5">
        <v>0</v>
      </c>
      <c r="H224" s="5">
        <v>0</v>
      </c>
      <c r="I224" s="5">
        <v>0</v>
      </c>
      <c r="J224" s="9">
        <v>0</v>
      </c>
      <c r="K224" s="8">
        <v>4</v>
      </c>
      <c r="L224" s="5">
        <v>3</v>
      </c>
      <c r="M224" s="5">
        <v>0</v>
      </c>
      <c r="N224" s="9">
        <v>0</v>
      </c>
      <c r="O224" s="8">
        <v>1</v>
      </c>
      <c r="P224" s="5">
        <v>5</v>
      </c>
      <c r="Q224" s="5">
        <v>0</v>
      </c>
      <c r="R224" s="9">
        <v>0</v>
      </c>
      <c r="S224" s="8">
        <v>0</v>
      </c>
      <c r="T224" s="5">
        <v>0</v>
      </c>
    </row>
    <row r="225" spans="1:20" x14ac:dyDescent="0.2">
      <c r="A225" s="5" t="s">
        <v>420</v>
      </c>
      <c r="B225" s="5" t="s">
        <v>162</v>
      </c>
      <c r="C225" s="10" t="s">
        <v>614</v>
      </c>
      <c r="D225" s="7">
        <f t="shared" si="0"/>
        <v>1.8</v>
      </c>
      <c r="E225" s="8">
        <v>0</v>
      </c>
      <c r="F225" s="5">
        <v>0</v>
      </c>
      <c r="G225" s="5">
        <v>0</v>
      </c>
      <c r="H225" s="5">
        <v>0</v>
      </c>
      <c r="I225" s="5">
        <v>0</v>
      </c>
      <c r="J225" s="9">
        <v>0</v>
      </c>
      <c r="K225" s="8">
        <v>0</v>
      </c>
      <c r="L225" s="5">
        <v>0</v>
      </c>
      <c r="M225" s="5">
        <v>0</v>
      </c>
      <c r="N225" s="9">
        <v>0</v>
      </c>
      <c r="O225" s="8">
        <v>1</v>
      </c>
      <c r="P225" s="5">
        <v>8</v>
      </c>
      <c r="Q225" s="5">
        <v>0</v>
      </c>
      <c r="R225" s="9">
        <v>0</v>
      </c>
      <c r="S225" s="8">
        <v>0</v>
      </c>
      <c r="T225" s="5">
        <v>0</v>
      </c>
    </row>
    <row r="226" spans="1:20" x14ac:dyDescent="0.2">
      <c r="A226" s="5" t="s">
        <v>482</v>
      </c>
      <c r="B226" s="5" t="s">
        <v>75</v>
      </c>
      <c r="C226" s="17" t="s">
        <v>613</v>
      </c>
      <c r="D226" s="7">
        <f t="shared" si="0"/>
        <v>1.7999999999999998</v>
      </c>
      <c r="E226" s="8">
        <v>0</v>
      </c>
      <c r="F226" s="5">
        <v>0</v>
      </c>
      <c r="G226" s="5">
        <v>0</v>
      </c>
      <c r="H226" s="5">
        <v>0</v>
      </c>
      <c r="I226" s="5">
        <v>0</v>
      </c>
      <c r="J226" s="9">
        <v>0</v>
      </c>
      <c r="K226" s="8">
        <v>4</v>
      </c>
      <c r="L226" s="5">
        <v>9</v>
      </c>
      <c r="M226" s="5">
        <v>0</v>
      </c>
      <c r="N226" s="9">
        <v>0</v>
      </c>
      <c r="O226" s="8">
        <v>1</v>
      </c>
      <c r="P226" s="5">
        <v>-1</v>
      </c>
      <c r="Q226" s="5">
        <v>0</v>
      </c>
      <c r="R226" s="9">
        <v>0</v>
      </c>
      <c r="S226" s="8">
        <v>0</v>
      </c>
      <c r="T226" s="5">
        <v>0</v>
      </c>
    </row>
    <row r="227" spans="1:20" x14ac:dyDescent="0.2">
      <c r="A227" s="5" t="s">
        <v>426</v>
      </c>
      <c r="B227" s="5" t="s">
        <v>75</v>
      </c>
      <c r="C227" s="10" t="s">
        <v>622</v>
      </c>
      <c r="D227" s="7">
        <f t="shared" si="0"/>
        <v>1.7000000000000002</v>
      </c>
      <c r="E227" s="8">
        <v>0</v>
      </c>
      <c r="F227" s="5">
        <v>0</v>
      </c>
      <c r="G227" s="5">
        <v>0</v>
      </c>
      <c r="H227" s="5">
        <v>0</v>
      </c>
      <c r="I227" s="5">
        <v>0</v>
      </c>
      <c r="J227" s="9">
        <v>0</v>
      </c>
      <c r="K227" s="8">
        <v>0</v>
      </c>
      <c r="L227" s="5">
        <v>0</v>
      </c>
      <c r="M227" s="5">
        <v>0</v>
      </c>
      <c r="N227" s="9">
        <v>0</v>
      </c>
      <c r="O227" s="8">
        <v>1</v>
      </c>
      <c r="P227" s="5">
        <v>7</v>
      </c>
      <c r="Q227" s="5">
        <v>0</v>
      </c>
      <c r="R227" s="9">
        <v>0</v>
      </c>
      <c r="S227" s="8">
        <v>0</v>
      </c>
      <c r="T227" s="5">
        <v>0</v>
      </c>
    </row>
    <row r="228" spans="1:20" x14ac:dyDescent="0.2">
      <c r="A228" s="5" t="s">
        <v>233</v>
      </c>
      <c r="B228" s="5" t="s">
        <v>162</v>
      </c>
      <c r="C228" s="17" t="s">
        <v>614</v>
      </c>
      <c r="D228" s="7">
        <f t="shared" si="0"/>
        <v>1.7000000000000002</v>
      </c>
      <c r="E228" s="8">
        <v>0</v>
      </c>
      <c r="F228" s="5">
        <v>0</v>
      </c>
      <c r="G228" s="5">
        <v>0</v>
      </c>
      <c r="H228" s="5">
        <v>0</v>
      </c>
      <c r="I228" s="5">
        <v>0</v>
      </c>
      <c r="J228" s="9">
        <v>0</v>
      </c>
      <c r="K228" s="8">
        <v>0</v>
      </c>
      <c r="L228" s="5">
        <v>0</v>
      </c>
      <c r="M228" s="5">
        <v>0</v>
      </c>
      <c r="N228" s="9">
        <v>0</v>
      </c>
      <c r="O228" s="8">
        <v>1</v>
      </c>
      <c r="P228" s="5">
        <v>7</v>
      </c>
      <c r="Q228" s="5">
        <v>0</v>
      </c>
      <c r="R228" s="9">
        <v>0</v>
      </c>
      <c r="S228" s="8">
        <v>0</v>
      </c>
      <c r="T228" s="5">
        <v>0</v>
      </c>
    </row>
    <row r="229" spans="1:20" x14ac:dyDescent="0.2">
      <c r="A229" s="5" t="s">
        <v>628</v>
      </c>
      <c r="B229" s="5" t="s">
        <v>162</v>
      </c>
      <c r="C229" s="10" t="s">
        <v>622</v>
      </c>
      <c r="D229" s="7">
        <f t="shared" si="0"/>
        <v>1.7000000000000002</v>
      </c>
      <c r="E229" s="8">
        <v>0</v>
      </c>
      <c r="F229" s="5">
        <v>0</v>
      </c>
      <c r="G229" s="5">
        <v>0</v>
      </c>
      <c r="H229" s="5">
        <v>0</v>
      </c>
      <c r="I229" s="5">
        <v>0</v>
      </c>
      <c r="J229" s="9">
        <v>0</v>
      </c>
      <c r="K229" s="8">
        <v>0</v>
      </c>
      <c r="L229" s="5">
        <v>0</v>
      </c>
      <c r="M229" s="5">
        <v>0</v>
      </c>
      <c r="N229" s="9">
        <v>0</v>
      </c>
      <c r="O229" s="8">
        <v>1</v>
      </c>
      <c r="P229" s="5">
        <v>7</v>
      </c>
      <c r="Q229" s="5">
        <v>0</v>
      </c>
      <c r="R229" s="9">
        <v>0</v>
      </c>
      <c r="S229" s="8">
        <v>0</v>
      </c>
      <c r="T229" s="5">
        <v>0</v>
      </c>
    </row>
    <row r="230" spans="1:20" x14ac:dyDescent="0.2">
      <c r="A230" s="5" t="s">
        <v>557</v>
      </c>
      <c r="B230" s="5" t="s">
        <v>162</v>
      </c>
      <c r="C230" s="10" t="s">
        <v>619</v>
      </c>
      <c r="D230" s="7">
        <f t="shared" si="0"/>
        <v>1.7000000000000002</v>
      </c>
      <c r="E230" s="8">
        <v>0</v>
      </c>
      <c r="F230" s="5">
        <v>0</v>
      </c>
      <c r="G230" s="5">
        <v>0</v>
      </c>
      <c r="H230" s="5">
        <v>0</v>
      </c>
      <c r="I230" s="5">
        <v>0</v>
      </c>
      <c r="J230" s="9">
        <v>0</v>
      </c>
      <c r="K230" s="8">
        <v>0</v>
      </c>
      <c r="L230" s="5">
        <v>0</v>
      </c>
      <c r="M230" s="5">
        <v>0</v>
      </c>
      <c r="N230" s="9">
        <v>0</v>
      </c>
      <c r="O230" s="8">
        <v>1</v>
      </c>
      <c r="P230" s="5">
        <v>7</v>
      </c>
      <c r="Q230" s="5">
        <v>0</v>
      </c>
      <c r="R230" s="9">
        <v>0</v>
      </c>
      <c r="S230" s="8">
        <v>0</v>
      </c>
      <c r="T230" s="5">
        <v>0</v>
      </c>
    </row>
    <row r="231" spans="1:20" x14ac:dyDescent="0.2">
      <c r="A231" s="5" t="s">
        <v>373</v>
      </c>
      <c r="B231" s="5" t="s">
        <v>69</v>
      </c>
      <c r="C231" s="10" t="s">
        <v>624</v>
      </c>
      <c r="D231" s="7">
        <f t="shared" si="0"/>
        <v>1.7000000000000002</v>
      </c>
      <c r="E231" s="8">
        <v>0</v>
      </c>
      <c r="F231" s="5">
        <v>0</v>
      </c>
      <c r="G231" s="5">
        <v>0</v>
      </c>
      <c r="H231" s="5">
        <v>0</v>
      </c>
      <c r="I231" s="5">
        <v>0</v>
      </c>
      <c r="J231" s="9">
        <v>0</v>
      </c>
      <c r="K231" s="8">
        <v>0</v>
      </c>
      <c r="L231" s="5">
        <v>0</v>
      </c>
      <c r="M231" s="5">
        <v>0</v>
      </c>
      <c r="N231" s="9">
        <v>0</v>
      </c>
      <c r="O231" s="8">
        <v>1</v>
      </c>
      <c r="P231" s="5">
        <v>7</v>
      </c>
      <c r="Q231" s="5">
        <v>0</v>
      </c>
      <c r="R231" s="9">
        <v>0</v>
      </c>
      <c r="S231" s="8">
        <v>0</v>
      </c>
      <c r="T231" s="5">
        <v>0</v>
      </c>
    </row>
    <row r="232" spans="1:20" x14ac:dyDescent="0.2">
      <c r="A232" s="5" t="s">
        <v>477</v>
      </c>
      <c r="B232" s="5" t="s">
        <v>69</v>
      </c>
      <c r="C232" s="10" t="s">
        <v>622</v>
      </c>
      <c r="D232" s="7">
        <f t="shared" si="0"/>
        <v>1.7000000000000002</v>
      </c>
      <c r="E232" s="8">
        <v>0</v>
      </c>
      <c r="F232" s="5">
        <v>0</v>
      </c>
      <c r="G232" s="5">
        <v>0</v>
      </c>
      <c r="H232" s="5">
        <v>0</v>
      </c>
      <c r="I232" s="5">
        <v>0</v>
      </c>
      <c r="J232" s="9">
        <v>0</v>
      </c>
      <c r="K232" s="8">
        <v>0</v>
      </c>
      <c r="L232" s="5">
        <v>0</v>
      </c>
      <c r="M232" s="5">
        <v>0</v>
      </c>
      <c r="N232" s="9">
        <v>0</v>
      </c>
      <c r="O232" s="8">
        <v>1</v>
      </c>
      <c r="P232" s="5">
        <v>7</v>
      </c>
      <c r="Q232" s="5">
        <v>0</v>
      </c>
      <c r="R232" s="9">
        <v>0</v>
      </c>
      <c r="S232" s="8">
        <v>0</v>
      </c>
      <c r="T232" s="5">
        <v>0</v>
      </c>
    </row>
    <row r="233" spans="1:20" x14ac:dyDescent="0.2">
      <c r="A233" s="5" t="s">
        <v>492</v>
      </c>
      <c r="B233" s="5" t="s">
        <v>69</v>
      </c>
      <c r="C233" s="10" t="s">
        <v>620</v>
      </c>
      <c r="D233" s="7">
        <f t="shared" si="0"/>
        <v>1.7000000000000002</v>
      </c>
      <c r="E233" s="8">
        <v>0</v>
      </c>
      <c r="F233" s="5">
        <v>0</v>
      </c>
      <c r="G233" s="5">
        <v>0</v>
      </c>
      <c r="H233" s="5">
        <v>0</v>
      </c>
      <c r="I233" s="5">
        <v>0</v>
      </c>
      <c r="J233" s="9">
        <v>0</v>
      </c>
      <c r="K233" s="8">
        <v>0</v>
      </c>
      <c r="L233" s="5">
        <v>0</v>
      </c>
      <c r="M233" s="5">
        <v>0</v>
      </c>
      <c r="N233" s="9">
        <v>0</v>
      </c>
      <c r="O233" s="8">
        <v>1</v>
      </c>
      <c r="P233" s="5">
        <v>7</v>
      </c>
      <c r="Q233" s="5">
        <v>0</v>
      </c>
      <c r="R233" s="9">
        <v>0</v>
      </c>
      <c r="S233" s="8">
        <v>0</v>
      </c>
      <c r="T233" s="5">
        <v>0</v>
      </c>
    </row>
    <row r="234" spans="1:20" x14ac:dyDescent="0.2">
      <c r="A234" s="5" t="s">
        <v>381</v>
      </c>
      <c r="B234" s="5" t="s">
        <v>162</v>
      </c>
      <c r="C234" s="10" t="s">
        <v>620</v>
      </c>
      <c r="D234" s="7">
        <f t="shared" si="0"/>
        <v>1.6</v>
      </c>
      <c r="E234" s="8">
        <v>0</v>
      </c>
      <c r="F234" s="5">
        <v>0</v>
      </c>
      <c r="G234" s="5">
        <v>0</v>
      </c>
      <c r="H234" s="5">
        <v>0</v>
      </c>
      <c r="I234" s="5">
        <v>0</v>
      </c>
      <c r="J234" s="9">
        <v>0</v>
      </c>
      <c r="K234" s="8">
        <v>0</v>
      </c>
      <c r="L234" s="5">
        <v>0</v>
      </c>
      <c r="M234" s="5">
        <v>0</v>
      </c>
      <c r="N234" s="9">
        <v>0</v>
      </c>
      <c r="O234" s="8">
        <v>1</v>
      </c>
      <c r="P234" s="5">
        <v>6</v>
      </c>
      <c r="Q234" s="5">
        <v>0</v>
      </c>
      <c r="R234" s="9">
        <v>0</v>
      </c>
      <c r="S234" s="8">
        <v>0</v>
      </c>
      <c r="T234" s="5">
        <v>0</v>
      </c>
    </row>
    <row r="235" spans="1:20" x14ac:dyDescent="0.2">
      <c r="A235" s="5" t="s">
        <v>560</v>
      </c>
      <c r="B235" s="5" t="s">
        <v>162</v>
      </c>
      <c r="C235" s="17" t="s">
        <v>624</v>
      </c>
      <c r="D235" s="7">
        <f t="shared" si="0"/>
        <v>1.6</v>
      </c>
      <c r="E235" s="8">
        <v>0</v>
      </c>
      <c r="F235" s="5">
        <v>0</v>
      </c>
      <c r="G235" s="5">
        <v>0</v>
      </c>
      <c r="H235" s="5">
        <v>0</v>
      </c>
      <c r="I235" s="5">
        <v>0</v>
      </c>
      <c r="J235" s="9">
        <v>0</v>
      </c>
      <c r="K235" s="8">
        <v>0</v>
      </c>
      <c r="L235" s="5">
        <v>0</v>
      </c>
      <c r="M235" s="5">
        <v>0</v>
      </c>
      <c r="N235" s="9">
        <v>0</v>
      </c>
      <c r="O235" s="8">
        <v>1</v>
      </c>
      <c r="P235" s="5">
        <v>6</v>
      </c>
      <c r="Q235" s="5">
        <v>0</v>
      </c>
      <c r="R235" s="9">
        <v>0</v>
      </c>
      <c r="S235" s="8">
        <v>0</v>
      </c>
      <c r="T235" s="5">
        <v>0</v>
      </c>
    </row>
    <row r="236" spans="1:20" x14ac:dyDescent="0.2">
      <c r="A236" s="5" t="s">
        <v>318</v>
      </c>
      <c r="B236" s="5" t="s">
        <v>69</v>
      </c>
      <c r="C236" s="17" t="s">
        <v>623</v>
      </c>
      <c r="D236" s="7">
        <f t="shared" si="0"/>
        <v>1.6</v>
      </c>
      <c r="E236" s="8">
        <v>0</v>
      </c>
      <c r="F236" s="5">
        <v>0</v>
      </c>
      <c r="G236" s="5">
        <v>0</v>
      </c>
      <c r="H236" s="5">
        <v>0</v>
      </c>
      <c r="I236" s="5">
        <v>0</v>
      </c>
      <c r="J236" s="9">
        <v>0</v>
      </c>
      <c r="K236" s="8">
        <v>0</v>
      </c>
      <c r="L236" s="5">
        <v>0</v>
      </c>
      <c r="M236" s="5">
        <v>0</v>
      </c>
      <c r="N236" s="9">
        <v>0</v>
      </c>
      <c r="O236" s="8">
        <v>1</v>
      </c>
      <c r="P236" s="5">
        <v>6</v>
      </c>
      <c r="Q236" s="5">
        <v>0</v>
      </c>
      <c r="R236" s="9">
        <v>0</v>
      </c>
      <c r="S236" s="8">
        <v>0</v>
      </c>
      <c r="T236" s="5">
        <v>0</v>
      </c>
    </row>
    <row r="237" spans="1:20" x14ac:dyDescent="0.2">
      <c r="A237" s="5" t="s">
        <v>554</v>
      </c>
      <c r="B237" s="5" t="s">
        <v>75</v>
      </c>
      <c r="C237" s="10" t="s">
        <v>625</v>
      </c>
      <c r="D237" s="7">
        <f t="shared" si="0"/>
        <v>1.5</v>
      </c>
      <c r="E237" s="8">
        <v>0</v>
      </c>
      <c r="F237" s="5">
        <v>0</v>
      </c>
      <c r="G237" s="5">
        <v>0</v>
      </c>
      <c r="H237" s="5">
        <v>0</v>
      </c>
      <c r="I237" s="5">
        <v>0</v>
      </c>
      <c r="J237" s="9">
        <v>0</v>
      </c>
      <c r="K237" s="8">
        <v>1</v>
      </c>
      <c r="L237" s="5">
        <v>0</v>
      </c>
      <c r="M237" s="5">
        <v>0</v>
      </c>
      <c r="N237" s="9">
        <v>0</v>
      </c>
      <c r="O237" s="8">
        <v>1</v>
      </c>
      <c r="P237" s="5">
        <v>5</v>
      </c>
      <c r="Q237" s="5">
        <v>0</v>
      </c>
      <c r="R237" s="9">
        <v>0</v>
      </c>
      <c r="S237" s="8">
        <v>0</v>
      </c>
      <c r="T237" s="5">
        <v>0</v>
      </c>
    </row>
    <row r="238" spans="1:20" x14ac:dyDescent="0.2">
      <c r="A238" s="5" t="s">
        <v>242</v>
      </c>
      <c r="B238" s="5" t="s">
        <v>162</v>
      </c>
      <c r="C238" s="10" t="s">
        <v>625</v>
      </c>
      <c r="D238" s="7">
        <f t="shared" si="0"/>
        <v>1.5</v>
      </c>
      <c r="E238" s="8">
        <v>0</v>
      </c>
      <c r="F238" s="5">
        <v>0</v>
      </c>
      <c r="G238" s="5">
        <v>0</v>
      </c>
      <c r="H238" s="5">
        <v>0</v>
      </c>
      <c r="I238" s="5">
        <v>0</v>
      </c>
      <c r="J238" s="9">
        <v>0</v>
      </c>
      <c r="K238" s="8">
        <v>0</v>
      </c>
      <c r="L238" s="5">
        <v>0</v>
      </c>
      <c r="M238" s="5">
        <v>0</v>
      </c>
      <c r="N238" s="9">
        <v>0</v>
      </c>
      <c r="O238" s="8">
        <v>1</v>
      </c>
      <c r="P238" s="5">
        <v>5</v>
      </c>
      <c r="Q238" s="5">
        <v>0</v>
      </c>
      <c r="R238" s="9">
        <v>0</v>
      </c>
      <c r="S238" s="8">
        <v>0</v>
      </c>
      <c r="T238" s="5">
        <v>0</v>
      </c>
    </row>
    <row r="239" spans="1:20" x14ac:dyDescent="0.2">
      <c r="A239" s="5" t="s">
        <v>160</v>
      </c>
      <c r="B239" s="5" t="s">
        <v>75</v>
      </c>
      <c r="C239" s="10" t="s">
        <v>617</v>
      </c>
      <c r="D239" s="7">
        <f t="shared" si="0"/>
        <v>1.3</v>
      </c>
      <c r="E239" s="8">
        <v>0</v>
      </c>
      <c r="F239" s="5">
        <v>0</v>
      </c>
      <c r="G239" s="5">
        <v>0</v>
      </c>
      <c r="H239" s="5">
        <v>0</v>
      </c>
      <c r="I239" s="5">
        <v>0</v>
      </c>
      <c r="J239" s="9">
        <v>0</v>
      </c>
      <c r="K239" s="8">
        <v>3</v>
      </c>
      <c r="L239" s="5">
        <v>13</v>
      </c>
      <c r="M239" s="5">
        <v>0</v>
      </c>
      <c r="N239" s="9">
        <v>0</v>
      </c>
      <c r="O239" s="8">
        <v>0</v>
      </c>
      <c r="P239" s="5">
        <v>0</v>
      </c>
      <c r="Q239" s="5">
        <v>0</v>
      </c>
      <c r="R239" s="9">
        <v>0</v>
      </c>
      <c r="S239" s="8">
        <v>0</v>
      </c>
      <c r="T239" s="5">
        <v>0</v>
      </c>
    </row>
    <row r="240" spans="1:20" x14ac:dyDescent="0.2">
      <c r="A240" s="5" t="s">
        <v>528</v>
      </c>
      <c r="B240" s="5" t="s">
        <v>75</v>
      </c>
      <c r="C240" s="10" t="s">
        <v>615</v>
      </c>
      <c r="D240" s="7">
        <f t="shared" si="0"/>
        <v>1.3</v>
      </c>
      <c r="E240" s="8">
        <v>0</v>
      </c>
      <c r="F240" s="5">
        <v>0</v>
      </c>
      <c r="G240" s="5">
        <v>0</v>
      </c>
      <c r="H240" s="5">
        <v>0</v>
      </c>
      <c r="I240" s="5">
        <v>0</v>
      </c>
      <c r="J240" s="9">
        <v>0</v>
      </c>
      <c r="K240" s="8">
        <v>1</v>
      </c>
      <c r="L240" s="5">
        <v>0</v>
      </c>
      <c r="M240" s="5">
        <v>0</v>
      </c>
      <c r="N240" s="9">
        <v>0</v>
      </c>
      <c r="O240" s="8">
        <v>1</v>
      </c>
      <c r="P240" s="5">
        <v>3</v>
      </c>
      <c r="Q240" s="5">
        <v>0</v>
      </c>
      <c r="R240" s="9">
        <v>0</v>
      </c>
      <c r="S240" s="8">
        <v>0</v>
      </c>
      <c r="T240" s="5">
        <v>0</v>
      </c>
    </row>
    <row r="241" spans="1:20" x14ac:dyDescent="0.2">
      <c r="A241" s="5" t="s">
        <v>495</v>
      </c>
      <c r="B241" s="5" t="s">
        <v>162</v>
      </c>
      <c r="C241" s="10" t="s">
        <v>616</v>
      </c>
      <c r="D241" s="7">
        <f t="shared" si="0"/>
        <v>1.3</v>
      </c>
      <c r="E241" s="8">
        <v>0</v>
      </c>
      <c r="F241" s="5">
        <v>0</v>
      </c>
      <c r="G241" s="5">
        <v>0</v>
      </c>
      <c r="H241" s="5">
        <v>0</v>
      </c>
      <c r="I241" s="5">
        <v>0</v>
      </c>
      <c r="J241" s="9">
        <v>0</v>
      </c>
      <c r="K241" s="8">
        <v>0</v>
      </c>
      <c r="L241" s="5">
        <v>0</v>
      </c>
      <c r="M241" s="5">
        <v>0</v>
      </c>
      <c r="N241" s="9">
        <v>0</v>
      </c>
      <c r="O241" s="8">
        <v>1</v>
      </c>
      <c r="P241" s="5">
        <v>3</v>
      </c>
      <c r="Q241" s="5">
        <v>0</v>
      </c>
      <c r="R241" s="9">
        <v>0</v>
      </c>
      <c r="S241" s="8">
        <v>0</v>
      </c>
      <c r="T241" s="5">
        <v>0</v>
      </c>
    </row>
    <row r="242" spans="1:20" x14ac:dyDescent="0.2">
      <c r="A242" s="5" t="s">
        <v>260</v>
      </c>
      <c r="B242" s="5" t="s">
        <v>162</v>
      </c>
      <c r="C242" s="10" t="s">
        <v>613</v>
      </c>
      <c r="D242" s="7">
        <f t="shared" si="0"/>
        <v>1.2000000000000002</v>
      </c>
      <c r="E242" s="8">
        <v>0</v>
      </c>
      <c r="F242" s="5">
        <v>0</v>
      </c>
      <c r="G242" s="5">
        <v>0</v>
      </c>
      <c r="H242" s="5">
        <v>0</v>
      </c>
      <c r="I242" s="5">
        <v>0</v>
      </c>
      <c r="J242" s="9">
        <v>0</v>
      </c>
      <c r="K242" s="8">
        <v>1</v>
      </c>
      <c r="L242" s="5">
        <v>12</v>
      </c>
      <c r="M242" s="5">
        <v>0</v>
      </c>
      <c r="N242" s="9">
        <v>0</v>
      </c>
      <c r="O242" s="8">
        <v>0</v>
      </c>
      <c r="P242" s="5">
        <v>0</v>
      </c>
      <c r="Q242" s="5">
        <v>0</v>
      </c>
      <c r="R242" s="9">
        <v>0</v>
      </c>
      <c r="S242" s="8">
        <v>0</v>
      </c>
      <c r="T242" s="5">
        <v>0</v>
      </c>
    </row>
    <row r="243" spans="1:20" x14ac:dyDescent="0.2">
      <c r="A243" s="5" t="s">
        <v>377</v>
      </c>
      <c r="B243" s="5" t="s">
        <v>162</v>
      </c>
      <c r="C243" s="17" t="s">
        <v>625</v>
      </c>
      <c r="D243" s="7">
        <f t="shared" si="0"/>
        <v>1.2000000000000002</v>
      </c>
      <c r="E243" s="8">
        <v>0</v>
      </c>
      <c r="F243" s="5">
        <v>0</v>
      </c>
      <c r="G243" s="5">
        <v>0</v>
      </c>
      <c r="H243" s="5">
        <v>0</v>
      </c>
      <c r="I243" s="5">
        <v>0</v>
      </c>
      <c r="J243" s="9">
        <v>0</v>
      </c>
      <c r="K243" s="8">
        <v>0</v>
      </c>
      <c r="L243" s="5">
        <v>0</v>
      </c>
      <c r="M243" s="5">
        <v>0</v>
      </c>
      <c r="N243" s="9">
        <v>0</v>
      </c>
      <c r="O243" s="8">
        <v>2</v>
      </c>
      <c r="P243" s="5">
        <v>12</v>
      </c>
      <c r="Q243" s="5">
        <v>0</v>
      </c>
      <c r="R243" s="9">
        <v>0</v>
      </c>
      <c r="S243" s="8">
        <v>1</v>
      </c>
      <c r="T243" s="5">
        <v>0</v>
      </c>
    </row>
    <row r="244" spans="1:20" x14ac:dyDescent="0.2">
      <c r="A244" s="5" t="s">
        <v>340</v>
      </c>
      <c r="B244" s="5" t="s">
        <v>162</v>
      </c>
      <c r="C244" s="10" t="s">
        <v>623</v>
      </c>
      <c r="D244" s="7">
        <f t="shared" si="0"/>
        <v>1.2</v>
      </c>
      <c r="E244" s="8">
        <v>0</v>
      </c>
      <c r="F244" s="5">
        <v>0</v>
      </c>
      <c r="G244" s="5">
        <v>0</v>
      </c>
      <c r="H244" s="5">
        <v>0</v>
      </c>
      <c r="I244" s="5">
        <v>0</v>
      </c>
      <c r="J244" s="9">
        <v>0</v>
      </c>
      <c r="K244" s="8">
        <v>0</v>
      </c>
      <c r="L244" s="5">
        <v>0</v>
      </c>
      <c r="M244" s="5">
        <v>0</v>
      </c>
      <c r="N244" s="9">
        <v>0</v>
      </c>
      <c r="O244" s="8">
        <v>1</v>
      </c>
      <c r="P244" s="5">
        <v>2</v>
      </c>
      <c r="Q244" s="5">
        <v>0</v>
      </c>
      <c r="R244" s="9">
        <v>0</v>
      </c>
      <c r="S244" s="8">
        <v>0</v>
      </c>
      <c r="T244" s="5">
        <v>0</v>
      </c>
    </row>
    <row r="245" spans="1:20" x14ac:dyDescent="0.2">
      <c r="A245" s="5" t="s">
        <v>629</v>
      </c>
      <c r="B245" s="5" t="s">
        <v>162</v>
      </c>
      <c r="C245" s="17" t="s">
        <v>616</v>
      </c>
      <c r="D245" s="7">
        <f t="shared" si="0"/>
        <v>1.2</v>
      </c>
      <c r="E245" s="8">
        <v>0</v>
      </c>
      <c r="F245" s="5">
        <v>0</v>
      </c>
      <c r="G245" s="5">
        <v>0</v>
      </c>
      <c r="H245" s="5">
        <v>0</v>
      </c>
      <c r="I245" s="5">
        <v>0</v>
      </c>
      <c r="J245" s="9">
        <v>0</v>
      </c>
      <c r="K245" s="8">
        <v>0</v>
      </c>
      <c r="L245" s="5">
        <v>0</v>
      </c>
      <c r="M245" s="5">
        <v>0</v>
      </c>
      <c r="N245" s="9">
        <v>0</v>
      </c>
      <c r="O245" s="8">
        <v>1</v>
      </c>
      <c r="P245" s="5">
        <v>2</v>
      </c>
      <c r="Q245" s="5">
        <v>0</v>
      </c>
      <c r="R245" s="9">
        <v>0</v>
      </c>
      <c r="S245" s="8">
        <v>0</v>
      </c>
      <c r="T245" s="5">
        <v>0</v>
      </c>
    </row>
    <row r="246" spans="1:20" x14ac:dyDescent="0.2">
      <c r="A246" s="5" t="s">
        <v>356</v>
      </c>
      <c r="B246" s="5" t="s">
        <v>75</v>
      </c>
      <c r="C246" s="10" t="s">
        <v>616</v>
      </c>
      <c r="D246" s="7">
        <f t="shared" si="0"/>
        <v>1.1999999999999997</v>
      </c>
      <c r="E246" s="8">
        <v>0</v>
      </c>
      <c r="F246" s="5">
        <v>0</v>
      </c>
      <c r="G246" s="5">
        <v>0</v>
      </c>
      <c r="H246" s="5">
        <v>0</v>
      </c>
      <c r="I246" s="5">
        <v>0</v>
      </c>
      <c r="J246" s="9">
        <v>0</v>
      </c>
      <c r="K246" s="8">
        <v>3</v>
      </c>
      <c r="L246" s="5">
        <v>9</v>
      </c>
      <c r="M246" s="5">
        <v>0</v>
      </c>
      <c r="N246" s="9">
        <v>0</v>
      </c>
      <c r="O246" s="8">
        <v>1</v>
      </c>
      <c r="P246" s="5">
        <v>-7</v>
      </c>
      <c r="Q246" s="5">
        <v>0</v>
      </c>
      <c r="R246" s="9">
        <v>0</v>
      </c>
      <c r="S246" s="8">
        <v>0</v>
      </c>
      <c r="T246" s="5">
        <v>0</v>
      </c>
    </row>
    <row r="247" spans="1:20" x14ac:dyDescent="0.2">
      <c r="A247" s="5" t="s">
        <v>118</v>
      </c>
      <c r="B247" s="5" t="s">
        <v>75</v>
      </c>
      <c r="C247" s="17" t="s">
        <v>626</v>
      </c>
      <c r="D247" s="7">
        <f t="shared" si="0"/>
        <v>1.1000000000000001</v>
      </c>
      <c r="E247" s="8">
        <v>0</v>
      </c>
      <c r="F247" s="5">
        <v>0</v>
      </c>
      <c r="G247" s="5">
        <v>0</v>
      </c>
      <c r="H247" s="5">
        <v>0</v>
      </c>
      <c r="I247" s="5">
        <v>0</v>
      </c>
      <c r="J247" s="9">
        <v>0</v>
      </c>
      <c r="K247" s="8">
        <v>0</v>
      </c>
      <c r="L247" s="5">
        <v>0</v>
      </c>
      <c r="M247" s="5">
        <v>0</v>
      </c>
      <c r="N247" s="9">
        <v>0</v>
      </c>
      <c r="O247" s="8">
        <v>1</v>
      </c>
      <c r="P247" s="5">
        <v>1</v>
      </c>
      <c r="Q247" s="5">
        <v>0</v>
      </c>
      <c r="R247" s="9">
        <v>0</v>
      </c>
      <c r="S247" s="8">
        <v>0</v>
      </c>
      <c r="T247" s="5">
        <v>0</v>
      </c>
    </row>
    <row r="248" spans="1:20" x14ac:dyDescent="0.2">
      <c r="A248" s="5" t="s">
        <v>202</v>
      </c>
      <c r="B248" s="5" t="s">
        <v>162</v>
      </c>
      <c r="C248" s="10" t="s">
        <v>620</v>
      </c>
      <c r="D248" s="7">
        <f t="shared" si="0"/>
        <v>1</v>
      </c>
      <c r="E248" s="8">
        <v>0</v>
      </c>
      <c r="F248" s="5">
        <v>0</v>
      </c>
      <c r="G248" s="5">
        <v>0</v>
      </c>
      <c r="H248" s="5">
        <v>0</v>
      </c>
      <c r="I248" s="5">
        <v>0</v>
      </c>
      <c r="J248" s="9">
        <v>0</v>
      </c>
      <c r="K248" s="8">
        <v>2</v>
      </c>
      <c r="L248" s="5">
        <v>10</v>
      </c>
      <c r="M248" s="5">
        <v>0</v>
      </c>
      <c r="N248" s="9">
        <v>0</v>
      </c>
      <c r="O248" s="8">
        <v>0</v>
      </c>
      <c r="P248" s="5">
        <v>0</v>
      </c>
      <c r="Q248" s="5">
        <v>0</v>
      </c>
      <c r="R248" s="9">
        <v>0</v>
      </c>
      <c r="S248" s="8">
        <v>0</v>
      </c>
      <c r="T248" s="5">
        <v>0</v>
      </c>
    </row>
    <row r="249" spans="1:20" x14ac:dyDescent="0.2">
      <c r="A249" s="5" t="s">
        <v>258</v>
      </c>
      <c r="B249" s="5" t="s">
        <v>162</v>
      </c>
      <c r="C249" s="17" t="s">
        <v>622</v>
      </c>
      <c r="D249" s="7">
        <f t="shared" si="0"/>
        <v>1</v>
      </c>
      <c r="E249" s="8">
        <v>0</v>
      </c>
      <c r="F249" s="5">
        <v>0</v>
      </c>
      <c r="G249" s="5">
        <v>0</v>
      </c>
      <c r="H249" s="5">
        <v>0</v>
      </c>
      <c r="I249" s="5">
        <v>0</v>
      </c>
      <c r="J249" s="9">
        <v>0</v>
      </c>
      <c r="K249" s="8">
        <v>0</v>
      </c>
      <c r="L249" s="5">
        <v>0</v>
      </c>
      <c r="M249" s="5">
        <v>0</v>
      </c>
      <c r="N249" s="9">
        <v>0</v>
      </c>
      <c r="O249" s="8">
        <v>1</v>
      </c>
      <c r="P249" s="5">
        <v>0</v>
      </c>
      <c r="Q249" s="5">
        <v>0</v>
      </c>
      <c r="R249" s="9">
        <v>0</v>
      </c>
      <c r="S249" s="8">
        <v>0</v>
      </c>
      <c r="T249" s="5">
        <v>0</v>
      </c>
    </row>
    <row r="250" spans="1:20" x14ac:dyDescent="0.2">
      <c r="A250" s="5" t="s">
        <v>354</v>
      </c>
      <c r="B250" s="5" t="s">
        <v>69</v>
      </c>
      <c r="C250" s="17" t="s">
        <v>614</v>
      </c>
      <c r="D250" s="7">
        <f t="shared" si="0"/>
        <v>1</v>
      </c>
      <c r="E250" s="8">
        <v>0</v>
      </c>
      <c r="F250" s="5">
        <v>0</v>
      </c>
      <c r="G250" s="5">
        <v>0</v>
      </c>
      <c r="H250" s="5">
        <v>0</v>
      </c>
      <c r="I250" s="5">
        <v>0</v>
      </c>
      <c r="J250" s="9">
        <v>0</v>
      </c>
      <c r="K250" s="8">
        <v>0</v>
      </c>
      <c r="L250" s="5">
        <v>0</v>
      </c>
      <c r="M250" s="5">
        <v>0</v>
      </c>
      <c r="N250" s="9">
        <v>0</v>
      </c>
      <c r="O250" s="8">
        <v>1</v>
      </c>
      <c r="P250" s="5">
        <v>0</v>
      </c>
      <c r="Q250" s="5">
        <v>0</v>
      </c>
      <c r="R250" s="9">
        <v>0</v>
      </c>
      <c r="S250" s="8">
        <v>0</v>
      </c>
      <c r="T250" s="5">
        <v>0</v>
      </c>
    </row>
    <row r="251" spans="1:20" x14ac:dyDescent="0.2">
      <c r="A251" s="5" t="s">
        <v>134</v>
      </c>
      <c r="B251" s="5" t="s">
        <v>75</v>
      </c>
      <c r="C251" s="17" t="s">
        <v>614</v>
      </c>
      <c r="D251" s="7">
        <f t="shared" si="0"/>
        <v>0.8</v>
      </c>
      <c r="E251" s="8">
        <v>0</v>
      </c>
      <c r="F251" s="5">
        <v>0</v>
      </c>
      <c r="G251" s="5">
        <v>0</v>
      </c>
      <c r="H251" s="5">
        <v>0</v>
      </c>
      <c r="I251" s="5">
        <v>0</v>
      </c>
      <c r="J251" s="9">
        <v>0</v>
      </c>
      <c r="K251" s="8">
        <v>2</v>
      </c>
      <c r="L251" s="5">
        <v>8</v>
      </c>
      <c r="M251" s="5">
        <v>0</v>
      </c>
      <c r="N251" s="9">
        <v>0</v>
      </c>
      <c r="O251" s="8">
        <v>0</v>
      </c>
      <c r="P251" s="5">
        <v>0</v>
      </c>
      <c r="Q251" s="5">
        <v>0</v>
      </c>
      <c r="R251" s="9">
        <v>0</v>
      </c>
      <c r="S251" s="8">
        <v>0</v>
      </c>
      <c r="T251" s="5">
        <v>0</v>
      </c>
    </row>
    <row r="252" spans="1:20" x14ac:dyDescent="0.2">
      <c r="A252" s="5" t="s">
        <v>155</v>
      </c>
      <c r="B252" s="5" t="s">
        <v>75</v>
      </c>
      <c r="C252" s="17" t="s">
        <v>616</v>
      </c>
      <c r="D252" s="7">
        <f t="shared" si="0"/>
        <v>0.8</v>
      </c>
      <c r="E252" s="8">
        <v>0</v>
      </c>
      <c r="F252" s="5">
        <v>0</v>
      </c>
      <c r="G252" s="5">
        <v>0</v>
      </c>
      <c r="H252" s="5">
        <v>0</v>
      </c>
      <c r="I252" s="5">
        <v>0</v>
      </c>
      <c r="J252" s="9">
        <v>0</v>
      </c>
      <c r="K252" s="8">
        <v>9</v>
      </c>
      <c r="L252" s="5">
        <v>8</v>
      </c>
      <c r="M252" s="5">
        <v>0</v>
      </c>
      <c r="N252" s="9">
        <v>0</v>
      </c>
      <c r="O252" s="8">
        <v>0</v>
      </c>
      <c r="P252" s="5">
        <v>0</v>
      </c>
      <c r="Q252" s="5">
        <v>0</v>
      </c>
      <c r="R252" s="9">
        <v>0</v>
      </c>
      <c r="S252" s="8">
        <v>0</v>
      </c>
      <c r="T252" s="5">
        <v>0</v>
      </c>
    </row>
    <row r="253" spans="1:20" x14ac:dyDescent="0.2">
      <c r="A253" s="5" t="s">
        <v>374</v>
      </c>
      <c r="B253" s="5" t="s">
        <v>75</v>
      </c>
      <c r="C253" s="10" t="s">
        <v>614</v>
      </c>
      <c r="D253" s="7">
        <f t="shared" si="0"/>
        <v>0.8</v>
      </c>
      <c r="E253" s="8">
        <v>0</v>
      </c>
      <c r="F253" s="5">
        <v>0</v>
      </c>
      <c r="G253" s="5">
        <v>0</v>
      </c>
      <c r="H253" s="5">
        <v>0</v>
      </c>
      <c r="I253" s="5">
        <v>0</v>
      </c>
      <c r="J253" s="9">
        <v>0</v>
      </c>
      <c r="K253" s="8">
        <v>2</v>
      </c>
      <c r="L253" s="5">
        <v>8</v>
      </c>
      <c r="M253" s="5">
        <v>0</v>
      </c>
      <c r="N253" s="9">
        <v>0</v>
      </c>
      <c r="O253" s="8">
        <v>0</v>
      </c>
      <c r="P253" s="5">
        <v>0</v>
      </c>
      <c r="Q253" s="5">
        <v>0</v>
      </c>
      <c r="R253" s="9">
        <v>0</v>
      </c>
      <c r="S253" s="8">
        <v>0</v>
      </c>
      <c r="T253" s="5">
        <v>0</v>
      </c>
    </row>
    <row r="254" spans="1:20" x14ac:dyDescent="0.2">
      <c r="A254" s="5" t="s">
        <v>351</v>
      </c>
      <c r="B254" s="5" t="s">
        <v>69</v>
      </c>
      <c r="C254" s="17" t="s">
        <v>619</v>
      </c>
      <c r="D254" s="7">
        <f t="shared" si="0"/>
        <v>0.5</v>
      </c>
      <c r="E254" s="8">
        <v>0</v>
      </c>
      <c r="F254" s="5">
        <v>0</v>
      </c>
      <c r="G254" s="5">
        <v>0</v>
      </c>
      <c r="H254" s="5">
        <v>0</v>
      </c>
      <c r="I254" s="5">
        <v>0</v>
      </c>
      <c r="J254" s="9">
        <v>0</v>
      </c>
      <c r="K254" s="8">
        <v>0</v>
      </c>
      <c r="L254" s="5">
        <v>0</v>
      </c>
      <c r="M254" s="5">
        <v>0</v>
      </c>
      <c r="N254" s="9">
        <v>0</v>
      </c>
      <c r="O254" s="8">
        <v>1</v>
      </c>
      <c r="P254" s="5">
        <v>-5</v>
      </c>
      <c r="Q254" s="5">
        <v>0</v>
      </c>
      <c r="R254" s="9">
        <v>0</v>
      </c>
      <c r="S254" s="8">
        <v>0</v>
      </c>
      <c r="T254" s="5">
        <v>0</v>
      </c>
    </row>
    <row r="255" spans="1:20" x14ac:dyDescent="0.2">
      <c r="A255" s="5" t="s">
        <v>154</v>
      </c>
      <c r="B255" s="5" t="s">
        <v>75</v>
      </c>
      <c r="C255" s="17" t="s">
        <v>613</v>
      </c>
      <c r="D255" s="7">
        <f t="shared" si="0"/>
        <v>0.4</v>
      </c>
      <c r="E255" s="8">
        <v>0</v>
      </c>
      <c r="F255" s="5">
        <v>0</v>
      </c>
      <c r="G255" s="5">
        <v>0</v>
      </c>
      <c r="H255" s="5">
        <v>0</v>
      </c>
      <c r="I255" s="5">
        <v>0</v>
      </c>
      <c r="J255" s="9">
        <v>0</v>
      </c>
      <c r="K255" s="8">
        <v>3</v>
      </c>
      <c r="L255" s="5">
        <v>-5</v>
      </c>
      <c r="M255" s="5">
        <v>0</v>
      </c>
      <c r="N255" s="9">
        <v>0</v>
      </c>
      <c r="O255" s="8">
        <v>1</v>
      </c>
      <c r="P255" s="5">
        <v>-1</v>
      </c>
      <c r="Q255" s="5">
        <v>0</v>
      </c>
      <c r="R255" s="9">
        <v>0</v>
      </c>
      <c r="S255" s="8">
        <v>0</v>
      </c>
      <c r="T255" s="5">
        <v>0</v>
      </c>
    </row>
    <row r="256" spans="1:20" x14ac:dyDescent="0.2">
      <c r="A256" s="5" t="s">
        <v>121</v>
      </c>
      <c r="B256" s="5" t="s">
        <v>75</v>
      </c>
      <c r="C256" s="10" t="s">
        <v>613</v>
      </c>
      <c r="D256" s="7">
        <f t="shared" si="0"/>
        <v>0.30000000000000004</v>
      </c>
      <c r="E256" s="8">
        <v>0</v>
      </c>
      <c r="F256" s="5">
        <v>0</v>
      </c>
      <c r="G256" s="5">
        <v>0</v>
      </c>
      <c r="H256" s="5">
        <v>0</v>
      </c>
      <c r="I256" s="5">
        <v>0</v>
      </c>
      <c r="J256" s="9">
        <v>0</v>
      </c>
      <c r="K256" s="8">
        <v>1</v>
      </c>
      <c r="L256" s="5">
        <v>3</v>
      </c>
      <c r="M256" s="5">
        <v>0</v>
      </c>
      <c r="N256" s="9">
        <v>0</v>
      </c>
      <c r="O256" s="8">
        <v>0</v>
      </c>
      <c r="P256" s="5">
        <v>0</v>
      </c>
      <c r="Q256" s="5">
        <v>0</v>
      </c>
      <c r="R256" s="9">
        <v>0</v>
      </c>
      <c r="S256" s="8">
        <v>0</v>
      </c>
      <c r="T256" s="5">
        <v>0</v>
      </c>
    </row>
    <row r="257" spans="1:20" x14ac:dyDescent="0.2">
      <c r="A257" s="5" t="s">
        <v>119</v>
      </c>
      <c r="B257" s="5" t="s">
        <v>75</v>
      </c>
      <c r="C257" s="17" t="s">
        <v>621</v>
      </c>
      <c r="D257" s="7">
        <f t="shared" si="0"/>
        <v>0.2</v>
      </c>
      <c r="E257" s="8">
        <v>0</v>
      </c>
      <c r="F257" s="5">
        <v>0</v>
      </c>
      <c r="G257" s="5">
        <v>0</v>
      </c>
      <c r="H257" s="5">
        <v>0</v>
      </c>
      <c r="I257" s="5">
        <v>0</v>
      </c>
      <c r="J257" s="9">
        <v>0</v>
      </c>
      <c r="K257" s="8">
        <v>1</v>
      </c>
      <c r="L257" s="5">
        <v>2</v>
      </c>
      <c r="M257" s="5">
        <v>0</v>
      </c>
      <c r="N257" s="9">
        <v>0</v>
      </c>
      <c r="O257" s="8">
        <v>0</v>
      </c>
      <c r="P257" s="5">
        <v>0</v>
      </c>
      <c r="Q257" s="5">
        <v>0</v>
      </c>
      <c r="R257" s="9">
        <v>0</v>
      </c>
      <c r="S257" s="8">
        <v>0</v>
      </c>
      <c r="T257" s="5">
        <v>0</v>
      </c>
    </row>
    <row r="258" spans="1:20" x14ac:dyDescent="0.2">
      <c r="A258" s="5" t="s">
        <v>630</v>
      </c>
      <c r="B258" s="5" t="s">
        <v>75</v>
      </c>
      <c r="C258" s="10" t="s">
        <v>626</v>
      </c>
      <c r="D258" s="7">
        <f t="shared" ref="D258:D263" si="1">0.04*G258+4*H258-2*I258+2*J258+0.1*L258+6*M258+2*N258+1*O258+0.1*P258+6*Q258+2*R258-2*S258</f>
        <v>0.1</v>
      </c>
      <c r="E258" s="8">
        <v>0</v>
      </c>
      <c r="F258" s="5">
        <v>0</v>
      </c>
      <c r="G258" s="5">
        <v>0</v>
      </c>
      <c r="H258" s="5">
        <v>0</v>
      </c>
      <c r="I258" s="5">
        <v>0</v>
      </c>
      <c r="J258" s="9">
        <v>0</v>
      </c>
      <c r="K258" s="8">
        <v>1</v>
      </c>
      <c r="L258" s="5">
        <v>1</v>
      </c>
      <c r="M258" s="5">
        <v>0</v>
      </c>
      <c r="N258" s="9">
        <v>0</v>
      </c>
      <c r="O258" s="8">
        <v>0</v>
      </c>
      <c r="P258" s="5">
        <v>0</v>
      </c>
      <c r="Q258" s="5">
        <v>0</v>
      </c>
      <c r="R258" s="9">
        <v>0</v>
      </c>
      <c r="S258" s="8">
        <v>0</v>
      </c>
      <c r="T258" s="5">
        <v>0</v>
      </c>
    </row>
    <row r="259" spans="1:20" x14ac:dyDescent="0.2">
      <c r="A259" s="5" t="s">
        <v>392</v>
      </c>
      <c r="B259" s="5" t="s">
        <v>75</v>
      </c>
      <c r="C259" s="10" t="s">
        <v>613</v>
      </c>
      <c r="D259" s="7">
        <f t="shared" si="1"/>
        <v>0</v>
      </c>
      <c r="E259" s="8">
        <v>0</v>
      </c>
      <c r="F259" s="5">
        <v>0</v>
      </c>
      <c r="G259" s="5">
        <v>0</v>
      </c>
      <c r="H259" s="5">
        <v>0</v>
      </c>
      <c r="I259" s="5">
        <v>0</v>
      </c>
      <c r="J259" s="9">
        <v>0</v>
      </c>
      <c r="K259" s="8">
        <v>0</v>
      </c>
      <c r="L259" s="5">
        <v>0</v>
      </c>
      <c r="M259" s="5">
        <v>0</v>
      </c>
      <c r="N259" s="9">
        <v>0</v>
      </c>
      <c r="O259" s="8">
        <v>0</v>
      </c>
      <c r="P259" s="5">
        <v>0</v>
      </c>
      <c r="Q259" s="5">
        <v>0</v>
      </c>
      <c r="R259" s="9">
        <v>0</v>
      </c>
      <c r="S259" s="8">
        <v>0</v>
      </c>
      <c r="T259" s="5">
        <v>0</v>
      </c>
    </row>
    <row r="260" spans="1:20" x14ac:dyDescent="0.2">
      <c r="A260" s="5" t="s">
        <v>153</v>
      </c>
      <c r="B260" s="5" t="s">
        <v>75</v>
      </c>
      <c r="C260" s="10" t="s">
        <v>621</v>
      </c>
      <c r="D260" s="7">
        <f t="shared" si="1"/>
        <v>-0.2</v>
      </c>
      <c r="E260" s="8">
        <v>0</v>
      </c>
      <c r="F260" s="5">
        <v>0</v>
      </c>
      <c r="G260" s="5">
        <v>0</v>
      </c>
      <c r="H260" s="5">
        <v>0</v>
      </c>
      <c r="I260" s="5">
        <v>0</v>
      </c>
      <c r="J260" s="9">
        <v>0</v>
      </c>
      <c r="K260" s="8">
        <v>4</v>
      </c>
      <c r="L260" s="5">
        <v>-2</v>
      </c>
      <c r="M260" s="5">
        <v>0</v>
      </c>
      <c r="N260" s="9">
        <v>0</v>
      </c>
      <c r="O260" s="8">
        <v>0</v>
      </c>
      <c r="P260" s="5">
        <v>0</v>
      </c>
      <c r="Q260" s="5">
        <v>0</v>
      </c>
      <c r="R260" s="9">
        <v>0</v>
      </c>
      <c r="S260" s="8">
        <v>0</v>
      </c>
      <c r="T260" s="5">
        <v>0</v>
      </c>
    </row>
    <row r="261" spans="1:20" x14ac:dyDescent="0.2">
      <c r="A261" s="5" t="s">
        <v>368</v>
      </c>
      <c r="B261" s="5" t="s">
        <v>162</v>
      </c>
      <c r="C261" s="17" t="s">
        <v>624</v>
      </c>
      <c r="D261" s="7">
        <f t="shared" si="1"/>
        <v>-0.2</v>
      </c>
      <c r="E261" s="8">
        <v>0</v>
      </c>
      <c r="F261" s="5">
        <v>0</v>
      </c>
      <c r="G261" s="5">
        <v>0</v>
      </c>
      <c r="H261" s="5">
        <v>0</v>
      </c>
      <c r="I261" s="5">
        <v>0</v>
      </c>
      <c r="J261" s="9">
        <v>0</v>
      </c>
      <c r="K261" s="8">
        <v>1</v>
      </c>
      <c r="L261" s="5">
        <v>-2</v>
      </c>
      <c r="M261" s="5">
        <v>0</v>
      </c>
      <c r="N261" s="9">
        <v>0</v>
      </c>
      <c r="O261" s="8">
        <v>0</v>
      </c>
      <c r="P261" s="5">
        <v>0</v>
      </c>
      <c r="Q261" s="5">
        <v>0</v>
      </c>
      <c r="R261" s="9">
        <v>0</v>
      </c>
      <c r="S261" s="8">
        <v>0</v>
      </c>
      <c r="T261" s="5">
        <v>0</v>
      </c>
    </row>
    <row r="262" spans="1:20" x14ac:dyDescent="0.2">
      <c r="A262" s="5" t="s">
        <v>244</v>
      </c>
      <c r="B262" s="5" t="s">
        <v>162</v>
      </c>
      <c r="C262" s="17" t="s">
        <v>618</v>
      </c>
      <c r="D262" s="7">
        <f t="shared" si="1"/>
        <v>-0.5</v>
      </c>
      <c r="E262" s="8">
        <v>0</v>
      </c>
      <c r="F262" s="5">
        <v>0</v>
      </c>
      <c r="G262" s="5">
        <v>0</v>
      </c>
      <c r="H262" s="5">
        <v>0</v>
      </c>
      <c r="I262" s="5">
        <v>0</v>
      </c>
      <c r="J262" s="9">
        <v>0</v>
      </c>
      <c r="K262" s="8">
        <v>1</v>
      </c>
      <c r="L262" s="5">
        <v>-5</v>
      </c>
      <c r="M262" s="5">
        <v>0</v>
      </c>
      <c r="N262" s="9">
        <v>0</v>
      </c>
      <c r="O262" s="8">
        <v>0</v>
      </c>
      <c r="P262" s="5">
        <v>0</v>
      </c>
      <c r="Q262" s="5">
        <v>0</v>
      </c>
      <c r="R262" s="9">
        <v>0</v>
      </c>
      <c r="S262" s="8">
        <v>0</v>
      </c>
      <c r="T262" s="5">
        <v>0</v>
      </c>
    </row>
    <row r="263" spans="1:20" x14ac:dyDescent="0.2">
      <c r="A263" s="5" t="s">
        <v>584</v>
      </c>
      <c r="B263" s="5" t="s">
        <v>17</v>
      </c>
      <c r="C263" s="17" t="s">
        <v>616</v>
      </c>
      <c r="D263" s="7">
        <f t="shared" si="1"/>
        <v>-0.87999999999999989</v>
      </c>
      <c r="E263" s="8">
        <v>20</v>
      </c>
      <c r="F263" s="5">
        <v>11</v>
      </c>
      <c r="G263" s="5">
        <v>58</v>
      </c>
      <c r="H263" s="5">
        <v>0</v>
      </c>
      <c r="I263" s="5">
        <v>2</v>
      </c>
      <c r="J263" s="9">
        <v>0</v>
      </c>
      <c r="K263" s="8">
        <v>5</v>
      </c>
      <c r="L263" s="5">
        <v>28</v>
      </c>
      <c r="M263" s="5">
        <v>0</v>
      </c>
      <c r="N263" s="9">
        <v>0</v>
      </c>
      <c r="O263" s="8">
        <v>0</v>
      </c>
      <c r="P263" s="5">
        <v>0</v>
      </c>
      <c r="Q263" s="5">
        <v>0</v>
      </c>
      <c r="R263" s="9">
        <v>0</v>
      </c>
      <c r="S263" s="8">
        <v>1</v>
      </c>
      <c r="T263" s="5">
        <v>0</v>
      </c>
    </row>
    <row r="264" spans="1:20" x14ac:dyDescent="0.2">
      <c r="A264" s="5" t="s">
        <v>320</v>
      </c>
      <c r="B264" s="5"/>
      <c r="C264" s="10"/>
      <c r="D264" s="5">
        <v>0</v>
      </c>
      <c r="E264" s="8"/>
      <c r="F264" s="5"/>
      <c r="G264" s="5"/>
      <c r="H264" s="5"/>
      <c r="I264" s="5"/>
      <c r="J264" s="9"/>
      <c r="K264" s="8"/>
      <c r="L264" s="5"/>
      <c r="M264" s="5"/>
      <c r="N264" s="9"/>
      <c r="O264" s="8"/>
      <c r="P264" s="5"/>
      <c r="Q264" s="5"/>
      <c r="R264" s="9"/>
      <c r="S264" s="8"/>
      <c r="T264" s="9"/>
    </row>
    <row r="265" spans="1:20" x14ac:dyDescent="0.2">
      <c r="C265" s="10"/>
      <c r="D265" s="10"/>
      <c r="E265" s="8"/>
      <c r="J265" s="9"/>
      <c r="K265" s="8"/>
      <c r="N265" s="9"/>
      <c r="O265" s="8"/>
      <c r="R265" s="9"/>
      <c r="S265" s="8"/>
    </row>
    <row r="266" spans="1:20" x14ac:dyDescent="0.2">
      <c r="C266" s="10"/>
      <c r="D266" s="10"/>
      <c r="E266" s="8"/>
      <c r="J266" s="9"/>
      <c r="K266" s="8"/>
      <c r="N266" s="9"/>
      <c r="O266" s="8"/>
      <c r="R266" s="9"/>
      <c r="S266" s="8"/>
    </row>
    <row r="267" spans="1:20" x14ac:dyDescent="0.2">
      <c r="C267" s="10"/>
      <c r="D267" s="10"/>
      <c r="E267" s="8"/>
      <c r="J267" s="9"/>
      <c r="K267" s="8"/>
      <c r="N267" s="9"/>
      <c r="O267" s="8"/>
      <c r="R267" s="9"/>
      <c r="S267" s="8"/>
    </row>
    <row r="268" spans="1:20" x14ac:dyDescent="0.2">
      <c r="C268" s="10"/>
      <c r="D268" s="10"/>
      <c r="E268" s="8"/>
      <c r="J268" s="9"/>
      <c r="K268" s="8"/>
      <c r="N268" s="9"/>
      <c r="O268" s="8"/>
      <c r="R268" s="9"/>
      <c r="S268" s="8"/>
    </row>
    <row r="269" spans="1:20" x14ac:dyDescent="0.2">
      <c r="C269" s="10"/>
      <c r="D269" s="10"/>
      <c r="E269" s="8"/>
      <c r="J269" s="9"/>
      <c r="K269" s="8"/>
      <c r="N269" s="9"/>
      <c r="O269" s="8"/>
      <c r="R269" s="9"/>
      <c r="S269" s="8"/>
    </row>
    <row r="270" spans="1:20" x14ac:dyDescent="0.2">
      <c r="C270" s="10"/>
      <c r="D270" s="10"/>
      <c r="E270" s="8"/>
      <c r="J270" s="9"/>
      <c r="K270" s="8"/>
      <c r="N270" s="9"/>
      <c r="O270" s="8"/>
      <c r="R270" s="9"/>
      <c r="S270" s="8"/>
    </row>
  </sheetData>
  <autoFilter ref="A2:T264" xr:uid="{00000000-0009-0000-0000-000008000000}">
    <sortState xmlns:xlrd2="http://schemas.microsoft.com/office/spreadsheetml/2017/richdata2" ref="A2:T264">
      <sortCondition descending="1" ref="D2:D264"/>
    </sortState>
  </autoFilter>
  <mergeCells count="4">
    <mergeCell ref="E1:J1"/>
    <mergeCell ref="K1:N1"/>
    <mergeCell ref="O1:R1"/>
    <mergeCell ref="S1:T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T270"/>
  <sheetViews>
    <sheetView workbookViewId="0"/>
  </sheetViews>
  <sheetFormatPr defaultColWidth="12.5703125" defaultRowHeight="15.75" customHeight="1" x14ac:dyDescent="0.2"/>
  <cols>
    <col min="1" max="1" width="18.42578125" customWidth="1"/>
    <col min="2" max="3" width="9.8554687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3"/>
      <c r="D1" s="19"/>
      <c r="E1" s="54" t="s">
        <v>0</v>
      </c>
      <c r="F1" s="55"/>
      <c r="G1" s="55"/>
      <c r="H1" s="55"/>
      <c r="I1" s="55"/>
      <c r="J1" s="56"/>
      <c r="K1" s="54" t="s">
        <v>1</v>
      </c>
      <c r="L1" s="55"/>
      <c r="M1" s="55"/>
      <c r="N1" s="56"/>
      <c r="O1" s="54" t="s">
        <v>2</v>
      </c>
      <c r="P1" s="55"/>
      <c r="Q1" s="55"/>
      <c r="R1" s="56"/>
      <c r="S1" s="57" t="s">
        <v>3</v>
      </c>
      <c r="T1" s="55"/>
    </row>
    <row r="2" spans="1:20" x14ac:dyDescent="0.2">
      <c r="A2" s="12" t="s">
        <v>4</v>
      </c>
      <c r="B2" s="13" t="s">
        <v>5</v>
      </c>
      <c r="C2" s="15" t="s">
        <v>6</v>
      </c>
      <c r="D2" s="20"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2" t="s">
        <v>15</v>
      </c>
      <c r="T2" s="12" t="s">
        <v>11</v>
      </c>
    </row>
    <row r="3" spans="1:20" x14ac:dyDescent="0.2">
      <c r="A3" s="5" t="s">
        <v>185</v>
      </c>
      <c r="B3" s="5" t="s">
        <v>162</v>
      </c>
      <c r="C3" s="8" t="s">
        <v>631</v>
      </c>
      <c r="D3" s="7">
        <f t="shared" ref="D3:D257" si="0">0.04*G3+4*H3-2*I3+2*J3+0.1*L3+6*M3+2*N3+1*O3+0.1*P3+6*Q3+2*R3-2*S3</f>
        <v>40.5</v>
      </c>
      <c r="E3" s="8">
        <v>0</v>
      </c>
      <c r="F3" s="5">
        <v>0</v>
      </c>
      <c r="G3" s="5">
        <v>0</v>
      </c>
      <c r="H3" s="5">
        <v>0</v>
      </c>
      <c r="I3" s="5">
        <v>0</v>
      </c>
      <c r="J3" s="9">
        <v>0</v>
      </c>
      <c r="K3" s="8">
        <v>0</v>
      </c>
      <c r="L3" s="5">
        <v>0</v>
      </c>
      <c r="M3" s="5">
        <v>0</v>
      </c>
      <c r="N3" s="9">
        <v>0</v>
      </c>
      <c r="O3" s="8">
        <v>11</v>
      </c>
      <c r="P3" s="5">
        <v>175</v>
      </c>
      <c r="Q3" s="5">
        <v>2</v>
      </c>
      <c r="R3" s="9">
        <v>0</v>
      </c>
      <c r="S3" s="5">
        <v>0</v>
      </c>
      <c r="T3" s="5">
        <v>0</v>
      </c>
    </row>
    <row r="4" spans="1:20" x14ac:dyDescent="0.2">
      <c r="A4" s="5" t="s">
        <v>192</v>
      </c>
      <c r="B4" s="5" t="s">
        <v>162</v>
      </c>
      <c r="C4" s="8" t="s">
        <v>632</v>
      </c>
      <c r="D4" s="7">
        <f t="shared" si="0"/>
        <v>39.5</v>
      </c>
      <c r="E4" s="8">
        <v>0</v>
      </c>
      <c r="F4" s="5">
        <v>0</v>
      </c>
      <c r="G4" s="5">
        <v>0</v>
      </c>
      <c r="H4" s="5">
        <v>0</v>
      </c>
      <c r="I4" s="5">
        <v>0</v>
      </c>
      <c r="J4" s="9">
        <v>0</v>
      </c>
      <c r="K4" s="8">
        <v>1</v>
      </c>
      <c r="L4" s="5">
        <v>14</v>
      </c>
      <c r="M4" s="5">
        <v>1</v>
      </c>
      <c r="N4" s="9">
        <v>0</v>
      </c>
      <c r="O4" s="8">
        <v>11</v>
      </c>
      <c r="P4" s="5">
        <v>151</v>
      </c>
      <c r="Q4" s="5">
        <v>1</v>
      </c>
      <c r="R4" s="9">
        <v>0</v>
      </c>
      <c r="S4" s="5">
        <v>0</v>
      </c>
      <c r="T4" s="5">
        <v>0</v>
      </c>
    </row>
    <row r="5" spans="1:20" x14ac:dyDescent="0.2">
      <c r="A5" s="5" t="s">
        <v>59</v>
      </c>
      <c r="B5" s="5" t="s">
        <v>17</v>
      </c>
      <c r="C5" s="8" t="s">
        <v>632</v>
      </c>
      <c r="D5" s="7">
        <f t="shared" si="0"/>
        <v>37.86</v>
      </c>
      <c r="E5" s="8">
        <v>35</v>
      </c>
      <c r="F5" s="5">
        <v>26</v>
      </c>
      <c r="G5" s="5">
        <v>404</v>
      </c>
      <c r="H5" s="5">
        <v>4</v>
      </c>
      <c r="I5" s="5">
        <v>1</v>
      </c>
      <c r="J5" s="9">
        <v>0</v>
      </c>
      <c r="K5" s="8">
        <v>2</v>
      </c>
      <c r="L5" s="5">
        <v>17</v>
      </c>
      <c r="M5" s="5">
        <v>1</v>
      </c>
      <c r="N5" s="9">
        <v>0</v>
      </c>
      <c r="O5" s="8">
        <v>0</v>
      </c>
      <c r="P5" s="5">
        <v>0</v>
      </c>
      <c r="Q5" s="5">
        <v>0</v>
      </c>
      <c r="R5" s="9">
        <v>0</v>
      </c>
      <c r="S5" s="5">
        <v>0</v>
      </c>
      <c r="T5" s="5">
        <v>0</v>
      </c>
    </row>
    <row r="6" spans="1:20" x14ac:dyDescent="0.2">
      <c r="A6" s="5" t="s">
        <v>233</v>
      </c>
      <c r="B6" s="5" t="s">
        <v>162</v>
      </c>
      <c r="C6" s="8" t="s">
        <v>632</v>
      </c>
      <c r="D6" s="7">
        <f t="shared" si="0"/>
        <v>32.299999999999997</v>
      </c>
      <c r="E6" s="8">
        <v>0</v>
      </c>
      <c r="F6" s="5">
        <v>0</v>
      </c>
      <c r="G6" s="5">
        <v>0</v>
      </c>
      <c r="H6" s="5">
        <v>0</v>
      </c>
      <c r="I6" s="5">
        <v>0</v>
      </c>
      <c r="J6" s="9">
        <v>0</v>
      </c>
      <c r="K6" s="8">
        <v>0</v>
      </c>
      <c r="L6" s="5">
        <v>0</v>
      </c>
      <c r="M6" s="5">
        <v>0</v>
      </c>
      <c r="N6" s="9">
        <v>0</v>
      </c>
      <c r="O6" s="8">
        <v>9</v>
      </c>
      <c r="P6" s="5">
        <v>173</v>
      </c>
      <c r="Q6" s="5">
        <v>1</v>
      </c>
      <c r="R6" s="9">
        <v>0</v>
      </c>
      <c r="S6" s="5">
        <v>0</v>
      </c>
      <c r="T6" s="5">
        <v>0</v>
      </c>
    </row>
    <row r="7" spans="1:20" x14ac:dyDescent="0.2">
      <c r="A7" s="5" t="s">
        <v>173</v>
      </c>
      <c r="B7" s="5" t="s">
        <v>162</v>
      </c>
      <c r="C7" s="6" t="s">
        <v>631</v>
      </c>
      <c r="D7" s="7">
        <f t="shared" si="0"/>
        <v>30.5</v>
      </c>
      <c r="E7" s="8">
        <v>0</v>
      </c>
      <c r="F7" s="5">
        <v>0</v>
      </c>
      <c r="G7" s="5">
        <v>0</v>
      </c>
      <c r="H7" s="5">
        <v>0</v>
      </c>
      <c r="I7" s="5">
        <v>0</v>
      </c>
      <c r="J7" s="9">
        <v>0</v>
      </c>
      <c r="K7" s="8">
        <v>2</v>
      </c>
      <c r="L7" s="5">
        <v>9</v>
      </c>
      <c r="M7" s="5">
        <v>0</v>
      </c>
      <c r="N7" s="9">
        <v>0</v>
      </c>
      <c r="O7" s="8">
        <v>8</v>
      </c>
      <c r="P7" s="5">
        <v>156</v>
      </c>
      <c r="Q7" s="5">
        <v>1</v>
      </c>
      <c r="R7" s="9">
        <v>0</v>
      </c>
      <c r="S7" s="5">
        <v>0</v>
      </c>
      <c r="T7" s="5">
        <v>0</v>
      </c>
    </row>
    <row r="8" spans="1:20" x14ac:dyDescent="0.2">
      <c r="A8" s="5" t="s">
        <v>273</v>
      </c>
      <c r="B8" s="5" t="s">
        <v>69</v>
      </c>
      <c r="C8" s="8" t="s">
        <v>633</v>
      </c>
      <c r="D8" s="7">
        <f t="shared" si="0"/>
        <v>30.4</v>
      </c>
      <c r="E8" s="8">
        <v>0</v>
      </c>
      <c r="F8" s="5">
        <v>0</v>
      </c>
      <c r="G8" s="5">
        <v>0</v>
      </c>
      <c r="H8" s="5">
        <v>0</v>
      </c>
      <c r="I8" s="5">
        <v>0</v>
      </c>
      <c r="J8" s="9">
        <v>0</v>
      </c>
      <c r="K8" s="8">
        <v>0</v>
      </c>
      <c r="L8" s="5">
        <v>0</v>
      </c>
      <c r="M8" s="5">
        <v>0</v>
      </c>
      <c r="N8" s="9">
        <v>0</v>
      </c>
      <c r="O8" s="8">
        <v>11</v>
      </c>
      <c r="P8" s="5">
        <v>134</v>
      </c>
      <c r="Q8" s="5">
        <v>1</v>
      </c>
      <c r="R8" s="9">
        <v>0</v>
      </c>
      <c r="S8" s="5">
        <v>0</v>
      </c>
      <c r="T8" s="5">
        <v>0</v>
      </c>
    </row>
    <row r="9" spans="1:20" x14ac:dyDescent="0.2">
      <c r="A9" s="5" t="s">
        <v>25</v>
      </c>
      <c r="B9" s="5" t="s">
        <v>17</v>
      </c>
      <c r="C9" s="8" t="s">
        <v>631</v>
      </c>
      <c r="D9" s="7">
        <f t="shared" si="0"/>
        <v>28.42</v>
      </c>
      <c r="E9" s="8">
        <v>40</v>
      </c>
      <c r="F9" s="5">
        <v>27</v>
      </c>
      <c r="G9" s="5">
        <v>323</v>
      </c>
      <c r="H9" s="5">
        <v>4</v>
      </c>
      <c r="I9" s="5">
        <v>1</v>
      </c>
      <c r="J9" s="9">
        <v>0</v>
      </c>
      <c r="K9" s="8">
        <v>4</v>
      </c>
      <c r="L9" s="5">
        <v>15</v>
      </c>
      <c r="M9" s="5">
        <v>0</v>
      </c>
      <c r="N9" s="9">
        <v>0</v>
      </c>
      <c r="O9" s="8">
        <v>0</v>
      </c>
      <c r="P9" s="5">
        <v>0</v>
      </c>
      <c r="Q9" s="5">
        <v>0</v>
      </c>
      <c r="R9" s="9">
        <v>0</v>
      </c>
      <c r="S9" s="5">
        <v>0</v>
      </c>
      <c r="T9" s="5">
        <v>0</v>
      </c>
    </row>
    <row r="10" spans="1:20" x14ac:dyDescent="0.2">
      <c r="A10" s="5" t="s">
        <v>93</v>
      </c>
      <c r="B10" s="5" t="s">
        <v>75</v>
      </c>
      <c r="C10" s="6" t="s">
        <v>634</v>
      </c>
      <c r="D10" s="7">
        <f t="shared" si="0"/>
        <v>27.700000000000003</v>
      </c>
      <c r="E10" s="8">
        <v>0</v>
      </c>
      <c r="F10" s="5">
        <v>0</v>
      </c>
      <c r="G10" s="5">
        <v>0</v>
      </c>
      <c r="H10" s="5">
        <v>0</v>
      </c>
      <c r="I10" s="5">
        <v>0</v>
      </c>
      <c r="J10" s="9">
        <v>0</v>
      </c>
      <c r="K10" s="8">
        <v>8</v>
      </c>
      <c r="L10" s="5">
        <v>38</v>
      </c>
      <c r="M10" s="5">
        <v>0</v>
      </c>
      <c r="N10" s="9">
        <v>0</v>
      </c>
      <c r="O10" s="8">
        <v>6</v>
      </c>
      <c r="P10" s="5">
        <v>119</v>
      </c>
      <c r="Q10" s="5">
        <v>1</v>
      </c>
      <c r="R10" s="9">
        <v>0</v>
      </c>
      <c r="S10" s="5">
        <v>0</v>
      </c>
      <c r="T10" s="5">
        <v>0</v>
      </c>
    </row>
    <row r="11" spans="1:20" x14ac:dyDescent="0.2">
      <c r="A11" s="5" t="s">
        <v>175</v>
      </c>
      <c r="B11" s="5" t="s">
        <v>162</v>
      </c>
      <c r="C11" s="8" t="s">
        <v>635</v>
      </c>
      <c r="D11" s="7">
        <f t="shared" si="0"/>
        <v>26.3</v>
      </c>
      <c r="E11" s="8">
        <v>0</v>
      </c>
      <c r="F11" s="5">
        <v>0</v>
      </c>
      <c r="G11" s="5">
        <v>0</v>
      </c>
      <c r="H11" s="5">
        <v>0</v>
      </c>
      <c r="I11" s="5">
        <v>0</v>
      </c>
      <c r="J11" s="9">
        <v>0</v>
      </c>
      <c r="K11" s="8">
        <v>0</v>
      </c>
      <c r="L11" s="5">
        <v>0</v>
      </c>
      <c r="M11" s="5">
        <v>0</v>
      </c>
      <c r="N11" s="9">
        <v>0</v>
      </c>
      <c r="O11" s="8">
        <v>6</v>
      </c>
      <c r="P11" s="5">
        <v>143</v>
      </c>
      <c r="Q11" s="5">
        <v>1</v>
      </c>
      <c r="R11" s="9">
        <v>0</v>
      </c>
      <c r="S11" s="5">
        <v>0</v>
      </c>
      <c r="T11" s="5">
        <v>0</v>
      </c>
    </row>
    <row r="12" spans="1:20" x14ac:dyDescent="0.2">
      <c r="A12" s="5" t="s">
        <v>111</v>
      </c>
      <c r="B12" s="5" t="s">
        <v>75</v>
      </c>
      <c r="C12" s="6" t="s">
        <v>631</v>
      </c>
      <c r="D12" s="7">
        <f t="shared" si="0"/>
        <v>26.2</v>
      </c>
      <c r="E12" s="8">
        <v>0</v>
      </c>
      <c r="F12" s="5">
        <v>0</v>
      </c>
      <c r="G12" s="5">
        <v>0</v>
      </c>
      <c r="H12" s="5">
        <v>0</v>
      </c>
      <c r="I12" s="5">
        <v>0</v>
      </c>
      <c r="J12" s="9">
        <v>0</v>
      </c>
      <c r="K12" s="8">
        <v>14</v>
      </c>
      <c r="L12" s="5">
        <v>77</v>
      </c>
      <c r="M12" s="5">
        <v>2</v>
      </c>
      <c r="N12" s="9">
        <v>0</v>
      </c>
      <c r="O12" s="8">
        <v>3</v>
      </c>
      <c r="P12" s="5">
        <v>35</v>
      </c>
      <c r="Q12" s="5">
        <v>0</v>
      </c>
      <c r="R12" s="9">
        <v>0</v>
      </c>
      <c r="S12" s="5">
        <v>0</v>
      </c>
      <c r="T12" s="5">
        <v>0</v>
      </c>
    </row>
    <row r="13" spans="1:20" x14ac:dyDescent="0.2">
      <c r="A13" s="5" t="s">
        <v>63</v>
      </c>
      <c r="B13" s="5" t="s">
        <v>17</v>
      </c>
      <c r="C13" s="8" t="s">
        <v>633</v>
      </c>
      <c r="D13" s="7">
        <f t="shared" si="0"/>
        <v>25.12</v>
      </c>
      <c r="E13" s="8">
        <v>34</v>
      </c>
      <c r="F13" s="5">
        <v>23</v>
      </c>
      <c r="G13" s="5">
        <v>268</v>
      </c>
      <c r="H13" s="5">
        <v>1</v>
      </c>
      <c r="I13" s="5">
        <v>0</v>
      </c>
      <c r="J13" s="9">
        <v>0</v>
      </c>
      <c r="K13" s="8">
        <v>8</v>
      </c>
      <c r="L13" s="5">
        <v>44</v>
      </c>
      <c r="M13" s="5">
        <v>1</v>
      </c>
      <c r="N13" s="9">
        <v>0</v>
      </c>
      <c r="O13" s="8">
        <v>0</v>
      </c>
      <c r="P13" s="5">
        <v>0</v>
      </c>
      <c r="Q13" s="5">
        <v>0</v>
      </c>
      <c r="R13" s="9">
        <v>0</v>
      </c>
      <c r="S13" s="5">
        <v>0</v>
      </c>
      <c r="T13" s="5">
        <v>0</v>
      </c>
    </row>
    <row r="14" spans="1:20" x14ac:dyDescent="0.2">
      <c r="A14" s="5" t="s">
        <v>229</v>
      </c>
      <c r="B14" s="5" t="s">
        <v>162</v>
      </c>
      <c r="C14" s="6" t="s">
        <v>636</v>
      </c>
      <c r="D14" s="7">
        <f t="shared" si="0"/>
        <v>24.2</v>
      </c>
      <c r="E14" s="8">
        <v>0</v>
      </c>
      <c r="F14" s="5">
        <v>0</v>
      </c>
      <c r="G14" s="5">
        <v>0</v>
      </c>
      <c r="H14" s="5">
        <v>0</v>
      </c>
      <c r="I14" s="5">
        <v>0</v>
      </c>
      <c r="J14" s="9">
        <v>0</v>
      </c>
      <c r="K14" s="8">
        <v>0</v>
      </c>
      <c r="L14" s="5">
        <v>0</v>
      </c>
      <c r="M14" s="5">
        <v>0</v>
      </c>
      <c r="N14" s="9">
        <v>0</v>
      </c>
      <c r="O14" s="8">
        <v>7</v>
      </c>
      <c r="P14" s="5">
        <v>172</v>
      </c>
      <c r="Q14" s="5">
        <v>0</v>
      </c>
      <c r="R14" s="9">
        <v>0</v>
      </c>
      <c r="S14" s="5">
        <v>0</v>
      </c>
      <c r="T14" s="5">
        <v>0</v>
      </c>
    </row>
    <row r="15" spans="1:20" x14ac:dyDescent="0.2">
      <c r="A15" s="5" t="s">
        <v>39</v>
      </c>
      <c r="B15" s="5" t="s">
        <v>17</v>
      </c>
      <c r="C15" s="6" t="s">
        <v>634</v>
      </c>
      <c r="D15" s="7">
        <f t="shared" si="0"/>
        <v>24.18</v>
      </c>
      <c r="E15" s="8">
        <v>44</v>
      </c>
      <c r="F15" s="5">
        <v>29</v>
      </c>
      <c r="G15" s="5">
        <v>312</v>
      </c>
      <c r="H15" s="5">
        <v>3</v>
      </c>
      <c r="I15" s="5">
        <v>0</v>
      </c>
      <c r="J15" s="9">
        <v>0</v>
      </c>
      <c r="K15" s="8">
        <v>2</v>
      </c>
      <c r="L15" s="5">
        <v>17</v>
      </c>
      <c r="M15" s="5">
        <v>0</v>
      </c>
      <c r="N15" s="9">
        <v>0</v>
      </c>
      <c r="O15" s="8">
        <v>0</v>
      </c>
      <c r="P15" s="5">
        <v>0</v>
      </c>
      <c r="Q15" s="5">
        <v>0</v>
      </c>
      <c r="R15" s="9">
        <v>0</v>
      </c>
      <c r="S15" s="5">
        <v>1</v>
      </c>
      <c r="T15" s="5">
        <v>0</v>
      </c>
    </row>
    <row r="16" spans="1:20" x14ac:dyDescent="0.2">
      <c r="A16" s="5" t="s">
        <v>55</v>
      </c>
      <c r="B16" s="5" t="s">
        <v>17</v>
      </c>
      <c r="C16" s="8" t="s">
        <v>634</v>
      </c>
      <c r="D16" s="7">
        <f t="shared" si="0"/>
        <v>24.06</v>
      </c>
      <c r="E16" s="8">
        <v>47</v>
      </c>
      <c r="F16" s="5">
        <v>31</v>
      </c>
      <c r="G16" s="5">
        <v>369</v>
      </c>
      <c r="H16" s="5">
        <v>2</v>
      </c>
      <c r="I16" s="5">
        <v>0</v>
      </c>
      <c r="J16" s="9">
        <v>0</v>
      </c>
      <c r="K16" s="8">
        <v>1</v>
      </c>
      <c r="L16" s="5">
        <v>13</v>
      </c>
      <c r="M16" s="5">
        <v>0</v>
      </c>
      <c r="N16" s="9">
        <v>0</v>
      </c>
      <c r="O16" s="8">
        <v>0</v>
      </c>
      <c r="P16" s="5">
        <v>0</v>
      </c>
      <c r="Q16" s="5">
        <v>0</v>
      </c>
      <c r="R16" s="9">
        <v>0</v>
      </c>
      <c r="S16" s="5">
        <v>0</v>
      </c>
      <c r="T16" s="5">
        <v>0</v>
      </c>
    </row>
    <row r="17" spans="1:20" x14ac:dyDescent="0.2">
      <c r="A17" s="5" t="s">
        <v>33</v>
      </c>
      <c r="B17" s="5" t="s">
        <v>17</v>
      </c>
      <c r="C17" s="6" t="s">
        <v>637</v>
      </c>
      <c r="D17" s="7">
        <f t="shared" si="0"/>
        <v>23.84</v>
      </c>
      <c r="E17" s="8">
        <v>26</v>
      </c>
      <c r="F17" s="5">
        <v>19</v>
      </c>
      <c r="G17" s="5">
        <v>296</v>
      </c>
      <c r="H17" s="5">
        <v>3</v>
      </c>
      <c r="I17" s="5">
        <v>0</v>
      </c>
      <c r="J17" s="9">
        <v>0</v>
      </c>
      <c r="K17" s="8">
        <v>0</v>
      </c>
      <c r="L17" s="5">
        <v>0</v>
      </c>
      <c r="M17" s="5">
        <v>0</v>
      </c>
      <c r="N17" s="9">
        <v>0</v>
      </c>
      <c r="O17" s="8">
        <v>0</v>
      </c>
      <c r="P17" s="5">
        <v>0</v>
      </c>
      <c r="Q17" s="5">
        <v>0</v>
      </c>
      <c r="R17" s="9">
        <v>0</v>
      </c>
      <c r="S17" s="5">
        <v>0</v>
      </c>
      <c r="T17" s="5">
        <v>0</v>
      </c>
    </row>
    <row r="18" spans="1:20" x14ac:dyDescent="0.2">
      <c r="A18" s="5" t="s">
        <v>206</v>
      </c>
      <c r="B18" s="5" t="s">
        <v>162</v>
      </c>
      <c r="C18" s="8" t="s">
        <v>636</v>
      </c>
      <c r="D18" s="7">
        <f t="shared" si="0"/>
        <v>23.4</v>
      </c>
      <c r="E18" s="8">
        <v>0</v>
      </c>
      <c r="F18" s="5">
        <v>0</v>
      </c>
      <c r="G18" s="5">
        <v>0</v>
      </c>
      <c r="H18" s="5">
        <v>0</v>
      </c>
      <c r="I18" s="5">
        <v>0</v>
      </c>
      <c r="J18" s="9">
        <v>0</v>
      </c>
      <c r="K18" s="8">
        <v>0</v>
      </c>
      <c r="L18" s="5">
        <v>0</v>
      </c>
      <c r="M18" s="5">
        <v>0</v>
      </c>
      <c r="N18" s="9">
        <v>0</v>
      </c>
      <c r="O18" s="8">
        <v>5</v>
      </c>
      <c r="P18" s="5">
        <v>124</v>
      </c>
      <c r="Q18" s="5">
        <v>1</v>
      </c>
      <c r="R18" s="9">
        <v>0</v>
      </c>
      <c r="S18" s="5">
        <v>0</v>
      </c>
      <c r="T18" s="5">
        <v>0</v>
      </c>
    </row>
    <row r="19" spans="1:20" x14ac:dyDescent="0.2">
      <c r="A19" s="5" t="s">
        <v>241</v>
      </c>
      <c r="B19" s="5" t="s">
        <v>162</v>
      </c>
      <c r="C19" s="8" t="s">
        <v>634</v>
      </c>
      <c r="D19" s="7">
        <f t="shared" si="0"/>
        <v>23.200000000000003</v>
      </c>
      <c r="E19" s="8">
        <v>0</v>
      </c>
      <c r="F19" s="5">
        <v>0</v>
      </c>
      <c r="G19" s="5">
        <v>0</v>
      </c>
      <c r="H19" s="5">
        <v>0</v>
      </c>
      <c r="I19" s="5">
        <v>0</v>
      </c>
      <c r="J19" s="9">
        <v>0</v>
      </c>
      <c r="K19" s="8">
        <v>0</v>
      </c>
      <c r="L19" s="5">
        <v>0</v>
      </c>
      <c r="M19" s="5">
        <v>0</v>
      </c>
      <c r="N19" s="9">
        <v>0</v>
      </c>
      <c r="O19" s="8">
        <v>8</v>
      </c>
      <c r="P19" s="5">
        <v>92</v>
      </c>
      <c r="Q19" s="5">
        <v>1</v>
      </c>
      <c r="R19" s="9">
        <v>0</v>
      </c>
      <c r="S19" s="5">
        <v>0</v>
      </c>
      <c r="T19" s="5">
        <v>0</v>
      </c>
    </row>
    <row r="20" spans="1:20" x14ac:dyDescent="0.2">
      <c r="A20" s="5" t="s">
        <v>151</v>
      </c>
      <c r="B20" s="5" t="s">
        <v>75</v>
      </c>
      <c r="C20" s="6" t="s">
        <v>636</v>
      </c>
      <c r="D20" s="7">
        <f t="shared" si="0"/>
        <v>23.1</v>
      </c>
      <c r="E20" s="8">
        <v>0</v>
      </c>
      <c r="F20" s="5">
        <v>0</v>
      </c>
      <c r="G20" s="5">
        <v>0</v>
      </c>
      <c r="H20" s="5">
        <v>0</v>
      </c>
      <c r="I20" s="5">
        <v>0</v>
      </c>
      <c r="J20" s="9">
        <v>0</v>
      </c>
      <c r="K20" s="8">
        <v>30</v>
      </c>
      <c r="L20" s="5">
        <v>150</v>
      </c>
      <c r="M20" s="5">
        <v>1</v>
      </c>
      <c r="N20" s="9">
        <v>0</v>
      </c>
      <c r="O20" s="8">
        <v>1</v>
      </c>
      <c r="P20" s="5">
        <v>11</v>
      </c>
      <c r="Q20" s="5">
        <v>0</v>
      </c>
      <c r="R20" s="9">
        <v>0</v>
      </c>
      <c r="S20" s="5">
        <v>0</v>
      </c>
      <c r="T20" s="5">
        <v>0</v>
      </c>
    </row>
    <row r="21" spans="1:20" x14ac:dyDescent="0.2">
      <c r="A21" s="5" t="s">
        <v>76</v>
      </c>
      <c r="B21" s="5" t="s">
        <v>75</v>
      </c>
      <c r="C21" s="8" t="s">
        <v>631</v>
      </c>
      <c r="D21" s="7">
        <f t="shared" si="0"/>
        <v>21.5</v>
      </c>
      <c r="E21" s="8">
        <v>0</v>
      </c>
      <c r="F21" s="5">
        <v>0</v>
      </c>
      <c r="G21" s="5">
        <v>0</v>
      </c>
      <c r="H21" s="5">
        <v>0</v>
      </c>
      <c r="I21" s="5">
        <v>0</v>
      </c>
      <c r="J21" s="9">
        <v>0</v>
      </c>
      <c r="K21" s="8">
        <v>19</v>
      </c>
      <c r="L21" s="5">
        <v>67</v>
      </c>
      <c r="M21" s="5">
        <v>1</v>
      </c>
      <c r="N21" s="9">
        <v>0</v>
      </c>
      <c r="O21" s="8">
        <v>4</v>
      </c>
      <c r="P21" s="5">
        <v>48</v>
      </c>
      <c r="Q21" s="5">
        <v>0</v>
      </c>
      <c r="R21" s="9">
        <v>0</v>
      </c>
      <c r="S21" s="5">
        <v>0</v>
      </c>
      <c r="T21" s="5">
        <v>0</v>
      </c>
    </row>
    <row r="22" spans="1:20" x14ac:dyDescent="0.2">
      <c r="A22" s="5" t="s">
        <v>171</v>
      </c>
      <c r="B22" s="5" t="s">
        <v>162</v>
      </c>
      <c r="C22" s="6" t="s">
        <v>633</v>
      </c>
      <c r="D22" s="7">
        <f t="shared" si="0"/>
        <v>21.4</v>
      </c>
      <c r="E22" s="8">
        <v>0</v>
      </c>
      <c r="F22" s="5">
        <v>0</v>
      </c>
      <c r="G22" s="5">
        <v>0</v>
      </c>
      <c r="H22" s="5">
        <v>0</v>
      </c>
      <c r="I22" s="5">
        <v>0</v>
      </c>
      <c r="J22" s="9">
        <v>0</v>
      </c>
      <c r="K22" s="8">
        <v>0</v>
      </c>
      <c r="L22" s="5">
        <v>0</v>
      </c>
      <c r="M22" s="5">
        <v>0</v>
      </c>
      <c r="N22" s="9">
        <v>0</v>
      </c>
      <c r="O22" s="8">
        <v>6</v>
      </c>
      <c r="P22" s="5">
        <v>94</v>
      </c>
      <c r="Q22" s="5">
        <v>1</v>
      </c>
      <c r="R22" s="9">
        <v>0</v>
      </c>
      <c r="S22" s="5">
        <v>0</v>
      </c>
      <c r="T22" s="5">
        <v>0</v>
      </c>
    </row>
    <row r="23" spans="1:20" x14ac:dyDescent="0.2">
      <c r="A23" s="5" t="s">
        <v>44</v>
      </c>
      <c r="B23" s="5" t="s">
        <v>17</v>
      </c>
      <c r="C23" s="6" t="s">
        <v>631</v>
      </c>
      <c r="D23" s="7">
        <f t="shared" si="0"/>
        <v>21.12</v>
      </c>
      <c r="E23" s="8">
        <v>33</v>
      </c>
      <c r="F23" s="5">
        <v>23</v>
      </c>
      <c r="G23" s="5">
        <v>333</v>
      </c>
      <c r="H23" s="5">
        <v>2</v>
      </c>
      <c r="I23" s="5">
        <v>0</v>
      </c>
      <c r="J23" s="9">
        <v>0</v>
      </c>
      <c r="K23" s="8">
        <v>3</v>
      </c>
      <c r="L23" s="5">
        <v>-2</v>
      </c>
      <c r="M23" s="5">
        <v>0</v>
      </c>
      <c r="N23" s="9">
        <v>0</v>
      </c>
      <c r="O23" s="8">
        <v>0</v>
      </c>
      <c r="P23" s="5">
        <v>0</v>
      </c>
      <c r="Q23" s="5">
        <v>0</v>
      </c>
      <c r="R23" s="9">
        <v>0</v>
      </c>
      <c r="S23" s="5">
        <v>0</v>
      </c>
      <c r="T23" s="5">
        <v>0</v>
      </c>
    </row>
    <row r="24" spans="1:20" x14ac:dyDescent="0.2">
      <c r="A24" s="5" t="s">
        <v>299</v>
      </c>
      <c r="B24" s="5" t="s">
        <v>69</v>
      </c>
      <c r="C24" s="8" t="s">
        <v>638</v>
      </c>
      <c r="D24" s="7">
        <f t="shared" si="0"/>
        <v>21.1</v>
      </c>
      <c r="E24" s="8">
        <v>0</v>
      </c>
      <c r="F24" s="5">
        <v>0</v>
      </c>
      <c r="G24" s="5">
        <v>0</v>
      </c>
      <c r="H24" s="5">
        <v>0</v>
      </c>
      <c r="I24" s="5">
        <v>0</v>
      </c>
      <c r="J24" s="9">
        <v>0</v>
      </c>
      <c r="K24" s="8">
        <v>0</v>
      </c>
      <c r="L24" s="5">
        <v>0</v>
      </c>
      <c r="M24" s="5">
        <v>0</v>
      </c>
      <c r="N24" s="9">
        <v>0</v>
      </c>
      <c r="O24" s="8">
        <v>8</v>
      </c>
      <c r="P24" s="5">
        <v>131</v>
      </c>
      <c r="Q24" s="5">
        <v>0</v>
      </c>
      <c r="R24" s="9">
        <v>0</v>
      </c>
      <c r="S24" s="5">
        <v>0</v>
      </c>
      <c r="T24" s="5">
        <v>0</v>
      </c>
    </row>
    <row r="25" spans="1:20" x14ac:dyDescent="0.2">
      <c r="A25" s="5" t="s">
        <v>105</v>
      </c>
      <c r="B25" s="5" t="s">
        <v>75</v>
      </c>
      <c r="C25" s="6" t="s">
        <v>639</v>
      </c>
      <c r="D25" s="7">
        <f t="shared" si="0"/>
        <v>21</v>
      </c>
      <c r="E25" s="8">
        <v>0</v>
      </c>
      <c r="F25" s="5">
        <v>0</v>
      </c>
      <c r="G25" s="5">
        <v>0</v>
      </c>
      <c r="H25" s="5">
        <v>0</v>
      </c>
      <c r="I25" s="5">
        <v>0</v>
      </c>
      <c r="J25" s="9">
        <v>0</v>
      </c>
      <c r="K25" s="8">
        <v>21</v>
      </c>
      <c r="L25" s="5">
        <v>79</v>
      </c>
      <c r="M25" s="5">
        <v>0</v>
      </c>
      <c r="N25" s="9">
        <v>0</v>
      </c>
      <c r="O25" s="8">
        <v>4</v>
      </c>
      <c r="P25" s="5">
        <v>31</v>
      </c>
      <c r="Q25" s="5">
        <v>1</v>
      </c>
      <c r="R25" s="9">
        <v>0</v>
      </c>
      <c r="S25" s="5">
        <v>0</v>
      </c>
      <c r="T25" s="5">
        <v>0</v>
      </c>
    </row>
    <row r="26" spans="1:20" x14ac:dyDescent="0.2">
      <c r="A26" s="5" t="s">
        <v>298</v>
      </c>
      <c r="B26" s="5" t="s">
        <v>69</v>
      </c>
      <c r="C26" s="6" t="s">
        <v>637</v>
      </c>
      <c r="D26" s="7">
        <f t="shared" si="0"/>
        <v>20.6</v>
      </c>
      <c r="E26" s="8">
        <v>0</v>
      </c>
      <c r="F26" s="5">
        <v>0</v>
      </c>
      <c r="G26" s="5">
        <v>0</v>
      </c>
      <c r="H26" s="5">
        <v>0</v>
      </c>
      <c r="I26" s="5">
        <v>0</v>
      </c>
      <c r="J26" s="9">
        <v>0</v>
      </c>
      <c r="K26" s="8">
        <v>0</v>
      </c>
      <c r="L26" s="5">
        <v>0</v>
      </c>
      <c r="M26" s="5">
        <v>0</v>
      </c>
      <c r="N26" s="9">
        <v>0</v>
      </c>
      <c r="O26" s="8">
        <v>3</v>
      </c>
      <c r="P26" s="5">
        <v>116</v>
      </c>
      <c r="Q26" s="5">
        <v>1</v>
      </c>
      <c r="R26" s="9">
        <v>0</v>
      </c>
      <c r="S26" s="5">
        <v>0</v>
      </c>
      <c r="T26" s="5">
        <v>0</v>
      </c>
    </row>
    <row r="27" spans="1:20" x14ac:dyDescent="0.2">
      <c r="A27" s="5" t="s">
        <v>77</v>
      </c>
      <c r="B27" s="5" t="s">
        <v>75</v>
      </c>
      <c r="C27" s="6" t="s">
        <v>637</v>
      </c>
      <c r="D27" s="7">
        <f t="shared" si="0"/>
        <v>20.2</v>
      </c>
      <c r="E27" s="8">
        <v>0</v>
      </c>
      <c r="F27" s="5">
        <v>0</v>
      </c>
      <c r="G27" s="5">
        <v>0</v>
      </c>
      <c r="H27" s="5">
        <v>0</v>
      </c>
      <c r="I27" s="5">
        <v>0</v>
      </c>
      <c r="J27" s="9">
        <v>0</v>
      </c>
      <c r="K27" s="8">
        <v>16</v>
      </c>
      <c r="L27" s="5">
        <v>95</v>
      </c>
      <c r="M27" s="5">
        <v>0</v>
      </c>
      <c r="N27" s="9">
        <v>0</v>
      </c>
      <c r="O27" s="8">
        <v>6</v>
      </c>
      <c r="P27" s="5">
        <v>47</v>
      </c>
      <c r="Q27" s="5">
        <v>0</v>
      </c>
      <c r="R27" s="9">
        <v>0</v>
      </c>
      <c r="S27" s="5">
        <v>0</v>
      </c>
      <c r="T27" s="5">
        <v>0</v>
      </c>
    </row>
    <row r="28" spans="1:20" x14ac:dyDescent="0.2">
      <c r="A28" s="5" t="s">
        <v>62</v>
      </c>
      <c r="B28" s="5" t="s">
        <v>17</v>
      </c>
      <c r="C28" s="8" t="s">
        <v>636</v>
      </c>
      <c r="D28" s="7">
        <f t="shared" si="0"/>
        <v>19.880000000000003</v>
      </c>
      <c r="E28" s="8">
        <v>40</v>
      </c>
      <c r="F28" s="5">
        <v>27</v>
      </c>
      <c r="G28" s="5">
        <v>347</v>
      </c>
      <c r="H28" s="5">
        <v>2</v>
      </c>
      <c r="I28" s="5">
        <v>2</v>
      </c>
      <c r="J28" s="9">
        <v>0</v>
      </c>
      <c r="K28" s="8">
        <v>5</v>
      </c>
      <c r="L28" s="5">
        <v>20</v>
      </c>
      <c r="M28" s="5">
        <v>0</v>
      </c>
      <c r="N28" s="9">
        <v>0</v>
      </c>
      <c r="O28" s="8">
        <v>0</v>
      </c>
      <c r="P28" s="5">
        <v>0</v>
      </c>
      <c r="Q28" s="5">
        <v>0</v>
      </c>
      <c r="R28" s="9">
        <v>0</v>
      </c>
      <c r="S28" s="5">
        <v>0</v>
      </c>
      <c r="T28" s="5">
        <v>0</v>
      </c>
    </row>
    <row r="29" spans="1:20" x14ac:dyDescent="0.2">
      <c r="A29" s="5" t="s">
        <v>100</v>
      </c>
      <c r="B29" s="5" t="s">
        <v>75</v>
      </c>
      <c r="C29" s="8" t="s">
        <v>634</v>
      </c>
      <c r="D29" s="7">
        <f t="shared" si="0"/>
        <v>19.700000000000003</v>
      </c>
      <c r="E29" s="8">
        <v>0</v>
      </c>
      <c r="F29" s="5">
        <v>0</v>
      </c>
      <c r="G29" s="5">
        <v>0</v>
      </c>
      <c r="H29" s="5">
        <v>0</v>
      </c>
      <c r="I29" s="5">
        <v>0</v>
      </c>
      <c r="J29" s="9">
        <v>0</v>
      </c>
      <c r="K29" s="8">
        <v>19</v>
      </c>
      <c r="L29" s="5">
        <v>63</v>
      </c>
      <c r="M29" s="5">
        <v>0</v>
      </c>
      <c r="N29" s="9">
        <v>0</v>
      </c>
      <c r="O29" s="8">
        <v>1</v>
      </c>
      <c r="P29" s="5">
        <v>64</v>
      </c>
      <c r="Q29" s="5">
        <v>1</v>
      </c>
      <c r="R29" s="9">
        <v>0</v>
      </c>
      <c r="S29" s="5">
        <v>0</v>
      </c>
      <c r="T29" s="5">
        <v>0</v>
      </c>
    </row>
    <row r="30" spans="1:20" x14ac:dyDescent="0.2">
      <c r="A30" s="5" t="s">
        <v>238</v>
      </c>
      <c r="B30" s="5" t="s">
        <v>162</v>
      </c>
      <c r="C30" s="8" t="s">
        <v>636</v>
      </c>
      <c r="D30" s="7">
        <f t="shared" si="0"/>
        <v>19.700000000000003</v>
      </c>
      <c r="E30" s="8">
        <v>0</v>
      </c>
      <c r="F30" s="5">
        <v>0</v>
      </c>
      <c r="G30" s="5">
        <v>0</v>
      </c>
      <c r="H30" s="5">
        <v>0</v>
      </c>
      <c r="I30" s="5">
        <v>0</v>
      </c>
      <c r="J30" s="9">
        <v>0</v>
      </c>
      <c r="K30" s="8">
        <v>0</v>
      </c>
      <c r="L30" s="5">
        <v>0</v>
      </c>
      <c r="M30" s="5">
        <v>0</v>
      </c>
      <c r="N30" s="9">
        <v>0</v>
      </c>
      <c r="O30" s="8">
        <v>8</v>
      </c>
      <c r="P30" s="5">
        <v>117</v>
      </c>
      <c r="Q30" s="5">
        <v>0</v>
      </c>
      <c r="R30" s="9">
        <v>0</v>
      </c>
      <c r="S30" s="5">
        <v>0</v>
      </c>
      <c r="T30" s="5">
        <v>0</v>
      </c>
    </row>
    <row r="31" spans="1:20" x14ac:dyDescent="0.2">
      <c r="A31" s="5" t="s">
        <v>225</v>
      </c>
      <c r="B31" s="5" t="s">
        <v>162</v>
      </c>
      <c r="C31" s="6" t="s">
        <v>640</v>
      </c>
      <c r="D31" s="7">
        <f t="shared" si="0"/>
        <v>19.399999999999999</v>
      </c>
      <c r="E31" s="8">
        <v>0</v>
      </c>
      <c r="F31" s="5">
        <v>0</v>
      </c>
      <c r="G31" s="5">
        <v>0</v>
      </c>
      <c r="H31" s="5">
        <v>0</v>
      </c>
      <c r="I31" s="5">
        <v>0</v>
      </c>
      <c r="J31" s="9">
        <v>0</v>
      </c>
      <c r="K31" s="8">
        <v>0</v>
      </c>
      <c r="L31" s="5">
        <v>0</v>
      </c>
      <c r="M31" s="5">
        <v>0</v>
      </c>
      <c r="N31" s="9">
        <v>0</v>
      </c>
      <c r="O31" s="8">
        <v>5</v>
      </c>
      <c r="P31" s="5">
        <v>84</v>
      </c>
      <c r="Q31" s="5">
        <v>1</v>
      </c>
      <c r="R31" s="9">
        <v>0</v>
      </c>
      <c r="S31" s="5">
        <v>0</v>
      </c>
      <c r="T31" s="5">
        <v>0</v>
      </c>
    </row>
    <row r="32" spans="1:20" x14ac:dyDescent="0.2">
      <c r="A32" s="5" t="s">
        <v>53</v>
      </c>
      <c r="B32" s="5" t="s">
        <v>17</v>
      </c>
      <c r="C32" s="6" t="s">
        <v>636</v>
      </c>
      <c r="D32" s="7">
        <f t="shared" si="0"/>
        <v>19.040000000000003</v>
      </c>
      <c r="E32" s="8">
        <v>39</v>
      </c>
      <c r="F32" s="5">
        <v>23</v>
      </c>
      <c r="G32" s="5">
        <v>356</v>
      </c>
      <c r="H32" s="5">
        <v>1</v>
      </c>
      <c r="I32" s="5">
        <v>1</v>
      </c>
      <c r="J32" s="9">
        <v>0</v>
      </c>
      <c r="K32" s="8">
        <v>2</v>
      </c>
      <c r="L32" s="5">
        <v>8</v>
      </c>
      <c r="M32" s="5">
        <v>1</v>
      </c>
      <c r="N32" s="9">
        <v>0</v>
      </c>
      <c r="O32" s="8">
        <v>0</v>
      </c>
      <c r="P32" s="5">
        <v>0</v>
      </c>
      <c r="Q32" s="5">
        <v>0</v>
      </c>
      <c r="R32" s="9">
        <v>0</v>
      </c>
      <c r="S32" s="5">
        <v>2</v>
      </c>
      <c r="T32" s="5">
        <v>0</v>
      </c>
    </row>
    <row r="33" spans="1:20" x14ac:dyDescent="0.2">
      <c r="A33" s="5" t="s">
        <v>113</v>
      </c>
      <c r="B33" s="5" t="s">
        <v>75</v>
      </c>
      <c r="C33" s="8" t="s">
        <v>640</v>
      </c>
      <c r="D33" s="7">
        <f t="shared" si="0"/>
        <v>19</v>
      </c>
      <c r="E33" s="8">
        <v>0</v>
      </c>
      <c r="F33" s="5">
        <v>0</v>
      </c>
      <c r="G33" s="5">
        <v>0</v>
      </c>
      <c r="H33" s="5">
        <v>0</v>
      </c>
      <c r="I33" s="5">
        <v>0</v>
      </c>
      <c r="J33" s="9">
        <v>0</v>
      </c>
      <c r="K33" s="8">
        <v>15</v>
      </c>
      <c r="L33" s="5">
        <v>101</v>
      </c>
      <c r="M33" s="5">
        <v>1</v>
      </c>
      <c r="N33" s="9">
        <v>0</v>
      </c>
      <c r="O33" s="8">
        <v>2</v>
      </c>
      <c r="P33" s="5">
        <v>9</v>
      </c>
      <c r="Q33" s="5">
        <v>0</v>
      </c>
      <c r="R33" s="9">
        <v>0</v>
      </c>
      <c r="S33" s="5">
        <v>0</v>
      </c>
      <c r="T33" s="5">
        <v>0</v>
      </c>
    </row>
    <row r="34" spans="1:20" x14ac:dyDescent="0.2">
      <c r="A34" s="5" t="s">
        <v>219</v>
      </c>
      <c r="B34" s="5" t="s">
        <v>162</v>
      </c>
      <c r="C34" s="6" t="s">
        <v>636</v>
      </c>
      <c r="D34" s="7">
        <f t="shared" si="0"/>
        <v>18.899999999999999</v>
      </c>
      <c r="E34" s="8">
        <v>0</v>
      </c>
      <c r="F34" s="5">
        <v>0</v>
      </c>
      <c r="G34" s="5">
        <v>0</v>
      </c>
      <c r="H34" s="5">
        <v>0</v>
      </c>
      <c r="I34" s="5">
        <v>0</v>
      </c>
      <c r="J34" s="9">
        <v>0</v>
      </c>
      <c r="K34" s="8">
        <v>1</v>
      </c>
      <c r="L34" s="5">
        <v>13</v>
      </c>
      <c r="M34" s="5">
        <v>0</v>
      </c>
      <c r="N34" s="9">
        <v>0</v>
      </c>
      <c r="O34" s="8">
        <v>6</v>
      </c>
      <c r="P34" s="5">
        <v>56</v>
      </c>
      <c r="Q34" s="5">
        <v>1</v>
      </c>
      <c r="R34" s="9">
        <v>0</v>
      </c>
      <c r="S34" s="5">
        <v>0</v>
      </c>
      <c r="T34" s="5">
        <v>0</v>
      </c>
    </row>
    <row r="35" spans="1:20" x14ac:dyDescent="0.2">
      <c r="A35" s="5" t="s">
        <v>38</v>
      </c>
      <c r="B35" s="5" t="s">
        <v>17</v>
      </c>
      <c r="C35" s="6" t="s">
        <v>639</v>
      </c>
      <c r="D35" s="7">
        <f t="shared" si="0"/>
        <v>18.72</v>
      </c>
      <c r="E35" s="8">
        <v>29</v>
      </c>
      <c r="F35" s="5">
        <v>24</v>
      </c>
      <c r="G35" s="5">
        <v>193</v>
      </c>
      <c r="H35" s="5">
        <v>2</v>
      </c>
      <c r="I35" s="5">
        <v>0</v>
      </c>
      <c r="J35" s="9">
        <v>0</v>
      </c>
      <c r="K35" s="8">
        <v>9</v>
      </c>
      <c r="L35" s="5">
        <v>30</v>
      </c>
      <c r="M35" s="5">
        <v>0</v>
      </c>
      <c r="N35" s="9">
        <v>0</v>
      </c>
      <c r="O35" s="8">
        <v>0</v>
      </c>
      <c r="P35" s="5">
        <v>0</v>
      </c>
      <c r="Q35" s="5">
        <v>0</v>
      </c>
      <c r="R35" s="9">
        <v>0</v>
      </c>
      <c r="S35" s="5">
        <v>0</v>
      </c>
      <c r="T35" s="5">
        <v>0</v>
      </c>
    </row>
    <row r="36" spans="1:20" x14ac:dyDescent="0.2">
      <c r="A36" s="5" t="s">
        <v>117</v>
      </c>
      <c r="B36" s="5" t="s">
        <v>75</v>
      </c>
      <c r="C36" s="8" t="s">
        <v>640</v>
      </c>
      <c r="D36" s="7">
        <f t="shared" si="0"/>
        <v>18.600000000000001</v>
      </c>
      <c r="E36" s="8">
        <v>0</v>
      </c>
      <c r="F36" s="5">
        <v>0</v>
      </c>
      <c r="G36" s="5">
        <v>0</v>
      </c>
      <c r="H36" s="5">
        <v>0</v>
      </c>
      <c r="I36" s="5">
        <v>0</v>
      </c>
      <c r="J36" s="9">
        <v>0</v>
      </c>
      <c r="K36" s="8">
        <v>16</v>
      </c>
      <c r="L36" s="5">
        <v>82</v>
      </c>
      <c r="M36" s="5">
        <v>1</v>
      </c>
      <c r="N36" s="9">
        <v>0</v>
      </c>
      <c r="O36" s="8">
        <v>3</v>
      </c>
      <c r="P36" s="5">
        <v>14</v>
      </c>
      <c r="Q36" s="5">
        <v>0</v>
      </c>
      <c r="R36" s="9">
        <v>0</v>
      </c>
      <c r="S36" s="5">
        <v>0</v>
      </c>
      <c r="T36" s="5">
        <v>0</v>
      </c>
    </row>
    <row r="37" spans="1:20" x14ac:dyDescent="0.2">
      <c r="A37" s="5" t="s">
        <v>470</v>
      </c>
      <c r="B37" s="5" t="s">
        <v>75</v>
      </c>
      <c r="C37" s="6" t="s">
        <v>633</v>
      </c>
      <c r="D37" s="7">
        <f t="shared" si="0"/>
        <v>18.5</v>
      </c>
      <c r="E37" s="8">
        <v>0</v>
      </c>
      <c r="F37" s="5">
        <v>0</v>
      </c>
      <c r="G37" s="5">
        <v>0</v>
      </c>
      <c r="H37" s="5">
        <v>0</v>
      </c>
      <c r="I37" s="5">
        <v>0</v>
      </c>
      <c r="J37" s="9">
        <v>0</v>
      </c>
      <c r="K37" s="8">
        <v>9</v>
      </c>
      <c r="L37" s="5">
        <v>42</v>
      </c>
      <c r="M37" s="5">
        <v>0</v>
      </c>
      <c r="N37" s="9">
        <v>2</v>
      </c>
      <c r="O37" s="8">
        <v>7</v>
      </c>
      <c r="P37" s="5">
        <v>33</v>
      </c>
      <c r="Q37" s="5">
        <v>0</v>
      </c>
      <c r="R37" s="9">
        <v>0</v>
      </c>
      <c r="S37" s="5">
        <v>0</v>
      </c>
      <c r="T37" s="5">
        <v>0</v>
      </c>
    </row>
    <row r="38" spans="1:20" x14ac:dyDescent="0.2">
      <c r="A38" s="5" t="s">
        <v>37</v>
      </c>
      <c r="B38" s="5" t="s">
        <v>17</v>
      </c>
      <c r="C38" s="8" t="s">
        <v>635</v>
      </c>
      <c r="D38" s="7">
        <f t="shared" si="0"/>
        <v>18.32</v>
      </c>
      <c r="E38" s="8">
        <v>29</v>
      </c>
      <c r="F38" s="5">
        <v>18</v>
      </c>
      <c r="G38" s="5">
        <v>278</v>
      </c>
      <c r="H38" s="5">
        <v>2</v>
      </c>
      <c r="I38" s="5">
        <v>1</v>
      </c>
      <c r="J38" s="9">
        <v>0</v>
      </c>
      <c r="K38" s="8">
        <v>3</v>
      </c>
      <c r="L38" s="5">
        <v>12</v>
      </c>
      <c r="M38" s="5">
        <v>0</v>
      </c>
      <c r="N38" s="9">
        <v>0</v>
      </c>
      <c r="O38" s="8">
        <v>0</v>
      </c>
      <c r="P38" s="5">
        <v>0</v>
      </c>
      <c r="Q38" s="5">
        <v>0</v>
      </c>
      <c r="R38" s="9">
        <v>0</v>
      </c>
      <c r="S38" s="5">
        <v>0</v>
      </c>
      <c r="T38" s="5">
        <v>0</v>
      </c>
    </row>
    <row r="39" spans="1:20" x14ac:dyDescent="0.2">
      <c r="A39" s="5" t="s">
        <v>184</v>
      </c>
      <c r="B39" s="5" t="s">
        <v>162</v>
      </c>
      <c r="C39" s="6" t="s">
        <v>641</v>
      </c>
      <c r="D39" s="7">
        <f t="shared" si="0"/>
        <v>18.3</v>
      </c>
      <c r="E39" s="8">
        <v>1</v>
      </c>
      <c r="F39" s="5">
        <v>0</v>
      </c>
      <c r="G39" s="5">
        <v>0</v>
      </c>
      <c r="H39" s="5">
        <v>0</v>
      </c>
      <c r="I39" s="5">
        <v>0</v>
      </c>
      <c r="J39" s="9">
        <v>0</v>
      </c>
      <c r="K39" s="8">
        <v>0</v>
      </c>
      <c r="L39" s="5">
        <v>0</v>
      </c>
      <c r="M39" s="5">
        <v>0</v>
      </c>
      <c r="N39" s="9">
        <v>0</v>
      </c>
      <c r="O39" s="8">
        <v>9</v>
      </c>
      <c r="P39" s="5">
        <v>93</v>
      </c>
      <c r="Q39" s="5">
        <v>0</v>
      </c>
      <c r="R39" s="9">
        <v>0</v>
      </c>
      <c r="S39" s="5">
        <v>0</v>
      </c>
      <c r="T39" s="5">
        <v>0</v>
      </c>
    </row>
    <row r="40" spans="1:20" x14ac:dyDescent="0.2">
      <c r="A40" s="5" t="s">
        <v>114</v>
      </c>
      <c r="B40" s="5" t="s">
        <v>75</v>
      </c>
      <c r="C40" s="8" t="s">
        <v>635</v>
      </c>
      <c r="D40" s="7">
        <f t="shared" si="0"/>
        <v>17.8</v>
      </c>
      <c r="E40" s="8">
        <v>0</v>
      </c>
      <c r="F40" s="5">
        <v>0</v>
      </c>
      <c r="G40" s="5">
        <v>0</v>
      </c>
      <c r="H40" s="5">
        <v>0</v>
      </c>
      <c r="I40" s="5">
        <v>0</v>
      </c>
      <c r="J40" s="9">
        <v>0</v>
      </c>
      <c r="K40" s="8">
        <v>20</v>
      </c>
      <c r="L40" s="5">
        <v>51</v>
      </c>
      <c r="M40" s="5">
        <v>0</v>
      </c>
      <c r="N40" s="9">
        <v>0</v>
      </c>
      <c r="O40" s="8">
        <v>2</v>
      </c>
      <c r="P40" s="5">
        <v>47</v>
      </c>
      <c r="Q40" s="5">
        <v>1</v>
      </c>
      <c r="R40" s="9">
        <v>0</v>
      </c>
      <c r="S40" s="5">
        <v>0</v>
      </c>
      <c r="T40" s="5">
        <v>0</v>
      </c>
    </row>
    <row r="41" spans="1:20" x14ac:dyDescent="0.2">
      <c r="A41" s="5" t="s">
        <v>90</v>
      </c>
      <c r="B41" s="5" t="s">
        <v>75</v>
      </c>
      <c r="C41" s="6" t="s">
        <v>631</v>
      </c>
      <c r="D41" s="7">
        <f t="shared" si="0"/>
        <v>17.600000000000001</v>
      </c>
      <c r="E41" s="8">
        <v>0</v>
      </c>
      <c r="F41" s="5">
        <v>0</v>
      </c>
      <c r="G41" s="5">
        <v>0</v>
      </c>
      <c r="H41" s="5">
        <v>0</v>
      </c>
      <c r="I41" s="5">
        <v>0</v>
      </c>
      <c r="J41" s="9">
        <v>0</v>
      </c>
      <c r="K41" s="8">
        <v>12</v>
      </c>
      <c r="L41" s="5">
        <v>116</v>
      </c>
      <c r="M41" s="5">
        <v>1</v>
      </c>
      <c r="N41" s="9">
        <v>0</v>
      </c>
      <c r="O41" s="8">
        <v>0</v>
      </c>
      <c r="P41" s="5">
        <v>0</v>
      </c>
      <c r="Q41" s="5">
        <v>0</v>
      </c>
      <c r="R41" s="9">
        <v>0</v>
      </c>
      <c r="S41" s="5">
        <v>0</v>
      </c>
      <c r="T41" s="5">
        <v>0</v>
      </c>
    </row>
    <row r="42" spans="1:20" x14ac:dyDescent="0.2">
      <c r="A42" s="5" t="s">
        <v>81</v>
      </c>
      <c r="B42" s="5" t="s">
        <v>75</v>
      </c>
      <c r="C42" s="6" t="s">
        <v>638</v>
      </c>
      <c r="D42" s="7">
        <f t="shared" si="0"/>
        <v>17.600000000000001</v>
      </c>
      <c r="E42" s="8">
        <v>0</v>
      </c>
      <c r="F42" s="5">
        <v>0</v>
      </c>
      <c r="G42" s="5">
        <v>0</v>
      </c>
      <c r="H42" s="5">
        <v>0</v>
      </c>
      <c r="I42" s="5">
        <v>0</v>
      </c>
      <c r="J42" s="9">
        <v>0</v>
      </c>
      <c r="K42" s="8">
        <v>22</v>
      </c>
      <c r="L42" s="5">
        <v>95</v>
      </c>
      <c r="M42" s="5">
        <v>1</v>
      </c>
      <c r="N42" s="9">
        <v>0</v>
      </c>
      <c r="O42" s="8">
        <v>1</v>
      </c>
      <c r="P42" s="5">
        <v>11</v>
      </c>
      <c r="Q42" s="5">
        <v>0</v>
      </c>
      <c r="R42" s="9">
        <v>0</v>
      </c>
      <c r="S42" s="5">
        <v>0</v>
      </c>
      <c r="T42" s="5">
        <v>0</v>
      </c>
    </row>
    <row r="43" spans="1:20" x14ac:dyDescent="0.2">
      <c r="A43" s="5" t="s">
        <v>189</v>
      </c>
      <c r="B43" s="5" t="s">
        <v>162</v>
      </c>
      <c r="C43" s="6" t="s">
        <v>639</v>
      </c>
      <c r="D43" s="7">
        <f t="shared" si="0"/>
        <v>17.3</v>
      </c>
      <c r="E43" s="8">
        <v>0</v>
      </c>
      <c r="F43" s="5">
        <v>0</v>
      </c>
      <c r="G43" s="5">
        <v>0</v>
      </c>
      <c r="H43" s="5">
        <v>0</v>
      </c>
      <c r="I43" s="5">
        <v>0</v>
      </c>
      <c r="J43" s="9">
        <v>0</v>
      </c>
      <c r="K43" s="8">
        <v>0</v>
      </c>
      <c r="L43" s="5">
        <v>0</v>
      </c>
      <c r="M43" s="5">
        <v>0</v>
      </c>
      <c r="N43" s="9">
        <v>0</v>
      </c>
      <c r="O43" s="8">
        <v>8</v>
      </c>
      <c r="P43" s="5">
        <v>53</v>
      </c>
      <c r="Q43" s="5">
        <v>1</v>
      </c>
      <c r="R43" s="9">
        <v>0</v>
      </c>
      <c r="S43" s="5">
        <v>1</v>
      </c>
      <c r="T43" s="5">
        <v>0</v>
      </c>
    </row>
    <row r="44" spans="1:20" x14ac:dyDescent="0.2">
      <c r="A44" s="5" t="s">
        <v>642</v>
      </c>
      <c r="B44" s="5" t="s">
        <v>17</v>
      </c>
      <c r="C44" s="8" t="s">
        <v>638</v>
      </c>
      <c r="D44" s="7">
        <f t="shared" si="0"/>
        <v>17.260000000000002</v>
      </c>
      <c r="E44" s="8">
        <v>32</v>
      </c>
      <c r="F44" s="5">
        <v>19</v>
      </c>
      <c r="G44" s="5">
        <v>249</v>
      </c>
      <c r="H44" s="5">
        <v>0</v>
      </c>
      <c r="I44" s="5">
        <v>1</v>
      </c>
      <c r="J44" s="9">
        <v>0</v>
      </c>
      <c r="K44" s="8">
        <v>6</v>
      </c>
      <c r="L44" s="5">
        <v>33</v>
      </c>
      <c r="M44" s="5">
        <v>1</v>
      </c>
      <c r="N44" s="9">
        <v>0</v>
      </c>
      <c r="O44" s="8">
        <v>0</v>
      </c>
      <c r="P44" s="5">
        <v>0</v>
      </c>
      <c r="Q44" s="5">
        <v>0</v>
      </c>
      <c r="R44" s="9">
        <v>0</v>
      </c>
      <c r="S44" s="5">
        <v>0</v>
      </c>
      <c r="T44" s="5">
        <v>0</v>
      </c>
    </row>
    <row r="45" spans="1:20" x14ac:dyDescent="0.2">
      <c r="A45" s="5" t="s">
        <v>125</v>
      </c>
      <c r="B45" s="5" t="s">
        <v>75</v>
      </c>
      <c r="C45" s="8" t="s">
        <v>643</v>
      </c>
      <c r="D45" s="7">
        <f t="shared" si="0"/>
        <v>17.2</v>
      </c>
      <c r="E45" s="8">
        <v>0</v>
      </c>
      <c r="F45" s="5">
        <v>0</v>
      </c>
      <c r="G45" s="5">
        <v>0</v>
      </c>
      <c r="H45" s="5">
        <v>0</v>
      </c>
      <c r="I45" s="5">
        <v>0</v>
      </c>
      <c r="J45" s="9">
        <v>0</v>
      </c>
      <c r="K45" s="8">
        <v>21</v>
      </c>
      <c r="L45" s="5">
        <v>80</v>
      </c>
      <c r="M45" s="5">
        <v>1</v>
      </c>
      <c r="N45" s="9">
        <v>0</v>
      </c>
      <c r="O45" s="8">
        <v>2</v>
      </c>
      <c r="P45" s="5">
        <v>12</v>
      </c>
      <c r="Q45" s="5">
        <v>0</v>
      </c>
      <c r="R45" s="9">
        <v>0</v>
      </c>
      <c r="S45" s="5">
        <v>0</v>
      </c>
      <c r="T45" s="5">
        <v>0</v>
      </c>
    </row>
    <row r="46" spans="1:20" x14ac:dyDescent="0.2">
      <c r="A46" s="5" t="s">
        <v>188</v>
      </c>
      <c r="B46" s="5" t="s">
        <v>162</v>
      </c>
      <c r="C46" s="8" t="s">
        <v>634</v>
      </c>
      <c r="D46" s="7">
        <f t="shared" si="0"/>
        <v>16.8</v>
      </c>
      <c r="E46" s="8">
        <v>0</v>
      </c>
      <c r="F46" s="5">
        <v>0</v>
      </c>
      <c r="G46" s="5">
        <v>0</v>
      </c>
      <c r="H46" s="5">
        <v>0</v>
      </c>
      <c r="I46" s="5">
        <v>0</v>
      </c>
      <c r="J46" s="9">
        <v>0</v>
      </c>
      <c r="K46" s="8">
        <v>0</v>
      </c>
      <c r="L46" s="5">
        <v>0</v>
      </c>
      <c r="M46" s="5">
        <v>0</v>
      </c>
      <c r="N46" s="9">
        <v>0</v>
      </c>
      <c r="O46" s="8">
        <v>7</v>
      </c>
      <c r="P46" s="5">
        <v>98</v>
      </c>
      <c r="Q46" s="5">
        <v>0</v>
      </c>
      <c r="R46" s="9">
        <v>0</v>
      </c>
      <c r="S46" s="5">
        <v>0</v>
      </c>
      <c r="T46" s="5">
        <v>0</v>
      </c>
    </row>
    <row r="47" spans="1:20" x14ac:dyDescent="0.2">
      <c r="A47" s="5" t="s">
        <v>21</v>
      </c>
      <c r="B47" s="5" t="s">
        <v>17</v>
      </c>
      <c r="C47" s="6" t="s">
        <v>640</v>
      </c>
      <c r="D47" s="7">
        <f t="shared" si="0"/>
        <v>16.660000000000004</v>
      </c>
      <c r="E47" s="8">
        <v>40</v>
      </c>
      <c r="F47" s="5">
        <v>21</v>
      </c>
      <c r="G47" s="5">
        <v>289</v>
      </c>
      <c r="H47" s="5">
        <v>2</v>
      </c>
      <c r="I47" s="5">
        <v>2</v>
      </c>
      <c r="J47" s="9">
        <v>0</v>
      </c>
      <c r="K47" s="8">
        <v>2</v>
      </c>
      <c r="L47" s="5">
        <v>11</v>
      </c>
      <c r="M47" s="5">
        <v>0</v>
      </c>
      <c r="N47" s="9">
        <v>0</v>
      </c>
      <c r="O47" s="8">
        <v>0</v>
      </c>
      <c r="P47" s="5">
        <v>0</v>
      </c>
      <c r="Q47" s="5">
        <v>0</v>
      </c>
      <c r="R47" s="9">
        <v>0</v>
      </c>
      <c r="S47" s="5">
        <v>0</v>
      </c>
      <c r="T47" s="5">
        <v>0</v>
      </c>
    </row>
    <row r="48" spans="1:20" x14ac:dyDescent="0.2">
      <c r="A48" s="5" t="s">
        <v>145</v>
      </c>
      <c r="B48" s="5" t="s">
        <v>75</v>
      </c>
      <c r="C48" s="6" t="s">
        <v>634</v>
      </c>
      <c r="D48" s="7">
        <f t="shared" si="0"/>
        <v>16.5</v>
      </c>
      <c r="E48" s="8">
        <v>0</v>
      </c>
      <c r="F48" s="5">
        <v>0</v>
      </c>
      <c r="G48" s="5">
        <v>0</v>
      </c>
      <c r="H48" s="5">
        <v>0</v>
      </c>
      <c r="I48" s="5">
        <v>0</v>
      </c>
      <c r="J48" s="9">
        <v>0</v>
      </c>
      <c r="K48" s="8">
        <v>4</v>
      </c>
      <c r="L48" s="5">
        <v>13</v>
      </c>
      <c r="M48" s="5">
        <v>0</v>
      </c>
      <c r="N48" s="9">
        <v>0</v>
      </c>
      <c r="O48" s="8">
        <v>5</v>
      </c>
      <c r="P48" s="5">
        <v>42</v>
      </c>
      <c r="Q48" s="5">
        <v>1</v>
      </c>
      <c r="R48" s="9">
        <v>0</v>
      </c>
      <c r="S48" s="5">
        <v>0</v>
      </c>
      <c r="T48" s="5">
        <v>0</v>
      </c>
    </row>
    <row r="49" spans="1:20" x14ac:dyDescent="0.2">
      <c r="A49" s="5" t="s">
        <v>169</v>
      </c>
      <c r="B49" s="5" t="s">
        <v>162</v>
      </c>
      <c r="C49" s="6" t="s">
        <v>644</v>
      </c>
      <c r="D49" s="7">
        <f t="shared" si="0"/>
        <v>16.399999999999999</v>
      </c>
      <c r="E49" s="8">
        <v>0</v>
      </c>
      <c r="F49" s="5">
        <v>0</v>
      </c>
      <c r="G49" s="5">
        <v>0</v>
      </c>
      <c r="H49" s="5">
        <v>0</v>
      </c>
      <c r="I49" s="5">
        <v>0</v>
      </c>
      <c r="J49" s="9">
        <v>0</v>
      </c>
      <c r="K49" s="8">
        <v>0</v>
      </c>
      <c r="L49" s="5">
        <v>0</v>
      </c>
      <c r="M49" s="5">
        <v>0</v>
      </c>
      <c r="N49" s="9">
        <v>0</v>
      </c>
      <c r="O49" s="8">
        <v>8</v>
      </c>
      <c r="P49" s="5">
        <v>84</v>
      </c>
      <c r="Q49" s="5">
        <v>0</v>
      </c>
      <c r="R49" s="9">
        <v>0</v>
      </c>
      <c r="S49" s="5">
        <v>0</v>
      </c>
      <c r="T49" s="5">
        <v>0</v>
      </c>
    </row>
    <row r="50" spans="1:20" x14ac:dyDescent="0.2">
      <c r="A50" s="5" t="s">
        <v>28</v>
      </c>
      <c r="B50" s="5" t="s">
        <v>17</v>
      </c>
      <c r="C50" s="6" t="s">
        <v>645</v>
      </c>
      <c r="D50" s="7">
        <f t="shared" si="0"/>
        <v>16.22</v>
      </c>
      <c r="E50" s="8">
        <v>34</v>
      </c>
      <c r="F50" s="5">
        <v>20</v>
      </c>
      <c r="G50" s="5">
        <v>213</v>
      </c>
      <c r="H50" s="5">
        <v>1</v>
      </c>
      <c r="I50" s="5">
        <v>1</v>
      </c>
      <c r="J50" s="9">
        <v>0</v>
      </c>
      <c r="K50" s="8">
        <v>8</v>
      </c>
      <c r="L50" s="5">
        <v>37</v>
      </c>
      <c r="M50" s="5">
        <v>0</v>
      </c>
      <c r="N50" s="9">
        <v>1</v>
      </c>
      <c r="O50" s="8">
        <v>0</v>
      </c>
      <c r="P50" s="5">
        <v>0</v>
      </c>
      <c r="Q50" s="5">
        <v>0</v>
      </c>
      <c r="R50" s="9">
        <v>0</v>
      </c>
      <c r="S50" s="5">
        <v>0</v>
      </c>
      <c r="T50" s="5">
        <v>0</v>
      </c>
    </row>
    <row r="51" spans="1:20" x14ac:dyDescent="0.2">
      <c r="A51" s="5" t="s">
        <v>291</v>
      </c>
      <c r="B51" s="5" t="s">
        <v>69</v>
      </c>
      <c r="C51" s="8" t="s">
        <v>639</v>
      </c>
      <c r="D51" s="7">
        <f t="shared" si="0"/>
        <v>16.100000000000001</v>
      </c>
      <c r="E51" s="8">
        <v>0</v>
      </c>
      <c r="F51" s="5">
        <v>0</v>
      </c>
      <c r="G51" s="5">
        <v>0</v>
      </c>
      <c r="H51" s="5">
        <v>0</v>
      </c>
      <c r="I51" s="5">
        <v>0</v>
      </c>
      <c r="J51" s="9">
        <v>0</v>
      </c>
      <c r="K51" s="8">
        <v>0</v>
      </c>
      <c r="L51" s="5">
        <v>0</v>
      </c>
      <c r="M51" s="5">
        <v>0</v>
      </c>
      <c r="N51" s="9">
        <v>0</v>
      </c>
      <c r="O51" s="8">
        <v>5</v>
      </c>
      <c r="P51" s="5">
        <v>51</v>
      </c>
      <c r="Q51" s="5">
        <v>1</v>
      </c>
      <c r="R51" s="9">
        <v>0</v>
      </c>
      <c r="S51" s="5">
        <v>0</v>
      </c>
      <c r="T51" s="5">
        <v>0</v>
      </c>
    </row>
    <row r="52" spans="1:20" x14ac:dyDescent="0.2">
      <c r="A52" s="5" t="s">
        <v>200</v>
      </c>
      <c r="B52" s="5" t="s">
        <v>162</v>
      </c>
      <c r="C52" s="6" t="s">
        <v>637</v>
      </c>
      <c r="D52" s="7">
        <f t="shared" si="0"/>
        <v>15.9</v>
      </c>
      <c r="E52" s="8">
        <v>0</v>
      </c>
      <c r="F52" s="5">
        <v>0</v>
      </c>
      <c r="G52" s="5">
        <v>0</v>
      </c>
      <c r="H52" s="5">
        <v>0</v>
      </c>
      <c r="I52" s="5">
        <v>0</v>
      </c>
      <c r="J52" s="9">
        <v>0</v>
      </c>
      <c r="K52" s="8">
        <v>3</v>
      </c>
      <c r="L52" s="5">
        <v>29</v>
      </c>
      <c r="M52" s="5">
        <v>1</v>
      </c>
      <c r="N52" s="9">
        <v>0</v>
      </c>
      <c r="O52" s="8">
        <v>4</v>
      </c>
      <c r="P52" s="5">
        <v>30</v>
      </c>
      <c r="Q52" s="5">
        <v>0</v>
      </c>
      <c r="R52" s="9">
        <v>0</v>
      </c>
      <c r="S52" s="5">
        <v>0</v>
      </c>
      <c r="T52" s="5">
        <v>0</v>
      </c>
    </row>
    <row r="53" spans="1:20" x14ac:dyDescent="0.2">
      <c r="A53" s="5" t="s">
        <v>218</v>
      </c>
      <c r="B53" s="5" t="s">
        <v>162</v>
      </c>
      <c r="C53" s="6" t="s">
        <v>645</v>
      </c>
      <c r="D53" s="7">
        <f t="shared" si="0"/>
        <v>15.8</v>
      </c>
      <c r="E53" s="8">
        <v>0</v>
      </c>
      <c r="F53" s="5">
        <v>0</v>
      </c>
      <c r="G53" s="5">
        <v>0</v>
      </c>
      <c r="H53" s="5">
        <v>0</v>
      </c>
      <c r="I53" s="5">
        <v>0</v>
      </c>
      <c r="J53" s="9">
        <v>0</v>
      </c>
      <c r="K53" s="8">
        <v>0</v>
      </c>
      <c r="L53" s="5">
        <v>0</v>
      </c>
      <c r="M53" s="5">
        <v>0</v>
      </c>
      <c r="N53" s="9">
        <v>0</v>
      </c>
      <c r="O53" s="8">
        <v>6</v>
      </c>
      <c r="P53" s="5">
        <v>98</v>
      </c>
      <c r="Q53" s="5">
        <v>0</v>
      </c>
      <c r="R53" s="9">
        <v>0</v>
      </c>
      <c r="S53" s="5">
        <v>0</v>
      </c>
      <c r="T53" s="5">
        <v>0</v>
      </c>
    </row>
    <row r="54" spans="1:20" x14ac:dyDescent="0.2">
      <c r="A54" s="5" t="s">
        <v>208</v>
      </c>
      <c r="B54" s="5" t="s">
        <v>162</v>
      </c>
      <c r="C54" s="6" t="s">
        <v>645</v>
      </c>
      <c r="D54" s="7">
        <f t="shared" si="0"/>
        <v>15.4</v>
      </c>
      <c r="E54" s="8">
        <v>0</v>
      </c>
      <c r="F54" s="5">
        <v>0</v>
      </c>
      <c r="G54" s="5">
        <v>0</v>
      </c>
      <c r="H54" s="5">
        <v>0</v>
      </c>
      <c r="I54" s="5">
        <v>0</v>
      </c>
      <c r="J54" s="9">
        <v>0</v>
      </c>
      <c r="K54" s="8">
        <v>0</v>
      </c>
      <c r="L54" s="5">
        <v>0</v>
      </c>
      <c r="M54" s="5">
        <v>0</v>
      </c>
      <c r="N54" s="9">
        <v>0</v>
      </c>
      <c r="O54" s="8">
        <v>5</v>
      </c>
      <c r="P54" s="5">
        <v>44</v>
      </c>
      <c r="Q54" s="5">
        <v>1</v>
      </c>
      <c r="R54" s="9">
        <v>0</v>
      </c>
      <c r="S54" s="5">
        <v>0</v>
      </c>
      <c r="T54" s="5">
        <v>0</v>
      </c>
    </row>
    <row r="55" spans="1:20" x14ac:dyDescent="0.2">
      <c r="A55" s="5" t="s">
        <v>251</v>
      </c>
      <c r="B55" s="5" t="s">
        <v>162</v>
      </c>
      <c r="C55" s="8" t="s">
        <v>632</v>
      </c>
      <c r="D55" s="7">
        <f t="shared" si="0"/>
        <v>15</v>
      </c>
      <c r="E55" s="8">
        <v>0</v>
      </c>
      <c r="F55" s="5">
        <v>0</v>
      </c>
      <c r="G55" s="5">
        <v>0</v>
      </c>
      <c r="H55" s="5">
        <v>0</v>
      </c>
      <c r="I55" s="5">
        <v>0</v>
      </c>
      <c r="J55" s="9">
        <v>0</v>
      </c>
      <c r="K55" s="8">
        <v>0</v>
      </c>
      <c r="L55" s="5">
        <v>0</v>
      </c>
      <c r="M55" s="5">
        <v>0</v>
      </c>
      <c r="N55" s="9">
        <v>0</v>
      </c>
      <c r="O55" s="8">
        <v>2</v>
      </c>
      <c r="P55" s="5">
        <v>70</v>
      </c>
      <c r="Q55" s="5">
        <v>1</v>
      </c>
      <c r="R55" s="9">
        <v>0</v>
      </c>
      <c r="S55" s="5">
        <v>0</v>
      </c>
      <c r="T55" s="5">
        <v>0</v>
      </c>
    </row>
    <row r="56" spans="1:20" x14ac:dyDescent="0.2">
      <c r="A56" s="5" t="s">
        <v>149</v>
      </c>
      <c r="B56" s="5" t="s">
        <v>75</v>
      </c>
      <c r="C56" s="8" t="s">
        <v>639</v>
      </c>
      <c r="D56" s="7">
        <f t="shared" si="0"/>
        <v>14.9</v>
      </c>
      <c r="E56" s="8">
        <v>0</v>
      </c>
      <c r="F56" s="5">
        <v>0</v>
      </c>
      <c r="G56" s="5">
        <v>0</v>
      </c>
      <c r="H56" s="5">
        <v>0</v>
      </c>
      <c r="I56" s="5">
        <v>0</v>
      </c>
      <c r="J56" s="9">
        <v>0</v>
      </c>
      <c r="K56" s="8">
        <v>9</v>
      </c>
      <c r="L56" s="5">
        <v>68</v>
      </c>
      <c r="M56" s="5">
        <v>1</v>
      </c>
      <c r="N56" s="9">
        <v>0</v>
      </c>
      <c r="O56" s="8">
        <v>2</v>
      </c>
      <c r="P56" s="5">
        <v>1</v>
      </c>
      <c r="Q56" s="5">
        <v>0</v>
      </c>
      <c r="R56" s="9">
        <v>0</v>
      </c>
      <c r="S56" s="5">
        <v>0</v>
      </c>
      <c r="T56" s="5">
        <v>0</v>
      </c>
    </row>
    <row r="57" spans="1:20" x14ac:dyDescent="0.2">
      <c r="A57" s="5" t="s">
        <v>190</v>
      </c>
      <c r="B57" s="5" t="s">
        <v>162</v>
      </c>
      <c r="C57" s="8" t="s">
        <v>641</v>
      </c>
      <c r="D57" s="7">
        <f t="shared" si="0"/>
        <v>14.6</v>
      </c>
      <c r="E57" s="8">
        <v>0</v>
      </c>
      <c r="F57" s="5">
        <v>0</v>
      </c>
      <c r="G57" s="5">
        <v>0</v>
      </c>
      <c r="H57" s="5">
        <v>0</v>
      </c>
      <c r="I57" s="5">
        <v>0</v>
      </c>
      <c r="J57" s="9">
        <v>0</v>
      </c>
      <c r="K57" s="8">
        <v>0</v>
      </c>
      <c r="L57" s="5">
        <v>0</v>
      </c>
      <c r="M57" s="5">
        <v>0</v>
      </c>
      <c r="N57" s="9">
        <v>0</v>
      </c>
      <c r="O57" s="8">
        <v>6</v>
      </c>
      <c r="P57" s="5">
        <v>86</v>
      </c>
      <c r="Q57" s="5">
        <v>0</v>
      </c>
      <c r="R57" s="9">
        <v>0</v>
      </c>
      <c r="S57" s="5">
        <v>0</v>
      </c>
      <c r="T57" s="5">
        <v>0</v>
      </c>
    </row>
    <row r="58" spans="1:20" x14ac:dyDescent="0.2">
      <c r="A58" s="5" t="s">
        <v>515</v>
      </c>
      <c r="B58" s="5" t="s">
        <v>75</v>
      </c>
      <c r="C58" s="6" t="s">
        <v>644</v>
      </c>
      <c r="D58" s="7">
        <f t="shared" si="0"/>
        <v>14.5</v>
      </c>
      <c r="E58" s="8">
        <v>0</v>
      </c>
      <c r="F58" s="5">
        <v>0</v>
      </c>
      <c r="G58" s="5">
        <v>0</v>
      </c>
      <c r="H58" s="5">
        <v>0</v>
      </c>
      <c r="I58" s="5">
        <v>0</v>
      </c>
      <c r="J58" s="9">
        <v>0</v>
      </c>
      <c r="K58" s="8">
        <v>23</v>
      </c>
      <c r="L58" s="5">
        <v>69</v>
      </c>
      <c r="M58" s="5">
        <v>1</v>
      </c>
      <c r="N58" s="9">
        <v>0</v>
      </c>
      <c r="O58" s="8">
        <v>1</v>
      </c>
      <c r="P58" s="5">
        <v>6</v>
      </c>
      <c r="Q58" s="5">
        <v>0</v>
      </c>
      <c r="R58" s="9">
        <v>0</v>
      </c>
      <c r="S58" s="5">
        <v>0</v>
      </c>
      <c r="T58" s="5">
        <v>0</v>
      </c>
    </row>
    <row r="59" spans="1:20" x14ac:dyDescent="0.2">
      <c r="A59" s="5" t="s">
        <v>163</v>
      </c>
      <c r="B59" s="5" t="s">
        <v>162</v>
      </c>
      <c r="C59" s="6" t="s">
        <v>637</v>
      </c>
      <c r="D59" s="7">
        <f t="shared" si="0"/>
        <v>14.5</v>
      </c>
      <c r="E59" s="8">
        <v>0</v>
      </c>
      <c r="F59" s="5">
        <v>0</v>
      </c>
      <c r="G59" s="5">
        <v>0</v>
      </c>
      <c r="H59" s="5">
        <v>0</v>
      </c>
      <c r="I59" s="5">
        <v>0</v>
      </c>
      <c r="J59" s="9">
        <v>0</v>
      </c>
      <c r="K59" s="8">
        <v>0</v>
      </c>
      <c r="L59" s="5">
        <v>0</v>
      </c>
      <c r="M59" s="5">
        <v>0</v>
      </c>
      <c r="N59" s="9">
        <v>0</v>
      </c>
      <c r="O59" s="8">
        <v>3</v>
      </c>
      <c r="P59" s="5">
        <v>55</v>
      </c>
      <c r="Q59" s="5">
        <v>1</v>
      </c>
      <c r="R59" s="9">
        <v>0</v>
      </c>
      <c r="S59" s="5">
        <v>0</v>
      </c>
      <c r="T59" s="5">
        <v>0</v>
      </c>
    </row>
    <row r="60" spans="1:20" x14ac:dyDescent="0.2">
      <c r="A60" s="5" t="s">
        <v>207</v>
      </c>
      <c r="B60" s="5" t="s">
        <v>162</v>
      </c>
      <c r="C60" s="8" t="s">
        <v>644</v>
      </c>
      <c r="D60" s="7">
        <f t="shared" si="0"/>
        <v>14.4</v>
      </c>
      <c r="E60" s="8">
        <v>0</v>
      </c>
      <c r="F60" s="5">
        <v>0</v>
      </c>
      <c r="G60" s="5">
        <v>0</v>
      </c>
      <c r="H60" s="5">
        <v>0</v>
      </c>
      <c r="I60" s="5">
        <v>0</v>
      </c>
      <c r="J60" s="9">
        <v>0</v>
      </c>
      <c r="K60" s="8">
        <v>0</v>
      </c>
      <c r="L60" s="5">
        <v>0</v>
      </c>
      <c r="M60" s="5">
        <v>0</v>
      </c>
      <c r="N60" s="9">
        <v>0</v>
      </c>
      <c r="O60" s="8">
        <v>6</v>
      </c>
      <c r="P60" s="5">
        <v>84</v>
      </c>
      <c r="Q60" s="5">
        <v>0</v>
      </c>
      <c r="R60" s="9">
        <v>0</v>
      </c>
      <c r="S60" s="5">
        <v>0</v>
      </c>
      <c r="T60" s="5">
        <v>0</v>
      </c>
    </row>
    <row r="61" spans="1:20" x14ac:dyDescent="0.2">
      <c r="A61" s="5" t="s">
        <v>263</v>
      </c>
      <c r="B61" s="5" t="s">
        <v>162</v>
      </c>
      <c r="C61" s="8" t="s">
        <v>637</v>
      </c>
      <c r="D61" s="7">
        <f t="shared" si="0"/>
        <v>14.399999999999999</v>
      </c>
      <c r="E61" s="8">
        <v>1</v>
      </c>
      <c r="F61" s="5">
        <v>0</v>
      </c>
      <c r="G61" s="5">
        <v>0</v>
      </c>
      <c r="H61" s="5">
        <v>0</v>
      </c>
      <c r="I61" s="5">
        <v>0</v>
      </c>
      <c r="J61" s="9">
        <v>0</v>
      </c>
      <c r="K61" s="8">
        <v>0</v>
      </c>
      <c r="L61" s="5">
        <v>0</v>
      </c>
      <c r="M61" s="5">
        <v>0</v>
      </c>
      <c r="N61" s="9">
        <v>0</v>
      </c>
      <c r="O61" s="8">
        <v>6</v>
      </c>
      <c r="P61" s="5">
        <v>104</v>
      </c>
      <c r="Q61" s="5">
        <v>0</v>
      </c>
      <c r="R61" s="9">
        <v>0</v>
      </c>
      <c r="S61" s="5">
        <v>1</v>
      </c>
      <c r="T61" s="5">
        <v>0</v>
      </c>
    </row>
    <row r="62" spans="1:20" x14ac:dyDescent="0.2">
      <c r="A62" s="5" t="s">
        <v>48</v>
      </c>
      <c r="B62" s="5" t="s">
        <v>17</v>
      </c>
      <c r="C62" s="8" t="s">
        <v>639</v>
      </c>
      <c r="D62" s="7">
        <f t="shared" si="0"/>
        <v>14.380000000000003</v>
      </c>
      <c r="E62" s="8">
        <v>26</v>
      </c>
      <c r="F62" s="5">
        <v>15</v>
      </c>
      <c r="G62" s="5">
        <v>177</v>
      </c>
      <c r="H62" s="5">
        <v>1</v>
      </c>
      <c r="I62" s="5">
        <v>2</v>
      </c>
      <c r="J62" s="9">
        <v>1</v>
      </c>
      <c r="K62" s="8">
        <v>4</v>
      </c>
      <c r="L62" s="5">
        <v>13</v>
      </c>
      <c r="M62" s="5">
        <v>1</v>
      </c>
      <c r="N62" s="9">
        <v>0</v>
      </c>
      <c r="O62" s="8">
        <v>0</v>
      </c>
      <c r="P62" s="5">
        <v>0</v>
      </c>
      <c r="Q62" s="5">
        <v>0</v>
      </c>
      <c r="R62" s="9">
        <v>0</v>
      </c>
      <c r="S62" s="5">
        <v>1</v>
      </c>
      <c r="T62" s="5">
        <v>0</v>
      </c>
    </row>
    <row r="63" spans="1:20" x14ac:dyDescent="0.2">
      <c r="A63" s="5" t="s">
        <v>646</v>
      </c>
      <c r="B63" s="5" t="s">
        <v>162</v>
      </c>
      <c r="C63" s="8" t="s">
        <v>631</v>
      </c>
      <c r="D63" s="7">
        <f t="shared" si="0"/>
        <v>14.100000000000001</v>
      </c>
      <c r="E63" s="8">
        <v>0</v>
      </c>
      <c r="F63" s="5">
        <v>0</v>
      </c>
      <c r="G63" s="5">
        <v>0</v>
      </c>
      <c r="H63" s="5">
        <v>0</v>
      </c>
      <c r="I63" s="5">
        <v>0</v>
      </c>
      <c r="J63" s="9">
        <v>0</v>
      </c>
      <c r="K63" s="8">
        <v>0</v>
      </c>
      <c r="L63" s="5">
        <v>0</v>
      </c>
      <c r="M63" s="5">
        <v>0</v>
      </c>
      <c r="N63" s="9">
        <v>0</v>
      </c>
      <c r="O63" s="8">
        <v>4</v>
      </c>
      <c r="P63" s="5">
        <v>41</v>
      </c>
      <c r="Q63" s="5">
        <v>1</v>
      </c>
      <c r="R63" s="9">
        <v>0</v>
      </c>
      <c r="S63" s="5">
        <v>0</v>
      </c>
      <c r="T63" s="5">
        <v>0</v>
      </c>
    </row>
    <row r="64" spans="1:20" x14ac:dyDescent="0.2">
      <c r="A64" s="5" t="s">
        <v>316</v>
      </c>
      <c r="B64" s="5" t="s">
        <v>69</v>
      </c>
      <c r="C64" s="6" t="s">
        <v>641</v>
      </c>
      <c r="D64" s="7">
        <f t="shared" si="0"/>
        <v>14</v>
      </c>
      <c r="E64" s="8">
        <v>0</v>
      </c>
      <c r="F64" s="5">
        <v>0</v>
      </c>
      <c r="G64" s="5">
        <v>0</v>
      </c>
      <c r="H64" s="5">
        <v>0</v>
      </c>
      <c r="I64" s="5">
        <v>0</v>
      </c>
      <c r="J64" s="9">
        <v>0</v>
      </c>
      <c r="K64" s="8">
        <v>0</v>
      </c>
      <c r="L64" s="5">
        <v>0</v>
      </c>
      <c r="M64" s="5">
        <v>0</v>
      </c>
      <c r="N64" s="9">
        <v>0</v>
      </c>
      <c r="O64" s="8">
        <v>7</v>
      </c>
      <c r="P64" s="5">
        <v>70</v>
      </c>
      <c r="Q64" s="5">
        <v>0</v>
      </c>
      <c r="R64" s="9">
        <v>0</v>
      </c>
      <c r="S64" s="5">
        <v>0</v>
      </c>
      <c r="T64" s="5">
        <v>0</v>
      </c>
    </row>
    <row r="65" spans="1:20" x14ac:dyDescent="0.2">
      <c r="A65" s="5" t="s">
        <v>56</v>
      </c>
      <c r="B65" s="5" t="s">
        <v>17</v>
      </c>
      <c r="C65" s="6" t="s">
        <v>641</v>
      </c>
      <c r="D65" s="7">
        <f t="shared" si="0"/>
        <v>13.92</v>
      </c>
      <c r="E65" s="8">
        <v>39</v>
      </c>
      <c r="F65" s="5">
        <v>23</v>
      </c>
      <c r="G65" s="5">
        <v>263</v>
      </c>
      <c r="H65" s="5">
        <v>0</v>
      </c>
      <c r="I65" s="5">
        <v>1</v>
      </c>
      <c r="J65" s="9">
        <v>0</v>
      </c>
      <c r="K65" s="8">
        <v>4</v>
      </c>
      <c r="L65" s="5">
        <v>54</v>
      </c>
      <c r="M65" s="5">
        <v>0</v>
      </c>
      <c r="N65" s="9">
        <v>0</v>
      </c>
      <c r="O65" s="8">
        <v>0</v>
      </c>
      <c r="P65" s="5">
        <v>0</v>
      </c>
      <c r="Q65" s="5">
        <v>0</v>
      </c>
      <c r="R65" s="9">
        <v>0</v>
      </c>
      <c r="S65" s="5">
        <v>0</v>
      </c>
      <c r="T65" s="5">
        <v>0</v>
      </c>
    </row>
    <row r="66" spans="1:20" x14ac:dyDescent="0.2">
      <c r="A66" s="5" t="s">
        <v>134</v>
      </c>
      <c r="B66" s="5" t="s">
        <v>75</v>
      </c>
      <c r="C66" s="8" t="s">
        <v>632</v>
      </c>
      <c r="D66" s="7">
        <f t="shared" si="0"/>
        <v>13.9</v>
      </c>
      <c r="E66" s="8">
        <v>0</v>
      </c>
      <c r="F66" s="5">
        <v>0</v>
      </c>
      <c r="G66" s="5">
        <v>0</v>
      </c>
      <c r="H66" s="5">
        <v>0</v>
      </c>
      <c r="I66" s="5">
        <v>0</v>
      </c>
      <c r="J66" s="9">
        <v>0</v>
      </c>
      <c r="K66" s="8">
        <v>12</v>
      </c>
      <c r="L66" s="5">
        <v>79</v>
      </c>
      <c r="M66" s="5">
        <v>1</v>
      </c>
      <c r="N66" s="9">
        <v>0</v>
      </c>
      <c r="O66" s="8">
        <v>0</v>
      </c>
      <c r="P66" s="5">
        <v>0</v>
      </c>
      <c r="Q66" s="5">
        <v>0</v>
      </c>
      <c r="R66" s="9">
        <v>0</v>
      </c>
      <c r="S66" s="5">
        <v>0</v>
      </c>
      <c r="T66" s="5">
        <v>0</v>
      </c>
    </row>
    <row r="67" spans="1:20" x14ac:dyDescent="0.2">
      <c r="A67" s="5" t="s">
        <v>578</v>
      </c>
      <c r="B67" s="5" t="s">
        <v>75</v>
      </c>
      <c r="C67" s="8" t="s">
        <v>645</v>
      </c>
      <c r="D67" s="7">
        <f t="shared" si="0"/>
        <v>13.600000000000001</v>
      </c>
      <c r="E67" s="8">
        <v>0</v>
      </c>
      <c r="F67" s="5">
        <v>0</v>
      </c>
      <c r="G67" s="5">
        <v>0</v>
      </c>
      <c r="H67" s="5">
        <v>0</v>
      </c>
      <c r="I67" s="5">
        <v>0</v>
      </c>
      <c r="J67" s="9">
        <v>0</v>
      </c>
      <c r="K67" s="8">
        <v>3</v>
      </c>
      <c r="L67" s="5">
        <v>34</v>
      </c>
      <c r="M67" s="5">
        <v>1</v>
      </c>
      <c r="N67" s="9">
        <v>0</v>
      </c>
      <c r="O67" s="8">
        <v>1</v>
      </c>
      <c r="P67" s="5">
        <v>32</v>
      </c>
      <c r="Q67" s="5">
        <v>0</v>
      </c>
      <c r="R67" s="9">
        <v>0</v>
      </c>
      <c r="S67" s="5">
        <v>0</v>
      </c>
      <c r="T67" s="5">
        <v>0</v>
      </c>
    </row>
    <row r="68" spans="1:20" x14ac:dyDescent="0.2">
      <c r="A68" s="5" t="s">
        <v>605</v>
      </c>
      <c r="B68" s="5" t="s">
        <v>17</v>
      </c>
      <c r="C68" s="6" t="s">
        <v>632</v>
      </c>
      <c r="D68" s="7">
        <f t="shared" si="0"/>
        <v>13.54</v>
      </c>
      <c r="E68" s="8">
        <v>27</v>
      </c>
      <c r="F68" s="5">
        <v>14</v>
      </c>
      <c r="G68" s="5">
        <v>86</v>
      </c>
      <c r="H68" s="5">
        <v>2</v>
      </c>
      <c r="I68" s="5">
        <v>1</v>
      </c>
      <c r="J68" s="9">
        <v>0</v>
      </c>
      <c r="K68" s="8">
        <v>7</v>
      </c>
      <c r="L68" s="5">
        <v>41</v>
      </c>
      <c r="M68" s="5">
        <v>0</v>
      </c>
      <c r="N68" s="9">
        <v>0</v>
      </c>
      <c r="O68" s="8">
        <v>0</v>
      </c>
      <c r="P68" s="5">
        <v>0</v>
      </c>
      <c r="Q68" s="5">
        <v>0</v>
      </c>
      <c r="R68" s="9">
        <v>0</v>
      </c>
      <c r="S68" s="5">
        <v>0</v>
      </c>
      <c r="T68" s="5">
        <v>0</v>
      </c>
    </row>
    <row r="69" spans="1:20" x14ac:dyDescent="0.2">
      <c r="A69" s="5" t="s">
        <v>483</v>
      </c>
      <c r="B69" s="5" t="s">
        <v>162</v>
      </c>
      <c r="C69" s="8" t="s">
        <v>636</v>
      </c>
      <c r="D69" s="7">
        <f t="shared" si="0"/>
        <v>13.4</v>
      </c>
      <c r="E69" s="8">
        <v>0</v>
      </c>
      <c r="F69" s="5">
        <v>0</v>
      </c>
      <c r="G69" s="5">
        <v>0</v>
      </c>
      <c r="H69" s="5">
        <v>0</v>
      </c>
      <c r="I69" s="5">
        <v>0</v>
      </c>
      <c r="J69" s="9">
        <v>0</v>
      </c>
      <c r="K69" s="8">
        <v>0</v>
      </c>
      <c r="L69" s="5">
        <v>0</v>
      </c>
      <c r="M69" s="5">
        <v>0</v>
      </c>
      <c r="N69" s="9">
        <v>0</v>
      </c>
      <c r="O69" s="8">
        <v>2</v>
      </c>
      <c r="P69" s="5">
        <v>54</v>
      </c>
      <c r="Q69" s="5">
        <v>1</v>
      </c>
      <c r="R69" s="9">
        <v>0</v>
      </c>
      <c r="S69" s="5">
        <v>0</v>
      </c>
      <c r="T69" s="5">
        <v>0</v>
      </c>
    </row>
    <row r="70" spans="1:20" x14ac:dyDescent="0.2">
      <c r="A70" s="5" t="s">
        <v>253</v>
      </c>
      <c r="B70" s="5" t="s">
        <v>162</v>
      </c>
      <c r="C70" s="8" t="s">
        <v>631</v>
      </c>
      <c r="D70" s="7">
        <f t="shared" si="0"/>
        <v>13.4</v>
      </c>
      <c r="E70" s="8">
        <v>0</v>
      </c>
      <c r="F70" s="5">
        <v>0</v>
      </c>
      <c r="G70" s="5">
        <v>0</v>
      </c>
      <c r="H70" s="5">
        <v>0</v>
      </c>
      <c r="I70" s="5">
        <v>0</v>
      </c>
      <c r="J70" s="9">
        <v>0</v>
      </c>
      <c r="K70" s="8">
        <v>0</v>
      </c>
      <c r="L70" s="5">
        <v>0</v>
      </c>
      <c r="M70" s="5">
        <v>0</v>
      </c>
      <c r="N70" s="9">
        <v>0</v>
      </c>
      <c r="O70" s="8">
        <v>4</v>
      </c>
      <c r="P70" s="5">
        <v>34</v>
      </c>
      <c r="Q70" s="5">
        <v>1</v>
      </c>
      <c r="R70" s="9">
        <v>0</v>
      </c>
      <c r="S70" s="5">
        <v>0</v>
      </c>
      <c r="T70" s="5">
        <v>0</v>
      </c>
    </row>
    <row r="71" spans="1:20" x14ac:dyDescent="0.2">
      <c r="A71" s="5" t="s">
        <v>87</v>
      </c>
      <c r="B71" s="5" t="s">
        <v>75</v>
      </c>
      <c r="C71" s="8" t="s">
        <v>644</v>
      </c>
      <c r="D71" s="7">
        <f t="shared" si="0"/>
        <v>13.200000000000001</v>
      </c>
      <c r="E71" s="8">
        <v>0</v>
      </c>
      <c r="F71" s="5">
        <v>0</v>
      </c>
      <c r="G71" s="5">
        <v>0</v>
      </c>
      <c r="H71" s="5">
        <v>0</v>
      </c>
      <c r="I71" s="5">
        <v>0</v>
      </c>
      <c r="J71" s="9">
        <v>0</v>
      </c>
      <c r="K71" s="8">
        <v>20</v>
      </c>
      <c r="L71" s="5">
        <v>88</v>
      </c>
      <c r="M71" s="5">
        <v>0</v>
      </c>
      <c r="N71" s="9">
        <v>0</v>
      </c>
      <c r="O71" s="8">
        <v>3</v>
      </c>
      <c r="P71" s="5">
        <v>14</v>
      </c>
      <c r="Q71" s="5">
        <v>0</v>
      </c>
      <c r="R71" s="9">
        <v>0</v>
      </c>
      <c r="S71" s="5">
        <v>0</v>
      </c>
      <c r="T71" s="5">
        <v>0</v>
      </c>
    </row>
    <row r="72" spans="1:20" x14ac:dyDescent="0.2">
      <c r="A72" s="5" t="s">
        <v>58</v>
      </c>
      <c r="B72" s="5" t="s">
        <v>17</v>
      </c>
      <c r="C72" s="8" t="s">
        <v>645</v>
      </c>
      <c r="D72" s="7">
        <f t="shared" si="0"/>
        <v>13.02</v>
      </c>
      <c r="E72" s="8">
        <v>23</v>
      </c>
      <c r="F72" s="5">
        <v>13</v>
      </c>
      <c r="G72" s="5">
        <v>223</v>
      </c>
      <c r="H72" s="5">
        <v>1</v>
      </c>
      <c r="I72" s="5">
        <v>2</v>
      </c>
      <c r="J72" s="9">
        <v>0</v>
      </c>
      <c r="K72" s="8">
        <v>8</v>
      </c>
      <c r="L72" s="5">
        <v>41</v>
      </c>
      <c r="M72" s="5">
        <v>0</v>
      </c>
      <c r="N72" s="9">
        <v>0</v>
      </c>
      <c r="O72" s="8">
        <v>0</v>
      </c>
      <c r="P72" s="5">
        <v>0</v>
      </c>
      <c r="Q72" s="5">
        <v>0</v>
      </c>
      <c r="R72" s="9">
        <v>0</v>
      </c>
      <c r="S72" s="5">
        <v>0</v>
      </c>
      <c r="T72" s="5">
        <v>0</v>
      </c>
    </row>
    <row r="73" spans="1:20" x14ac:dyDescent="0.2">
      <c r="A73" s="5" t="s">
        <v>109</v>
      </c>
      <c r="B73" s="5" t="s">
        <v>75</v>
      </c>
      <c r="C73" s="8" t="s">
        <v>641</v>
      </c>
      <c r="D73" s="7">
        <f t="shared" si="0"/>
        <v>12.700000000000001</v>
      </c>
      <c r="E73" s="8">
        <v>0</v>
      </c>
      <c r="F73" s="5">
        <v>0</v>
      </c>
      <c r="G73" s="5">
        <v>0</v>
      </c>
      <c r="H73" s="5">
        <v>0</v>
      </c>
      <c r="I73" s="5">
        <v>0</v>
      </c>
      <c r="J73" s="9">
        <v>0</v>
      </c>
      <c r="K73" s="8">
        <v>27</v>
      </c>
      <c r="L73" s="5">
        <v>116</v>
      </c>
      <c r="M73" s="5">
        <v>0</v>
      </c>
      <c r="N73" s="9">
        <v>0</v>
      </c>
      <c r="O73" s="8">
        <v>2</v>
      </c>
      <c r="P73" s="5">
        <v>11</v>
      </c>
      <c r="Q73" s="5">
        <v>0</v>
      </c>
      <c r="R73" s="9">
        <v>0</v>
      </c>
      <c r="S73" s="5">
        <v>1</v>
      </c>
      <c r="T73" s="5">
        <v>0</v>
      </c>
    </row>
    <row r="74" spans="1:20" x14ac:dyDescent="0.2">
      <c r="A74" s="5" t="s">
        <v>304</v>
      </c>
      <c r="B74" s="5" t="s">
        <v>69</v>
      </c>
      <c r="C74" s="8" t="s">
        <v>632</v>
      </c>
      <c r="D74" s="7">
        <f t="shared" si="0"/>
        <v>12.6</v>
      </c>
      <c r="E74" s="8">
        <v>0</v>
      </c>
      <c r="F74" s="5">
        <v>0</v>
      </c>
      <c r="G74" s="5">
        <v>0</v>
      </c>
      <c r="H74" s="5">
        <v>0</v>
      </c>
      <c r="I74" s="5">
        <v>0</v>
      </c>
      <c r="J74" s="9">
        <v>0</v>
      </c>
      <c r="K74" s="8">
        <v>0</v>
      </c>
      <c r="L74" s="5">
        <v>0</v>
      </c>
      <c r="M74" s="5">
        <v>0</v>
      </c>
      <c r="N74" s="9">
        <v>0</v>
      </c>
      <c r="O74" s="8">
        <v>4</v>
      </c>
      <c r="P74" s="5">
        <v>26</v>
      </c>
      <c r="Q74" s="5">
        <v>1</v>
      </c>
      <c r="R74" s="9">
        <v>0</v>
      </c>
      <c r="S74" s="5">
        <v>0</v>
      </c>
      <c r="T74" s="5">
        <v>0</v>
      </c>
    </row>
    <row r="75" spans="1:20" x14ac:dyDescent="0.2">
      <c r="A75" s="5" t="s">
        <v>103</v>
      </c>
      <c r="B75" s="5" t="s">
        <v>75</v>
      </c>
      <c r="C75" s="8" t="s">
        <v>636</v>
      </c>
      <c r="D75" s="7">
        <f t="shared" si="0"/>
        <v>12.500000000000002</v>
      </c>
      <c r="E75" s="8">
        <v>0</v>
      </c>
      <c r="F75" s="5">
        <v>0</v>
      </c>
      <c r="G75" s="5">
        <v>0</v>
      </c>
      <c r="H75" s="5">
        <v>0</v>
      </c>
      <c r="I75" s="5">
        <v>0</v>
      </c>
      <c r="J75" s="9">
        <v>0</v>
      </c>
      <c r="K75" s="8">
        <v>11</v>
      </c>
      <c r="L75" s="5">
        <v>46</v>
      </c>
      <c r="M75" s="5">
        <v>1</v>
      </c>
      <c r="N75" s="9">
        <v>0</v>
      </c>
      <c r="O75" s="8">
        <v>2</v>
      </c>
      <c r="P75" s="5">
        <v>-1</v>
      </c>
      <c r="Q75" s="5">
        <v>0</v>
      </c>
      <c r="R75" s="9">
        <v>0</v>
      </c>
      <c r="S75" s="5">
        <v>0</v>
      </c>
      <c r="T75" s="5">
        <v>0</v>
      </c>
    </row>
    <row r="76" spans="1:20" x14ac:dyDescent="0.2">
      <c r="A76" s="5" t="s">
        <v>179</v>
      </c>
      <c r="B76" s="5" t="s">
        <v>162</v>
      </c>
      <c r="C76" s="8" t="s">
        <v>645</v>
      </c>
      <c r="D76" s="7">
        <f t="shared" si="0"/>
        <v>12.3</v>
      </c>
      <c r="E76" s="8">
        <v>0</v>
      </c>
      <c r="F76" s="5">
        <v>0</v>
      </c>
      <c r="G76" s="5">
        <v>0</v>
      </c>
      <c r="H76" s="5">
        <v>0</v>
      </c>
      <c r="I76" s="5">
        <v>0</v>
      </c>
      <c r="J76" s="9">
        <v>0</v>
      </c>
      <c r="K76" s="8">
        <v>0</v>
      </c>
      <c r="L76" s="5">
        <v>0</v>
      </c>
      <c r="M76" s="5">
        <v>0</v>
      </c>
      <c r="N76" s="9">
        <v>0</v>
      </c>
      <c r="O76" s="8">
        <v>5</v>
      </c>
      <c r="P76" s="5">
        <v>73</v>
      </c>
      <c r="Q76" s="5">
        <v>0</v>
      </c>
      <c r="R76" s="9">
        <v>0</v>
      </c>
      <c r="S76" s="5">
        <v>0</v>
      </c>
      <c r="T76" s="5">
        <v>0</v>
      </c>
    </row>
    <row r="77" spans="1:20" x14ac:dyDescent="0.2">
      <c r="A77" s="5" t="s">
        <v>359</v>
      </c>
      <c r="B77" s="5" t="s">
        <v>162</v>
      </c>
      <c r="C77" s="6" t="s">
        <v>634</v>
      </c>
      <c r="D77" s="7">
        <f t="shared" si="0"/>
        <v>12.100000000000001</v>
      </c>
      <c r="E77" s="8">
        <v>0</v>
      </c>
      <c r="F77" s="5">
        <v>0</v>
      </c>
      <c r="G77" s="5">
        <v>0</v>
      </c>
      <c r="H77" s="5">
        <v>0</v>
      </c>
      <c r="I77" s="5">
        <v>0</v>
      </c>
      <c r="J77" s="9">
        <v>0</v>
      </c>
      <c r="K77" s="8">
        <v>0</v>
      </c>
      <c r="L77" s="5">
        <v>0</v>
      </c>
      <c r="M77" s="5">
        <v>0</v>
      </c>
      <c r="N77" s="9">
        <v>0</v>
      </c>
      <c r="O77" s="8">
        <v>2</v>
      </c>
      <c r="P77" s="5">
        <v>41</v>
      </c>
      <c r="Q77" s="5">
        <v>1</v>
      </c>
      <c r="R77" s="9">
        <v>0</v>
      </c>
      <c r="S77" s="5">
        <v>0</v>
      </c>
      <c r="T77" s="5">
        <v>0</v>
      </c>
    </row>
    <row r="78" spans="1:20" x14ac:dyDescent="0.2">
      <c r="A78" s="5" t="s">
        <v>174</v>
      </c>
      <c r="B78" s="5" t="s">
        <v>162</v>
      </c>
      <c r="C78" s="6" t="s">
        <v>640</v>
      </c>
      <c r="D78" s="7">
        <f t="shared" si="0"/>
        <v>12.1</v>
      </c>
      <c r="E78" s="8">
        <v>0</v>
      </c>
      <c r="F78" s="5">
        <v>0</v>
      </c>
      <c r="G78" s="5">
        <v>0</v>
      </c>
      <c r="H78" s="5">
        <v>0</v>
      </c>
      <c r="I78" s="5">
        <v>0</v>
      </c>
      <c r="J78" s="9">
        <v>0</v>
      </c>
      <c r="K78" s="8">
        <v>0</v>
      </c>
      <c r="L78" s="5">
        <v>0</v>
      </c>
      <c r="M78" s="5">
        <v>0</v>
      </c>
      <c r="N78" s="9">
        <v>0</v>
      </c>
      <c r="O78" s="8">
        <v>3</v>
      </c>
      <c r="P78" s="5">
        <v>31</v>
      </c>
      <c r="Q78" s="5">
        <v>1</v>
      </c>
      <c r="R78" s="9">
        <v>0</v>
      </c>
      <c r="S78" s="5">
        <v>0</v>
      </c>
      <c r="T78" s="5">
        <v>0</v>
      </c>
    </row>
    <row r="79" spans="1:20" x14ac:dyDescent="0.2">
      <c r="A79" s="5" t="s">
        <v>102</v>
      </c>
      <c r="B79" s="5" t="s">
        <v>75</v>
      </c>
      <c r="C79" s="8" t="s">
        <v>639</v>
      </c>
      <c r="D79" s="7">
        <f t="shared" si="0"/>
        <v>12</v>
      </c>
      <c r="E79" s="8">
        <v>0</v>
      </c>
      <c r="F79" s="5">
        <v>0</v>
      </c>
      <c r="G79" s="5">
        <v>0</v>
      </c>
      <c r="H79" s="5">
        <v>0</v>
      </c>
      <c r="I79" s="5">
        <v>0</v>
      </c>
      <c r="J79" s="9">
        <v>0</v>
      </c>
      <c r="K79" s="8">
        <v>12</v>
      </c>
      <c r="L79" s="5">
        <v>109</v>
      </c>
      <c r="M79" s="5">
        <v>0</v>
      </c>
      <c r="N79" s="9">
        <v>0</v>
      </c>
      <c r="O79" s="8">
        <v>2</v>
      </c>
      <c r="P79" s="5">
        <v>11</v>
      </c>
      <c r="Q79" s="5">
        <v>0</v>
      </c>
      <c r="R79" s="9">
        <v>0</v>
      </c>
      <c r="S79" s="5">
        <v>1</v>
      </c>
      <c r="T79" s="5">
        <v>0</v>
      </c>
    </row>
    <row r="80" spans="1:20" x14ac:dyDescent="0.2">
      <c r="A80" s="5" t="s">
        <v>136</v>
      </c>
      <c r="B80" s="5" t="s">
        <v>75</v>
      </c>
      <c r="C80" s="6" t="s">
        <v>645</v>
      </c>
      <c r="D80" s="7">
        <f t="shared" si="0"/>
        <v>11.9</v>
      </c>
      <c r="E80" s="8">
        <v>0</v>
      </c>
      <c r="F80" s="5">
        <v>0</v>
      </c>
      <c r="G80" s="5">
        <v>0</v>
      </c>
      <c r="H80" s="5">
        <v>0</v>
      </c>
      <c r="I80" s="5">
        <v>0</v>
      </c>
      <c r="J80" s="9">
        <v>0</v>
      </c>
      <c r="K80" s="8">
        <v>17</v>
      </c>
      <c r="L80" s="5">
        <v>107</v>
      </c>
      <c r="M80" s="5">
        <v>0</v>
      </c>
      <c r="N80" s="9">
        <v>0</v>
      </c>
      <c r="O80" s="8">
        <v>1</v>
      </c>
      <c r="P80" s="5">
        <v>2</v>
      </c>
      <c r="Q80" s="5">
        <v>0</v>
      </c>
      <c r="R80" s="9">
        <v>0</v>
      </c>
      <c r="S80" s="5">
        <v>0</v>
      </c>
      <c r="T80" s="5">
        <v>0</v>
      </c>
    </row>
    <row r="81" spans="1:20" x14ac:dyDescent="0.2">
      <c r="A81" s="5" t="s">
        <v>647</v>
      </c>
      <c r="B81" s="5" t="s">
        <v>162</v>
      </c>
      <c r="C81" s="6" t="s">
        <v>633</v>
      </c>
      <c r="D81" s="7">
        <f t="shared" si="0"/>
        <v>11.8</v>
      </c>
      <c r="E81" s="8">
        <v>0</v>
      </c>
      <c r="F81" s="5">
        <v>0</v>
      </c>
      <c r="G81" s="5">
        <v>0</v>
      </c>
      <c r="H81" s="5">
        <v>0</v>
      </c>
      <c r="I81" s="5">
        <v>0</v>
      </c>
      <c r="J81" s="9">
        <v>0</v>
      </c>
      <c r="K81" s="8">
        <v>0</v>
      </c>
      <c r="L81" s="5">
        <v>0</v>
      </c>
      <c r="M81" s="5">
        <v>0</v>
      </c>
      <c r="N81" s="9">
        <v>0</v>
      </c>
      <c r="O81" s="8">
        <v>2</v>
      </c>
      <c r="P81" s="5">
        <v>38</v>
      </c>
      <c r="Q81" s="5">
        <v>1</v>
      </c>
      <c r="R81" s="9">
        <v>0</v>
      </c>
      <c r="S81" s="5">
        <v>0</v>
      </c>
      <c r="T81" s="5">
        <v>0</v>
      </c>
    </row>
    <row r="82" spans="1:20" x14ac:dyDescent="0.2">
      <c r="A82" s="5" t="s">
        <v>300</v>
      </c>
      <c r="B82" s="5" t="s">
        <v>69</v>
      </c>
      <c r="C82" s="6" t="s">
        <v>645</v>
      </c>
      <c r="D82" s="7">
        <f t="shared" si="0"/>
        <v>11.8</v>
      </c>
      <c r="E82" s="8">
        <v>0</v>
      </c>
      <c r="F82" s="5">
        <v>0</v>
      </c>
      <c r="G82" s="5">
        <v>0</v>
      </c>
      <c r="H82" s="5">
        <v>0</v>
      </c>
      <c r="I82" s="5">
        <v>0</v>
      </c>
      <c r="J82" s="9">
        <v>0</v>
      </c>
      <c r="K82" s="8">
        <v>0</v>
      </c>
      <c r="L82" s="5">
        <v>0</v>
      </c>
      <c r="M82" s="5">
        <v>0</v>
      </c>
      <c r="N82" s="9">
        <v>0</v>
      </c>
      <c r="O82" s="8">
        <v>6</v>
      </c>
      <c r="P82" s="5">
        <v>58</v>
      </c>
      <c r="Q82" s="5">
        <v>0</v>
      </c>
      <c r="R82" s="9">
        <v>0</v>
      </c>
      <c r="S82" s="5">
        <v>0</v>
      </c>
      <c r="T82" s="5">
        <v>0</v>
      </c>
    </row>
    <row r="83" spans="1:20" x14ac:dyDescent="0.2">
      <c r="A83" s="5" t="s">
        <v>313</v>
      </c>
      <c r="B83" s="5" t="s">
        <v>69</v>
      </c>
      <c r="C83" s="6" t="s">
        <v>636</v>
      </c>
      <c r="D83" s="7">
        <f t="shared" si="0"/>
        <v>11.100000000000001</v>
      </c>
      <c r="E83" s="8">
        <v>0</v>
      </c>
      <c r="F83" s="5">
        <v>0</v>
      </c>
      <c r="G83" s="5">
        <v>0</v>
      </c>
      <c r="H83" s="5">
        <v>0</v>
      </c>
      <c r="I83" s="5">
        <v>0</v>
      </c>
      <c r="J83" s="9">
        <v>0</v>
      </c>
      <c r="K83" s="8">
        <v>0</v>
      </c>
      <c r="L83" s="5">
        <v>0</v>
      </c>
      <c r="M83" s="5">
        <v>0</v>
      </c>
      <c r="N83" s="9">
        <v>0</v>
      </c>
      <c r="O83" s="8">
        <v>4</v>
      </c>
      <c r="P83" s="5">
        <v>71</v>
      </c>
      <c r="Q83" s="5">
        <v>0</v>
      </c>
      <c r="R83" s="9">
        <v>0</v>
      </c>
      <c r="S83" s="5">
        <v>0</v>
      </c>
      <c r="T83" s="5">
        <v>0</v>
      </c>
    </row>
    <row r="84" spans="1:20" x14ac:dyDescent="0.2">
      <c r="A84" s="5" t="s">
        <v>228</v>
      </c>
      <c r="B84" s="5" t="s">
        <v>162</v>
      </c>
      <c r="C84" s="8" t="s">
        <v>645</v>
      </c>
      <c r="D84" s="7">
        <f t="shared" si="0"/>
        <v>11</v>
      </c>
      <c r="E84" s="8">
        <v>0</v>
      </c>
      <c r="F84" s="5">
        <v>0</v>
      </c>
      <c r="G84" s="5">
        <v>0</v>
      </c>
      <c r="H84" s="5">
        <v>0</v>
      </c>
      <c r="I84" s="5">
        <v>0</v>
      </c>
      <c r="J84" s="9">
        <v>0</v>
      </c>
      <c r="K84" s="8">
        <v>0</v>
      </c>
      <c r="L84" s="5">
        <v>0</v>
      </c>
      <c r="M84" s="5">
        <v>0</v>
      </c>
      <c r="N84" s="9">
        <v>0</v>
      </c>
      <c r="O84" s="8">
        <v>1</v>
      </c>
      <c r="P84" s="5">
        <v>40</v>
      </c>
      <c r="Q84" s="5">
        <v>1</v>
      </c>
      <c r="R84" s="9">
        <v>0</v>
      </c>
      <c r="S84" s="5">
        <v>0</v>
      </c>
      <c r="T84" s="5">
        <v>0</v>
      </c>
    </row>
    <row r="85" spans="1:20" x14ac:dyDescent="0.2">
      <c r="A85" s="5" t="s">
        <v>178</v>
      </c>
      <c r="B85" s="5" t="s">
        <v>162</v>
      </c>
      <c r="C85" s="8" t="s">
        <v>633</v>
      </c>
      <c r="D85" s="7">
        <f t="shared" si="0"/>
        <v>10.9</v>
      </c>
      <c r="E85" s="8">
        <v>0</v>
      </c>
      <c r="F85" s="5">
        <v>0</v>
      </c>
      <c r="G85" s="5">
        <v>0</v>
      </c>
      <c r="H85" s="5">
        <v>0</v>
      </c>
      <c r="I85" s="5">
        <v>0</v>
      </c>
      <c r="J85" s="9">
        <v>0</v>
      </c>
      <c r="K85" s="8">
        <v>0</v>
      </c>
      <c r="L85" s="5">
        <v>0</v>
      </c>
      <c r="M85" s="5">
        <v>0</v>
      </c>
      <c r="N85" s="9">
        <v>0</v>
      </c>
      <c r="O85" s="8">
        <v>4</v>
      </c>
      <c r="P85" s="5">
        <v>69</v>
      </c>
      <c r="Q85" s="5">
        <v>0</v>
      </c>
      <c r="R85" s="9">
        <v>0</v>
      </c>
      <c r="S85" s="5">
        <v>0</v>
      </c>
      <c r="T85" s="5">
        <v>0</v>
      </c>
    </row>
    <row r="86" spans="1:20" x14ac:dyDescent="0.2">
      <c r="A86" s="5" t="s">
        <v>235</v>
      </c>
      <c r="B86" s="5" t="s">
        <v>162</v>
      </c>
      <c r="C86" s="8" t="s">
        <v>643</v>
      </c>
      <c r="D86" s="7">
        <f t="shared" si="0"/>
        <v>10.9</v>
      </c>
      <c r="E86" s="8">
        <v>0</v>
      </c>
      <c r="F86" s="5">
        <v>0</v>
      </c>
      <c r="G86" s="5">
        <v>0</v>
      </c>
      <c r="H86" s="5">
        <v>0</v>
      </c>
      <c r="I86" s="5">
        <v>0</v>
      </c>
      <c r="J86" s="9">
        <v>0</v>
      </c>
      <c r="K86" s="8">
        <v>1</v>
      </c>
      <c r="L86" s="5">
        <v>1</v>
      </c>
      <c r="M86" s="5">
        <v>0</v>
      </c>
      <c r="N86" s="9">
        <v>0</v>
      </c>
      <c r="O86" s="8">
        <v>5</v>
      </c>
      <c r="P86" s="5">
        <v>58</v>
      </c>
      <c r="Q86" s="5">
        <v>0</v>
      </c>
      <c r="R86" s="9">
        <v>0</v>
      </c>
      <c r="S86" s="5">
        <v>0</v>
      </c>
      <c r="T86" s="5">
        <v>0</v>
      </c>
    </row>
    <row r="87" spans="1:20" x14ac:dyDescent="0.2">
      <c r="A87" s="5" t="s">
        <v>389</v>
      </c>
      <c r="B87" s="5" t="s">
        <v>69</v>
      </c>
      <c r="C87" s="8" t="s">
        <v>641</v>
      </c>
      <c r="D87" s="7">
        <f t="shared" si="0"/>
        <v>10.9</v>
      </c>
      <c r="E87" s="8">
        <v>0</v>
      </c>
      <c r="F87" s="5">
        <v>0</v>
      </c>
      <c r="G87" s="5">
        <v>0</v>
      </c>
      <c r="H87" s="5">
        <v>0</v>
      </c>
      <c r="I87" s="5">
        <v>0</v>
      </c>
      <c r="J87" s="9">
        <v>0</v>
      </c>
      <c r="K87" s="8">
        <v>0</v>
      </c>
      <c r="L87" s="5">
        <v>0</v>
      </c>
      <c r="M87" s="5">
        <v>0</v>
      </c>
      <c r="N87" s="9">
        <v>0</v>
      </c>
      <c r="O87" s="8">
        <v>3</v>
      </c>
      <c r="P87" s="5">
        <v>19</v>
      </c>
      <c r="Q87" s="5">
        <v>1</v>
      </c>
      <c r="R87" s="9">
        <v>0</v>
      </c>
      <c r="S87" s="5">
        <v>0</v>
      </c>
      <c r="T87" s="5">
        <v>0</v>
      </c>
    </row>
    <row r="88" spans="1:20" x14ac:dyDescent="0.2">
      <c r="A88" s="5" t="s">
        <v>110</v>
      </c>
      <c r="B88" s="5" t="s">
        <v>75</v>
      </c>
      <c r="C88" s="8" t="s">
        <v>644</v>
      </c>
      <c r="D88" s="7">
        <f t="shared" si="0"/>
        <v>10.8</v>
      </c>
      <c r="E88" s="8">
        <v>0</v>
      </c>
      <c r="F88" s="5">
        <v>0</v>
      </c>
      <c r="G88" s="5">
        <v>0</v>
      </c>
      <c r="H88" s="5">
        <v>0</v>
      </c>
      <c r="I88" s="5">
        <v>0</v>
      </c>
      <c r="J88" s="9">
        <v>0</v>
      </c>
      <c r="K88" s="8">
        <v>13</v>
      </c>
      <c r="L88" s="5">
        <v>54</v>
      </c>
      <c r="M88" s="5">
        <v>0</v>
      </c>
      <c r="N88" s="9">
        <v>0</v>
      </c>
      <c r="O88" s="8">
        <v>2</v>
      </c>
      <c r="P88" s="5">
        <v>34</v>
      </c>
      <c r="Q88" s="5">
        <v>0</v>
      </c>
      <c r="R88" s="9">
        <v>0</v>
      </c>
      <c r="S88" s="5">
        <v>0</v>
      </c>
      <c r="T88" s="5">
        <v>0</v>
      </c>
    </row>
    <row r="89" spans="1:20" x14ac:dyDescent="0.2">
      <c r="A89" s="5" t="s">
        <v>453</v>
      </c>
      <c r="B89" s="5" t="s">
        <v>75</v>
      </c>
      <c r="C89" s="6" t="s">
        <v>637</v>
      </c>
      <c r="D89" s="7">
        <f t="shared" si="0"/>
        <v>10.6</v>
      </c>
      <c r="E89" s="8">
        <v>0</v>
      </c>
      <c r="F89" s="5">
        <v>0</v>
      </c>
      <c r="G89" s="5">
        <v>0</v>
      </c>
      <c r="H89" s="5">
        <v>0</v>
      </c>
      <c r="I89" s="5">
        <v>0</v>
      </c>
      <c r="J89" s="9">
        <v>0</v>
      </c>
      <c r="K89" s="8">
        <v>0</v>
      </c>
      <c r="L89" s="5">
        <v>0</v>
      </c>
      <c r="M89" s="5">
        <v>0</v>
      </c>
      <c r="N89" s="9">
        <v>0</v>
      </c>
      <c r="O89" s="8">
        <v>2</v>
      </c>
      <c r="P89" s="5">
        <v>26</v>
      </c>
      <c r="Q89" s="5">
        <v>1</v>
      </c>
      <c r="R89" s="9">
        <v>0</v>
      </c>
      <c r="S89" s="5">
        <v>0</v>
      </c>
      <c r="T89" s="5">
        <v>0</v>
      </c>
    </row>
    <row r="90" spans="1:20" x14ac:dyDescent="0.2">
      <c r="A90" s="5" t="s">
        <v>132</v>
      </c>
      <c r="B90" s="5" t="s">
        <v>75</v>
      </c>
      <c r="C90" s="8" t="s">
        <v>633</v>
      </c>
      <c r="D90" s="7">
        <f t="shared" si="0"/>
        <v>10.5</v>
      </c>
      <c r="E90" s="8">
        <v>0</v>
      </c>
      <c r="F90" s="5">
        <v>0</v>
      </c>
      <c r="G90" s="5">
        <v>0</v>
      </c>
      <c r="H90" s="5">
        <v>0</v>
      </c>
      <c r="I90" s="5">
        <v>0</v>
      </c>
      <c r="J90" s="9">
        <v>0</v>
      </c>
      <c r="K90" s="8">
        <v>15</v>
      </c>
      <c r="L90" s="5">
        <v>45</v>
      </c>
      <c r="M90" s="5">
        <v>1</v>
      </c>
      <c r="N90" s="9">
        <v>0</v>
      </c>
      <c r="O90" s="8">
        <v>0</v>
      </c>
      <c r="P90" s="5">
        <v>0</v>
      </c>
      <c r="Q90" s="5">
        <v>0</v>
      </c>
      <c r="R90" s="9">
        <v>0</v>
      </c>
      <c r="S90" s="5">
        <v>0</v>
      </c>
      <c r="T90" s="5">
        <v>0</v>
      </c>
    </row>
    <row r="91" spans="1:20" x14ac:dyDescent="0.2">
      <c r="A91" s="5" t="s">
        <v>85</v>
      </c>
      <c r="B91" s="5" t="s">
        <v>75</v>
      </c>
      <c r="C91" s="6" t="s">
        <v>641</v>
      </c>
      <c r="D91" s="7">
        <f t="shared" si="0"/>
        <v>10.5</v>
      </c>
      <c r="E91" s="8">
        <v>0</v>
      </c>
      <c r="F91" s="5">
        <v>0</v>
      </c>
      <c r="G91" s="5">
        <v>0</v>
      </c>
      <c r="H91" s="5">
        <v>0</v>
      </c>
      <c r="I91" s="5">
        <v>0</v>
      </c>
      <c r="J91" s="9">
        <v>0</v>
      </c>
      <c r="K91" s="8">
        <v>13</v>
      </c>
      <c r="L91" s="5">
        <v>28</v>
      </c>
      <c r="M91" s="5">
        <v>0</v>
      </c>
      <c r="N91" s="9">
        <v>0</v>
      </c>
      <c r="O91" s="8">
        <v>3</v>
      </c>
      <c r="P91" s="5">
        <v>47</v>
      </c>
      <c r="Q91" s="5">
        <v>0</v>
      </c>
      <c r="R91" s="9">
        <v>0</v>
      </c>
      <c r="S91" s="5">
        <v>0</v>
      </c>
      <c r="T91" s="5">
        <v>0</v>
      </c>
    </row>
    <row r="92" spans="1:20" x14ac:dyDescent="0.2">
      <c r="A92" s="5" t="s">
        <v>310</v>
      </c>
      <c r="B92" s="5" t="s">
        <v>69</v>
      </c>
      <c r="C92" s="6" t="s">
        <v>631</v>
      </c>
      <c r="D92" s="7">
        <f t="shared" si="0"/>
        <v>10.3</v>
      </c>
      <c r="E92" s="8">
        <v>0</v>
      </c>
      <c r="F92" s="5">
        <v>0</v>
      </c>
      <c r="G92" s="5">
        <v>0</v>
      </c>
      <c r="H92" s="5">
        <v>0</v>
      </c>
      <c r="I92" s="5">
        <v>0</v>
      </c>
      <c r="J92" s="9">
        <v>0</v>
      </c>
      <c r="K92" s="8">
        <v>0</v>
      </c>
      <c r="L92" s="5">
        <v>0</v>
      </c>
      <c r="M92" s="5">
        <v>0</v>
      </c>
      <c r="N92" s="9">
        <v>0</v>
      </c>
      <c r="O92" s="8">
        <v>2</v>
      </c>
      <c r="P92" s="5">
        <v>23</v>
      </c>
      <c r="Q92" s="5">
        <v>1</v>
      </c>
      <c r="R92" s="9">
        <v>0</v>
      </c>
      <c r="S92" s="5">
        <v>0</v>
      </c>
      <c r="T92" s="5">
        <v>0</v>
      </c>
    </row>
    <row r="93" spans="1:20" x14ac:dyDescent="0.2">
      <c r="A93" s="5" t="s">
        <v>144</v>
      </c>
      <c r="B93" s="5" t="s">
        <v>75</v>
      </c>
      <c r="C93" s="8" t="s">
        <v>634</v>
      </c>
      <c r="D93" s="7">
        <f t="shared" si="0"/>
        <v>10.200000000000001</v>
      </c>
      <c r="E93" s="8">
        <v>0</v>
      </c>
      <c r="F93" s="5">
        <v>0</v>
      </c>
      <c r="G93" s="5">
        <v>0</v>
      </c>
      <c r="H93" s="5">
        <v>0</v>
      </c>
      <c r="I93" s="5">
        <v>0</v>
      </c>
      <c r="J93" s="9">
        <v>0</v>
      </c>
      <c r="K93" s="8">
        <v>6</v>
      </c>
      <c r="L93" s="5">
        <v>44</v>
      </c>
      <c r="M93" s="5">
        <v>0</v>
      </c>
      <c r="N93" s="9">
        <v>0</v>
      </c>
      <c r="O93" s="8">
        <v>4</v>
      </c>
      <c r="P93" s="5">
        <v>18</v>
      </c>
      <c r="Q93" s="5">
        <v>0</v>
      </c>
      <c r="R93" s="9">
        <v>0</v>
      </c>
      <c r="S93" s="5">
        <v>0</v>
      </c>
      <c r="T93" s="5">
        <v>0</v>
      </c>
    </row>
    <row r="94" spans="1:20" x14ac:dyDescent="0.2">
      <c r="A94" s="5" t="s">
        <v>246</v>
      </c>
      <c r="B94" s="5" t="s">
        <v>162</v>
      </c>
      <c r="C94" s="6" t="s">
        <v>643</v>
      </c>
      <c r="D94" s="7">
        <f t="shared" si="0"/>
        <v>10.199999999999999</v>
      </c>
      <c r="E94" s="8">
        <v>0</v>
      </c>
      <c r="F94" s="5">
        <v>0</v>
      </c>
      <c r="G94" s="5">
        <v>0</v>
      </c>
      <c r="H94" s="5">
        <v>0</v>
      </c>
      <c r="I94" s="5">
        <v>0</v>
      </c>
      <c r="J94" s="9">
        <v>0</v>
      </c>
      <c r="K94" s="8">
        <v>0</v>
      </c>
      <c r="L94" s="5">
        <v>0</v>
      </c>
      <c r="M94" s="5">
        <v>0</v>
      </c>
      <c r="N94" s="9">
        <v>0</v>
      </c>
      <c r="O94" s="8">
        <v>6</v>
      </c>
      <c r="P94" s="5">
        <v>42</v>
      </c>
      <c r="Q94" s="5">
        <v>0</v>
      </c>
      <c r="R94" s="9">
        <v>0</v>
      </c>
      <c r="S94" s="5">
        <v>0</v>
      </c>
      <c r="T94" s="5">
        <v>0</v>
      </c>
    </row>
    <row r="95" spans="1:20" x14ac:dyDescent="0.2">
      <c r="A95" s="5" t="s">
        <v>129</v>
      </c>
      <c r="B95" s="5" t="s">
        <v>75</v>
      </c>
      <c r="C95" s="6" t="s">
        <v>635</v>
      </c>
      <c r="D95" s="7">
        <f t="shared" si="0"/>
        <v>10</v>
      </c>
      <c r="E95" s="8">
        <v>0</v>
      </c>
      <c r="F95" s="5">
        <v>0</v>
      </c>
      <c r="G95" s="5">
        <v>0</v>
      </c>
      <c r="H95" s="5">
        <v>0</v>
      </c>
      <c r="I95" s="5">
        <v>0</v>
      </c>
      <c r="J95" s="9">
        <v>0</v>
      </c>
      <c r="K95" s="8">
        <v>5</v>
      </c>
      <c r="L95" s="5">
        <v>18</v>
      </c>
      <c r="M95" s="5">
        <v>0</v>
      </c>
      <c r="N95" s="9">
        <v>0</v>
      </c>
      <c r="O95" s="8">
        <v>4</v>
      </c>
      <c r="P95" s="5">
        <v>42</v>
      </c>
      <c r="Q95" s="5">
        <v>0</v>
      </c>
      <c r="R95" s="9">
        <v>0</v>
      </c>
      <c r="S95" s="5">
        <v>0</v>
      </c>
      <c r="T95" s="5">
        <v>0</v>
      </c>
    </row>
    <row r="96" spans="1:20" x14ac:dyDescent="0.2">
      <c r="A96" s="5" t="s">
        <v>116</v>
      </c>
      <c r="B96" s="5" t="s">
        <v>75</v>
      </c>
      <c r="C96" s="8" t="s">
        <v>645</v>
      </c>
      <c r="D96" s="7">
        <f t="shared" si="0"/>
        <v>9.8000000000000007</v>
      </c>
      <c r="E96" s="8">
        <v>0</v>
      </c>
      <c r="F96" s="5">
        <v>0</v>
      </c>
      <c r="G96" s="5">
        <v>0</v>
      </c>
      <c r="H96" s="5">
        <v>0</v>
      </c>
      <c r="I96" s="5">
        <v>0</v>
      </c>
      <c r="J96" s="9">
        <v>0</v>
      </c>
      <c r="K96" s="8">
        <v>11</v>
      </c>
      <c r="L96" s="5">
        <v>24</v>
      </c>
      <c r="M96" s="5">
        <v>1</v>
      </c>
      <c r="N96" s="9">
        <v>0</v>
      </c>
      <c r="O96" s="8">
        <v>1</v>
      </c>
      <c r="P96" s="5">
        <v>4</v>
      </c>
      <c r="Q96" s="5">
        <v>0</v>
      </c>
      <c r="R96" s="9">
        <v>0</v>
      </c>
      <c r="S96" s="5">
        <v>0</v>
      </c>
      <c r="T96" s="5">
        <v>0</v>
      </c>
    </row>
    <row r="97" spans="1:20" x14ac:dyDescent="0.2">
      <c r="A97" s="5" t="s">
        <v>603</v>
      </c>
      <c r="B97" s="5" t="s">
        <v>17</v>
      </c>
      <c r="C97" s="6" t="s">
        <v>638</v>
      </c>
      <c r="D97" s="7">
        <f t="shared" si="0"/>
        <v>9.6000000000000014</v>
      </c>
      <c r="E97" s="8">
        <v>15</v>
      </c>
      <c r="F97" s="5">
        <v>8</v>
      </c>
      <c r="G97" s="5">
        <v>55</v>
      </c>
      <c r="H97" s="5">
        <v>1</v>
      </c>
      <c r="I97" s="5">
        <v>0</v>
      </c>
      <c r="J97" s="9">
        <v>0</v>
      </c>
      <c r="K97" s="8">
        <v>4</v>
      </c>
      <c r="L97" s="5">
        <v>34</v>
      </c>
      <c r="M97" s="5">
        <v>0</v>
      </c>
      <c r="N97" s="9">
        <v>0</v>
      </c>
      <c r="O97" s="8">
        <v>0</v>
      </c>
      <c r="P97" s="5">
        <v>0</v>
      </c>
      <c r="Q97" s="5">
        <v>0</v>
      </c>
      <c r="R97" s="9">
        <v>0</v>
      </c>
      <c r="S97" s="5">
        <v>0</v>
      </c>
      <c r="T97" s="5">
        <v>0</v>
      </c>
    </row>
    <row r="98" spans="1:20" x14ac:dyDescent="0.2">
      <c r="A98" s="5" t="s">
        <v>230</v>
      </c>
      <c r="B98" s="5" t="s">
        <v>162</v>
      </c>
      <c r="C98" s="8" t="s">
        <v>639</v>
      </c>
      <c r="D98" s="7">
        <f t="shared" si="0"/>
        <v>9.6000000000000014</v>
      </c>
      <c r="E98" s="8">
        <v>0</v>
      </c>
      <c r="F98" s="5">
        <v>0</v>
      </c>
      <c r="G98" s="5">
        <v>0</v>
      </c>
      <c r="H98" s="5">
        <v>0</v>
      </c>
      <c r="I98" s="5">
        <v>0</v>
      </c>
      <c r="J98" s="9">
        <v>0</v>
      </c>
      <c r="K98" s="8">
        <v>0</v>
      </c>
      <c r="L98" s="5">
        <v>0</v>
      </c>
      <c r="M98" s="5">
        <v>0</v>
      </c>
      <c r="N98" s="9">
        <v>0</v>
      </c>
      <c r="O98" s="8">
        <v>2</v>
      </c>
      <c r="P98" s="5">
        <v>56</v>
      </c>
      <c r="Q98" s="5">
        <v>0</v>
      </c>
      <c r="R98" s="9">
        <v>1</v>
      </c>
      <c r="S98" s="5">
        <v>0</v>
      </c>
      <c r="T98" s="5">
        <v>0</v>
      </c>
    </row>
    <row r="99" spans="1:20" x14ac:dyDescent="0.2">
      <c r="A99" s="5" t="s">
        <v>277</v>
      </c>
      <c r="B99" s="5" t="s">
        <v>69</v>
      </c>
      <c r="C99" s="8" t="s">
        <v>643</v>
      </c>
      <c r="D99" s="7">
        <f t="shared" si="0"/>
        <v>9.6</v>
      </c>
      <c r="E99" s="8">
        <v>0</v>
      </c>
      <c r="F99" s="5">
        <v>0</v>
      </c>
      <c r="G99" s="5">
        <v>0</v>
      </c>
      <c r="H99" s="5">
        <v>0</v>
      </c>
      <c r="I99" s="5">
        <v>0</v>
      </c>
      <c r="J99" s="9">
        <v>0</v>
      </c>
      <c r="K99" s="8">
        <v>1</v>
      </c>
      <c r="L99" s="5">
        <v>1</v>
      </c>
      <c r="M99" s="5">
        <v>0</v>
      </c>
      <c r="N99" s="9">
        <v>0</v>
      </c>
      <c r="O99" s="8">
        <v>5</v>
      </c>
      <c r="P99" s="5">
        <v>45</v>
      </c>
      <c r="Q99" s="5">
        <v>0</v>
      </c>
      <c r="R99" s="9">
        <v>0</v>
      </c>
      <c r="S99" s="5">
        <v>0</v>
      </c>
      <c r="T99" s="5">
        <v>0</v>
      </c>
    </row>
    <row r="100" spans="1:20" x14ac:dyDescent="0.2">
      <c r="A100" s="5" t="s">
        <v>74</v>
      </c>
      <c r="B100" s="5" t="s">
        <v>75</v>
      </c>
      <c r="C100" s="6" t="s">
        <v>640</v>
      </c>
      <c r="D100" s="7">
        <f t="shared" si="0"/>
        <v>9.4</v>
      </c>
      <c r="E100" s="8">
        <v>0</v>
      </c>
      <c r="F100" s="5">
        <v>0</v>
      </c>
      <c r="G100" s="5">
        <v>0</v>
      </c>
      <c r="H100" s="5">
        <v>0</v>
      </c>
      <c r="I100" s="5">
        <v>0</v>
      </c>
      <c r="J100" s="9">
        <v>0</v>
      </c>
      <c r="K100" s="8">
        <v>13</v>
      </c>
      <c r="L100" s="5">
        <v>35</v>
      </c>
      <c r="M100" s="5">
        <v>0</v>
      </c>
      <c r="N100" s="9">
        <v>0</v>
      </c>
      <c r="O100" s="8">
        <v>4</v>
      </c>
      <c r="P100" s="5">
        <v>19</v>
      </c>
      <c r="Q100" s="5">
        <v>0</v>
      </c>
      <c r="R100" s="9">
        <v>0</v>
      </c>
      <c r="S100" s="5">
        <v>0</v>
      </c>
      <c r="T100" s="5">
        <v>0</v>
      </c>
    </row>
    <row r="101" spans="1:20" x14ac:dyDescent="0.2">
      <c r="A101" s="5" t="s">
        <v>198</v>
      </c>
      <c r="B101" s="5" t="s">
        <v>162</v>
      </c>
      <c r="C101" s="8" t="s">
        <v>635</v>
      </c>
      <c r="D101" s="7">
        <f t="shared" si="0"/>
        <v>9.4</v>
      </c>
      <c r="E101" s="8">
        <v>0</v>
      </c>
      <c r="F101" s="5">
        <v>0</v>
      </c>
      <c r="G101" s="5">
        <v>0</v>
      </c>
      <c r="H101" s="5">
        <v>0</v>
      </c>
      <c r="I101" s="5">
        <v>0</v>
      </c>
      <c r="J101" s="9">
        <v>0</v>
      </c>
      <c r="K101" s="8">
        <v>0</v>
      </c>
      <c r="L101" s="5">
        <v>0</v>
      </c>
      <c r="M101" s="5">
        <v>0</v>
      </c>
      <c r="N101" s="9">
        <v>0</v>
      </c>
      <c r="O101" s="8">
        <v>4</v>
      </c>
      <c r="P101" s="5">
        <v>54</v>
      </c>
      <c r="Q101" s="5">
        <v>0</v>
      </c>
      <c r="R101" s="9">
        <v>0</v>
      </c>
      <c r="S101" s="5">
        <v>0</v>
      </c>
      <c r="T101" s="5">
        <v>0</v>
      </c>
    </row>
    <row r="102" spans="1:20" x14ac:dyDescent="0.2">
      <c r="A102" s="5" t="s">
        <v>237</v>
      </c>
      <c r="B102" s="5" t="s">
        <v>162</v>
      </c>
      <c r="C102" s="8" t="s">
        <v>634</v>
      </c>
      <c r="D102" s="7">
        <f t="shared" si="0"/>
        <v>9.3000000000000007</v>
      </c>
      <c r="E102" s="8">
        <v>0</v>
      </c>
      <c r="F102" s="5">
        <v>0</v>
      </c>
      <c r="G102" s="5">
        <v>0</v>
      </c>
      <c r="H102" s="5">
        <v>0</v>
      </c>
      <c r="I102" s="5">
        <v>0</v>
      </c>
      <c r="J102" s="9">
        <v>0</v>
      </c>
      <c r="K102" s="8">
        <v>0</v>
      </c>
      <c r="L102" s="5">
        <v>0</v>
      </c>
      <c r="M102" s="5">
        <v>0</v>
      </c>
      <c r="N102" s="9">
        <v>0</v>
      </c>
      <c r="O102" s="8">
        <v>4</v>
      </c>
      <c r="P102" s="5">
        <v>53</v>
      </c>
      <c r="Q102" s="5">
        <v>0</v>
      </c>
      <c r="R102" s="9">
        <v>0</v>
      </c>
      <c r="S102" s="5">
        <v>0</v>
      </c>
      <c r="T102" s="5">
        <v>0</v>
      </c>
    </row>
    <row r="103" spans="1:20" x14ac:dyDescent="0.2">
      <c r="A103" s="5" t="s">
        <v>215</v>
      </c>
      <c r="B103" s="5" t="s">
        <v>162</v>
      </c>
      <c r="C103" s="8" t="s">
        <v>638</v>
      </c>
      <c r="D103" s="7">
        <f t="shared" si="0"/>
        <v>9.3000000000000007</v>
      </c>
      <c r="E103" s="8">
        <v>0</v>
      </c>
      <c r="F103" s="5">
        <v>0</v>
      </c>
      <c r="G103" s="5">
        <v>0</v>
      </c>
      <c r="H103" s="5">
        <v>0</v>
      </c>
      <c r="I103" s="5">
        <v>0</v>
      </c>
      <c r="J103" s="9">
        <v>0</v>
      </c>
      <c r="K103" s="8">
        <v>0</v>
      </c>
      <c r="L103" s="5">
        <v>0</v>
      </c>
      <c r="M103" s="5">
        <v>0</v>
      </c>
      <c r="N103" s="9">
        <v>0</v>
      </c>
      <c r="O103" s="8">
        <v>5</v>
      </c>
      <c r="P103" s="5">
        <v>43</v>
      </c>
      <c r="Q103" s="5">
        <v>0</v>
      </c>
      <c r="R103" s="9">
        <v>0</v>
      </c>
      <c r="S103" s="5">
        <v>0</v>
      </c>
      <c r="T103" s="5">
        <v>0</v>
      </c>
    </row>
    <row r="104" spans="1:20" x14ac:dyDescent="0.2">
      <c r="A104" s="5" t="s">
        <v>429</v>
      </c>
      <c r="B104" s="5" t="s">
        <v>69</v>
      </c>
      <c r="C104" s="8" t="s">
        <v>636</v>
      </c>
      <c r="D104" s="7">
        <f t="shared" si="0"/>
        <v>9.3000000000000007</v>
      </c>
      <c r="E104" s="8">
        <v>0</v>
      </c>
      <c r="F104" s="5">
        <v>0</v>
      </c>
      <c r="G104" s="5">
        <v>0</v>
      </c>
      <c r="H104" s="5">
        <v>0</v>
      </c>
      <c r="I104" s="5">
        <v>0</v>
      </c>
      <c r="J104" s="9">
        <v>0</v>
      </c>
      <c r="K104" s="8">
        <v>0</v>
      </c>
      <c r="L104" s="5">
        <v>0</v>
      </c>
      <c r="M104" s="5">
        <v>0</v>
      </c>
      <c r="N104" s="9">
        <v>0</v>
      </c>
      <c r="O104" s="8">
        <v>6</v>
      </c>
      <c r="P104" s="5">
        <v>33</v>
      </c>
      <c r="Q104" s="5">
        <v>0</v>
      </c>
      <c r="R104" s="9">
        <v>0</v>
      </c>
      <c r="S104" s="5">
        <v>0</v>
      </c>
      <c r="T104" s="5">
        <v>0</v>
      </c>
    </row>
    <row r="105" spans="1:20" x14ac:dyDescent="0.2">
      <c r="A105" s="5" t="s">
        <v>57</v>
      </c>
      <c r="B105" s="5" t="s">
        <v>17</v>
      </c>
      <c r="C105" s="6" t="s">
        <v>643</v>
      </c>
      <c r="D105" s="7">
        <f t="shared" si="0"/>
        <v>9.2000000000000011</v>
      </c>
      <c r="E105" s="8">
        <v>38</v>
      </c>
      <c r="F105" s="5">
        <v>21</v>
      </c>
      <c r="G105" s="5">
        <v>185</v>
      </c>
      <c r="H105" s="5">
        <v>0</v>
      </c>
      <c r="I105" s="5">
        <v>0</v>
      </c>
      <c r="J105" s="9">
        <v>0</v>
      </c>
      <c r="K105" s="8">
        <v>3</v>
      </c>
      <c r="L105" s="5">
        <v>18</v>
      </c>
      <c r="M105" s="5">
        <v>0</v>
      </c>
      <c r="N105" s="9">
        <v>0</v>
      </c>
      <c r="O105" s="8">
        <v>0</v>
      </c>
      <c r="P105" s="5">
        <v>0</v>
      </c>
      <c r="Q105" s="5">
        <v>0</v>
      </c>
      <c r="R105" s="9">
        <v>0</v>
      </c>
      <c r="S105" s="5">
        <v>0</v>
      </c>
      <c r="T105" s="5">
        <v>0</v>
      </c>
    </row>
    <row r="106" spans="1:20" x14ac:dyDescent="0.2">
      <c r="A106" s="5" t="s">
        <v>428</v>
      </c>
      <c r="B106" s="5" t="s">
        <v>75</v>
      </c>
      <c r="C106" s="6" t="s">
        <v>645</v>
      </c>
      <c r="D106" s="7">
        <f t="shared" si="0"/>
        <v>9.1999999999999993</v>
      </c>
      <c r="E106" s="8">
        <v>0</v>
      </c>
      <c r="F106" s="5">
        <v>0</v>
      </c>
      <c r="G106" s="5">
        <v>0</v>
      </c>
      <c r="H106" s="5">
        <v>0</v>
      </c>
      <c r="I106" s="5">
        <v>0</v>
      </c>
      <c r="J106" s="9">
        <v>0</v>
      </c>
      <c r="K106" s="8">
        <v>10</v>
      </c>
      <c r="L106" s="5">
        <v>32</v>
      </c>
      <c r="M106" s="5">
        <v>1</v>
      </c>
      <c r="N106" s="9">
        <v>0</v>
      </c>
      <c r="O106" s="8">
        <v>0</v>
      </c>
      <c r="P106" s="5">
        <v>0</v>
      </c>
      <c r="Q106" s="5">
        <v>0</v>
      </c>
      <c r="R106" s="9">
        <v>0</v>
      </c>
      <c r="S106" s="5">
        <v>0</v>
      </c>
      <c r="T106" s="5">
        <v>0</v>
      </c>
    </row>
    <row r="107" spans="1:20" x14ac:dyDescent="0.2">
      <c r="A107" s="5" t="s">
        <v>559</v>
      </c>
      <c r="B107" s="5" t="s">
        <v>162</v>
      </c>
      <c r="C107" s="6" t="s">
        <v>635</v>
      </c>
      <c r="D107" s="7">
        <f t="shared" si="0"/>
        <v>9.1000000000000014</v>
      </c>
      <c r="E107" s="8">
        <v>0</v>
      </c>
      <c r="F107" s="5">
        <v>0</v>
      </c>
      <c r="G107" s="5">
        <v>0</v>
      </c>
      <c r="H107" s="5">
        <v>0</v>
      </c>
      <c r="I107" s="5">
        <v>0</v>
      </c>
      <c r="J107" s="9">
        <v>0</v>
      </c>
      <c r="K107" s="8">
        <v>0</v>
      </c>
      <c r="L107" s="5">
        <v>0</v>
      </c>
      <c r="M107" s="5">
        <v>0</v>
      </c>
      <c r="N107" s="9">
        <v>0</v>
      </c>
      <c r="O107" s="8">
        <v>3</v>
      </c>
      <c r="P107" s="5">
        <v>61</v>
      </c>
      <c r="Q107" s="5">
        <v>0</v>
      </c>
      <c r="R107" s="9">
        <v>0</v>
      </c>
      <c r="S107" s="5">
        <v>0</v>
      </c>
      <c r="T107" s="5">
        <v>0</v>
      </c>
    </row>
    <row r="108" spans="1:20" x14ac:dyDescent="0.2">
      <c r="A108" s="5" t="s">
        <v>122</v>
      </c>
      <c r="B108" s="5" t="s">
        <v>75</v>
      </c>
      <c r="C108" s="6" t="s">
        <v>640</v>
      </c>
      <c r="D108" s="7">
        <f t="shared" si="0"/>
        <v>9.1</v>
      </c>
      <c r="E108" s="8">
        <v>0</v>
      </c>
      <c r="F108" s="5">
        <v>0</v>
      </c>
      <c r="G108" s="5">
        <v>0</v>
      </c>
      <c r="H108" s="5">
        <v>0</v>
      </c>
      <c r="I108" s="5">
        <v>0</v>
      </c>
      <c r="J108" s="9">
        <v>0</v>
      </c>
      <c r="K108" s="8">
        <v>9</v>
      </c>
      <c r="L108" s="5">
        <v>70</v>
      </c>
      <c r="M108" s="5">
        <v>0</v>
      </c>
      <c r="N108" s="9">
        <v>0</v>
      </c>
      <c r="O108" s="8">
        <v>1</v>
      </c>
      <c r="P108" s="5">
        <v>11</v>
      </c>
      <c r="Q108" s="5">
        <v>0</v>
      </c>
      <c r="R108" s="9">
        <v>0</v>
      </c>
      <c r="S108" s="5">
        <v>0</v>
      </c>
      <c r="T108" s="5">
        <v>0</v>
      </c>
    </row>
    <row r="109" spans="1:20" x14ac:dyDescent="0.2">
      <c r="A109" s="5" t="s">
        <v>282</v>
      </c>
      <c r="B109" s="5" t="s">
        <v>69</v>
      </c>
      <c r="C109" s="6" t="s">
        <v>634</v>
      </c>
      <c r="D109" s="7">
        <f t="shared" si="0"/>
        <v>9</v>
      </c>
      <c r="E109" s="8">
        <v>0</v>
      </c>
      <c r="F109" s="5">
        <v>0</v>
      </c>
      <c r="G109" s="5">
        <v>0</v>
      </c>
      <c r="H109" s="5">
        <v>0</v>
      </c>
      <c r="I109" s="5">
        <v>0</v>
      </c>
      <c r="J109" s="9">
        <v>0</v>
      </c>
      <c r="K109" s="8">
        <v>0</v>
      </c>
      <c r="L109" s="5">
        <v>0</v>
      </c>
      <c r="M109" s="5">
        <v>0</v>
      </c>
      <c r="N109" s="9">
        <v>0</v>
      </c>
      <c r="O109" s="8">
        <v>5</v>
      </c>
      <c r="P109" s="5">
        <v>40</v>
      </c>
      <c r="Q109" s="5">
        <v>0</v>
      </c>
      <c r="R109" s="9">
        <v>0</v>
      </c>
      <c r="S109" s="5">
        <v>0</v>
      </c>
      <c r="T109" s="5">
        <v>0</v>
      </c>
    </row>
    <row r="110" spans="1:20" x14ac:dyDescent="0.2">
      <c r="A110" s="5" t="s">
        <v>431</v>
      </c>
      <c r="B110" s="5" t="s">
        <v>17</v>
      </c>
      <c r="C110" s="6" t="s">
        <v>633</v>
      </c>
      <c r="D110" s="7">
        <f t="shared" si="0"/>
        <v>8.879999999999999</v>
      </c>
      <c r="E110" s="8">
        <v>25</v>
      </c>
      <c r="F110" s="5">
        <v>13</v>
      </c>
      <c r="G110" s="5">
        <v>122</v>
      </c>
      <c r="H110" s="5">
        <v>2</v>
      </c>
      <c r="I110" s="5">
        <v>2</v>
      </c>
      <c r="J110" s="9">
        <v>0</v>
      </c>
      <c r="K110" s="8">
        <v>0</v>
      </c>
      <c r="L110" s="5">
        <v>0</v>
      </c>
      <c r="M110" s="5">
        <v>0</v>
      </c>
      <c r="N110" s="9">
        <v>0</v>
      </c>
      <c r="O110" s="8">
        <v>0</v>
      </c>
      <c r="P110" s="5">
        <v>0</v>
      </c>
      <c r="Q110" s="5">
        <v>0</v>
      </c>
      <c r="R110" s="9">
        <v>0</v>
      </c>
      <c r="S110" s="5">
        <v>0</v>
      </c>
      <c r="T110" s="5">
        <v>0</v>
      </c>
    </row>
    <row r="111" spans="1:20" x14ac:dyDescent="0.2">
      <c r="A111" s="5" t="s">
        <v>51</v>
      </c>
      <c r="B111" s="5" t="s">
        <v>17</v>
      </c>
      <c r="C111" s="6" t="s">
        <v>638</v>
      </c>
      <c r="D111" s="7">
        <f t="shared" si="0"/>
        <v>8.66</v>
      </c>
      <c r="E111" s="8">
        <v>6</v>
      </c>
      <c r="F111" s="5">
        <v>4</v>
      </c>
      <c r="G111" s="5">
        <v>39</v>
      </c>
      <c r="H111" s="5">
        <v>0</v>
      </c>
      <c r="I111" s="5">
        <v>0</v>
      </c>
      <c r="J111" s="9">
        <v>0</v>
      </c>
      <c r="K111" s="8">
        <v>3</v>
      </c>
      <c r="L111" s="5">
        <v>11</v>
      </c>
      <c r="M111" s="5">
        <v>1</v>
      </c>
      <c r="N111" s="9">
        <v>0</v>
      </c>
      <c r="O111" s="8">
        <v>0</v>
      </c>
      <c r="P111" s="5">
        <v>0</v>
      </c>
      <c r="Q111" s="5">
        <v>0</v>
      </c>
      <c r="R111" s="9">
        <v>0</v>
      </c>
      <c r="S111" s="5">
        <v>0</v>
      </c>
      <c r="T111" s="5">
        <v>0</v>
      </c>
    </row>
    <row r="112" spans="1:20" x14ac:dyDescent="0.2">
      <c r="A112" s="5" t="s">
        <v>476</v>
      </c>
      <c r="B112" s="5" t="s">
        <v>17</v>
      </c>
      <c r="C112" s="8" t="s">
        <v>641</v>
      </c>
      <c r="D112" s="7">
        <f t="shared" si="0"/>
        <v>8.4200000000000017</v>
      </c>
      <c r="E112" s="8">
        <v>27</v>
      </c>
      <c r="F112" s="5">
        <v>16</v>
      </c>
      <c r="G112" s="5">
        <v>153</v>
      </c>
      <c r="H112" s="5">
        <v>1</v>
      </c>
      <c r="I112" s="5">
        <v>1</v>
      </c>
      <c r="J112" s="9">
        <v>0</v>
      </c>
      <c r="K112" s="8">
        <v>2</v>
      </c>
      <c r="L112" s="5">
        <v>3</v>
      </c>
      <c r="M112" s="5">
        <v>0</v>
      </c>
      <c r="N112" s="9">
        <v>0</v>
      </c>
      <c r="O112" s="8">
        <v>0</v>
      </c>
      <c r="P112" s="5">
        <v>0</v>
      </c>
      <c r="Q112" s="5">
        <v>0</v>
      </c>
      <c r="R112" s="9">
        <v>0</v>
      </c>
      <c r="S112" s="5">
        <v>0</v>
      </c>
      <c r="T112" s="5">
        <v>0</v>
      </c>
    </row>
    <row r="113" spans="1:20" x14ac:dyDescent="0.2">
      <c r="A113" s="5" t="s">
        <v>281</v>
      </c>
      <c r="B113" s="5" t="s">
        <v>69</v>
      </c>
      <c r="C113" s="6" t="s">
        <v>640</v>
      </c>
      <c r="D113" s="7">
        <f t="shared" si="0"/>
        <v>8.4</v>
      </c>
      <c r="E113" s="8">
        <v>0</v>
      </c>
      <c r="F113" s="5">
        <v>0</v>
      </c>
      <c r="G113" s="5">
        <v>0</v>
      </c>
      <c r="H113" s="5">
        <v>0</v>
      </c>
      <c r="I113" s="5">
        <v>0</v>
      </c>
      <c r="J113" s="9">
        <v>0</v>
      </c>
      <c r="K113" s="8">
        <v>0</v>
      </c>
      <c r="L113" s="5">
        <v>0</v>
      </c>
      <c r="M113" s="5">
        <v>0</v>
      </c>
      <c r="N113" s="9">
        <v>0</v>
      </c>
      <c r="O113" s="8">
        <v>2</v>
      </c>
      <c r="P113" s="5">
        <v>64</v>
      </c>
      <c r="Q113" s="5">
        <v>0</v>
      </c>
      <c r="R113" s="9">
        <v>0</v>
      </c>
      <c r="S113" s="5">
        <v>0</v>
      </c>
      <c r="T113" s="5">
        <v>0</v>
      </c>
    </row>
    <row r="114" spans="1:20" x14ac:dyDescent="0.2">
      <c r="A114" s="5" t="s">
        <v>344</v>
      </c>
      <c r="B114" s="5" t="s">
        <v>162</v>
      </c>
      <c r="C114" s="6" t="s">
        <v>640</v>
      </c>
      <c r="D114" s="7">
        <f t="shared" si="0"/>
        <v>8.1000000000000014</v>
      </c>
      <c r="E114" s="8">
        <v>0</v>
      </c>
      <c r="F114" s="5">
        <v>0</v>
      </c>
      <c r="G114" s="5">
        <v>0</v>
      </c>
      <c r="H114" s="5">
        <v>0</v>
      </c>
      <c r="I114" s="5">
        <v>0</v>
      </c>
      <c r="J114" s="9">
        <v>0</v>
      </c>
      <c r="K114" s="8">
        <v>0</v>
      </c>
      <c r="L114" s="5">
        <v>0</v>
      </c>
      <c r="M114" s="5">
        <v>0</v>
      </c>
      <c r="N114" s="9">
        <v>0</v>
      </c>
      <c r="O114" s="8">
        <v>3</v>
      </c>
      <c r="P114" s="5">
        <v>51</v>
      </c>
      <c r="Q114" s="5">
        <v>0</v>
      </c>
      <c r="R114" s="9">
        <v>0</v>
      </c>
      <c r="S114" s="5">
        <v>0</v>
      </c>
      <c r="T114" s="5">
        <v>0</v>
      </c>
    </row>
    <row r="115" spans="1:20" x14ac:dyDescent="0.2">
      <c r="A115" s="5" t="s">
        <v>302</v>
      </c>
      <c r="B115" s="5" t="s">
        <v>69</v>
      </c>
      <c r="C115" s="6" t="s">
        <v>632</v>
      </c>
      <c r="D115" s="7">
        <f t="shared" si="0"/>
        <v>8</v>
      </c>
      <c r="E115" s="8">
        <v>0</v>
      </c>
      <c r="F115" s="5">
        <v>0</v>
      </c>
      <c r="G115" s="5">
        <v>0</v>
      </c>
      <c r="H115" s="5">
        <v>0</v>
      </c>
      <c r="I115" s="5">
        <v>0</v>
      </c>
      <c r="J115" s="9">
        <v>0</v>
      </c>
      <c r="K115" s="8">
        <v>0</v>
      </c>
      <c r="L115" s="5">
        <v>0</v>
      </c>
      <c r="M115" s="5">
        <v>0</v>
      </c>
      <c r="N115" s="9">
        <v>0</v>
      </c>
      <c r="O115" s="8">
        <v>1</v>
      </c>
      <c r="P115" s="5">
        <v>10</v>
      </c>
      <c r="Q115" s="5">
        <v>1</v>
      </c>
      <c r="R115" s="9">
        <v>0</v>
      </c>
      <c r="S115" s="5">
        <v>0</v>
      </c>
      <c r="T115" s="5">
        <v>0</v>
      </c>
    </row>
    <row r="116" spans="1:20" x14ac:dyDescent="0.2">
      <c r="A116" s="5" t="s">
        <v>280</v>
      </c>
      <c r="B116" s="5" t="s">
        <v>69</v>
      </c>
      <c r="C116" s="6" t="s">
        <v>631</v>
      </c>
      <c r="D116" s="7">
        <f t="shared" si="0"/>
        <v>8</v>
      </c>
      <c r="E116" s="8">
        <v>0</v>
      </c>
      <c r="F116" s="5">
        <v>0</v>
      </c>
      <c r="G116" s="5">
        <v>0</v>
      </c>
      <c r="H116" s="5">
        <v>0</v>
      </c>
      <c r="I116" s="5">
        <v>0</v>
      </c>
      <c r="J116" s="9">
        <v>0</v>
      </c>
      <c r="K116" s="8">
        <v>0</v>
      </c>
      <c r="L116" s="5">
        <v>0</v>
      </c>
      <c r="M116" s="5">
        <v>0</v>
      </c>
      <c r="N116" s="9">
        <v>0</v>
      </c>
      <c r="O116" s="8">
        <v>4</v>
      </c>
      <c r="P116" s="5">
        <v>40</v>
      </c>
      <c r="Q116" s="5">
        <v>0</v>
      </c>
      <c r="R116" s="9">
        <v>0</v>
      </c>
      <c r="S116" s="5">
        <v>0</v>
      </c>
      <c r="T116" s="5">
        <v>0</v>
      </c>
    </row>
    <row r="117" spans="1:20" x14ac:dyDescent="0.2">
      <c r="A117" s="5" t="s">
        <v>648</v>
      </c>
      <c r="B117" s="5" t="s">
        <v>162</v>
      </c>
      <c r="C117" s="8" t="s">
        <v>632</v>
      </c>
      <c r="D117" s="7">
        <f t="shared" si="0"/>
        <v>7.9</v>
      </c>
      <c r="E117" s="8">
        <v>0</v>
      </c>
      <c r="F117" s="5">
        <v>0</v>
      </c>
      <c r="G117" s="5">
        <v>0</v>
      </c>
      <c r="H117" s="5">
        <v>0</v>
      </c>
      <c r="I117" s="5">
        <v>0</v>
      </c>
      <c r="J117" s="9">
        <v>0</v>
      </c>
      <c r="K117" s="8">
        <v>0</v>
      </c>
      <c r="L117" s="5">
        <v>0</v>
      </c>
      <c r="M117" s="5">
        <v>0</v>
      </c>
      <c r="N117" s="9">
        <v>0</v>
      </c>
      <c r="O117" s="8">
        <v>4</v>
      </c>
      <c r="P117" s="5">
        <v>39</v>
      </c>
      <c r="Q117" s="5">
        <v>0</v>
      </c>
      <c r="R117" s="9">
        <v>0</v>
      </c>
      <c r="S117" s="5">
        <v>0</v>
      </c>
      <c r="T117" s="5">
        <v>0</v>
      </c>
    </row>
    <row r="118" spans="1:20" x14ac:dyDescent="0.2">
      <c r="A118" s="5" t="s">
        <v>548</v>
      </c>
      <c r="B118" s="5" t="s">
        <v>17</v>
      </c>
      <c r="C118" s="8" t="s">
        <v>643</v>
      </c>
      <c r="D118" s="7">
        <f t="shared" si="0"/>
        <v>7.6800000000000006</v>
      </c>
      <c r="E118" s="8">
        <v>33</v>
      </c>
      <c r="F118" s="5">
        <v>20</v>
      </c>
      <c r="G118" s="5">
        <v>162</v>
      </c>
      <c r="H118" s="5">
        <v>0</v>
      </c>
      <c r="I118" s="5">
        <v>0</v>
      </c>
      <c r="J118" s="9">
        <v>0</v>
      </c>
      <c r="K118" s="8">
        <v>6</v>
      </c>
      <c r="L118" s="5">
        <v>12</v>
      </c>
      <c r="M118" s="5">
        <v>0</v>
      </c>
      <c r="N118" s="9">
        <v>0</v>
      </c>
      <c r="O118" s="8">
        <v>0</v>
      </c>
      <c r="P118" s="5">
        <v>0</v>
      </c>
      <c r="Q118" s="5">
        <v>0</v>
      </c>
      <c r="R118" s="9">
        <v>0</v>
      </c>
      <c r="S118" s="5">
        <v>0</v>
      </c>
      <c r="T118" s="5">
        <v>0</v>
      </c>
    </row>
    <row r="119" spans="1:20" x14ac:dyDescent="0.2">
      <c r="A119" s="5" t="s">
        <v>210</v>
      </c>
      <c r="B119" s="5" t="s">
        <v>162</v>
      </c>
      <c r="C119" s="8" t="s">
        <v>640</v>
      </c>
      <c r="D119" s="7">
        <f t="shared" si="0"/>
        <v>7.5</v>
      </c>
      <c r="E119" s="8">
        <v>0</v>
      </c>
      <c r="F119" s="5">
        <v>0</v>
      </c>
      <c r="G119" s="5">
        <v>0</v>
      </c>
      <c r="H119" s="5">
        <v>0</v>
      </c>
      <c r="I119" s="5">
        <v>0</v>
      </c>
      <c r="J119" s="9">
        <v>0</v>
      </c>
      <c r="K119" s="8">
        <v>0</v>
      </c>
      <c r="L119" s="5">
        <v>0</v>
      </c>
      <c r="M119" s="5">
        <v>0</v>
      </c>
      <c r="N119" s="9">
        <v>0</v>
      </c>
      <c r="O119" s="8">
        <v>3</v>
      </c>
      <c r="P119" s="5">
        <v>45</v>
      </c>
      <c r="Q119" s="5">
        <v>0</v>
      </c>
      <c r="R119" s="9">
        <v>0</v>
      </c>
      <c r="S119" s="5">
        <v>0</v>
      </c>
      <c r="T119" s="5">
        <v>0</v>
      </c>
    </row>
    <row r="120" spans="1:20" x14ac:dyDescent="0.2">
      <c r="A120" s="5" t="s">
        <v>400</v>
      </c>
      <c r="B120" s="5" t="s">
        <v>162</v>
      </c>
      <c r="C120" s="8" t="s">
        <v>633</v>
      </c>
      <c r="D120" s="7">
        <f t="shared" si="0"/>
        <v>7.5</v>
      </c>
      <c r="E120" s="8">
        <v>0</v>
      </c>
      <c r="F120" s="5">
        <v>0</v>
      </c>
      <c r="G120" s="5">
        <v>0</v>
      </c>
      <c r="H120" s="5">
        <v>0</v>
      </c>
      <c r="I120" s="5">
        <v>0</v>
      </c>
      <c r="J120" s="9">
        <v>0</v>
      </c>
      <c r="K120" s="8">
        <v>0</v>
      </c>
      <c r="L120" s="5">
        <v>0</v>
      </c>
      <c r="M120" s="5">
        <v>0</v>
      </c>
      <c r="N120" s="9">
        <v>0</v>
      </c>
      <c r="O120" s="8">
        <v>4</v>
      </c>
      <c r="P120" s="5">
        <v>35</v>
      </c>
      <c r="Q120" s="5">
        <v>0</v>
      </c>
      <c r="R120" s="9">
        <v>0</v>
      </c>
      <c r="S120" s="5">
        <v>0</v>
      </c>
      <c r="T120" s="5">
        <v>0</v>
      </c>
    </row>
    <row r="121" spans="1:20" x14ac:dyDescent="0.2">
      <c r="A121" s="5" t="s">
        <v>172</v>
      </c>
      <c r="B121" s="5" t="s">
        <v>162</v>
      </c>
      <c r="C121" s="6" t="s">
        <v>633</v>
      </c>
      <c r="D121" s="7">
        <f t="shared" si="0"/>
        <v>7.4</v>
      </c>
      <c r="E121" s="8">
        <v>0</v>
      </c>
      <c r="F121" s="5">
        <v>0</v>
      </c>
      <c r="G121" s="5">
        <v>0</v>
      </c>
      <c r="H121" s="5">
        <v>0</v>
      </c>
      <c r="I121" s="5">
        <v>0</v>
      </c>
      <c r="J121" s="9">
        <v>0</v>
      </c>
      <c r="K121" s="8">
        <v>0</v>
      </c>
      <c r="L121" s="5">
        <v>0</v>
      </c>
      <c r="M121" s="5">
        <v>0</v>
      </c>
      <c r="N121" s="9">
        <v>0</v>
      </c>
      <c r="O121" s="8">
        <v>5</v>
      </c>
      <c r="P121" s="5">
        <v>24</v>
      </c>
      <c r="Q121" s="5">
        <v>0</v>
      </c>
      <c r="R121" s="9">
        <v>0</v>
      </c>
      <c r="S121" s="5">
        <v>0</v>
      </c>
      <c r="T121" s="5">
        <v>0</v>
      </c>
    </row>
    <row r="122" spans="1:20" x14ac:dyDescent="0.2">
      <c r="A122" s="5" t="s">
        <v>95</v>
      </c>
      <c r="B122" s="5" t="s">
        <v>75</v>
      </c>
      <c r="C122" s="8" t="s">
        <v>638</v>
      </c>
      <c r="D122" s="7">
        <f t="shared" si="0"/>
        <v>7.3000000000000007</v>
      </c>
      <c r="E122" s="8">
        <v>0</v>
      </c>
      <c r="F122" s="5">
        <v>0</v>
      </c>
      <c r="G122" s="5">
        <v>0</v>
      </c>
      <c r="H122" s="5">
        <v>0</v>
      </c>
      <c r="I122" s="5">
        <v>0</v>
      </c>
      <c r="J122" s="9">
        <v>0</v>
      </c>
      <c r="K122" s="8">
        <v>16</v>
      </c>
      <c r="L122" s="5">
        <v>73</v>
      </c>
      <c r="M122" s="5">
        <v>0</v>
      </c>
      <c r="N122" s="9">
        <v>0</v>
      </c>
      <c r="O122" s="8">
        <v>0</v>
      </c>
      <c r="P122" s="5">
        <v>0</v>
      </c>
      <c r="Q122" s="5">
        <v>0</v>
      </c>
      <c r="R122" s="9">
        <v>0</v>
      </c>
      <c r="S122" s="5">
        <v>0</v>
      </c>
      <c r="T122" s="5">
        <v>0</v>
      </c>
    </row>
    <row r="123" spans="1:20" x14ac:dyDescent="0.2">
      <c r="A123" s="5" t="s">
        <v>232</v>
      </c>
      <c r="B123" s="5" t="s">
        <v>162</v>
      </c>
      <c r="C123" s="6" t="s">
        <v>634</v>
      </c>
      <c r="D123" s="7">
        <f t="shared" si="0"/>
        <v>7.3000000000000007</v>
      </c>
      <c r="E123" s="8">
        <v>0</v>
      </c>
      <c r="F123" s="5">
        <v>0</v>
      </c>
      <c r="G123" s="5">
        <v>0</v>
      </c>
      <c r="H123" s="5">
        <v>0</v>
      </c>
      <c r="I123" s="5">
        <v>0</v>
      </c>
      <c r="J123" s="9">
        <v>0</v>
      </c>
      <c r="K123" s="8">
        <v>0</v>
      </c>
      <c r="L123" s="5">
        <v>0</v>
      </c>
      <c r="M123" s="5">
        <v>0</v>
      </c>
      <c r="N123" s="9">
        <v>0</v>
      </c>
      <c r="O123" s="8">
        <v>4</v>
      </c>
      <c r="P123" s="5">
        <v>33</v>
      </c>
      <c r="Q123" s="5">
        <v>0</v>
      </c>
      <c r="R123" s="9">
        <v>0</v>
      </c>
      <c r="S123" s="5">
        <v>0</v>
      </c>
      <c r="T123" s="5">
        <v>0</v>
      </c>
    </row>
    <row r="124" spans="1:20" x14ac:dyDescent="0.2">
      <c r="A124" s="5" t="s">
        <v>19</v>
      </c>
      <c r="B124" s="5" t="s">
        <v>17</v>
      </c>
      <c r="C124" s="8" t="s">
        <v>644</v>
      </c>
      <c r="D124" s="7">
        <f t="shared" si="0"/>
        <v>7.3</v>
      </c>
      <c r="E124" s="8">
        <v>20</v>
      </c>
      <c r="F124" s="5">
        <v>15</v>
      </c>
      <c r="G124" s="5">
        <v>170</v>
      </c>
      <c r="H124" s="5">
        <v>0</v>
      </c>
      <c r="I124" s="5">
        <v>1</v>
      </c>
      <c r="J124" s="9">
        <v>0</v>
      </c>
      <c r="K124" s="8">
        <v>3</v>
      </c>
      <c r="L124" s="5">
        <v>25</v>
      </c>
      <c r="M124" s="5">
        <v>0</v>
      </c>
      <c r="N124" s="9">
        <v>0</v>
      </c>
      <c r="O124" s="8">
        <v>0</v>
      </c>
      <c r="P124" s="5">
        <v>0</v>
      </c>
      <c r="Q124" s="5">
        <v>0</v>
      </c>
      <c r="R124" s="9">
        <v>0</v>
      </c>
      <c r="S124" s="5">
        <v>0</v>
      </c>
      <c r="T124" s="5">
        <v>0</v>
      </c>
    </row>
    <row r="125" spans="1:20" x14ac:dyDescent="0.2">
      <c r="A125" s="5" t="s">
        <v>98</v>
      </c>
      <c r="B125" s="5" t="s">
        <v>75</v>
      </c>
      <c r="C125" s="6" t="s">
        <v>639</v>
      </c>
      <c r="D125" s="7">
        <f t="shared" si="0"/>
        <v>7.3</v>
      </c>
      <c r="E125" s="8">
        <v>0</v>
      </c>
      <c r="F125" s="5">
        <v>0</v>
      </c>
      <c r="G125" s="5">
        <v>0</v>
      </c>
      <c r="H125" s="5">
        <v>0</v>
      </c>
      <c r="I125" s="5">
        <v>0</v>
      </c>
      <c r="J125" s="9">
        <v>0</v>
      </c>
      <c r="K125" s="8">
        <v>1</v>
      </c>
      <c r="L125" s="5">
        <v>8</v>
      </c>
      <c r="M125" s="5">
        <v>0</v>
      </c>
      <c r="N125" s="9">
        <v>0</v>
      </c>
      <c r="O125" s="8">
        <v>3</v>
      </c>
      <c r="P125" s="5">
        <v>35</v>
      </c>
      <c r="Q125" s="5">
        <v>0</v>
      </c>
      <c r="R125" s="9">
        <v>0</v>
      </c>
      <c r="S125" s="5">
        <v>0</v>
      </c>
      <c r="T125" s="5">
        <v>0</v>
      </c>
    </row>
    <row r="126" spans="1:20" x14ac:dyDescent="0.2">
      <c r="A126" s="5" t="s">
        <v>82</v>
      </c>
      <c r="B126" s="5" t="s">
        <v>75</v>
      </c>
      <c r="C126" s="8" t="s">
        <v>643</v>
      </c>
      <c r="D126" s="7">
        <f t="shared" si="0"/>
        <v>7.2</v>
      </c>
      <c r="E126" s="8">
        <v>0</v>
      </c>
      <c r="F126" s="5">
        <v>0</v>
      </c>
      <c r="G126" s="5">
        <v>0</v>
      </c>
      <c r="H126" s="5">
        <v>0</v>
      </c>
      <c r="I126" s="5">
        <v>0</v>
      </c>
      <c r="J126" s="9">
        <v>0</v>
      </c>
      <c r="K126" s="8">
        <v>5</v>
      </c>
      <c r="L126" s="5">
        <v>18</v>
      </c>
      <c r="M126" s="5">
        <v>0</v>
      </c>
      <c r="N126" s="9">
        <v>0</v>
      </c>
      <c r="O126" s="8">
        <v>4</v>
      </c>
      <c r="P126" s="5">
        <v>14</v>
      </c>
      <c r="Q126" s="5">
        <v>0</v>
      </c>
      <c r="R126" s="9">
        <v>0</v>
      </c>
      <c r="S126" s="5">
        <v>0</v>
      </c>
      <c r="T126" s="5">
        <v>0</v>
      </c>
    </row>
    <row r="127" spans="1:20" x14ac:dyDescent="0.2">
      <c r="A127" s="5" t="s">
        <v>521</v>
      </c>
      <c r="B127" s="5" t="s">
        <v>162</v>
      </c>
      <c r="C127" s="6" t="s">
        <v>638</v>
      </c>
      <c r="D127" s="7">
        <f t="shared" si="0"/>
        <v>7.2</v>
      </c>
      <c r="E127" s="8">
        <v>0</v>
      </c>
      <c r="F127" s="5">
        <v>0</v>
      </c>
      <c r="G127" s="5">
        <v>0</v>
      </c>
      <c r="H127" s="5">
        <v>0</v>
      </c>
      <c r="I127" s="5">
        <v>0</v>
      </c>
      <c r="J127" s="9">
        <v>0</v>
      </c>
      <c r="K127" s="8">
        <v>0</v>
      </c>
      <c r="L127" s="5">
        <v>0</v>
      </c>
      <c r="M127" s="5">
        <v>0</v>
      </c>
      <c r="N127" s="9">
        <v>0</v>
      </c>
      <c r="O127" s="8">
        <v>1</v>
      </c>
      <c r="P127" s="5">
        <v>2</v>
      </c>
      <c r="Q127" s="5">
        <v>1</v>
      </c>
      <c r="R127" s="9">
        <v>0</v>
      </c>
      <c r="S127" s="5">
        <v>0</v>
      </c>
      <c r="T127" s="5">
        <v>0</v>
      </c>
    </row>
    <row r="128" spans="1:20" x14ac:dyDescent="0.2">
      <c r="A128" s="5" t="s">
        <v>385</v>
      </c>
      <c r="B128" s="5" t="s">
        <v>162</v>
      </c>
      <c r="C128" s="6" t="s">
        <v>632</v>
      </c>
      <c r="D128" s="7">
        <f t="shared" si="0"/>
        <v>7.2</v>
      </c>
      <c r="E128" s="8">
        <v>0</v>
      </c>
      <c r="F128" s="5">
        <v>0</v>
      </c>
      <c r="G128" s="5">
        <v>0</v>
      </c>
      <c r="H128" s="5">
        <v>0</v>
      </c>
      <c r="I128" s="5">
        <v>0</v>
      </c>
      <c r="J128" s="9">
        <v>0</v>
      </c>
      <c r="K128" s="8">
        <v>0</v>
      </c>
      <c r="L128" s="5">
        <v>0</v>
      </c>
      <c r="M128" s="5">
        <v>0</v>
      </c>
      <c r="N128" s="9">
        <v>0</v>
      </c>
      <c r="O128" s="8">
        <v>1</v>
      </c>
      <c r="P128" s="5">
        <v>2</v>
      </c>
      <c r="Q128" s="5">
        <v>1</v>
      </c>
      <c r="R128" s="9">
        <v>0</v>
      </c>
      <c r="S128" s="5">
        <v>0</v>
      </c>
      <c r="T128" s="5">
        <v>0</v>
      </c>
    </row>
    <row r="129" spans="1:20" x14ac:dyDescent="0.2">
      <c r="A129" s="5" t="s">
        <v>101</v>
      </c>
      <c r="B129" s="5" t="s">
        <v>75</v>
      </c>
      <c r="C129" s="6" t="s">
        <v>632</v>
      </c>
      <c r="D129" s="7">
        <f t="shared" si="0"/>
        <v>7.1000000000000005</v>
      </c>
      <c r="E129" s="8">
        <v>0</v>
      </c>
      <c r="F129" s="5">
        <v>0</v>
      </c>
      <c r="G129" s="5">
        <v>0</v>
      </c>
      <c r="H129" s="5">
        <v>0</v>
      </c>
      <c r="I129" s="5">
        <v>0</v>
      </c>
      <c r="J129" s="9">
        <v>0</v>
      </c>
      <c r="K129" s="8">
        <v>13</v>
      </c>
      <c r="L129" s="5">
        <v>66</v>
      </c>
      <c r="M129" s="5">
        <v>0</v>
      </c>
      <c r="N129" s="9">
        <v>0</v>
      </c>
      <c r="O129" s="8">
        <v>1</v>
      </c>
      <c r="P129" s="5">
        <v>-5</v>
      </c>
      <c r="Q129" s="5">
        <v>0</v>
      </c>
      <c r="R129" s="9">
        <v>0</v>
      </c>
      <c r="S129" s="5">
        <v>0</v>
      </c>
      <c r="T129" s="5">
        <v>0</v>
      </c>
    </row>
    <row r="130" spans="1:20" x14ac:dyDescent="0.2">
      <c r="A130" s="5" t="s">
        <v>377</v>
      </c>
      <c r="B130" s="5" t="s">
        <v>162</v>
      </c>
      <c r="C130" s="6" t="s">
        <v>644</v>
      </c>
      <c r="D130" s="7">
        <f t="shared" si="0"/>
        <v>7.1</v>
      </c>
      <c r="E130" s="8">
        <v>0</v>
      </c>
      <c r="F130" s="5">
        <v>0</v>
      </c>
      <c r="G130" s="5">
        <v>0</v>
      </c>
      <c r="H130" s="5">
        <v>0</v>
      </c>
      <c r="I130" s="5">
        <v>0</v>
      </c>
      <c r="J130" s="9">
        <v>0</v>
      </c>
      <c r="K130" s="8">
        <v>0</v>
      </c>
      <c r="L130" s="5">
        <v>0</v>
      </c>
      <c r="M130" s="5">
        <v>0</v>
      </c>
      <c r="N130" s="9">
        <v>0</v>
      </c>
      <c r="O130" s="8">
        <v>4</v>
      </c>
      <c r="P130" s="5">
        <v>31</v>
      </c>
      <c r="Q130" s="5">
        <v>0</v>
      </c>
      <c r="R130" s="9">
        <v>0</v>
      </c>
      <c r="S130" s="5">
        <v>0</v>
      </c>
      <c r="T130" s="5">
        <v>0</v>
      </c>
    </row>
    <row r="131" spans="1:20" x14ac:dyDescent="0.2">
      <c r="A131" s="5" t="s">
        <v>50</v>
      </c>
      <c r="B131" s="5" t="s">
        <v>17</v>
      </c>
      <c r="C131" s="8" t="s">
        <v>640</v>
      </c>
      <c r="D131" s="7">
        <f t="shared" si="0"/>
        <v>6.6400000000000006</v>
      </c>
      <c r="E131" s="8">
        <v>23</v>
      </c>
      <c r="F131" s="5">
        <v>14</v>
      </c>
      <c r="G131" s="5">
        <v>126</v>
      </c>
      <c r="H131" s="5">
        <v>0</v>
      </c>
      <c r="I131" s="5">
        <v>0</v>
      </c>
      <c r="J131" s="9">
        <v>0</v>
      </c>
      <c r="K131" s="8">
        <v>4</v>
      </c>
      <c r="L131" s="5">
        <v>16</v>
      </c>
      <c r="M131" s="5">
        <v>0</v>
      </c>
      <c r="N131" s="9">
        <v>0</v>
      </c>
      <c r="O131" s="8">
        <v>0</v>
      </c>
      <c r="P131" s="5">
        <v>0</v>
      </c>
      <c r="Q131" s="5">
        <v>0</v>
      </c>
      <c r="R131" s="9">
        <v>0</v>
      </c>
      <c r="S131" s="5">
        <v>0</v>
      </c>
      <c r="T131" s="5">
        <v>0</v>
      </c>
    </row>
    <row r="132" spans="1:20" x14ac:dyDescent="0.2">
      <c r="A132" s="5" t="s">
        <v>243</v>
      </c>
      <c r="B132" s="5" t="s">
        <v>162</v>
      </c>
      <c r="C132" s="6" t="s">
        <v>631</v>
      </c>
      <c r="D132" s="7">
        <f t="shared" si="0"/>
        <v>6.6000000000000005</v>
      </c>
      <c r="E132" s="8">
        <v>0</v>
      </c>
      <c r="F132" s="5">
        <v>0</v>
      </c>
      <c r="G132" s="5">
        <v>0</v>
      </c>
      <c r="H132" s="5">
        <v>0</v>
      </c>
      <c r="I132" s="5">
        <v>0</v>
      </c>
      <c r="J132" s="9">
        <v>0</v>
      </c>
      <c r="K132" s="8">
        <v>0</v>
      </c>
      <c r="L132" s="5">
        <v>0</v>
      </c>
      <c r="M132" s="5">
        <v>0</v>
      </c>
      <c r="N132" s="9">
        <v>0</v>
      </c>
      <c r="O132" s="8">
        <v>2</v>
      </c>
      <c r="P132" s="5">
        <v>46</v>
      </c>
      <c r="Q132" s="5">
        <v>0</v>
      </c>
      <c r="R132" s="9">
        <v>0</v>
      </c>
      <c r="S132" s="5">
        <v>0</v>
      </c>
      <c r="T132" s="5">
        <v>0</v>
      </c>
    </row>
    <row r="133" spans="1:20" x14ac:dyDescent="0.2">
      <c r="A133" s="5" t="s">
        <v>339</v>
      </c>
      <c r="B133" s="5" t="s">
        <v>162</v>
      </c>
      <c r="C133" s="6" t="s">
        <v>638</v>
      </c>
      <c r="D133" s="7">
        <f t="shared" si="0"/>
        <v>6.6</v>
      </c>
      <c r="E133" s="8">
        <v>0</v>
      </c>
      <c r="F133" s="5">
        <v>0</v>
      </c>
      <c r="G133" s="5">
        <v>0</v>
      </c>
      <c r="H133" s="5">
        <v>0</v>
      </c>
      <c r="I133" s="5">
        <v>0</v>
      </c>
      <c r="J133" s="9">
        <v>0</v>
      </c>
      <c r="K133" s="8">
        <v>0</v>
      </c>
      <c r="L133" s="5">
        <v>0</v>
      </c>
      <c r="M133" s="5">
        <v>0</v>
      </c>
      <c r="N133" s="9">
        <v>0</v>
      </c>
      <c r="O133" s="8">
        <v>3</v>
      </c>
      <c r="P133" s="5">
        <v>36</v>
      </c>
      <c r="Q133" s="5">
        <v>0</v>
      </c>
      <c r="R133" s="9">
        <v>0</v>
      </c>
      <c r="S133" s="5">
        <v>0</v>
      </c>
      <c r="T133" s="5">
        <v>0</v>
      </c>
    </row>
    <row r="134" spans="1:20" x14ac:dyDescent="0.2">
      <c r="A134" s="5" t="s">
        <v>360</v>
      </c>
      <c r="B134" s="5" t="s">
        <v>162</v>
      </c>
      <c r="C134" s="6" t="s">
        <v>639</v>
      </c>
      <c r="D134" s="7">
        <f t="shared" si="0"/>
        <v>6.5</v>
      </c>
      <c r="E134" s="8">
        <v>0</v>
      </c>
      <c r="F134" s="5">
        <v>0</v>
      </c>
      <c r="G134" s="5">
        <v>0</v>
      </c>
      <c r="H134" s="5">
        <v>0</v>
      </c>
      <c r="I134" s="5">
        <v>0</v>
      </c>
      <c r="J134" s="9">
        <v>0</v>
      </c>
      <c r="K134" s="8">
        <v>0</v>
      </c>
      <c r="L134" s="5">
        <v>0</v>
      </c>
      <c r="M134" s="5">
        <v>0</v>
      </c>
      <c r="N134" s="9">
        <v>0</v>
      </c>
      <c r="O134" s="8">
        <v>3</v>
      </c>
      <c r="P134" s="5">
        <v>35</v>
      </c>
      <c r="Q134" s="5">
        <v>0</v>
      </c>
      <c r="R134" s="9">
        <v>0</v>
      </c>
      <c r="S134" s="5">
        <v>0</v>
      </c>
      <c r="T134" s="5">
        <v>0</v>
      </c>
    </row>
    <row r="135" spans="1:20" x14ac:dyDescent="0.2">
      <c r="A135" s="5" t="s">
        <v>80</v>
      </c>
      <c r="B135" s="5" t="s">
        <v>75</v>
      </c>
      <c r="C135" s="8" t="s">
        <v>637</v>
      </c>
      <c r="D135" s="7">
        <f t="shared" si="0"/>
        <v>6.4</v>
      </c>
      <c r="E135" s="8">
        <v>0</v>
      </c>
      <c r="F135" s="5">
        <v>0</v>
      </c>
      <c r="G135" s="5">
        <v>0</v>
      </c>
      <c r="H135" s="5">
        <v>0</v>
      </c>
      <c r="I135" s="5">
        <v>0</v>
      </c>
      <c r="J135" s="9">
        <v>0</v>
      </c>
      <c r="K135" s="8">
        <v>9</v>
      </c>
      <c r="L135" s="5">
        <v>35</v>
      </c>
      <c r="M135" s="5">
        <v>0</v>
      </c>
      <c r="N135" s="9">
        <v>0</v>
      </c>
      <c r="O135" s="8">
        <v>2</v>
      </c>
      <c r="P135" s="5">
        <v>9</v>
      </c>
      <c r="Q135" s="5">
        <v>0</v>
      </c>
      <c r="R135" s="9">
        <v>0</v>
      </c>
      <c r="S135" s="5">
        <v>0</v>
      </c>
      <c r="T135" s="5">
        <v>0</v>
      </c>
    </row>
    <row r="136" spans="1:20" x14ac:dyDescent="0.2">
      <c r="A136" s="5" t="s">
        <v>165</v>
      </c>
      <c r="B136" s="5" t="s">
        <v>162</v>
      </c>
      <c r="C136" s="8" t="s">
        <v>639</v>
      </c>
      <c r="D136" s="7">
        <f t="shared" si="0"/>
        <v>6.4</v>
      </c>
      <c r="E136" s="8">
        <v>0</v>
      </c>
      <c r="F136" s="5">
        <v>0</v>
      </c>
      <c r="G136" s="5">
        <v>0</v>
      </c>
      <c r="H136" s="5">
        <v>0</v>
      </c>
      <c r="I136" s="5">
        <v>0</v>
      </c>
      <c r="J136" s="9">
        <v>0</v>
      </c>
      <c r="K136" s="8">
        <v>0</v>
      </c>
      <c r="L136" s="5">
        <v>0</v>
      </c>
      <c r="M136" s="5">
        <v>0</v>
      </c>
      <c r="N136" s="9">
        <v>0</v>
      </c>
      <c r="O136" s="8">
        <v>3</v>
      </c>
      <c r="P136" s="5">
        <v>34</v>
      </c>
      <c r="Q136" s="5">
        <v>0</v>
      </c>
      <c r="R136" s="9">
        <v>0</v>
      </c>
      <c r="S136" s="5">
        <v>0</v>
      </c>
      <c r="T136" s="5">
        <v>0</v>
      </c>
    </row>
    <row r="137" spans="1:20" x14ac:dyDescent="0.2">
      <c r="A137" s="5" t="s">
        <v>250</v>
      </c>
      <c r="B137" s="5" t="s">
        <v>162</v>
      </c>
      <c r="C137" s="8" t="s">
        <v>638</v>
      </c>
      <c r="D137" s="7">
        <f t="shared" si="0"/>
        <v>6.4</v>
      </c>
      <c r="E137" s="8">
        <v>0</v>
      </c>
      <c r="F137" s="5">
        <v>0</v>
      </c>
      <c r="G137" s="5">
        <v>0</v>
      </c>
      <c r="H137" s="5">
        <v>0</v>
      </c>
      <c r="I137" s="5">
        <v>0</v>
      </c>
      <c r="J137" s="9">
        <v>0</v>
      </c>
      <c r="K137" s="8">
        <v>0</v>
      </c>
      <c r="L137" s="5">
        <v>0</v>
      </c>
      <c r="M137" s="5">
        <v>0</v>
      </c>
      <c r="N137" s="9">
        <v>0</v>
      </c>
      <c r="O137" s="8">
        <v>3</v>
      </c>
      <c r="P137" s="5">
        <v>34</v>
      </c>
      <c r="Q137" s="5">
        <v>0</v>
      </c>
      <c r="R137" s="9">
        <v>0</v>
      </c>
      <c r="S137" s="5">
        <v>0</v>
      </c>
      <c r="T137" s="5">
        <v>0</v>
      </c>
    </row>
    <row r="138" spans="1:20" x14ac:dyDescent="0.2">
      <c r="A138" s="5" t="s">
        <v>341</v>
      </c>
      <c r="B138" s="5" t="s">
        <v>69</v>
      </c>
      <c r="C138" s="8" t="s">
        <v>645</v>
      </c>
      <c r="D138" s="7">
        <f t="shared" si="0"/>
        <v>6.4</v>
      </c>
      <c r="E138" s="8">
        <v>0</v>
      </c>
      <c r="F138" s="5">
        <v>0</v>
      </c>
      <c r="G138" s="5">
        <v>0</v>
      </c>
      <c r="H138" s="5">
        <v>0</v>
      </c>
      <c r="I138" s="5">
        <v>0</v>
      </c>
      <c r="J138" s="9">
        <v>0</v>
      </c>
      <c r="K138" s="8">
        <v>0</v>
      </c>
      <c r="L138" s="5">
        <v>0</v>
      </c>
      <c r="M138" s="5">
        <v>0</v>
      </c>
      <c r="N138" s="9">
        <v>0</v>
      </c>
      <c r="O138" s="8">
        <v>2</v>
      </c>
      <c r="P138" s="5">
        <v>44</v>
      </c>
      <c r="Q138" s="5">
        <v>0</v>
      </c>
      <c r="R138" s="9">
        <v>0</v>
      </c>
      <c r="S138" s="5">
        <v>0</v>
      </c>
      <c r="T138" s="5">
        <v>0</v>
      </c>
    </row>
    <row r="139" spans="1:20" x14ac:dyDescent="0.2">
      <c r="A139" s="5" t="s">
        <v>305</v>
      </c>
      <c r="B139" s="5" t="s">
        <v>69</v>
      </c>
      <c r="C139" s="8" t="s">
        <v>640</v>
      </c>
      <c r="D139" s="7">
        <f t="shared" si="0"/>
        <v>6.2</v>
      </c>
      <c r="E139" s="8">
        <v>0</v>
      </c>
      <c r="F139" s="5">
        <v>0</v>
      </c>
      <c r="G139" s="5">
        <v>0</v>
      </c>
      <c r="H139" s="5">
        <v>0</v>
      </c>
      <c r="I139" s="5">
        <v>0</v>
      </c>
      <c r="J139" s="9">
        <v>0</v>
      </c>
      <c r="K139" s="8">
        <v>0</v>
      </c>
      <c r="L139" s="5">
        <v>0</v>
      </c>
      <c r="M139" s="5">
        <v>0</v>
      </c>
      <c r="N139" s="9">
        <v>0</v>
      </c>
      <c r="O139" s="8">
        <v>3</v>
      </c>
      <c r="P139" s="5">
        <v>32</v>
      </c>
      <c r="Q139" s="5">
        <v>0</v>
      </c>
      <c r="R139" s="9">
        <v>0</v>
      </c>
      <c r="S139" s="5">
        <v>0</v>
      </c>
      <c r="T139" s="5">
        <v>0</v>
      </c>
    </row>
    <row r="140" spans="1:20" x14ac:dyDescent="0.2">
      <c r="A140" s="5" t="s">
        <v>584</v>
      </c>
      <c r="B140" s="5" t="s">
        <v>17</v>
      </c>
      <c r="C140" s="8" t="s">
        <v>638</v>
      </c>
      <c r="D140" s="7">
        <f t="shared" si="0"/>
        <v>6.1</v>
      </c>
      <c r="E140" s="8">
        <v>0</v>
      </c>
      <c r="F140" s="5">
        <v>0</v>
      </c>
      <c r="G140" s="5">
        <v>0</v>
      </c>
      <c r="H140" s="5">
        <v>0</v>
      </c>
      <c r="I140" s="5">
        <v>0</v>
      </c>
      <c r="J140" s="9">
        <v>0</v>
      </c>
      <c r="K140" s="8">
        <v>1</v>
      </c>
      <c r="L140" s="5">
        <v>1</v>
      </c>
      <c r="M140" s="5">
        <v>1</v>
      </c>
      <c r="N140" s="9">
        <v>0</v>
      </c>
      <c r="O140" s="8">
        <v>0</v>
      </c>
      <c r="P140" s="5">
        <v>0</v>
      </c>
      <c r="Q140" s="5">
        <v>0</v>
      </c>
      <c r="R140" s="9">
        <v>0</v>
      </c>
      <c r="S140" s="5">
        <v>0</v>
      </c>
      <c r="T140" s="5">
        <v>0</v>
      </c>
    </row>
    <row r="141" spans="1:20" x14ac:dyDescent="0.2">
      <c r="A141" s="5" t="s">
        <v>156</v>
      </c>
      <c r="B141" s="5" t="s">
        <v>75</v>
      </c>
      <c r="C141" s="8" t="s">
        <v>637</v>
      </c>
      <c r="D141" s="7">
        <f t="shared" si="0"/>
        <v>6</v>
      </c>
      <c r="E141" s="8">
        <v>0</v>
      </c>
      <c r="F141" s="5">
        <v>0</v>
      </c>
      <c r="G141" s="5">
        <v>0</v>
      </c>
      <c r="H141" s="5">
        <v>0</v>
      </c>
      <c r="I141" s="5">
        <v>0</v>
      </c>
      <c r="J141" s="9">
        <v>0</v>
      </c>
      <c r="K141" s="8">
        <v>3</v>
      </c>
      <c r="L141" s="5">
        <v>12</v>
      </c>
      <c r="M141" s="5">
        <v>0</v>
      </c>
      <c r="N141" s="9">
        <v>0</v>
      </c>
      <c r="O141" s="8">
        <v>2</v>
      </c>
      <c r="P141" s="5">
        <v>28</v>
      </c>
      <c r="Q141" s="5">
        <v>0</v>
      </c>
      <c r="R141" s="9">
        <v>0</v>
      </c>
      <c r="S141" s="5">
        <v>0</v>
      </c>
      <c r="T141" s="5">
        <v>0</v>
      </c>
    </row>
    <row r="142" spans="1:20" x14ac:dyDescent="0.2">
      <c r="A142" s="5" t="s">
        <v>220</v>
      </c>
      <c r="B142" s="5" t="s">
        <v>162</v>
      </c>
      <c r="C142" s="6" t="s">
        <v>644</v>
      </c>
      <c r="D142" s="7">
        <f t="shared" si="0"/>
        <v>6</v>
      </c>
      <c r="E142" s="8">
        <v>0</v>
      </c>
      <c r="F142" s="5">
        <v>0</v>
      </c>
      <c r="G142" s="5">
        <v>0</v>
      </c>
      <c r="H142" s="5">
        <v>0</v>
      </c>
      <c r="I142" s="5">
        <v>0</v>
      </c>
      <c r="J142" s="9">
        <v>0</v>
      </c>
      <c r="K142" s="8">
        <v>0</v>
      </c>
      <c r="L142" s="5">
        <v>0</v>
      </c>
      <c r="M142" s="5">
        <v>0</v>
      </c>
      <c r="N142" s="9">
        <v>0</v>
      </c>
      <c r="O142" s="8">
        <v>2</v>
      </c>
      <c r="P142" s="5">
        <v>40</v>
      </c>
      <c r="Q142" s="5">
        <v>0</v>
      </c>
      <c r="R142" s="9">
        <v>0</v>
      </c>
      <c r="S142" s="5">
        <v>0</v>
      </c>
      <c r="T142" s="5">
        <v>0</v>
      </c>
    </row>
    <row r="143" spans="1:20" x14ac:dyDescent="0.2">
      <c r="A143" s="5" t="s">
        <v>293</v>
      </c>
      <c r="B143" s="5" t="s">
        <v>69</v>
      </c>
      <c r="C143" s="6" t="s">
        <v>638</v>
      </c>
      <c r="D143" s="7">
        <f t="shared" si="0"/>
        <v>6</v>
      </c>
      <c r="E143" s="8">
        <v>0</v>
      </c>
      <c r="F143" s="5">
        <v>0</v>
      </c>
      <c r="G143" s="5">
        <v>0</v>
      </c>
      <c r="H143" s="5">
        <v>0</v>
      </c>
      <c r="I143" s="5">
        <v>0</v>
      </c>
      <c r="J143" s="9">
        <v>0</v>
      </c>
      <c r="K143" s="8">
        <v>0</v>
      </c>
      <c r="L143" s="5">
        <v>0</v>
      </c>
      <c r="M143" s="5">
        <v>0</v>
      </c>
      <c r="N143" s="9">
        <v>0</v>
      </c>
      <c r="O143" s="8">
        <v>3</v>
      </c>
      <c r="P143" s="5">
        <v>30</v>
      </c>
      <c r="Q143" s="5">
        <v>0</v>
      </c>
      <c r="R143" s="9">
        <v>0</v>
      </c>
      <c r="S143" s="5">
        <v>0</v>
      </c>
      <c r="T143" s="5">
        <v>0</v>
      </c>
    </row>
    <row r="144" spans="1:20" x14ac:dyDescent="0.2">
      <c r="A144" s="5" t="s">
        <v>594</v>
      </c>
      <c r="B144" s="5" t="s">
        <v>17</v>
      </c>
      <c r="C144" s="6" t="s">
        <v>635</v>
      </c>
      <c r="D144" s="7">
        <f t="shared" si="0"/>
        <v>5.96</v>
      </c>
      <c r="E144" s="8">
        <v>39</v>
      </c>
      <c r="F144" s="5">
        <v>19</v>
      </c>
      <c r="G144" s="5">
        <v>199</v>
      </c>
      <c r="H144" s="5">
        <v>0</v>
      </c>
      <c r="I144" s="5">
        <v>1</v>
      </c>
      <c r="J144" s="9">
        <v>0</v>
      </c>
      <c r="K144" s="8">
        <v>0</v>
      </c>
      <c r="L144" s="5">
        <v>0</v>
      </c>
      <c r="M144" s="5">
        <v>0</v>
      </c>
      <c r="N144" s="9">
        <v>0</v>
      </c>
      <c r="O144" s="8">
        <v>0</v>
      </c>
      <c r="P144" s="5">
        <v>0</v>
      </c>
      <c r="Q144" s="5">
        <v>0</v>
      </c>
      <c r="R144" s="9">
        <v>0</v>
      </c>
      <c r="S144" s="5">
        <v>0</v>
      </c>
      <c r="T144" s="5">
        <v>0</v>
      </c>
    </row>
    <row r="145" spans="1:20" x14ac:dyDescent="0.2">
      <c r="A145" s="5" t="s">
        <v>108</v>
      </c>
      <c r="B145" s="5" t="s">
        <v>75</v>
      </c>
      <c r="C145" s="6" t="s">
        <v>643</v>
      </c>
      <c r="D145" s="7">
        <f t="shared" si="0"/>
        <v>5.9</v>
      </c>
      <c r="E145" s="8">
        <v>0</v>
      </c>
      <c r="F145" s="5">
        <v>0</v>
      </c>
      <c r="G145" s="5">
        <v>0</v>
      </c>
      <c r="H145" s="5">
        <v>0</v>
      </c>
      <c r="I145" s="5">
        <v>0</v>
      </c>
      <c r="J145" s="9">
        <v>0</v>
      </c>
      <c r="K145" s="8">
        <v>9</v>
      </c>
      <c r="L145" s="5">
        <v>23</v>
      </c>
      <c r="M145" s="5">
        <v>0</v>
      </c>
      <c r="N145" s="9">
        <v>0</v>
      </c>
      <c r="O145" s="8">
        <v>2</v>
      </c>
      <c r="P145" s="5">
        <v>16</v>
      </c>
      <c r="Q145" s="5">
        <v>0</v>
      </c>
      <c r="R145" s="9">
        <v>0</v>
      </c>
      <c r="S145" s="5">
        <v>0</v>
      </c>
      <c r="T145" s="5">
        <v>0</v>
      </c>
    </row>
    <row r="146" spans="1:20" x14ac:dyDescent="0.2">
      <c r="A146" s="5" t="s">
        <v>187</v>
      </c>
      <c r="B146" s="5" t="s">
        <v>162</v>
      </c>
      <c r="C146" s="6" t="s">
        <v>635</v>
      </c>
      <c r="D146" s="7">
        <f t="shared" si="0"/>
        <v>5.7</v>
      </c>
      <c r="E146" s="8">
        <v>0</v>
      </c>
      <c r="F146" s="5">
        <v>0</v>
      </c>
      <c r="G146" s="5">
        <v>0</v>
      </c>
      <c r="H146" s="5">
        <v>0</v>
      </c>
      <c r="I146" s="5">
        <v>0</v>
      </c>
      <c r="J146" s="9">
        <v>0</v>
      </c>
      <c r="K146" s="8">
        <v>0</v>
      </c>
      <c r="L146" s="5">
        <v>0</v>
      </c>
      <c r="M146" s="5">
        <v>0</v>
      </c>
      <c r="N146" s="9">
        <v>0</v>
      </c>
      <c r="O146" s="8">
        <v>3</v>
      </c>
      <c r="P146" s="5">
        <v>27</v>
      </c>
      <c r="Q146" s="5">
        <v>0</v>
      </c>
      <c r="R146" s="9">
        <v>0</v>
      </c>
      <c r="S146" s="5">
        <v>0</v>
      </c>
      <c r="T146" s="5">
        <v>0</v>
      </c>
    </row>
    <row r="147" spans="1:20" x14ac:dyDescent="0.2">
      <c r="A147" s="5" t="s">
        <v>352</v>
      </c>
      <c r="B147" s="5" t="s">
        <v>69</v>
      </c>
      <c r="C147" s="6" t="s">
        <v>635</v>
      </c>
      <c r="D147" s="7">
        <f t="shared" si="0"/>
        <v>5.7</v>
      </c>
      <c r="E147" s="8">
        <v>0</v>
      </c>
      <c r="F147" s="5">
        <v>0</v>
      </c>
      <c r="G147" s="5">
        <v>0</v>
      </c>
      <c r="H147" s="5">
        <v>0</v>
      </c>
      <c r="I147" s="5">
        <v>0</v>
      </c>
      <c r="J147" s="9">
        <v>0</v>
      </c>
      <c r="K147" s="8">
        <v>0</v>
      </c>
      <c r="L147" s="5">
        <v>0</v>
      </c>
      <c r="M147" s="5">
        <v>0</v>
      </c>
      <c r="N147" s="9">
        <v>0</v>
      </c>
      <c r="O147" s="8">
        <v>3</v>
      </c>
      <c r="P147" s="5">
        <v>27</v>
      </c>
      <c r="Q147" s="5">
        <v>0</v>
      </c>
      <c r="R147" s="9">
        <v>0</v>
      </c>
      <c r="S147" s="5">
        <v>0</v>
      </c>
      <c r="T147" s="5">
        <v>0</v>
      </c>
    </row>
    <row r="148" spans="1:20" x14ac:dyDescent="0.2">
      <c r="A148" s="5" t="s">
        <v>70</v>
      </c>
      <c r="B148" s="5" t="s">
        <v>17</v>
      </c>
      <c r="C148" s="6" t="s">
        <v>644</v>
      </c>
      <c r="D148" s="7">
        <f t="shared" si="0"/>
        <v>5.66</v>
      </c>
      <c r="E148" s="8">
        <v>28</v>
      </c>
      <c r="F148" s="5">
        <v>18</v>
      </c>
      <c r="G148" s="5">
        <v>194</v>
      </c>
      <c r="H148" s="5">
        <v>0</v>
      </c>
      <c r="I148" s="5">
        <v>1</v>
      </c>
      <c r="J148" s="9">
        <v>0</v>
      </c>
      <c r="K148" s="8">
        <v>2</v>
      </c>
      <c r="L148" s="5">
        <v>-1</v>
      </c>
      <c r="M148" s="5">
        <v>0</v>
      </c>
      <c r="N148" s="9">
        <v>0</v>
      </c>
      <c r="O148" s="8">
        <v>0</v>
      </c>
      <c r="P148" s="5">
        <v>0</v>
      </c>
      <c r="Q148" s="5">
        <v>0</v>
      </c>
      <c r="R148" s="9">
        <v>0</v>
      </c>
      <c r="S148" s="5">
        <v>0</v>
      </c>
      <c r="T148" s="5">
        <v>0</v>
      </c>
    </row>
    <row r="149" spans="1:20" x14ac:dyDescent="0.2">
      <c r="A149" s="5" t="s">
        <v>79</v>
      </c>
      <c r="B149" s="5" t="s">
        <v>75</v>
      </c>
      <c r="C149" s="8" t="s">
        <v>632</v>
      </c>
      <c r="D149" s="7">
        <f t="shared" si="0"/>
        <v>5.5</v>
      </c>
      <c r="E149" s="8">
        <v>0</v>
      </c>
      <c r="F149" s="5">
        <v>0</v>
      </c>
      <c r="G149" s="5">
        <v>0</v>
      </c>
      <c r="H149" s="5">
        <v>0</v>
      </c>
      <c r="I149" s="5">
        <v>0</v>
      </c>
      <c r="J149" s="9">
        <v>0</v>
      </c>
      <c r="K149" s="8">
        <v>15</v>
      </c>
      <c r="L149" s="5">
        <v>55</v>
      </c>
      <c r="M149" s="5">
        <v>0</v>
      </c>
      <c r="N149" s="9">
        <v>0</v>
      </c>
      <c r="O149" s="8">
        <v>0</v>
      </c>
      <c r="P149" s="5">
        <v>0</v>
      </c>
      <c r="Q149" s="5">
        <v>0</v>
      </c>
      <c r="R149" s="9">
        <v>0</v>
      </c>
      <c r="S149" s="5">
        <v>0</v>
      </c>
      <c r="T149" s="5">
        <v>0</v>
      </c>
    </row>
    <row r="150" spans="1:20" x14ac:dyDescent="0.2">
      <c r="A150" s="5" t="s">
        <v>649</v>
      </c>
      <c r="B150" s="5" t="s">
        <v>162</v>
      </c>
      <c r="C150" s="6" t="s">
        <v>643</v>
      </c>
      <c r="D150" s="7">
        <f t="shared" si="0"/>
        <v>5.5</v>
      </c>
      <c r="E150" s="8">
        <v>0</v>
      </c>
      <c r="F150" s="5">
        <v>0</v>
      </c>
      <c r="G150" s="5">
        <v>0</v>
      </c>
      <c r="H150" s="5">
        <v>0</v>
      </c>
      <c r="I150" s="5">
        <v>0</v>
      </c>
      <c r="J150" s="9">
        <v>0</v>
      </c>
      <c r="K150" s="8">
        <v>0</v>
      </c>
      <c r="L150" s="5">
        <v>0</v>
      </c>
      <c r="M150" s="5">
        <v>0</v>
      </c>
      <c r="N150" s="9">
        <v>0</v>
      </c>
      <c r="O150" s="8">
        <v>1</v>
      </c>
      <c r="P150" s="5">
        <v>45</v>
      </c>
      <c r="Q150" s="5">
        <v>0</v>
      </c>
      <c r="R150" s="9">
        <v>0</v>
      </c>
      <c r="S150" s="5">
        <v>0</v>
      </c>
      <c r="T150" s="5">
        <v>0</v>
      </c>
    </row>
    <row r="151" spans="1:20" x14ac:dyDescent="0.2">
      <c r="A151" s="5" t="s">
        <v>41</v>
      </c>
      <c r="B151" s="5" t="s">
        <v>17</v>
      </c>
      <c r="C151" s="6" t="s">
        <v>633</v>
      </c>
      <c r="D151" s="7">
        <f t="shared" si="0"/>
        <v>5.4</v>
      </c>
      <c r="E151" s="8">
        <v>18</v>
      </c>
      <c r="F151" s="5">
        <v>13</v>
      </c>
      <c r="G151" s="5">
        <v>110</v>
      </c>
      <c r="H151" s="5">
        <v>0</v>
      </c>
      <c r="I151" s="5">
        <v>0</v>
      </c>
      <c r="J151" s="9">
        <v>0</v>
      </c>
      <c r="K151" s="8">
        <v>1</v>
      </c>
      <c r="L151" s="5">
        <v>10</v>
      </c>
      <c r="M151" s="5">
        <v>0</v>
      </c>
      <c r="N151" s="9">
        <v>0</v>
      </c>
      <c r="O151" s="8">
        <v>0</v>
      </c>
      <c r="P151" s="5">
        <v>0</v>
      </c>
      <c r="Q151" s="5">
        <v>0</v>
      </c>
      <c r="R151" s="9">
        <v>0</v>
      </c>
      <c r="S151" s="5">
        <v>0</v>
      </c>
      <c r="T151" s="5">
        <v>0</v>
      </c>
    </row>
    <row r="152" spans="1:20" x14ac:dyDescent="0.2">
      <c r="A152" s="5" t="s">
        <v>315</v>
      </c>
      <c r="B152" s="5" t="s">
        <v>69</v>
      </c>
      <c r="C152" s="6" t="s">
        <v>632</v>
      </c>
      <c r="D152" s="7">
        <f t="shared" si="0"/>
        <v>5.4</v>
      </c>
      <c r="E152" s="8">
        <v>0</v>
      </c>
      <c r="F152" s="5">
        <v>0</v>
      </c>
      <c r="G152" s="5">
        <v>0</v>
      </c>
      <c r="H152" s="5">
        <v>0</v>
      </c>
      <c r="I152" s="5">
        <v>0</v>
      </c>
      <c r="J152" s="9">
        <v>0</v>
      </c>
      <c r="K152" s="8">
        <v>0</v>
      </c>
      <c r="L152" s="5">
        <v>0</v>
      </c>
      <c r="M152" s="5">
        <v>0</v>
      </c>
      <c r="N152" s="9">
        <v>0</v>
      </c>
      <c r="O152" s="8">
        <v>2</v>
      </c>
      <c r="P152" s="5">
        <v>34</v>
      </c>
      <c r="Q152" s="5">
        <v>0</v>
      </c>
      <c r="R152" s="9">
        <v>0</v>
      </c>
      <c r="S152" s="5">
        <v>0</v>
      </c>
      <c r="T152" s="5">
        <v>0</v>
      </c>
    </row>
    <row r="153" spans="1:20" x14ac:dyDescent="0.2">
      <c r="A153" s="5" t="s">
        <v>276</v>
      </c>
      <c r="B153" s="5" t="s">
        <v>69</v>
      </c>
      <c r="C153" s="8" t="s">
        <v>637</v>
      </c>
      <c r="D153" s="7">
        <f t="shared" si="0"/>
        <v>5.2</v>
      </c>
      <c r="E153" s="8">
        <v>0</v>
      </c>
      <c r="F153" s="5">
        <v>0</v>
      </c>
      <c r="G153" s="5">
        <v>0</v>
      </c>
      <c r="H153" s="5">
        <v>0</v>
      </c>
      <c r="I153" s="5">
        <v>0</v>
      </c>
      <c r="J153" s="9">
        <v>0</v>
      </c>
      <c r="K153" s="8">
        <v>0</v>
      </c>
      <c r="L153" s="5">
        <v>0</v>
      </c>
      <c r="M153" s="5">
        <v>0</v>
      </c>
      <c r="N153" s="9">
        <v>0</v>
      </c>
      <c r="O153" s="8">
        <v>4</v>
      </c>
      <c r="P153" s="5">
        <v>12</v>
      </c>
      <c r="Q153" s="5">
        <v>0</v>
      </c>
      <c r="R153" s="9">
        <v>0</v>
      </c>
      <c r="S153" s="5">
        <v>0</v>
      </c>
      <c r="T153" s="5">
        <v>0</v>
      </c>
    </row>
    <row r="154" spans="1:20" x14ac:dyDescent="0.2">
      <c r="A154" s="5" t="s">
        <v>236</v>
      </c>
      <c r="B154" s="5" t="s">
        <v>162</v>
      </c>
      <c r="C154" s="6" t="s">
        <v>632</v>
      </c>
      <c r="D154" s="7">
        <f t="shared" si="0"/>
        <v>5.0999999999999996</v>
      </c>
      <c r="E154" s="8">
        <v>0</v>
      </c>
      <c r="F154" s="5">
        <v>0</v>
      </c>
      <c r="G154" s="5">
        <v>0</v>
      </c>
      <c r="H154" s="5">
        <v>0</v>
      </c>
      <c r="I154" s="5">
        <v>0</v>
      </c>
      <c r="J154" s="9">
        <v>0</v>
      </c>
      <c r="K154" s="8">
        <v>0</v>
      </c>
      <c r="L154" s="5">
        <v>0</v>
      </c>
      <c r="M154" s="5">
        <v>0</v>
      </c>
      <c r="N154" s="9">
        <v>0</v>
      </c>
      <c r="O154" s="8">
        <v>3</v>
      </c>
      <c r="P154" s="5">
        <v>21</v>
      </c>
      <c r="Q154" s="5">
        <v>0</v>
      </c>
      <c r="R154" s="9">
        <v>0</v>
      </c>
      <c r="S154" s="5">
        <v>0</v>
      </c>
      <c r="T154" s="5">
        <v>0</v>
      </c>
    </row>
    <row r="155" spans="1:20" x14ac:dyDescent="0.2">
      <c r="A155" s="5" t="s">
        <v>351</v>
      </c>
      <c r="B155" s="5" t="s">
        <v>69</v>
      </c>
      <c r="C155" s="6" t="s">
        <v>634</v>
      </c>
      <c r="D155" s="7">
        <f t="shared" si="0"/>
        <v>5.0999999999999996</v>
      </c>
      <c r="E155" s="8">
        <v>0</v>
      </c>
      <c r="F155" s="5">
        <v>0</v>
      </c>
      <c r="G155" s="5">
        <v>0</v>
      </c>
      <c r="H155" s="5">
        <v>0</v>
      </c>
      <c r="I155" s="5">
        <v>0</v>
      </c>
      <c r="J155" s="9">
        <v>0</v>
      </c>
      <c r="K155" s="8">
        <v>0</v>
      </c>
      <c r="L155" s="5">
        <v>0</v>
      </c>
      <c r="M155" s="5">
        <v>0</v>
      </c>
      <c r="N155" s="9">
        <v>0</v>
      </c>
      <c r="O155" s="8">
        <v>3</v>
      </c>
      <c r="P155" s="5">
        <v>21</v>
      </c>
      <c r="Q155" s="5">
        <v>0</v>
      </c>
      <c r="R155" s="9">
        <v>0</v>
      </c>
      <c r="S155" s="5">
        <v>0</v>
      </c>
      <c r="T155" s="5">
        <v>0</v>
      </c>
    </row>
    <row r="156" spans="1:20" x14ac:dyDescent="0.2">
      <c r="A156" s="5" t="s">
        <v>271</v>
      </c>
      <c r="B156" s="5" t="s">
        <v>69</v>
      </c>
      <c r="C156" s="8" t="s">
        <v>644</v>
      </c>
      <c r="D156" s="7">
        <f t="shared" si="0"/>
        <v>5.0999999999999996</v>
      </c>
      <c r="E156" s="8">
        <v>0</v>
      </c>
      <c r="F156" s="5">
        <v>0</v>
      </c>
      <c r="G156" s="5">
        <v>0</v>
      </c>
      <c r="H156" s="5">
        <v>0</v>
      </c>
      <c r="I156" s="5">
        <v>0</v>
      </c>
      <c r="J156" s="9">
        <v>0</v>
      </c>
      <c r="K156" s="8">
        <v>0</v>
      </c>
      <c r="L156" s="5">
        <v>0</v>
      </c>
      <c r="M156" s="5">
        <v>0</v>
      </c>
      <c r="N156" s="9">
        <v>0</v>
      </c>
      <c r="O156" s="8">
        <v>3</v>
      </c>
      <c r="P156" s="5">
        <v>21</v>
      </c>
      <c r="Q156" s="5">
        <v>0</v>
      </c>
      <c r="R156" s="9">
        <v>0</v>
      </c>
      <c r="S156" s="5">
        <v>0</v>
      </c>
      <c r="T156" s="5">
        <v>0</v>
      </c>
    </row>
    <row r="157" spans="1:20" x14ac:dyDescent="0.2">
      <c r="A157" s="5" t="s">
        <v>242</v>
      </c>
      <c r="B157" s="5" t="s">
        <v>162</v>
      </c>
      <c r="C157" s="6" t="s">
        <v>643</v>
      </c>
      <c r="D157" s="7">
        <f t="shared" si="0"/>
        <v>5</v>
      </c>
      <c r="E157" s="8">
        <v>0</v>
      </c>
      <c r="F157" s="5">
        <v>0</v>
      </c>
      <c r="G157" s="5">
        <v>0</v>
      </c>
      <c r="H157" s="5">
        <v>0</v>
      </c>
      <c r="I157" s="5">
        <v>0</v>
      </c>
      <c r="J157" s="9">
        <v>0</v>
      </c>
      <c r="K157" s="8">
        <v>0</v>
      </c>
      <c r="L157" s="5">
        <v>0</v>
      </c>
      <c r="M157" s="5">
        <v>0</v>
      </c>
      <c r="N157" s="9">
        <v>0</v>
      </c>
      <c r="O157" s="8">
        <v>3</v>
      </c>
      <c r="P157" s="5">
        <v>20</v>
      </c>
      <c r="Q157" s="5">
        <v>0</v>
      </c>
      <c r="R157" s="9">
        <v>0</v>
      </c>
      <c r="S157" s="5">
        <v>0</v>
      </c>
      <c r="T157" s="5">
        <v>0</v>
      </c>
    </row>
    <row r="158" spans="1:20" x14ac:dyDescent="0.2">
      <c r="A158" s="5" t="s">
        <v>78</v>
      </c>
      <c r="B158" s="5" t="s">
        <v>75</v>
      </c>
      <c r="C158" s="6" t="s">
        <v>638</v>
      </c>
      <c r="D158" s="7">
        <f t="shared" si="0"/>
        <v>4.8</v>
      </c>
      <c r="E158" s="8">
        <v>0</v>
      </c>
      <c r="F158" s="5">
        <v>0</v>
      </c>
      <c r="G158" s="5">
        <v>0</v>
      </c>
      <c r="H158" s="5">
        <v>0</v>
      </c>
      <c r="I158" s="5">
        <v>0</v>
      </c>
      <c r="J158" s="9">
        <v>0</v>
      </c>
      <c r="K158" s="8">
        <v>9</v>
      </c>
      <c r="L158" s="5">
        <v>31</v>
      </c>
      <c r="M158" s="5">
        <v>0</v>
      </c>
      <c r="N158" s="9">
        <v>0</v>
      </c>
      <c r="O158" s="8">
        <v>1</v>
      </c>
      <c r="P158" s="5">
        <v>7</v>
      </c>
      <c r="Q158" s="5">
        <v>0</v>
      </c>
      <c r="R158" s="9">
        <v>0</v>
      </c>
      <c r="S158" s="5">
        <v>0</v>
      </c>
      <c r="T158" s="5">
        <v>0</v>
      </c>
    </row>
    <row r="159" spans="1:20" x14ac:dyDescent="0.2">
      <c r="A159" s="5" t="s">
        <v>440</v>
      </c>
      <c r="B159" s="5" t="s">
        <v>69</v>
      </c>
      <c r="C159" s="6" t="s">
        <v>643</v>
      </c>
      <c r="D159" s="7">
        <f t="shared" si="0"/>
        <v>4.5999999999999996</v>
      </c>
      <c r="E159" s="8">
        <v>0</v>
      </c>
      <c r="F159" s="5">
        <v>0</v>
      </c>
      <c r="G159" s="5">
        <v>0</v>
      </c>
      <c r="H159" s="5">
        <v>0</v>
      </c>
      <c r="I159" s="5">
        <v>0</v>
      </c>
      <c r="J159" s="9">
        <v>0</v>
      </c>
      <c r="K159" s="8">
        <v>0</v>
      </c>
      <c r="L159" s="5">
        <v>0</v>
      </c>
      <c r="M159" s="5">
        <v>0</v>
      </c>
      <c r="N159" s="9">
        <v>0</v>
      </c>
      <c r="O159" s="8">
        <v>3</v>
      </c>
      <c r="P159" s="5">
        <v>16</v>
      </c>
      <c r="Q159" s="5">
        <v>0</v>
      </c>
      <c r="R159" s="9">
        <v>0</v>
      </c>
      <c r="S159" s="5">
        <v>0</v>
      </c>
      <c r="T159" s="5">
        <v>0</v>
      </c>
    </row>
    <row r="160" spans="1:20" x14ac:dyDescent="0.2">
      <c r="A160" s="5" t="s">
        <v>217</v>
      </c>
      <c r="B160" s="5" t="s">
        <v>162</v>
      </c>
      <c r="C160" s="8" t="s">
        <v>645</v>
      </c>
      <c r="D160" s="7">
        <f t="shared" si="0"/>
        <v>4.5</v>
      </c>
      <c r="E160" s="8">
        <v>0</v>
      </c>
      <c r="F160" s="5">
        <v>0</v>
      </c>
      <c r="G160" s="5">
        <v>0</v>
      </c>
      <c r="H160" s="5">
        <v>0</v>
      </c>
      <c r="I160" s="5">
        <v>0</v>
      </c>
      <c r="J160" s="9">
        <v>0</v>
      </c>
      <c r="K160" s="8">
        <v>0</v>
      </c>
      <c r="L160" s="5">
        <v>0</v>
      </c>
      <c r="M160" s="5">
        <v>0</v>
      </c>
      <c r="N160" s="9">
        <v>0</v>
      </c>
      <c r="O160" s="8">
        <v>2</v>
      </c>
      <c r="P160" s="5">
        <v>25</v>
      </c>
      <c r="Q160" s="5">
        <v>0</v>
      </c>
      <c r="R160" s="9">
        <v>0</v>
      </c>
      <c r="S160" s="5">
        <v>0</v>
      </c>
      <c r="T160" s="5">
        <v>0</v>
      </c>
    </row>
    <row r="161" spans="1:20" x14ac:dyDescent="0.2">
      <c r="A161" s="5" t="s">
        <v>369</v>
      </c>
      <c r="B161" s="5" t="s">
        <v>162</v>
      </c>
      <c r="C161" s="6" t="s">
        <v>636</v>
      </c>
      <c r="D161" s="7">
        <f t="shared" si="0"/>
        <v>4.5</v>
      </c>
      <c r="E161" s="8">
        <v>0</v>
      </c>
      <c r="F161" s="5">
        <v>0</v>
      </c>
      <c r="G161" s="5">
        <v>0</v>
      </c>
      <c r="H161" s="5">
        <v>0</v>
      </c>
      <c r="I161" s="5">
        <v>0</v>
      </c>
      <c r="J161" s="9">
        <v>0</v>
      </c>
      <c r="K161" s="8">
        <v>0</v>
      </c>
      <c r="L161" s="5">
        <v>0</v>
      </c>
      <c r="M161" s="5">
        <v>0</v>
      </c>
      <c r="N161" s="9">
        <v>0</v>
      </c>
      <c r="O161" s="8">
        <v>2</v>
      </c>
      <c r="P161" s="5">
        <v>25</v>
      </c>
      <c r="Q161" s="5">
        <v>0</v>
      </c>
      <c r="R161" s="9">
        <v>0</v>
      </c>
      <c r="S161" s="5">
        <v>0</v>
      </c>
      <c r="T161" s="5">
        <v>0</v>
      </c>
    </row>
    <row r="162" spans="1:20" x14ac:dyDescent="0.2">
      <c r="A162" s="5" t="s">
        <v>68</v>
      </c>
      <c r="B162" s="5" t="s">
        <v>69</v>
      </c>
      <c r="C162" s="6" t="s">
        <v>633</v>
      </c>
      <c r="D162" s="7">
        <f t="shared" si="0"/>
        <v>4.3000000000000007</v>
      </c>
      <c r="E162" s="8">
        <v>0</v>
      </c>
      <c r="F162" s="5">
        <v>0</v>
      </c>
      <c r="G162" s="5">
        <v>0</v>
      </c>
      <c r="H162" s="5">
        <v>0</v>
      </c>
      <c r="I162" s="5">
        <v>0</v>
      </c>
      <c r="J162" s="9">
        <v>0</v>
      </c>
      <c r="K162" s="8">
        <v>1</v>
      </c>
      <c r="L162" s="5">
        <v>6</v>
      </c>
      <c r="M162" s="5">
        <v>0</v>
      </c>
      <c r="N162" s="9">
        <v>0</v>
      </c>
      <c r="O162" s="8">
        <v>2</v>
      </c>
      <c r="P162" s="5">
        <v>17</v>
      </c>
      <c r="Q162" s="5">
        <v>0</v>
      </c>
      <c r="R162" s="9">
        <v>0</v>
      </c>
      <c r="S162" s="5">
        <v>0</v>
      </c>
      <c r="T162" s="5">
        <v>0</v>
      </c>
    </row>
    <row r="163" spans="1:20" x14ac:dyDescent="0.2">
      <c r="A163" s="5" t="s">
        <v>89</v>
      </c>
      <c r="B163" s="5" t="s">
        <v>75</v>
      </c>
      <c r="C163" s="8" t="s">
        <v>633</v>
      </c>
      <c r="D163" s="7">
        <f t="shared" si="0"/>
        <v>4.3000000000000007</v>
      </c>
      <c r="E163" s="8">
        <v>0</v>
      </c>
      <c r="F163" s="5">
        <v>0</v>
      </c>
      <c r="G163" s="5">
        <v>0</v>
      </c>
      <c r="H163" s="5">
        <v>0</v>
      </c>
      <c r="I163" s="5">
        <v>0</v>
      </c>
      <c r="J163" s="9">
        <v>0</v>
      </c>
      <c r="K163" s="8">
        <v>8</v>
      </c>
      <c r="L163" s="5">
        <v>27</v>
      </c>
      <c r="M163" s="5">
        <v>0</v>
      </c>
      <c r="N163" s="9">
        <v>0</v>
      </c>
      <c r="O163" s="8">
        <v>1</v>
      </c>
      <c r="P163" s="5">
        <v>6</v>
      </c>
      <c r="Q163" s="5">
        <v>0</v>
      </c>
      <c r="R163" s="9">
        <v>0</v>
      </c>
      <c r="S163" s="5">
        <v>0</v>
      </c>
      <c r="T163" s="5">
        <v>0</v>
      </c>
    </row>
    <row r="164" spans="1:20" x14ac:dyDescent="0.2">
      <c r="A164" s="5" t="s">
        <v>650</v>
      </c>
      <c r="B164" s="5" t="s">
        <v>75</v>
      </c>
      <c r="C164" s="6" t="s">
        <v>632</v>
      </c>
      <c r="D164" s="7">
        <f t="shared" si="0"/>
        <v>4.3000000000000007</v>
      </c>
      <c r="E164" s="8">
        <v>0</v>
      </c>
      <c r="F164" s="5">
        <v>0</v>
      </c>
      <c r="G164" s="5">
        <v>0</v>
      </c>
      <c r="H164" s="5">
        <v>0</v>
      </c>
      <c r="I164" s="5">
        <v>0</v>
      </c>
      <c r="J164" s="9">
        <v>0</v>
      </c>
      <c r="K164" s="8">
        <v>1</v>
      </c>
      <c r="L164" s="5">
        <v>1</v>
      </c>
      <c r="M164" s="5">
        <v>0</v>
      </c>
      <c r="N164" s="9">
        <v>0</v>
      </c>
      <c r="O164" s="8">
        <v>3</v>
      </c>
      <c r="P164" s="5">
        <v>12</v>
      </c>
      <c r="Q164" s="5">
        <v>0</v>
      </c>
      <c r="R164" s="9">
        <v>0</v>
      </c>
      <c r="S164" s="5">
        <v>0</v>
      </c>
      <c r="T164" s="5">
        <v>0</v>
      </c>
    </row>
    <row r="165" spans="1:20" x14ac:dyDescent="0.2">
      <c r="A165" s="5" t="s">
        <v>475</v>
      </c>
      <c r="B165" s="5" t="s">
        <v>162</v>
      </c>
      <c r="C165" s="6" t="s">
        <v>640</v>
      </c>
      <c r="D165" s="7">
        <f t="shared" si="0"/>
        <v>4.3000000000000007</v>
      </c>
      <c r="E165" s="8">
        <v>0</v>
      </c>
      <c r="F165" s="5">
        <v>0</v>
      </c>
      <c r="G165" s="5">
        <v>0</v>
      </c>
      <c r="H165" s="5">
        <v>0</v>
      </c>
      <c r="I165" s="5">
        <v>0</v>
      </c>
      <c r="J165" s="9">
        <v>0</v>
      </c>
      <c r="K165" s="8">
        <v>0</v>
      </c>
      <c r="L165" s="5">
        <v>0</v>
      </c>
      <c r="M165" s="5">
        <v>0</v>
      </c>
      <c r="N165" s="9">
        <v>0</v>
      </c>
      <c r="O165" s="8">
        <v>2</v>
      </c>
      <c r="P165" s="5">
        <v>23</v>
      </c>
      <c r="Q165" s="5">
        <v>0</v>
      </c>
      <c r="R165" s="9">
        <v>0</v>
      </c>
      <c r="S165" s="5">
        <v>0</v>
      </c>
      <c r="T165" s="5">
        <v>0</v>
      </c>
    </row>
    <row r="166" spans="1:20" x14ac:dyDescent="0.2">
      <c r="A166" s="5" t="s">
        <v>303</v>
      </c>
      <c r="B166" s="5" t="s">
        <v>69</v>
      </c>
      <c r="C166" s="8" t="s">
        <v>634</v>
      </c>
      <c r="D166" s="7">
        <f t="shared" si="0"/>
        <v>4.2</v>
      </c>
      <c r="E166" s="8">
        <v>0</v>
      </c>
      <c r="F166" s="5">
        <v>0</v>
      </c>
      <c r="G166" s="5">
        <v>0</v>
      </c>
      <c r="H166" s="5">
        <v>0</v>
      </c>
      <c r="I166" s="5">
        <v>0</v>
      </c>
      <c r="J166" s="9">
        <v>0</v>
      </c>
      <c r="K166" s="8">
        <v>0</v>
      </c>
      <c r="L166" s="5">
        <v>0</v>
      </c>
      <c r="M166" s="5">
        <v>0</v>
      </c>
      <c r="N166" s="9">
        <v>0</v>
      </c>
      <c r="O166" s="8">
        <v>2</v>
      </c>
      <c r="P166" s="5">
        <v>22</v>
      </c>
      <c r="Q166" s="5">
        <v>0</v>
      </c>
      <c r="R166" s="9">
        <v>0</v>
      </c>
      <c r="S166" s="5">
        <v>0</v>
      </c>
      <c r="T166" s="5">
        <v>0</v>
      </c>
    </row>
    <row r="167" spans="1:20" x14ac:dyDescent="0.2">
      <c r="A167" s="5" t="s">
        <v>288</v>
      </c>
      <c r="B167" s="5" t="s">
        <v>69</v>
      </c>
      <c r="C167" s="8" t="s">
        <v>644</v>
      </c>
      <c r="D167" s="7">
        <f t="shared" si="0"/>
        <v>4.2</v>
      </c>
      <c r="E167" s="8">
        <v>0</v>
      </c>
      <c r="F167" s="5">
        <v>0</v>
      </c>
      <c r="G167" s="5">
        <v>0</v>
      </c>
      <c r="H167" s="5">
        <v>0</v>
      </c>
      <c r="I167" s="5">
        <v>0</v>
      </c>
      <c r="J167" s="9">
        <v>0</v>
      </c>
      <c r="K167" s="8">
        <v>0</v>
      </c>
      <c r="L167" s="5">
        <v>0</v>
      </c>
      <c r="M167" s="5">
        <v>0</v>
      </c>
      <c r="N167" s="9">
        <v>0</v>
      </c>
      <c r="O167" s="8">
        <v>2</v>
      </c>
      <c r="P167" s="5">
        <v>22</v>
      </c>
      <c r="Q167" s="5">
        <v>0</v>
      </c>
      <c r="R167" s="9">
        <v>0</v>
      </c>
      <c r="S167" s="5">
        <v>0</v>
      </c>
      <c r="T167" s="5">
        <v>0</v>
      </c>
    </row>
    <row r="168" spans="1:20" x14ac:dyDescent="0.2">
      <c r="A168" s="5" t="s">
        <v>164</v>
      </c>
      <c r="B168" s="5" t="s">
        <v>162</v>
      </c>
      <c r="C168" s="8" t="s">
        <v>641</v>
      </c>
      <c r="D168" s="7">
        <f t="shared" si="0"/>
        <v>4.0999999999999996</v>
      </c>
      <c r="E168" s="8">
        <v>0</v>
      </c>
      <c r="F168" s="5">
        <v>0</v>
      </c>
      <c r="G168" s="5">
        <v>0</v>
      </c>
      <c r="H168" s="5">
        <v>0</v>
      </c>
      <c r="I168" s="5">
        <v>0</v>
      </c>
      <c r="J168" s="9">
        <v>0</v>
      </c>
      <c r="K168" s="8">
        <v>0</v>
      </c>
      <c r="L168" s="5">
        <v>0</v>
      </c>
      <c r="M168" s="5">
        <v>0</v>
      </c>
      <c r="N168" s="9">
        <v>0</v>
      </c>
      <c r="O168" s="8">
        <v>2</v>
      </c>
      <c r="P168" s="5">
        <v>21</v>
      </c>
      <c r="Q168" s="5">
        <v>0</v>
      </c>
      <c r="R168" s="9">
        <v>0</v>
      </c>
      <c r="S168" s="5">
        <v>0</v>
      </c>
      <c r="T168" s="5">
        <v>0</v>
      </c>
    </row>
    <row r="169" spans="1:20" x14ac:dyDescent="0.2">
      <c r="A169" s="5" t="s">
        <v>357</v>
      </c>
      <c r="B169" s="5" t="s">
        <v>162</v>
      </c>
      <c r="C169" s="6" t="s">
        <v>635</v>
      </c>
      <c r="D169" s="7">
        <f t="shared" si="0"/>
        <v>4.0999999999999996</v>
      </c>
      <c r="E169" s="8">
        <v>0</v>
      </c>
      <c r="F169" s="5">
        <v>0</v>
      </c>
      <c r="G169" s="5">
        <v>0</v>
      </c>
      <c r="H169" s="5">
        <v>0</v>
      </c>
      <c r="I169" s="5">
        <v>0</v>
      </c>
      <c r="J169" s="9">
        <v>0</v>
      </c>
      <c r="K169" s="8">
        <v>0</v>
      </c>
      <c r="L169" s="5">
        <v>0</v>
      </c>
      <c r="M169" s="5">
        <v>0</v>
      </c>
      <c r="N169" s="9">
        <v>0</v>
      </c>
      <c r="O169" s="8">
        <v>2</v>
      </c>
      <c r="P169" s="5">
        <v>21</v>
      </c>
      <c r="Q169" s="5">
        <v>0</v>
      </c>
      <c r="R169" s="9">
        <v>0</v>
      </c>
      <c r="S169" s="5">
        <v>0</v>
      </c>
      <c r="T169" s="5">
        <v>0</v>
      </c>
    </row>
    <row r="170" spans="1:20" x14ac:dyDescent="0.2">
      <c r="A170" s="5" t="s">
        <v>209</v>
      </c>
      <c r="B170" s="5" t="s">
        <v>162</v>
      </c>
      <c r="C170" s="8" t="s">
        <v>635</v>
      </c>
      <c r="D170" s="7">
        <f t="shared" si="0"/>
        <v>4.0999999999999996</v>
      </c>
      <c r="E170" s="8">
        <v>0</v>
      </c>
      <c r="F170" s="5">
        <v>0</v>
      </c>
      <c r="G170" s="5">
        <v>0</v>
      </c>
      <c r="H170" s="5">
        <v>0</v>
      </c>
      <c r="I170" s="5">
        <v>0</v>
      </c>
      <c r="J170" s="9">
        <v>0</v>
      </c>
      <c r="K170" s="8">
        <v>0</v>
      </c>
      <c r="L170" s="5">
        <v>0</v>
      </c>
      <c r="M170" s="5">
        <v>0</v>
      </c>
      <c r="N170" s="9">
        <v>0</v>
      </c>
      <c r="O170" s="8">
        <v>2</v>
      </c>
      <c r="P170" s="5">
        <v>21</v>
      </c>
      <c r="Q170" s="5">
        <v>0</v>
      </c>
      <c r="R170" s="9">
        <v>0</v>
      </c>
      <c r="S170" s="5">
        <v>0</v>
      </c>
      <c r="T170" s="5">
        <v>0</v>
      </c>
    </row>
    <row r="171" spans="1:20" x14ac:dyDescent="0.2">
      <c r="A171" s="5" t="s">
        <v>244</v>
      </c>
      <c r="B171" s="5" t="s">
        <v>162</v>
      </c>
      <c r="C171" s="8" t="s">
        <v>643</v>
      </c>
      <c r="D171" s="7">
        <f t="shared" si="0"/>
        <v>4.0999999999999996</v>
      </c>
      <c r="E171" s="8">
        <v>0</v>
      </c>
      <c r="F171" s="5">
        <v>0</v>
      </c>
      <c r="G171" s="5">
        <v>0</v>
      </c>
      <c r="H171" s="5">
        <v>0</v>
      </c>
      <c r="I171" s="5">
        <v>0</v>
      </c>
      <c r="J171" s="9">
        <v>0</v>
      </c>
      <c r="K171" s="8">
        <v>1</v>
      </c>
      <c r="L171" s="5">
        <v>16</v>
      </c>
      <c r="M171" s="5">
        <v>0</v>
      </c>
      <c r="N171" s="9">
        <v>0</v>
      </c>
      <c r="O171" s="8">
        <v>1</v>
      </c>
      <c r="P171" s="5">
        <v>15</v>
      </c>
      <c r="Q171" s="5">
        <v>0</v>
      </c>
      <c r="R171" s="9">
        <v>0</v>
      </c>
      <c r="S171" s="5">
        <v>0</v>
      </c>
      <c r="T171" s="5">
        <v>0</v>
      </c>
    </row>
    <row r="172" spans="1:20" x14ac:dyDescent="0.2">
      <c r="A172" s="5" t="s">
        <v>528</v>
      </c>
      <c r="B172" s="5" t="s">
        <v>75</v>
      </c>
      <c r="C172" s="6" t="s">
        <v>638</v>
      </c>
      <c r="D172" s="7">
        <f t="shared" si="0"/>
        <v>4</v>
      </c>
      <c r="E172" s="8">
        <v>0</v>
      </c>
      <c r="F172" s="5">
        <v>0</v>
      </c>
      <c r="G172" s="5">
        <v>0</v>
      </c>
      <c r="H172" s="5">
        <v>0</v>
      </c>
      <c r="I172" s="5">
        <v>0</v>
      </c>
      <c r="J172" s="9">
        <v>0</v>
      </c>
      <c r="K172" s="8">
        <v>3</v>
      </c>
      <c r="L172" s="5">
        <v>13</v>
      </c>
      <c r="M172" s="5">
        <v>0</v>
      </c>
      <c r="N172" s="9">
        <v>0</v>
      </c>
      <c r="O172" s="8">
        <v>2</v>
      </c>
      <c r="P172" s="5">
        <v>7</v>
      </c>
      <c r="Q172" s="5">
        <v>0</v>
      </c>
      <c r="R172" s="9">
        <v>0</v>
      </c>
      <c r="S172" s="5">
        <v>0</v>
      </c>
      <c r="T172" s="5">
        <v>0</v>
      </c>
    </row>
    <row r="173" spans="1:20" x14ac:dyDescent="0.2">
      <c r="A173" s="5" t="s">
        <v>168</v>
      </c>
      <c r="B173" s="5" t="s">
        <v>162</v>
      </c>
      <c r="C173" s="8" t="s">
        <v>637</v>
      </c>
      <c r="D173" s="7">
        <f t="shared" si="0"/>
        <v>4</v>
      </c>
      <c r="E173" s="8">
        <v>0</v>
      </c>
      <c r="F173" s="5">
        <v>0</v>
      </c>
      <c r="G173" s="5">
        <v>0</v>
      </c>
      <c r="H173" s="5">
        <v>0</v>
      </c>
      <c r="I173" s="5">
        <v>0</v>
      </c>
      <c r="J173" s="9">
        <v>0</v>
      </c>
      <c r="K173" s="8">
        <v>0</v>
      </c>
      <c r="L173" s="5">
        <v>0</v>
      </c>
      <c r="M173" s="5">
        <v>0</v>
      </c>
      <c r="N173" s="9">
        <v>0</v>
      </c>
      <c r="O173" s="8">
        <v>2</v>
      </c>
      <c r="P173" s="5">
        <v>20</v>
      </c>
      <c r="Q173" s="5">
        <v>0</v>
      </c>
      <c r="R173" s="9">
        <v>0</v>
      </c>
      <c r="S173" s="5">
        <v>0</v>
      </c>
      <c r="T173" s="5">
        <v>0</v>
      </c>
    </row>
    <row r="174" spans="1:20" x14ac:dyDescent="0.2">
      <c r="A174" s="5" t="s">
        <v>213</v>
      </c>
      <c r="B174" s="5" t="s">
        <v>162</v>
      </c>
      <c r="C174" s="8" t="s">
        <v>638</v>
      </c>
      <c r="D174" s="7">
        <f t="shared" si="0"/>
        <v>3.8000000000000003</v>
      </c>
      <c r="E174" s="8">
        <v>0</v>
      </c>
      <c r="F174" s="5">
        <v>0</v>
      </c>
      <c r="G174" s="5">
        <v>0</v>
      </c>
      <c r="H174" s="5">
        <v>0</v>
      </c>
      <c r="I174" s="5">
        <v>0</v>
      </c>
      <c r="J174" s="9">
        <v>0</v>
      </c>
      <c r="K174" s="8">
        <v>0</v>
      </c>
      <c r="L174" s="5">
        <v>0</v>
      </c>
      <c r="M174" s="5">
        <v>0</v>
      </c>
      <c r="N174" s="9">
        <v>0</v>
      </c>
      <c r="O174" s="8">
        <v>1</v>
      </c>
      <c r="P174" s="5">
        <v>28</v>
      </c>
      <c r="Q174" s="5">
        <v>0</v>
      </c>
      <c r="R174" s="9">
        <v>0</v>
      </c>
      <c r="S174" s="5">
        <v>0</v>
      </c>
      <c r="T174" s="5">
        <v>0</v>
      </c>
    </row>
    <row r="175" spans="1:20" x14ac:dyDescent="0.2">
      <c r="A175" s="5" t="s">
        <v>523</v>
      </c>
      <c r="B175" s="5" t="s">
        <v>162</v>
      </c>
      <c r="C175" s="6" t="s">
        <v>631</v>
      </c>
      <c r="D175" s="7">
        <f t="shared" si="0"/>
        <v>3.8</v>
      </c>
      <c r="E175" s="8">
        <v>0</v>
      </c>
      <c r="F175" s="5">
        <v>0</v>
      </c>
      <c r="G175" s="5">
        <v>0</v>
      </c>
      <c r="H175" s="5">
        <v>0</v>
      </c>
      <c r="I175" s="5">
        <v>0</v>
      </c>
      <c r="J175" s="9">
        <v>0</v>
      </c>
      <c r="K175" s="8">
        <v>0</v>
      </c>
      <c r="L175" s="5">
        <v>0</v>
      </c>
      <c r="M175" s="5">
        <v>0</v>
      </c>
      <c r="N175" s="9">
        <v>0</v>
      </c>
      <c r="O175" s="8">
        <v>2</v>
      </c>
      <c r="P175" s="5">
        <v>18</v>
      </c>
      <c r="Q175" s="5">
        <v>0</v>
      </c>
      <c r="R175" s="9">
        <v>0</v>
      </c>
      <c r="S175" s="5">
        <v>0</v>
      </c>
      <c r="T175" s="5">
        <v>0</v>
      </c>
    </row>
    <row r="176" spans="1:20" x14ac:dyDescent="0.2">
      <c r="A176" s="5" t="s">
        <v>274</v>
      </c>
      <c r="B176" s="5" t="s">
        <v>69</v>
      </c>
      <c r="C176" s="8" t="s">
        <v>631</v>
      </c>
      <c r="D176" s="7">
        <f t="shared" si="0"/>
        <v>3.8</v>
      </c>
      <c r="E176" s="8">
        <v>0</v>
      </c>
      <c r="F176" s="5">
        <v>0</v>
      </c>
      <c r="G176" s="5">
        <v>0</v>
      </c>
      <c r="H176" s="5">
        <v>0</v>
      </c>
      <c r="I176" s="5">
        <v>0</v>
      </c>
      <c r="J176" s="9">
        <v>0</v>
      </c>
      <c r="K176" s="8">
        <v>0</v>
      </c>
      <c r="L176" s="5">
        <v>0</v>
      </c>
      <c r="M176" s="5">
        <v>0</v>
      </c>
      <c r="N176" s="9">
        <v>0</v>
      </c>
      <c r="O176" s="8">
        <v>2</v>
      </c>
      <c r="P176" s="5">
        <v>18</v>
      </c>
      <c r="Q176" s="5">
        <v>0</v>
      </c>
      <c r="R176" s="9">
        <v>0</v>
      </c>
      <c r="S176" s="5">
        <v>0</v>
      </c>
      <c r="T176" s="5">
        <v>0</v>
      </c>
    </row>
    <row r="177" spans="1:20" x14ac:dyDescent="0.2">
      <c r="A177" s="5" t="s">
        <v>435</v>
      </c>
      <c r="B177" s="5" t="s">
        <v>162</v>
      </c>
      <c r="C177" s="8" t="s">
        <v>637</v>
      </c>
      <c r="D177" s="7">
        <f t="shared" si="0"/>
        <v>3.7</v>
      </c>
      <c r="E177" s="8">
        <v>0</v>
      </c>
      <c r="F177" s="5">
        <v>0</v>
      </c>
      <c r="G177" s="5">
        <v>0</v>
      </c>
      <c r="H177" s="5">
        <v>0</v>
      </c>
      <c r="I177" s="5">
        <v>0</v>
      </c>
      <c r="J177" s="9">
        <v>0</v>
      </c>
      <c r="K177" s="8">
        <v>0</v>
      </c>
      <c r="L177" s="5">
        <v>0</v>
      </c>
      <c r="M177" s="5">
        <v>0</v>
      </c>
      <c r="N177" s="9">
        <v>0</v>
      </c>
      <c r="O177" s="8">
        <v>2</v>
      </c>
      <c r="P177" s="5">
        <v>17</v>
      </c>
      <c r="Q177" s="5">
        <v>0</v>
      </c>
      <c r="R177" s="9">
        <v>0</v>
      </c>
      <c r="S177" s="5">
        <v>0</v>
      </c>
      <c r="T177" s="5">
        <v>0</v>
      </c>
    </row>
    <row r="178" spans="1:20" x14ac:dyDescent="0.2">
      <c r="A178" s="5" t="s">
        <v>474</v>
      </c>
      <c r="B178" s="5" t="s">
        <v>69</v>
      </c>
      <c r="C178" s="6" t="s">
        <v>635</v>
      </c>
      <c r="D178" s="7">
        <f t="shared" si="0"/>
        <v>3.6</v>
      </c>
      <c r="E178" s="8">
        <v>0</v>
      </c>
      <c r="F178" s="5">
        <v>0</v>
      </c>
      <c r="G178" s="5">
        <v>0</v>
      </c>
      <c r="H178" s="5">
        <v>0</v>
      </c>
      <c r="I178" s="5">
        <v>0</v>
      </c>
      <c r="J178" s="9">
        <v>0</v>
      </c>
      <c r="K178" s="8">
        <v>0</v>
      </c>
      <c r="L178" s="5">
        <v>0</v>
      </c>
      <c r="M178" s="5">
        <v>0</v>
      </c>
      <c r="N178" s="9">
        <v>0</v>
      </c>
      <c r="O178" s="8">
        <v>2</v>
      </c>
      <c r="P178" s="5">
        <v>16</v>
      </c>
      <c r="Q178" s="5">
        <v>0</v>
      </c>
      <c r="R178" s="9">
        <v>0</v>
      </c>
      <c r="S178" s="5">
        <v>0</v>
      </c>
      <c r="T178" s="5">
        <v>0</v>
      </c>
    </row>
    <row r="179" spans="1:20" x14ac:dyDescent="0.2">
      <c r="A179" s="5" t="s">
        <v>191</v>
      </c>
      <c r="B179" s="5" t="s">
        <v>162</v>
      </c>
      <c r="C179" s="6" t="s">
        <v>631</v>
      </c>
      <c r="D179" s="7">
        <f t="shared" si="0"/>
        <v>3.5</v>
      </c>
      <c r="E179" s="8">
        <v>0</v>
      </c>
      <c r="F179" s="5">
        <v>0</v>
      </c>
      <c r="G179" s="5">
        <v>0</v>
      </c>
      <c r="H179" s="5">
        <v>0</v>
      </c>
      <c r="I179" s="5">
        <v>0</v>
      </c>
      <c r="J179" s="9">
        <v>0</v>
      </c>
      <c r="K179" s="8">
        <v>0</v>
      </c>
      <c r="L179" s="5">
        <v>0</v>
      </c>
      <c r="M179" s="5">
        <v>0</v>
      </c>
      <c r="N179" s="9">
        <v>0</v>
      </c>
      <c r="O179" s="8">
        <v>2</v>
      </c>
      <c r="P179" s="5">
        <v>15</v>
      </c>
      <c r="Q179" s="5">
        <v>0</v>
      </c>
      <c r="R179" s="9">
        <v>0</v>
      </c>
      <c r="S179" s="5">
        <v>0</v>
      </c>
      <c r="T179" s="5">
        <v>0</v>
      </c>
    </row>
    <row r="180" spans="1:20" x14ac:dyDescent="0.2">
      <c r="A180" s="5" t="s">
        <v>283</v>
      </c>
      <c r="B180" s="5" t="s">
        <v>69</v>
      </c>
      <c r="C180" s="6" t="s">
        <v>639</v>
      </c>
      <c r="D180" s="7">
        <f t="shared" si="0"/>
        <v>3.5</v>
      </c>
      <c r="E180" s="8">
        <v>0</v>
      </c>
      <c r="F180" s="5">
        <v>0</v>
      </c>
      <c r="G180" s="5">
        <v>0</v>
      </c>
      <c r="H180" s="5">
        <v>0</v>
      </c>
      <c r="I180" s="5">
        <v>0</v>
      </c>
      <c r="J180" s="9">
        <v>0</v>
      </c>
      <c r="K180" s="8">
        <v>0</v>
      </c>
      <c r="L180" s="5">
        <v>0</v>
      </c>
      <c r="M180" s="5">
        <v>0</v>
      </c>
      <c r="N180" s="9">
        <v>0</v>
      </c>
      <c r="O180" s="8">
        <v>2</v>
      </c>
      <c r="P180" s="5">
        <v>15</v>
      </c>
      <c r="Q180" s="5">
        <v>0</v>
      </c>
      <c r="R180" s="9">
        <v>0</v>
      </c>
      <c r="S180" s="5">
        <v>0</v>
      </c>
      <c r="T180" s="5">
        <v>0</v>
      </c>
    </row>
    <row r="181" spans="1:20" x14ac:dyDescent="0.2">
      <c r="A181" s="5" t="s">
        <v>484</v>
      </c>
      <c r="B181" s="5" t="s">
        <v>162</v>
      </c>
      <c r="C181" s="6" t="s">
        <v>641</v>
      </c>
      <c r="D181" s="7">
        <f t="shared" si="0"/>
        <v>3.4000000000000004</v>
      </c>
      <c r="E181" s="8">
        <v>0</v>
      </c>
      <c r="F181" s="5">
        <v>0</v>
      </c>
      <c r="G181" s="5">
        <v>0</v>
      </c>
      <c r="H181" s="5">
        <v>0</v>
      </c>
      <c r="I181" s="5">
        <v>0</v>
      </c>
      <c r="J181" s="9">
        <v>0</v>
      </c>
      <c r="K181" s="8">
        <v>0</v>
      </c>
      <c r="L181" s="5">
        <v>0</v>
      </c>
      <c r="M181" s="5">
        <v>0</v>
      </c>
      <c r="N181" s="9">
        <v>0</v>
      </c>
      <c r="O181" s="8">
        <v>1</v>
      </c>
      <c r="P181" s="5">
        <v>24</v>
      </c>
      <c r="Q181" s="5">
        <v>0</v>
      </c>
      <c r="R181" s="9">
        <v>0</v>
      </c>
      <c r="S181" s="5">
        <v>0</v>
      </c>
      <c r="T181" s="5">
        <v>0</v>
      </c>
    </row>
    <row r="182" spans="1:20" x14ac:dyDescent="0.2">
      <c r="A182" s="5" t="s">
        <v>350</v>
      </c>
      <c r="B182" s="5" t="s">
        <v>162</v>
      </c>
      <c r="C182" s="8" t="s">
        <v>639</v>
      </c>
      <c r="D182" s="7">
        <f t="shared" si="0"/>
        <v>3.4000000000000004</v>
      </c>
      <c r="E182" s="8">
        <v>0</v>
      </c>
      <c r="F182" s="5">
        <v>0</v>
      </c>
      <c r="G182" s="5">
        <v>0</v>
      </c>
      <c r="H182" s="5">
        <v>0</v>
      </c>
      <c r="I182" s="5">
        <v>0</v>
      </c>
      <c r="J182" s="9">
        <v>0</v>
      </c>
      <c r="K182" s="8">
        <v>0</v>
      </c>
      <c r="L182" s="5">
        <v>0</v>
      </c>
      <c r="M182" s="5">
        <v>0</v>
      </c>
      <c r="N182" s="9">
        <v>0</v>
      </c>
      <c r="O182" s="8">
        <v>1</v>
      </c>
      <c r="P182" s="5">
        <v>24</v>
      </c>
      <c r="Q182" s="5">
        <v>0</v>
      </c>
      <c r="R182" s="9">
        <v>0</v>
      </c>
      <c r="S182" s="5">
        <v>0</v>
      </c>
      <c r="T182" s="5">
        <v>0</v>
      </c>
    </row>
    <row r="183" spans="1:20" x14ac:dyDescent="0.2">
      <c r="A183" s="5" t="s">
        <v>181</v>
      </c>
      <c r="B183" s="5" t="s">
        <v>162</v>
      </c>
      <c r="C183" s="8" t="s">
        <v>643</v>
      </c>
      <c r="D183" s="7">
        <f t="shared" si="0"/>
        <v>3.4000000000000004</v>
      </c>
      <c r="E183" s="8">
        <v>0</v>
      </c>
      <c r="F183" s="5">
        <v>0</v>
      </c>
      <c r="G183" s="5">
        <v>0</v>
      </c>
      <c r="H183" s="5">
        <v>0</v>
      </c>
      <c r="I183" s="5">
        <v>0</v>
      </c>
      <c r="J183" s="9">
        <v>0</v>
      </c>
      <c r="K183" s="8">
        <v>0</v>
      </c>
      <c r="L183" s="5">
        <v>0</v>
      </c>
      <c r="M183" s="5">
        <v>0</v>
      </c>
      <c r="N183" s="9">
        <v>0</v>
      </c>
      <c r="O183" s="8">
        <v>2</v>
      </c>
      <c r="P183" s="5">
        <v>14</v>
      </c>
      <c r="Q183" s="5">
        <v>0</v>
      </c>
      <c r="R183" s="9">
        <v>0</v>
      </c>
      <c r="S183" s="5">
        <v>0</v>
      </c>
      <c r="T183" s="5">
        <v>0</v>
      </c>
    </row>
    <row r="184" spans="1:20" x14ac:dyDescent="0.2">
      <c r="A184" s="5" t="s">
        <v>272</v>
      </c>
      <c r="B184" s="5" t="s">
        <v>69</v>
      </c>
      <c r="C184" s="6" t="s">
        <v>643</v>
      </c>
      <c r="D184" s="7">
        <f t="shared" si="0"/>
        <v>3.4000000000000004</v>
      </c>
      <c r="E184" s="8">
        <v>0</v>
      </c>
      <c r="F184" s="5">
        <v>0</v>
      </c>
      <c r="G184" s="5">
        <v>0</v>
      </c>
      <c r="H184" s="5">
        <v>0</v>
      </c>
      <c r="I184" s="5">
        <v>0</v>
      </c>
      <c r="J184" s="9">
        <v>0</v>
      </c>
      <c r="K184" s="8">
        <v>0</v>
      </c>
      <c r="L184" s="5">
        <v>0</v>
      </c>
      <c r="M184" s="5">
        <v>0</v>
      </c>
      <c r="N184" s="9">
        <v>0</v>
      </c>
      <c r="O184" s="8">
        <v>2</v>
      </c>
      <c r="P184" s="5">
        <v>14</v>
      </c>
      <c r="Q184" s="5">
        <v>0</v>
      </c>
      <c r="R184" s="9">
        <v>0</v>
      </c>
      <c r="S184" s="5">
        <v>0</v>
      </c>
      <c r="T184" s="5">
        <v>0</v>
      </c>
    </row>
    <row r="185" spans="1:20" x14ac:dyDescent="0.2">
      <c r="A185" s="5" t="s">
        <v>387</v>
      </c>
      <c r="B185" s="5" t="s">
        <v>162</v>
      </c>
      <c r="C185" s="8" t="s">
        <v>634</v>
      </c>
      <c r="D185" s="7">
        <f t="shared" si="0"/>
        <v>3.3</v>
      </c>
      <c r="E185" s="8">
        <v>0</v>
      </c>
      <c r="F185" s="5">
        <v>0</v>
      </c>
      <c r="G185" s="5">
        <v>0</v>
      </c>
      <c r="H185" s="5">
        <v>0</v>
      </c>
      <c r="I185" s="5">
        <v>0</v>
      </c>
      <c r="J185" s="9">
        <v>0</v>
      </c>
      <c r="K185" s="8">
        <v>0</v>
      </c>
      <c r="L185" s="5">
        <v>0</v>
      </c>
      <c r="M185" s="5">
        <v>0</v>
      </c>
      <c r="N185" s="9">
        <v>0</v>
      </c>
      <c r="O185" s="8">
        <v>2</v>
      </c>
      <c r="P185" s="5">
        <v>13</v>
      </c>
      <c r="Q185" s="5">
        <v>0</v>
      </c>
      <c r="R185" s="9">
        <v>0</v>
      </c>
      <c r="S185" s="5">
        <v>0</v>
      </c>
      <c r="T185" s="5">
        <v>0</v>
      </c>
    </row>
    <row r="186" spans="1:20" x14ac:dyDescent="0.2">
      <c r="A186" s="5" t="s">
        <v>516</v>
      </c>
      <c r="B186" s="5" t="s">
        <v>69</v>
      </c>
      <c r="C186" s="8" t="s">
        <v>638</v>
      </c>
      <c r="D186" s="7">
        <f t="shared" si="0"/>
        <v>3.3</v>
      </c>
      <c r="E186" s="8">
        <v>0</v>
      </c>
      <c r="F186" s="5">
        <v>0</v>
      </c>
      <c r="G186" s="5">
        <v>0</v>
      </c>
      <c r="H186" s="5">
        <v>0</v>
      </c>
      <c r="I186" s="5">
        <v>0</v>
      </c>
      <c r="J186" s="9">
        <v>0</v>
      </c>
      <c r="K186" s="8">
        <v>0</v>
      </c>
      <c r="L186" s="5">
        <v>0</v>
      </c>
      <c r="M186" s="5">
        <v>0</v>
      </c>
      <c r="N186" s="9">
        <v>0</v>
      </c>
      <c r="O186" s="8">
        <v>2</v>
      </c>
      <c r="P186" s="5">
        <v>13</v>
      </c>
      <c r="Q186" s="5">
        <v>0</v>
      </c>
      <c r="R186" s="9">
        <v>0</v>
      </c>
      <c r="S186" s="5">
        <v>0</v>
      </c>
      <c r="T186" s="5">
        <v>0</v>
      </c>
    </row>
    <row r="187" spans="1:20" x14ac:dyDescent="0.2">
      <c r="A187" s="5" t="s">
        <v>446</v>
      </c>
      <c r="B187" s="5" t="s">
        <v>69</v>
      </c>
      <c r="C187" s="8" t="s">
        <v>636</v>
      </c>
      <c r="D187" s="7">
        <f t="shared" si="0"/>
        <v>3.2</v>
      </c>
      <c r="E187" s="8">
        <v>0</v>
      </c>
      <c r="F187" s="5">
        <v>0</v>
      </c>
      <c r="G187" s="5">
        <v>0</v>
      </c>
      <c r="H187" s="5">
        <v>0</v>
      </c>
      <c r="I187" s="5">
        <v>0</v>
      </c>
      <c r="J187" s="9">
        <v>0</v>
      </c>
      <c r="K187" s="8">
        <v>0</v>
      </c>
      <c r="L187" s="5">
        <v>0</v>
      </c>
      <c r="M187" s="5">
        <v>0</v>
      </c>
      <c r="N187" s="9">
        <v>0</v>
      </c>
      <c r="O187" s="8">
        <v>2</v>
      </c>
      <c r="P187" s="5">
        <v>12</v>
      </c>
      <c r="Q187" s="5">
        <v>0</v>
      </c>
      <c r="R187" s="9">
        <v>0</v>
      </c>
      <c r="S187" s="5">
        <v>0</v>
      </c>
      <c r="T187" s="5">
        <v>0</v>
      </c>
    </row>
    <row r="188" spans="1:20" x14ac:dyDescent="0.2">
      <c r="A188" s="5" t="s">
        <v>147</v>
      </c>
      <c r="B188" s="5" t="s">
        <v>75</v>
      </c>
      <c r="C188" s="6" t="s">
        <v>639</v>
      </c>
      <c r="D188" s="7">
        <f t="shared" si="0"/>
        <v>3.1999999999999997</v>
      </c>
      <c r="E188" s="8">
        <v>0</v>
      </c>
      <c r="F188" s="5">
        <v>0</v>
      </c>
      <c r="G188" s="5">
        <v>0</v>
      </c>
      <c r="H188" s="5">
        <v>0</v>
      </c>
      <c r="I188" s="5">
        <v>0</v>
      </c>
      <c r="J188" s="9">
        <v>0</v>
      </c>
      <c r="K188" s="8">
        <v>6</v>
      </c>
      <c r="L188" s="5">
        <v>8</v>
      </c>
      <c r="M188" s="5">
        <v>0</v>
      </c>
      <c r="N188" s="9">
        <v>0</v>
      </c>
      <c r="O188" s="8">
        <v>2</v>
      </c>
      <c r="P188" s="5">
        <v>4</v>
      </c>
      <c r="Q188" s="5">
        <v>0</v>
      </c>
      <c r="R188" s="9">
        <v>0</v>
      </c>
      <c r="S188" s="5">
        <v>0</v>
      </c>
      <c r="T188" s="5">
        <v>0</v>
      </c>
    </row>
    <row r="189" spans="1:20" x14ac:dyDescent="0.2">
      <c r="A189" s="5" t="s">
        <v>265</v>
      </c>
      <c r="B189" s="5" t="s">
        <v>162</v>
      </c>
      <c r="C189" s="6" t="s">
        <v>644</v>
      </c>
      <c r="D189" s="7">
        <f t="shared" si="0"/>
        <v>3.1</v>
      </c>
      <c r="E189" s="8">
        <v>0</v>
      </c>
      <c r="F189" s="5">
        <v>0</v>
      </c>
      <c r="G189" s="5">
        <v>0</v>
      </c>
      <c r="H189" s="5">
        <v>0</v>
      </c>
      <c r="I189" s="5">
        <v>0</v>
      </c>
      <c r="J189" s="9">
        <v>0</v>
      </c>
      <c r="K189" s="8">
        <v>0</v>
      </c>
      <c r="L189" s="5">
        <v>0</v>
      </c>
      <c r="M189" s="5">
        <v>0</v>
      </c>
      <c r="N189" s="9">
        <v>0</v>
      </c>
      <c r="O189" s="8">
        <v>1</v>
      </c>
      <c r="P189" s="5">
        <v>21</v>
      </c>
      <c r="Q189" s="5">
        <v>0</v>
      </c>
      <c r="R189" s="9">
        <v>0</v>
      </c>
      <c r="S189" s="5">
        <v>0</v>
      </c>
      <c r="T189" s="5">
        <v>0</v>
      </c>
    </row>
    <row r="190" spans="1:20" x14ac:dyDescent="0.2">
      <c r="A190" s="5" t="s">
        <v>88</v>
      </c>
      <c r="B190" s="5" t="s">
        <v>75</v>
      </c>
      <c r="C190" s="6" t="s">
        <v>635</v>
      </c>
      <c r="D190" s="7">
        <f t="shared" si="0"/>
        <v>3.0000000000000004</v>
      </c>
      <c r="E190" s="8">
        <v>0</v>
      </c>
      <c r="F190" s="5">
        <v>0</v>
      </c>
      <c r="G190" s="5">
        <v>0</v>
      </c>
      <c r="H190" s="5">
        <v>0</v>
      </c>
      <c r="I190" s="5">
        <v>0</v>
      </c>
      <c r="J190" s="9">
        <v>0</v>
      </c>
      <c r="K190" s="8">
        <v>11</v>
      </c>
      <c r="L190" s="5">
        <v>24</v>
      </c>
      <c r="M190" s="5">
        <v>0</v>
      </c>
      <c r="N190" s="9">
        <v>0</v>
      </c>
      <c r="O190" s="8">
        <v>1</v>
      </c>
      <c r="P190" s="5">
        <v>-4</v>
      </c>
      <c r="Q190" s="5">
        <v>0</v>
      </c>
      <c r="R190" s="9">
        <v>0</v>
      </c>
      <c r="S190" s="5">
        <v>0</v>
      </c>
      <c r="T190" s="5">
        <v>0</v>
      </c>
    </row>
    <row r="191" spans="1:20" x14ac:dyDescent="0.2">
      <c r="A191" s="5" t="s">
        <v>94</v>
      </c>
      <c r="B191" s="5" t="s">
        <v>75</v>
      </c>
      <c r="C191" s="6" t="s">
        <v>643</v>
      </c>
      <c r="D191" s="7">
        <f t="shared" si="0"/>
        <v>3</v>
      </c>
      <c r="E191" s="8">
        <v>0</v>
      </c>
      <c r="F191" s="5">
        <v>0</v>
      </c>
      <c r="G191" s="5">
        <v>0</v>
      </c>
      <c r="H191" s="5">
        <v>0</v>
      </c>
      <c r="I191" s="5">
        <v>0</v>
      </c>
      <c r="J191" s="9">
        <v>0</v>
      </c>
      <c r="K191" s="8">
        <v>2</v>
      </c>
      <c r="L191" s="5">
        <v>-5</v>
      </c>
      <c r="M191" s="5">
        <v>0</v>
      </c>
      <c r="N191" s="9">
        <v>0</v>
      </c>
      <c r="O191" s="8">
        <v>2</v>
      </c>
      <c r="P191" s="5">
        <v>15</v>
      </c>
      <c r="Q191" s="5">
        <v>0</v>
      </c>
      <c r="R191" s="9">
        <v>0</v>
      </c>
      <c r="S191" s="5">
        <v>0</v>
      </c>
      <c r="T191" s="5">
        <v>0</v>
      </c>
    </row>
    <row r="192" spans="1:20" x14ac:dyDescent="0.2">
      <c r="A192" s="5" t="s">
        <v>421</v>
      </c>
      <c r="B192" s="5" t="s">
        <v>162</v>
      </c>
      <c r="C192" s="6" t="s">
        <v>637</v>
      </c>
      <c r="D192" s="7">
        <f t="shared" si="0"/>
        <v>3</v>
      </c>
      <c r="E192" s="8">
        <v>0</v>
      </c>
      <c r="F192" s="5">
        <v>0</v>
      </c>
      <c r="G192" s="5">
        <v>0</v>
      </c>
      <c r="H192" s="5">
        <v>0</v>
      </c>
      <c r="I192" s="5">
        <v>0</v>
      </c>
      <c r="J192" s="9">
        <v>0</v>
      </c>
      <c r="K192" s="8">
        <v>0</v>
      </c>
      <c r="L192" s="5">
        <v>0</v>
      </c>
      <c r="M192" s="5">
        <v>0</v>
      </c>
      <c r="N192" s="9">
        <v>0</v>
      </c>
      <c r="O192" s="8">
        <v>1</v>
      </c>
      <c r="P192" s="5">
        <v>20</v>
      </c>
      <c r="Q192" s="5">
        <v>0</v>
      </c>
      <c r="R192" s="9">
        <v>0</v>
      </c>
      <c r="S192" s="5">
        <v>0</v>
      </c>
      <c r="T192" s="5">
        <v>0</v>
      </c>
    </row>
    <row r="193" spans="1:20" x14ac:dyDescent="0.2">
      <c r="A193" s="5" t="s">
        <v>309</v>
      </c>
      <c r="B193" s="5" t="s">
        <v>69</v>
      </c>
      <c r="C193" s="8" t="s">
        <v>635</v>
      </c>
      <c r="D193" s="7">
        <f t="shared" si="0"/>
        <v>3</v>
      </c>
      <c r="E193" s="8">
        <v>0</v>
      </c>
      <c r="F193" s="5">
        <v>0</v>
      </c>
      <c r="G193" s="5">
        <v>0</v>
      </c>
      <c r="H193" s="5">
        <v>0</v>
      </c>
      <c r="I193" s="5">
        <v>0</v>
      </c>
      <c r="J193" s="9">
        <v>0</v>
      </c>
      <c r="K193" s="8">
        <v>0</v>
      </c>
      <c r="L193" s="5">
        <v>0</v>
      </c>
      <c r="M193" s="5">
        <v>0</v>
      </c>
      <c r="N193" s="9">
        <v>0</v>
      </c>
      <c r="O193" s="8">
        <v>2</v>
      </c>
      <c r="P193" s="5">
        <v>10</v>
      </c>
      <c r="Q193" s="5">
        <v>0</v>
      </c>
      <c r="R193" s="9">
        <v>0</v>
      </c>
      <c r="S193" s="5">
        <v>0</v>
      </c>
      <c r="T193" s="5">
        <v>0</v>
      </c>
    </row>
    <row r="194" spans="1:20" x14ac:dyDescent="0.2">
      <c r="A194" s="5" t="s">
        <v>526</v>
      </c>
      <c r="B194" s="5" t="s">
        <v>69</v>
      </c>
      <c r="C194" s="8" t="s">
        <v>633</v>
      </c>
      <c r="D194" s="7">
        <f t="shared" si="0"/>
        <v>2.8</v>
      </c>
      <c r="E194" s="8">
        <v>0</v>
      </c>
      <c r="F194" s="5">
        <v>0</v>
      </c>
      <c r="G194" s="5">
        <v>0</v>
      </c>
      <c r="H194" s="5">
        <v>0</v>
      </c>
      <c r="I194" s="5">
        <v>0</v>
      </c>
      <c r="J194" s="9">
        <v>0</v>
      </c>
      <c r="K194" s="8">
        <v>0</v>
      </c>
      <c r="L194" s="5">
        <v>0</v>
      </c>
      <c r="M194" s="5">
        <v>0</v>
      </c>
      <c r="N194" s="9">
        <v>0</v>
      </c>
      <c r="O194" s="8">
        <v>2</v>
      </c>
      <c r="P194" s="5">
        <v>8</v>
      </c>
      <c r="Q194" s="5">
        <v>0</v>
      </c>
      <c r="R194" s="9">
        <v>0</v>
      </c>
      <c r="S194" s="5">
        <v>0</v>
      </c>
      <c r="T194" s="5">
        <v>0</v>
      </c>
    </row>
    <row r="195" spans="1:20" x14ac:dyDescent="0.2">
      <c r="A195" s="5" t="s">
        <v>214</v>
      </c>
      <c r="B195" s="5" t="s">
        <v>162</v>
      </c>
      <c r="C195" s="8" t="s">
        <v>640</v>
      </c>
      <c r="D195" s="7">
        <f t="shared" si="0"/>
        <v>2.7</v>
      </c>
      <c r="E195" s="8">
        <v>0</v>
      </c>
      <c r="F195" s="5">
        <v>0</v>
      </c>
      <c r="G195" s="5">
        <v>0</v>
      </c>
      <c r="H195" s="5">
        <v>0</v>
      </c>
      <c r="I195" s="5">
        <v>0</v>
      </c>
      <c r="J195" s="9">
        <v>0</v>
      </c>
      <c r="K195" s="8">
        <v>0</v>
      </c>
      <c r="L195" s="5">
        <v>0</v>
      </c>
      <c r="M195" s="5">
        <v>0</v>
      </c>
      <c r="N195" s="9">
        <v>0</v>
      </c>
      <c r="O195" s="8">
        <v>1</v>
      </c>
      <c r="P195" s="5">
        <v>17</v>
      </c>
      <c r="Q195" s="5">
        <v>0</v>
      </c>
      <c r="R195" s="9">
        <v>0</v>
      </c>
      <c r="S195" s="5">
        <v>0</v>
      </c>
      <c r="T195" s="5">
        <v>0</v>
      </c>
    </row>
    <row r="196" spans="1:20" x14ac:dyDescent="0.2">
      <c r="A196" s="5" t="s">
        <v>223</v>
      </c>
      <c r="B196" s="5" t="s">
        <v>162</v>
      </c>
      <c r="C196" s="6" t="s">
        <v>641</v>
      </c>
      <c r="D196" s="7">
        <f t="shared" si="0"/>
        <v>2.7</v>
      </c>
      <c r="E196" s="8">
        <v>0</v>
      </c>
      <c r="F196" s="5">
        <v>0</v>
      </c>
      <c r="G196" s="5">
        <v>0</v>
      </c>
      <c r="H196" s="5">
        <v>0</v>
      </c>
      <c r="I196" s="5">
        <v>0</v>
      </c>
      <c r="J196" s="9">
        <v>0</v>
      </c>
      <c r="K196" s="8">
        <v>0</v>
      </c>
      <c r="L196" s="5">
        <v>0</v>
      </c>
      <c r="M196" s="5">
        <v>0</v>
      </c>
      <c r="N196" s="9">
        <v>0</v>
      </c>
      <c r="O196" s="8">
        <v>1</v>
      </c>
      <c r="P196" s="5">
        <v>17</v>
      </c>
      <c r="Q196" s="5">
        <v>0</v>
      </c>
      <c r="R196" s="9">
        <v>0</v>
      </c>
      <c r="S196" s="5">
        <v>0</v>
      </c>
      <c r="T196" s="5">
        <v>0</v>
      </c>
    </row>
    <row r="197" spans="1:20" x14ac:dyDescent="0.2">
      <c r="A197" s="5" t="s">
        <v>258</v>
      </c>
      <c r="B197" s="5" t="s">
        <v>162</v>
      </c>
      <c r="C197" s="8" t="s">
        <v>631</v>
      </c>
      <c r="D197" s="7">
        <f t="shared" si="0"/>
        <v>2.7</v>
      </c>
      <c r="E197" s="8">
        <v>0</v>
      </c>
      <c r="F197" s="5">
        <v>0</v>
      </c>
      <c r="G197" s="5">
        <v>0</v>
      </c>
      <c r="H197" s="5">
        <v>0</v>
      </c>
      <c r="I197" s="5">
        <v>0</v>
      </c>
      <c r="J197" s="9">
        <v>0</v>
      </c>
      <c r="K197" s="8">
        <v>0</v>
      </c>
      <c r="L197" s="5">
        <v>0</v>
      </c>
      <c r="M197" s="5">
        <v>0</v>
      </c>
      <c r="N197" s="9">
        <v>0</v>
      </c>
      <c r="O197" s="8">
        <v>2</v>
      </c>
      <c r="P197" s="5">
        <v>7</v>
      </c>
      <c r="Q197" s="5">
        <v>0</v>
      </c>
      <c r="R197" s="9">
        <v>0</v>
      </c>
      <c r="S197" s="5">
        <v>0</v>
      </c>
      <c r="T197" s="5">
        <v>0</v>
      </c>
    </row>
    <row r="198" spans="1:20" x14ac:dyDescent="0.2">
      <c r="A198" s="5" t="s">
        <v>107</v>
      </c>
      <c r="B198" s="5" t="s">
        <v>75</v>
      </c>
      <c r="C198" s="6" t="s">
        <v>641</v>
      </c>
      <c r="D198" s="7">
        <f t="shared" si="0"/>
        <v>2.6</v>
      </c>
      <c r="E198" s="8">
        <v>0</v>
      </c>
      <c r="F198" s="5">
        <v>0</v>
      </c>
      <c r="G198" s="5">
        <v>0</v>
      </c>
      <c r="H198" s="5">
        <v>0</v>
      </c>
      <c r="I198" s="5">
        <v>0</v>
      </c>
      <c r="J198" s="9">
        <v>0</v>
      </c>
      <c r="K198" s="8">
        <v>4</v>
      </c>
      <c r="L198" s="5">
        <v>26</v>
      </c>
      <c r="M198" s="5">
        <v>0</v>
      </c>
      <c r="N198" s="9">
        <v>0</v>
      </c>
      <c r="O198" s="8">
        <v>0</v>
      </c>
      <c r="P198" s="5">
        <v>0</v>
      </c>
      <c r="Q198" s="5">
        <v>0</v>
      </c>
      <c r="R198" s="9">
        <v>0</v>
      </c>
      <c r="S198" s="5">
        <v>0</v>
      </c>
      <c r="T198" s="5">
        <v>0</v>
      </c>
    </row>
    <row r="199" spans="1:20" x14ac:dyDescent="0.2">
      <c r="A199" s="5" t="s">
        <v>121</v>
      </c>
      <c r="B199" s="5" t="s">
        <v>75</v>
      </c>
      <c r="C199" s="6" t="s">
        <v>636</v>
      </c>
      <c r="D199" s="7">
        <f t="shared" si="0"/>
        <v>2.6</v>
      </c>
      <c r="E199" s="8">
        <v>0</v>
      </c>
      <c r="F199" s="5">
        <v>0</v>
      </c>
      <c r="G199" s="5">
        <v>0</v>
      </c>
      <c r="H199" s="5">
        <v>0</v>
      </c>
      <c r="I199" s="5">
        <v>0</v>
      </c>
      <c r="J199" s="9">
        <v>0</v>
      </c>
      <c r="K199" s="8">
        <v>0</v>
      </c>
      <c r="L199" s="5">
        <v>0</v>
      </c>
      <c r="M199" s="5">
        <v>0</v>
      </c>
      <c r="N199" s="9">
        <v>0</v>
      </c>
      <c r="O199" s="8">
        <v>2</v>
      </c>
      <c r="P199" s="5">
        <v>6</v>
      </c>
      <c r="Q199" s="5">
        <v>0</v>
      </c>
      <c r="R199" s="9">
        <v>0</v>
      </c>
      <c r="S199" s="5">
        <v>0</v>
      </c>
      <c r="T199" s="5">
        <v>0</v>
      </c>
    </row>
    <row r="200" spans="1:20" x14ac:dyDescent="0.2">
      <c r="A200" s="5" t="s">
        <v>651</v>
      </c>
      <c r="B200" s="5" t="s">
        <v>162</v>
      </c>
      <c r="C200" s="8" t="s">
        <v>633</v>
      </c>
      <c r="D200" s="7">
        <f t="shared" si="0"/>
        <v>2.6</v>
      </c>
      <c r="E200" s="8">
        <v>0</v>
      </c>
      <c r="F200" s="5">
        <v>0</v>
      </c>
      <c r="G200" s="5">
        <v>0</v>
      </c>
      <c r="H200" s="5">
        <v>0</v>
      </c>
      <c r="I200" s="5">
        <v>0</v>
      </c>
      <c r="J200" s="9">
        <v>0</v>
      </c>
      <c r="K200" s="8">
        <v>0</v>
      </c>
      <c r="L200" s="5">
        <v>0</v>
      </c>
      <c r="M200" s="5">
        <v>0</v>
      </c>
      <c r="N200" s="9">
        <v>0</v>
      </c>
      <c r="O200" s="8">
        <v>1</v>
      </c>
      <c r="P200" s="5">
        <v>16</v>
      </c>
      <c r="Q200" s="5">
        <v>0</v>
      </c>
      <c r="R200" s="9">
        <v>0</v>
      </c>
      <c r="S200" s="5">
        <v>0</v>
      </c>
      <c r="T200" s="5">
        <v>0</v>
      </c>
    </row>
    <row r="201" spans="1:20" x14ac:dyDescent="0.2">
      <c r="A201" s="5" t="s">
        <v>427</v>
      </c>
      <c r="B201" s="5" t="s">
        <v>162</v>
      </c>
      <c r="C201" s="6" t="s">
        <v>632</v>
      </c>
      <c r="D201" s="7">
        <f t="shared" si="0"/>
        <v>2.6</v>
      </c>
      <c r="E201" s="8">
        <v>0</v>
      </c>
      <c r="F201" s="5">
        <v>0</v>
      </c>
      <c r="G201" s="5">
        <v>0</v>
      </c>
      <c r="H201" s="5">
        <v>0</v>
      </c>
      <c r="I201" s="5">
        <v>0</v>
      </c>
      <c r="J201" s="9">
        <v>0</v>
      </c>
      <c r="K201" s="8">
        <v>1</v>
      </c>
      <c r="L201" s="5">
        <v>0</v>
      </c>
      <c r="M201" s="5">
        <v>0</v>
      </c>
      <c r="N201" s="9">
        <v>0</v>
      </c>
      <c r="O201" s="8">
        <v>2</v>
      </c>
      <c r="P201" s="5">
        <v>6</v>
      </c>
      <c r="Q201" s="5">
        <v>0</v>
      </c>
      <c r="R201" s="9">
        <v>0</v>
      </c>
      <c r="S201" s="5">
        <v>0</v>
      </c>
      <c r="T201" s="5">
        <v>0</v>
      </c>
    </row>
    <row r="202" spans="1:20" x14ac:dyDescent="0.2">
      <c r="A202" s="5" t="s">
        <v>199</v>
      </c>
      <c r="B202" s="5" t="s">
        <v>162</v>
      </c>
      <c r="C202" s="6" t="s">
        <v>634</v>
      </c>
      <c r="D202" s="7">
        <f t="shared" si="0"/>
        <v>2.6</v>
      </c>
      <c r="E202" s="8">
        <v>0</v>
      </c>
      <c r="F202" s="5">
        <v>0</v>
      </c>
      <c r="G202" s="5">
        <v>0</v>
      </c>
      <c r="H202" s="5">
        <v>0</v>
      </c>
      <c r="I202" s="5">
        <v>0</v>
      </c>
      <c r="J202" s="9">
        <v>0</v>
      </c>
      <c r="K202" s="8">
        <v>0</v>
      </c>
      <c r="L202" s="5">
        <v>0</v>
      </c>
      <c r="M202" s="5">
        <v>0</v>
      </c>
      <c r="N202" s="9">
        <v>0</v>
      </c>
      <c r="O202" s="8">
        <v>2</v>
      </c>
      <c r="P202" s="5">
        <v>6</v>
      </c>
      <c r="Q202" s="5">
        <v>0</v>
      </c>
      <c r="R202" s="9">
        <v>0</v>
      </c>
      <c r="S202" s="5">
        <v>0</v>
      </c>
      <c r="T202" s="5">
        <v>0</v>
      </c>
    </row>
    <row r="203" spans="1:20" x14ac:dyDescent="0.2">
      <c r="A203" s="5" t="s">
        <v>347</v>
      </c>
      <c r="B203" s="5" t="s">
        <v>69</v>
      </c>
      <c r="C203" s="8" t="s">
        <v>634</v>
      </c>
      <c r="D203" s="7">
        <f t="shared" si="0"/>
        <v>2.6</v>
      </c>
      <c r="E203" s="8">
        <v>0</v>
      </c>
      <c r="F203" s="5">
        <v>0</v>
      </c>
      <c r="G203" s="5">
        <v>0</v>
      </c>
      <c r="H203" s="5">
        <v>0</v>
      </c>
      <c r="I203" s="5">
        <v>0</v>
      </c>
      <c r="J203" s="9">
        <v>0</v>
      </c>
      <c r="K203" s="8">
        <v>0</v>
      </c>
      <c r="L203" s="5">
        <v>0</v>
      </c>
      <c r="M203" s="5">
        <v>0</v>
      </c>
      <c r="N203" s="9">
        <v>0</v>
      </c>
      <c r="O203" s="8">
        <v>2</v>
      </c>
      <c r="P203" s="5">
        <v>6</v>
      </c>
      <c r="Q203" s="5">
        <v>0</v>
      </c>
      <c r="R203" s="9">
        <v>0</v>
      </c>
      <c r="S203" s="5">
        <v>0</v>
      </c>
      <c r="T203" s="5">
        <v>0</v>
      </c>
    </row>
    <row r="204" spans="1:20" x14ac:dyDescent="0.2">
      <c r="A204" s="5" t="s">
        <v>197</v>
      </c>
      <c r="B204" s="5" t="s">
        <v>162</v>
      </c>
      <c r="C204" s="6" t="s">
        <v>636</v>
      </c>
      <c r="D204" s="7">
        <f t="shared" si="0"/>
        <v>2.5</v>
      </c>
      <c r="E204" s="8">
        <v>0</v>
      </c>
      <c r="F204" s="5">
        <v>0</v>
      </c>
      <c r="G204" s="5">
        <v>0</v>
      </c>
      <c r="H204" s="5">
        <v>0</v>
      </c>
      <c r="I204" s="5">
        <v>0</v>
      </c>
      <c r="J204" s="9">
        <v>0</v>
      </c>
      <c r="K204" s="8">
        <v>0</v>
      </c>
      <c r="L204" s="5">
        <v>0</v>
      </c>
      <c r="M204" s="5">
        <v>0</v>
      </c>
      <c r="N204" s="9">
        <v>0</v>
      </c>
      <c r="O204" s="8">
        <v>1</v>
      </c>
      <c r="P204" s="5">
        <v>15</v>
      </c>
      <c r="Q204" s="5">
        <v>0</v>
      </c>
      <c r="R204" s="9">
        <v>0</v>
      </c>
      <c r="S204" s="5">
        <v>0</v>
      </c>
      <c r="T204" s="5">
        <v>0</v>
      </c>
    </row>
    <row r="205" spans="1:20" x14ac:dyDescent="0.2">
      <c r="A205" s="5" t="s">
        <v>204</v>
      </c>
      <c r="B205" s="5" t="s">
        <v>162</v>
      </c>
      <c r="C205" s="6" t="s">
        <v>639</v>
      </c>
      <c r="D205" s="7">
        <f t="shared" si="0"/>
        <v>2.4000000000000004</v>
      </c>
      <c r="E205" s="8">
        <v>0</v>
      </c>
      <c r="F205" s="5">
        <v>0</v>
      </c>
      <c r="G205" s="5">
        <v>0</v>
      </c>
      <c r="H205" s="5">
        <v>0</v>
      </c>
      <c r="I205" s="5">
        <v>0</v>
      </c>
      <c r="J205" s="9">
        <v>0</v>
      </c>
      <c r="K205" s="8">
        <v>0</v>
      </c>
      <c r="L205" s="5">
        <v>0</v>
      </c>
      <c r="M205" s="5">
        <v>0</v>
      </c>
      <c r="N205" s="9">
        <v>0</v>
      </c>
      <c r="O205" s="8">
        <v>1</v>
      </c>
      <c r="P205" s="5">
        <v>14</v>
      </c>
      <c r="Q205" s="5">
        <v>0</v>
      </c>
      <c r="R205" s="9">
        <v>0</v>
      </c>
      <c r="S205" s="5">
        <v>0</v>
      </c>
      <c r="T205" s="5">
        <v>0</v>
      </c>
    </row>
    <row r="206" spans="1:20" x14ac:dyDescent="0.2">
      <c r="A206" s="5" t="s">
        <v>148</v>
      </c>
      <c r="B206" s="5" t="s">
        <v>75</v>
      </c>
      <c r="C206" s="6" t="s">
        <v>637</v>
      </c>
      <c r="D206" s="7">
        <f t="shared" si="0"/>
        <v>2.3000000000000003</v>
      </c>
      <c r="E206" s="8">
        <v>0</v>
      </c>
      <c r="F206" s="5">
        <v>0</v>
      </c>
      <c r="G206" s="5">
        <v>0</v>
      </c>
      <c r="H206" s="5">
        <v>0</v>
      </c>
      <c r="I206" s="5">
        <v>0</v>
      </c>
      <c r="J206" s="9">
        <v>0</v>
      </c>
      <c r="K206" s="8">
        <v>8</v>
      </c>
      <c r="L206" s="5">
        <v>23</v>
      </c>
      <c r="M206" s="5">
        <v>0</v>
      </c>
      <c r="N206" s="9">
        <v>0</v>
      </c>
      <c r="O206" s="8">
        <v>0</v>
      </c>
      <c r="P206" s="5">
        <v>0</v>
      </c>
      <c r="Q206" s="5">
        <v>0</v>
      </c>
      <c r="R206" s="9">
        <v>0</v>
      </c>
      <c r="S206" s="5">
        <v>0</v>
      </c>
      <c r="T206" s="5">
        <v>0</v>
      </c>
    </row>
    <row r="207" spans="1:20" x14ac:dyDescent="0.2">
      <c r="A207" s="5" t="s">
        <v>554</v>
      </c>
      <c r="B207" s="5" t="s">
        <v>75</v>
      </c>
      <c r="C207" s="6" t="s">
        <v>643</v>
      </c>
      <c r="D207" s="7">
        <f t="shared" si="0"/>
        <v>2.3000000000000003</v>
      </c>
      <c r="E207" s="8">
        <v>0</v>
      </c>
      <c r="F207" s="5">
        <v>0</v>
      </c>
      <c r="G207" s="5">
        <v>0</v>
      </c>
      <c r="H207" s="5">
        <v>0</v>
      </c>
      <c r="I207" s="5">
        <v>0</v>
      </c>
      <c r="J207" s="9">
        <v>0</v>
      </c>
      <c r="K207" s="8">
        <v>2</v>
      </c>
      <c r="L207" s="5">
        <v>7</v>
      </c>
      <c r="M207" s="5">
        <v>0</v>
      </c>
      <c r="N207" s="9">
        <v>0</v>
      </c>
      <c r="O207" s="8">
        <v>1</v>
      </c>
      <c r="P207" s="5">
        <v>6</v>
      </c>
      <c r="Q207" s="5">
        <v>0</v>
      </c>
      <c r="R207" s="9">
        <v>0</v>
      </c>
      <c r="S207" s="5">
        <v>0</v>
      </c>
      <c r="T207" s="5">
        <v>0</v>
      </c>
    </row>
    <row r="208" spans="1:20" x14ac:dyDescent="0.2">
      <c r="A208" s="5" t="s">
        <v>652</v>
      </c>
      <c r="B208" s="5" t="s">
        <v>162</v>
      </c>
      <c r="C208" s="6" t="s">
        <v>633</v>
      </c>
      <c r="D208" s="7">
        <f t="shared" si="0"/>
        <v>2.2000000000000002</v>
      </c>
      <c r="E208" s="8">
        <v>0</v>
      </c>
      <c r="F208" s="5">
        <v>0</v>
      </c>
      <c r="G208" s="5">
        <v>0</v>
      </c>
      <c r="H208" s="5">
        <v>0</v>
      </c>
      <c r="I208" s="5">
        <v>0</v>
      </c>
      <c r="J208" s="9">
        <v>0</v>
      </c>
      <c r="K208" s="8">
        <v>0</v>
      </c>
      <c r="L208" s="5">
        <v>0</v>
      </c>
      <c r="M208" s="5">
        <v>0</v>
      </c>
      <c r="N208" s="9">
        <v>0</v>
      </c>
      <c r="O208" s="8">
        <v>1</v>
      </c>
      <c r="P208" s="5">
        <v>12</v>
      </c>
      <c r="Q208" s="5">
        <v>0</v>
      </c>
      <c r="R208" s="9">
        <v>0</v>
      </c>
      <c r="S208" s="5">
        <v>0</v>
      </c>
      <c r="T208" s="5">
        <v>0</v>
      </c>
    </row>
    <row r="209" spans="1:20" x14ac:dyDescent="0.2">
      <c r="A209" s="5" t="s">
        <v>361</v>
      </c>
      <c r="B209" s="5" t="s">
        <v>162</v>
      </c>
      <c r="C209" s="8" t="s">
        <v>632</v>
      </c>
      <c r="D209" s="7">
        <f t="shared" si="0"/>
        <v>2.2000000000000002</v>
      </c>
      <c r="E209" s="8">
        <v>0</v>
      </c>
      <c r="F209" s="5">
        <v>0</v>
      </c>
      <c r="G209" s="5">
        <v>0</v>
      </c>
      <c r="H209" s="5">
        <v>0</v>
      </c>
      <c r="I209" s="5">
        <v>0</v>
      </c>
      <c r="J209" s="9">
        <v>0</v>
      </c>
      <c r="K209" s="8">
        <v>0</v>
      </c>
      <c r="L209" s="5">
        <v>0</v>
      </c>
      <c r="M209" s="5">
        <v>0</v>
      </c>
      <c r="N209" s="9">
        <v>0</v>
      </c>
      <c r="O209" s="8">
        <v>2</v>
      </c>
      <c r="P209" s="5">
        <v>2</v>
      </c>
      <c r="Q209" s="5">
        <v>0</v>
      </c>
      <c r="R209" s="9">
        <v>0</v>
      </c>
      <c r="S209" s="5">
        <v>0</v>
      </c>
      <c r="T209" s="5">
        <v>0</v>
      </c>
    </row>
    <row r="210" spans="1:20" x14ac:dyDescent="0.2">
      <c r="A210" s="5" t="s">
        <v>32</v>
      </c>
      <c r="B210" s="5" t="s">
        <v>17</v>
      </c>
      <c r="C210" s="8" t="s">
        <v>637</v>
      </c>
      <c r="D210" s="7">
        <f t="shared" si="0"/>
        <v>2.1000000000000005</v>
      </c>
      <c r="E210" s="8">
        <v>29</v>
      </c>
      <c r="F210" s="5">
        <v>17</v>
      </c>
      <c r="G210" s="5">
        <v>185</v>
      </c>
      <c r="H210" s="5">
        <v>0</v>
      </c>
      <c r="I210" s="5">
        <v>2</v>
      </c>
      <c r="J210" s="9">
        <v>0</v>
      </c>
      <c r="K210" s="8">
        <v>2</v>
      </c>
      <c r="L210" s="5">
        <v>7</v>
      </c>
      <c r="M210" s="5">
        <v>0</v>
      </c>
      <c r="N210" s="9">
        <v>0</v>
      </c>
      <c r="O210" s="8">
        <v>0</v>
      </c>
      <c r="P210" s="5">
        <v>0</v>
      </c>
      <c r="Q210" s="5">
        <v>0</v>
      </c>
      <c r="R210" s="9">
        <v>0</v>
      </c>
      <c r="S210" s="5">
        <v>1</v>
      </c>
      <c r="T210" s="5">
        <v>0</v>
      </c>
    </row>
    <row r="211" spans="1:20" x14ac:dyDescent="0.2">
      <c r="A211" s="5" t="s">
        <v>653</v>
      </c>
      <c r="B211" s="5" t="s">
        <v>162</v>
      </c>
      <c r="C211" s="8" t="s">
        <v>644</v>
      </c>
      <c r="D211" s="7">
        <f t="shared" si="0"/>
        <v>2.1</v>
      </c>
      <c r="E211" s="8">
        <v>0</v>
      </c>
      <c r="F211" s="5">
        <v>0</v>
      </c>
      <c r="G211" s="5">
        <v>0</v>
      </c>
      <c r="H211" s="5">
        <v>0</v>
      </c>
      <c r="I211" s="5">
        <v>0</v>
      </c>
      <c r="J211" s="9">
        <v>0</v>
      </c>
      <c r="K211" s="8">
        <v>0</v>
      </c>
      <c r="L211" s="5">
        <v>0</v>
      </c>
      <c r="M211" s="5">
        <v>0</v>
      </c>
      <c r="N211" s="9">
        <v>0</v>
      </c>
      <c r="O211" s="8">
        <v>1</v>
      </c>
      <c r="P211" s="5">
        <v>11</v>
      </c>
      <c r="Q211" s="5">
        <v>0</v>
      </c>
      <c r="R211" s="9">
        <v>0</v>
      </c>
      <c r="S211" s="5">
        <v>0</v>
      </c>
      <c r="T211" s="5">
        <v>0</v>
      </c>
    </row>
    <row r="212" spans="1:20" x14ac:dyDescent="0.2">
      <c r="A212" s="5" t="s">
        <v>234</v>
      </c>
      <c r="B212" s="5" t="s">
        <v>162</v>
      </c>
      <c r="C212" s="6" t="s">
        <v>643</v>
      </c>
      <c r="D212" s="7">
        <f t="shared" si="0"/>
        <v>2.1</v>
      </c>
      <c r="E212" s="8">
        <v>0</v>
      </c>
      <c r="F212" s="5">
        <v>0</v>
      </c>
      <c r="G212" s="5">
        <v>0</v>
      </c>
      <c r="H212" s="5">
        <v>0</v>
      </c>
      <c r="I212" s="5">
        <v>0</v>
      </c>
      <c r="J212" s="9">
        <v>0</v>
      </c>
      <c r="K212" s="8">
        <v>0</v>
      </c>
      <c r="L212" s="5">
        <v>0</v>
      </c>
      <c r="M212" s="5">
        <v>0</v>
      </c>
      <c r="N212" s="9">
        <v>0</v>
      </c>
      <c r="O212" s="8">
        <v>1</v>
      </c>
      <c r="P212" s="5">
        <v>11</v>
      </c>
      <c r="Q212" s="5">
        <v>0</v>
      </c>
      <c r="R212" s="9">
        <v>0</v>
      </c>
      <c r="S212" s="5">
        <v>0</v>
      </c>
      <c r="T212" s="5">
        <v>0</v>
      </c>
    </row>
    <row r="213" spans="1:20" x14ac:dyDescent="0.2">
      <c r="A213" s="5" t="s">
        <v>247</v>
      </c>
      <c r="B213" s="5" t="s">
        <v>162</v>
      </c>
      <c r="C213" s="8" t="s">
        <v>635</v>
      </c>
      <c r="D213" s="7">
        <f t="shared" si="0"/>
        <v>2.1</v>
      </c>
      <c r="E213" s="8">
        <v>0</v>
      </c>
      <c r="F213" s="5">
        <v>0</v>
      </c>
      <c r="G213" s="5">
        <v>0</v>
      </c>
      <c r="H213" s="5">
        <v>0</v>
      </c>
      <c r="I213" s="5">
        <v>0</v>
      </c>
      <c r="J213" s="9">
        <v>0</v>
      </c>
      <c r="K213" s="8">
        <v>1</v>
      </c>
      <c r="L213" s="5">
        <v>6</v>
      </c>
      <c r="M213" s="5">
        <v>0</v>
      </c>
      <c r="N213" s="9">
        <v>0</v>
      </c>
      <c r="O213" s="8">
        <v>1</v>
      </c>
      <c r="P213" s="5">
        <v>5</v>
      </c>
      <c r="Q213" s="5">
        <v>0</v>
      </c>
      <c r="R213" s="9">
        <v>0</v>
      </c>
      <c r="S213" s="5">
        <v>0</v>
      </c>
      <c r="T213" s="5">
        <v>0</v>
      </c>
    </row>
    <row r="214" spans="1:20" x14ac:dyDescent="0.2">
      <c r="A214" s="5" t="s">
        <v>115</v>
      </c>
      <c r="B214" s="5" t="s">
        <v>75</v>
      </c>
      <c r="C214" s="6" t="s">
        <v>633</v>
      </c>
      <c r="D214" s="7">
        <f t="shared" si="0"/>
        <v>2</v>
      </c>
      <c r="E214" s="8">
        <v>0</v>
      </c>
      <c r="F214" s="5">
        <v>0</v>
      </c>
      <c r="G214" s="5">
        <v>0</v>
      </c>
      <c r="H214" s="5">
        <v>0</v>
      </c>
      <c r="I214" s="5">
        <v>0</v>
      </c>
      <c r="J214" s="9">
        <v>0</v>
      </c>
      <c r="K214" s="8">
        <v>4</v>
      </c>
      <c r="L214" s="5">
        <v>7</v>
      </c>
      <c r="M214" s="5">
        <v>0</v>
      </c>
      <c r="N214" s="9">
        <v>0</v>
      </c>
      <c r="O214" s="8">
        <v>1</v>
      </c>
      <c r="P214" s="5">
        <v>3</v>
      </c>
      <c r="Q214" s="5">
        <v>0</v>
      </c>
      <c r="R214" s="9">
        <v>0</v>
      </c>
      <c r="S214" s="5">
        <v>0</v>
      </c>
      <c r="T214" s="5">
        <v>0</v>
      </c>
    </row>
    <row r="215" spans="1:20" x14ac:dyDescent="0.2">
      <c r="A215" s="5" t="s">
        <v>159</v>
      </c>
      <c r="B215" s="5" t="s">
        <v>75</v>
      </c>
      <c r="C215" s="8" t="s">
        <v>632</v>
      </c>
      <c r="D215" s="7">
        <f t="shared" si="0"/>
        <v>1.9000000000000001</v>
      </c>
      <c r="E215" s="8">
        <v>0</v>
      </c>
      <c r="F215" s="5">
        <v>0</v>
      </c>
      <c r="G215" s="5">
        <v>0</v>
      </c>
      <c r="H215" s="5">
        <v>0</v>
      </c>
      <c r="I215" s="5">
        <v>0</v>
      </c>
      <c r="J215" s="9">
        <v>0</v>
      </c>
      <c r="K215" s="8">
        <v>1</v>
      </c>
      <c r="L215" s="5">
        <v>-2</v>
      </c>
      <c r="M215" s="5">
        <v>0</v>
      </c>
      <c r="N215" s="9">
        <v>0</v>
      </c>
      <c r="O215" s="8">
        <v>1</v>
      </c>
      <c r="P215" s="5">
        <v>11</v>
      </c>
      <c r="Q215" s="5">
        <v>0</v>
      </c>
      <c r="R215" s="9">
        <v>0</v>
      </c>
      <c r="S215" s="5">
        <v>0</v>
      </c>
      <c r="T215" s="5">
        <v>0</v>
      </c>
    </row>
    <row r="216" spans="1:20" x14ac:dyDescent="0.2">
      <c r="A216" s="5" t="s">
        <v>202</v>
      </c>
      <c r="B216" s="5" t="s">
        <v>162</v>
      </c>
      <c r="C216" s="8" t="s">
        <v>640</v>
      </c>
      <c r="D216" s="7">
        <f t="shared" si="0"/>
        <v>1.9000000000000001</v>
      </c>
      <c r="E216" s="8">
        <v>0</v>
      </c>
      <c r="F216" s="5">
        <v>0</v>
      </c>
      <c r="G216" s="5">
        <v>0</v>
      </c>
      <c r="H216" s="5">
        <v>0</v>
      </c>
      <c r="I216" s="5">
        <v>0</v>
      </c>
      <c r="J216" s="9">
        <v>0</v>
      </c>
      <c r="K216" s="8">
        <v>1</v>
      </c>
      <c r="L216" s="5">
        <v>6</v>
      </c>
      <c r="M216" s="5">
        <v>0</v>
      </c>
      <c r="N216" s="9">
        <v>0</v>
      </c>
      <c r="O216" s="8">
        <v>1</v>
      </c>
      <c r="P216" s="5">
        <v>3</v>
      </c>
      <c r="Q216" s="5">
        <v>0</v>
      </c>
      <c r="R216" s="9">
        <v>0</v>
      </c>
      <c r="S216" s="5">
        <v>0</v>
      </c>
      <c r="T216" s="5">
        <v>0</v>
      </c>
    </row>
    <row r="217" spans="1:20" x14ac:dyDescent="0.2">
      <c r="A217" s="5" t="s">
        <v>216</v>
      </c>
      <c r="B217" s="5" t="s">
        <v>162</v>
      </c>
      <c r="C217" s="8" t="s">
        <v>644</v>
      </c>
      <c r="D217" s="7">
        <f t="shared" si="0"/>
        <v>1.9</v>
      </c>
      <c r="E217" s="8">
        <v>0</v>
      </c>
      <c r="F217" s="5">
        <v>0</v>
      </c>
      <c r="G217" s="5">
        <v>0</v>
      </c>
      <c r="H217" s="5">
        <v>0</v>
      </c>
      <c r="I217" s="5">
        <v>0</v>
      </c>
      <c r="J217" s="9">
        <v>0</v>
      </c>
      <c r="K217" s="8">
        <v>0</v>
      </c>
      <c r="L217" s="5">
        <v>0</v>
      </c>
      <c r="M217" s="5">
        <v>0</v>
      </c>
      <c r="N217" s="9">
        <v>0</v>
      </c>
      <c r="O217" s="8">
        <v>1</v>
      </c>
      <c r="P217" s="5">
        <v>9</v>
      </c>
      <c r="Q217" s="5">
        <v>0</v>
      </c>
      <c r="R217" s="9">
        <v>0</v>
      </c>
      <c r="S217" s="5">
        <v>0</v>
      </c>
      <c r="T217" s="5">
        <v>0</v>
      </c>
    </row>
    <row r="218" spans="1:20" x14ac:dyDescent="0.2">
      <c r="A218" s="5" t="s">
        <v>195</v>
      </c>
      <c r="B218" s="5" t="s">
        <v>162</v>
      </c>
      <c r="C218" s="6" t="s">
        <v>633</v>
      </c>
      <c r="D218" s="7">
        <f t="shared" si="0"/>
        <v>1.9</v>
      </c>
      <c r="E218" s="8">
        <v>0</v>
      </c>
      <c r="F218" s="5">
        <v>0</v>
      </c>
      <c r="G218" s="5">
        <v>0</v>
      </c>
      <c r="H218" s="5">
        <v>0</v>
      </c>
      <c r="I218" s="5">
        <v>0</v>
      </c>
      <c r="J218" s="9">
        <v>0</v>
      </c>
      <c r="K218" s="8">
        <v>0</v>
      </c>
      <c r="L218" s="5">
        <v>0</v>
      </c>
      <c r="M218" s="5">
        <v>0</v>
      </c>
      <c r="N218" s="9">
        <v>0</v>
      </c>
      <c r="O218" s="8">
        <v>1</v>
      </c>
      <c r="P218" s="5">
        <v>9</v>
      </c>
      <c r="Q218" s="5">
        <v>0</v>
      </c>
      <c r="R218" s="9">
        <v>0</v>
      </c>
      <c r="S218" s="5">
        <v>0</v>
      </c>
      <c r="T218" s="5">
        <v>0</v>
      </c>
    </row>
    <row r="219" spans="1:20" x14ac:dyDescent="0.2">
      <c r="A219" s="5" t="s">
        <v>205</v>
      </c>
      <c r="B219" s="5" t="s">
        <v>162</v>
      </c>
      <c r="C219" s="6" t="s">
        <v>635</v>
      </c>
      <c r="D219" s="7">
        <f t="shared" si="0"/>
        <v>1.9</v>
      </c>
      <c r="E219" s="8">
        <v>0</v>
      </c>
      <c r="F219" s="5">
        <v>0</v>
      </c>
      <c r="G219" s="5">
        <v>0</v>
      </c>
      <c r="H219" s="5">
        <v>0</v>
      </c>
      <c r="I219" s="5">
        <v>0</v>
      </c>
      <c r="J219" s="9">
        <v>0</v>
      </c>
      <c r="K219" s="8">
        <v>0</v>
      </c>
      <c r="L219" s="5">
        <v>0</v>
      </c>
      <c r="M219" s="5">
        <v>0</v>
      </c>
      <c r="N219" s="9">
        <v>0</v>
      </c>
      <c r="O219" s="8">
        <v>1</v>
      </c>
      <c r="P219" s="5">
        <v>9</v>
      </c>
      <c r="Q219" s="5">
        <v>0</v>
      </c>
      <c r="R219" s="9">
        <v>0</v>
      </c>
      <c r="S219" s="5">
        <v>0</v>
      </c>
      <c r="T219" s="5">
        <v>0</v>
      </c>
    </row>
    <row r="220" spans="1:20" x14ac:dyDescent="0.2">
      <c r="A220" s="5" t="s">
        <v>353</v>
      </c>
      <c r="B220" s="5" t="s">
        <v>162</v>
      </c>
      <c r="C220" s="6" t="s">
        <v>637</v>
      </c>
      <c r="D220" s="7">
        <f t="shared" si="0"/>
        <v>1.8</v>
      </c>
      <c r="E220" s="8">
        <v>0</v>
      </c>
      <c r="F220" s="5">
        <v>0</v>
      </c>
      <c r="G220" s="5">
        <v>0</v>
      </c>
      <c r="H220" s="5">
        <v>0</v>
      </c>
      <c r="I220" s="5">
        <v>0</v>
      </c>
      <c r="J220" s="9">
        <v>0</v>
      </c>
      <c r="K220" s="8">
        <v>0</v>
      </c>
      <c r="L220" s="5">
        <v>0</v>
      </c>
      <c r="M220" s="5">
        <v>0</v>
      </c>
      <c r="N220" s="9">
        <v>0</v>
      </c>
      <c r="O220" s="8">
        <v>1</v>
      </c>
      <c r="P220" s="5">
        <v>8</v>
      </c>
      <c r="Q220" s="5">
        <v>0</v>
      </c>
      <c r="R220" s="9">
        <v>0</v>
      </c>
      <c r="S220" s="5">
        <v>0</v>
      </c>
      <c r="T220" s="5">
        <v>0</v>
      </c>
    </row>
    <row r="221" spans="1:20" x14ac:dyDescent="0.2">
      <c r="A221" s="5" t="s">
        <v>311</v>
      </c>
      <c r="B221" s="5" t="s">
        <v>69</v>
      </c>
      <c r="C221" s="6" t="s">
        <v>645</v>
      </c>
      <c r="D221" s="7">
        <f t="shared" si="0"/>
        <v>1.8</v>
      </c>
      <c r="E221" s="8">
        <v>0</v>
      </c>
      <c r="F221" s="5">
        <v>0</v>
      </c>
      <c r="G221" s="5">
        <v>0</v>
      </c>
      <c r="H221" s="5">
        <v>0</v>
      </c>
      <c r="I221" s="5">
        <v>0</v>
      </c>
      <c r="J221" s="9">
        <v>0</v>
      </c>
      <c r="K221" s="8">
        <v>0</v>
      </c>
      <c r="L221" s="5">
        <v>0</v>
      </c>
      <c r="M221" s="5">
        <v>0</v>
      </c>
      <c r="N221" s="9">
        <v>0</v>
      </c>
      <c r="O221" s="8">
        <v>1</v>
      </c>
      <c r="P221" s="5">
        <v>8</v>
      </c>
      <c r="Q221" s="5">
        <v>0</v>
      </c>
      <c r="R221" s="9">
        <v>0</v>
      </c>
      <c r="S221" s="5">
        <v>0</v>
      </c>
      <c r="T221" s="5">
        <v>0</v>
      </c>
    </row>
    <row r="222" spans="1:20" x14ac:dyDescent="0.2">
      <c r="A222" s="5" t="s">
        <v>260</v>
      </c>
      <c r="B222" s="5" t="s">
        <v>162</v>
      </c>
      <c r="C222" s="6" t="s">
        <v>636</v>
      </c>
      <c r="D222" s="7">
        <f t="shared" si="0"/>
        <v>1.7000000000000002</v>
      </c>
      <c r="E222" s="8">
        <v>0</v>
      </c>
      <c r="F222" s="5">
        <v>0</v>
      </c>
      <c r="G222" s="5">
        <v>0</v>
      </c>
      <c r="H222" s="5">
        <v>0</v>
      </c>
      <c r="I222" s="5">
        <v>0</v>
      </c>
      <c r="J222" s="9">
        <v>0</v>
      </c>
      <c r="K222" s="8">
        <v>1</v>
      </c>
      <c r="L222" s="5">
        <v>17</v>
      </c>
      <c r="M222" s="5">
        <v>0</v>
      </c>
      <c r="N222" s="9">
        <v>0</v>
      </c>
      <c r="O222" s="8">
        <v>0</v>
      </c>
      <c r="P222" s="5">
        <v>0</v>
      </c>
      <c r="Q222" s="5">
        <v>0</v>
      </c>
      <c r="R222" s="9">
        <v>0</v>
      </c>
      <c r="S222" s="5">
        <v>0</v>
      </c>
      <c r="T222" s="5">
        <v>0</v>
      </c>
    </row>
    <row r="223" spans="1:20" x14ac:dyDescent="0.2">
      <c r="A223" s="5" t="s">
        <v>384</v>
      </c>
      <c r="B223" s="5" t="s">
        <v>162</v>
      </c>
      <c r="C223" s="6" t="s">
        <v>634</v>
      </c>
      <c r="D223" s="7">
        <f t="shared" si="0"/>
        <v>1.7000000000000002</v>
      </c>
      <c r="E223" s="8">
        <v>0</v>
      </c>
      <c r="F223" s="5">
        <v>0</v>
      </c>
      <c r="G223" s="5">
        <v>0</v>
      </c>
      <c r="H223" s="5">
        <v>0</v>
      </c>
      <c r="I223" s="5">
        <v>0</v>
      </c>
      <c r="J223" s="9">
        <v>0</v>
      </c>
      <c r="K223" s="8">
        <v>0</v>
      </c>
      <c r="L223" s="5">
        <v>0</v>
      </c>
      <c r="M223" s="5">
        <v>0</v>
      </c>
      <c r="N223" s="9">
        <v>0</v>
      </c>
      <c r="O223" s="8">
        <v>1</v>
      </c>
      <c r="P223" s="5">
        <v>7</v>
      </c>
      <c r="Q223" s="5">
        <v>0</v>
      </c>
      <c r="R223" s="9">
        <v>0</v>
      </c>
      <c r="S223" s="5">
        <v>0</v>
      </c>
      <c r="T223" s="5">
        <v>0</v>
      </c>
    </row>
    <row r="224" spans="1:20" x14ac:dyDescent="0.2">
      <c r="A224" s="5" t="s">
        <v>306</v>
      </c>
      <c r="B224" s="5" t="s">
        <v>69</v>
      </c>
      <c r="C224" s="8" t="s">
        <v>641</v>
      </c>
      <c r="D224" s="7">
        <f t="shared" si="0"/>
        <v>1.7000000000000002</v>
      </c>
      <c r="E224" s="8">
        <v>0</v>
      </c>
      <c r="F224" s="5">
        <v>0</v>
      </c>
      <c r="G224" s="5">
        <v>0</v>
      </c>
      <c r="H224" s="5">
        <v>0</v>
      </c>
      <c r="I224" s="5">
        <v>0</v>
      </c>
      <c r="J224" s="9">
        <v>0</v>
      </c>
      <c r="K224" s="8">
        <v>0</v>
      </c>
      <c r="L224" s="5">
        <v>0</v>
      </c>
      <c r="M224" s="5">
        <v>0</v>
      </c>
      <c r="N224" s="9">
        <v>0</v>
      </c>
      <c r="O224" s="8">
        <v>1</v>
      </c>
      <c r="P224" s="5">
        <v>7</v>
      </c>
      <c r="Q224" s="5">
        <v>0</v>
      </c>
      <c r="R224" s="9">
        <v>0</v>
      </c>
      <c r="S224" s="5">
        <v>0</v>
      </c>
      <c r="T224" s="5">
        <v>0</v>
      </c>
    </row>
    <row r="225" spans="1:20" x14ac:dyDescent="0.2">
      <c r="A225" s="5" t="s">
        <v>355</v>
      </c>
      <c r="B225" s="5" t="s">
        <v>69</v>
      </c>
      <c r="C225" s="6" t="s">
        <v>644</v>
      </c>
      <c r="D225" s="7">
        <f t="shared" si="0"/>
        <v>1.7000000000000002</v>
      </c>
      <c r="E225" s="8">
        <v>0</v>
      </c>
      <c r="F225" s="5">
        <v>0</v>
      </c>
      <c r="G225" s="5">
        <v>0</v>
      </c>
      <c r="H225" s="5">
        <v>0</v>
      </c>
      <c r="I225" s="5">
        <v>0</v>
      </c>
      <c r="J225" s="9">
        <v>0</v>
      </c>
      <c r="K225" s="8">
        <v>0</v>
      </c>
      <c r="L225" s="5">
        <v>0</v>
      </c>
      <c r="M225" s="5">
        <v>0</v>
      </c>
      <c r="N225" s="9">
        <v>0</v>
      </c>
      <c r="O225" s="8">
        <v>1</v>
      </c>
      <c r="P225" s="5">
        <v>7</v>
      </c>
      <c r="Q225" s="5">
        <v>0</v>
      </c>
      <c r="R225" s="9">
        <v>0</v>
      </c>
      <c r="S225" s="5">
        <v>0</v>
      </c>
      <c r="T225" s="5">
        <v>0</v>
      </c>
    </row>
    <row r="226" spans="1:20" x14ac:dyDescent="0.2">
      <c r="A226" s="5" t="s">
        <v>154</v>
      </c>
      <c r="B226" s="5" t="s">
        <v>75</v>
      </c>
      <c r="C226" s="8" t="s">
        <v>635</v>
      </c>
      <c r="D226" s="7">
        <f t="shared" si="0"/>
        <v>1.7</v>
      </c>
      <c r="E226" s="8">
        <v>0</v>
      </c>
      <c r="F226" s="5">
        <v>0</v>
      </c>
      <c r="G226" s="5">
        <v>0</v>
      </c>
      <c r="H226" s="5">
        <v>0</v>
      </c>
      <c r="I226" s="5">
        <v>0</v>
      </c>
      <c r="J226" s="9">
        <v>0</v>
      </c>
      <c r="K226" s="8">
        <v>4</v>
      </c>
      <c r="L226" s="5">
        <v>9</v>
      </c>
      <c r="M226" s="5">
        <v>0</v>
      </c>
      <c r="N226" s="9">
        <v>0</v>
      </c>
      <c r="O226" s="8">
        <v>1</v>
      </c>
      <c r="P226" s="5">
        <v>-2</v>
      </c>
      <c r="Q226" s="5">
        <v>0</v>
      </c>
      <c r="R226" s="9">
        <v>0</v>
      </c>
      <c r="S226" s="5">
        <v>0</v>
      </c>
      <c r="T226" s="5">
        <v>0</v>
      </c>
    </row>
    <row r="227" spans="1:20" x14ac:dyDescent="0.2">
      <c r="A227" s="5" t="s">
        <v>86</v>
      </c>
      <c r="B227" s="5" t="s">
        <v>75</v>
      </c>
      <c r="C227" s="8" t="s">
        <v>631</v>
      </c>
      <c r="D227" s="7">
        <f t="shared" si="0"/>
        <v>1.6</v>
      </c>
      <c r="E227" s="8">
        <v>0</v>
      </c>
      <c r="F227" s="5">
        <v>0</v>
      </c>
      <c r="G227" s="5">
        <v>0</v>
      </c>
      <c r="H227" s="5">
        <v>0</v>
      </c>
      <c r="I227" s="5">
        <v>0</v>
      </c>
      <c r="J227" s="9">
        <v>0</v>
      </c>
      <c r="K227" s="8">
        <v>5</v>
      </c>
      <c r="L227" s="5">
        <v>16</v>
      </c>
      <c r="M227" s="5">
        <v>0</v>
      </c>
      <c r="N227" s="9">
        <v>0</v>
      </c>
      <c r="O227" s="8">
        <v>0</v>
      </c>
      <c r="P227" s="5">
        <v>0</v>
      </c>
      <c r="Q227" s="5">
        <v>0</v>
      </c>
      <c r="R227" s="9">
        <v>0</v>
      </c>
      <c r="S227" s="5">
        <v>0</v>
      </c>
      <c r="T227" s="5">
        <v>0</v>
      </c>
    </row>
    <row r="228" spans="1:20" x14ac:dyDescent="0.2">
      <c r="A228" s="5" t="s">
        <v>256</v>
      </c>
      <c r="B228" s="5" t="s">
        <v>162</v>
      </c>
      <c r="C228" s="6" t="s">
        <v>632</v>
      </c>
      <c r="D228" s="7">
        <f t="shared" si="0"/>
        <v>1.6</v>
      </c>
      <c r="E228" s="8">
        <v>0</v>
      </c>
      <c r="F228" s="5">
        <v>0</v>
      </c>
      <c r="G228" s="5">
        <v>0</v>
      </c>
      <c r="H228" s="5">
        <v>0</v>
      </c>
      <c r="I228" s="5">
        <v>0</v>
      </c>
      <c r="J228" s="9">
        <v>0</v>
      </c>
      <c r="K228" s="8">
        <v>0</v>
      </c>
      <c r="L228" s="5">
        <v>0</v>
      </c>
      <c r="M228" s="5">
        <v>0</v>
      </c>
      <c r="N228" s="9">
        <v>0</v>
      </c>
      <c r="O228" s="8">
        <v>1</v>
      </c>
      <c r="P228" s="5">
        <v>6</v>
      </c>
      <c r="Q228" s="5">
        <v>0</v>
      </c>
      <c r="R228" s="9">
        <v>0</v>
      </c>
      <c r="S228" s="5">
        <v>0</v>
      </c>
      <c r="T228" s="5">
        <v>0</v>
      </c>
    </row>
    <row r="229" spans="1:20" x14ac:dyDescent="0.2">
      <c r="A229" s="5" t="s">
        <v>628</v>
      </c>
      <c r="B229" s="5" t="s">
        <v>162</v>
      </c>
      <c r="C229" s="6" t="s">
        <v>641</v>
      </c>
      <c r="D229" s="7">
        <f t="shared" si="0"/>
        <v>1.6</v>
      </c>
      <c r="E229" s="8">
        <v>0</v>
      </c>
      <c r="F229" s="5">
        <v>0</v>
      </c>
      <c r="G229" s="5">
        <v>0</v>
      </c>
      <c r="H229" s="5">
        <v>0</v>
      </c>
      <c r="I229" s="5">
        <v>0</v>
      </c>
      <c r="J229" s="9">
        <v>0</v>
      </c>
      <c r="K229" s="8">
        <v>0</v>
      </c>
      <c r="L229" s="5">
        <v>0</v>
      </c>
      <c r="M229" s="5">
        <v>0</v>
      </c>
      <c r="N229" s="9">
        <v>0</v>
      </c>
      <c r="O229" s="8">
        <v>1</v>
      </c>
      <c r="P229" s="5">
        <v>6</v>
      </c>
      <c r="Q229" s="5">
        <v>0</v>
      </c>
      <c r="R229" s="9">
        <v>0</v>
      </c>
      <c r="S229" s="5">
        <v>0</v>
      </c>
      <c r="T229" s="5">
        <v>0</v>
      </c>
    </row>
    <row r="230" spans="1:20" x14ac:dyDescent="0.2">
      <c r="A230" s="5" t="s">
        <v>486</v>
      </c>
      <c r="B230" s="5" t="s">
        <v>69</v>
      </c>
      <c r="C230" s="6" t="s">
        <v>640</v>
      </c>
      <c r="D230" s="7">
        <f t="shared" si="0"/>
        <v>1.6</v>
      </c>
      <c r="E230" s="8">
        <v>0</v>
      </c>
      <c r="F230" s="5">
        <v>0</v>
      </c>
      <c r="G230" s="5">
        <v>0</v>
      </c>
      <c r="H230" s="5">
        <v>0</v>
      </c>
      <c r="I230" s="5">
        <v>0</v>
      </c>
      <c r="J230" s="9">
        <v>0</v>
      </c>
      <c r="K230" s="8">
        <v>0</v>
      </c>
      <c r="L230" s="5">
        <v>0</v>
      </c>
      <c r="M230" s="5">
        <v>0</v>
      </c>
      <c r="N230" s="9">
        <v>0</v>
      </c>
      <c r="O230" s="8">
        <v>1</v>
      </c>
      <c r="P230" s="5">
        <v>6</v>
      </c>
      <c r="Q230" s="5">
        <v>0</v>
      </c>
      <c r="R230" s="9">
        <v>0</v>
      </c>
      <c r="S230" s="5">
        <v>0</v>
      </c>
      <c r="T230" s="5">
        <v>0</v>
      </c>
    </row>
    <row r="231" spans="1:20" x14ac:dyDescent="0.2">
      <c r="A231" s="5" t="s">
        <v>491</v>
      </c>
      <c r="B231" s="5" t="s">
        <v>69</v>
      </c>
      <c r="C231" s="6" t="s">
        <v>639</v>
      </c>
      <c r="D231" s="7">
        <f t="shared" si="0"/>
        <v>1.6</v>
      </c>
      <c r="E231" s="8">
        <v>0</v>
      </c>
      <c r="F231" s="5">
        <v>0</v>
      </c>
      <c r="G231" s="5">
        <v>0</v>
      </c>
      <c r="H231" s="5">
        <v>0</v>
      </c>
      <c r="I231" s="5">
        <v>0</v>
      </c>
      <c r="J231" s="9">
        <v>0</v>
      </c>
      <c r="K231" s="8">
        <v>0</v>
      </c>
      <c r="L231" s="5">
        <v>0</v>
      </c>
      <c r="M231" s="5">
        <v>0</v>
      </c>
      <c r="N231" s="9">
        <v>0</v>
      </c>
      <c r="O231" s="8">
        <v>1</v>
      </c>
      <c r="P231" s="5">
        <v>6</v>
      </c>
      <c r="Q231" s="5">
        <v>0</v>
      </c>
      <c r="R231" s="9">
        <v>0</v>
      </c>
      <c r="S231" s="5">
        <v>0</v>
      </c>
      <c r="T231" s="5">
        <v>0</v>
      </c>
    </row>
    <row r="232" spans="1:20" x14ac:dyDescent="0.2">
      <c r="A232" s="5" t="s">
        <v>301</v>
      </c>
      <c r="B232" s="5" t="s">
        <v>69</v>
      </c>
      <c r="C232" s="8" t="s">
        <v>636</v>
      </c>
      <c r="D232" s="7">
        <f t="shared" si="0"/>
        <v>1.6</v>
      </c>
      <c r="E232" s="8">
        <v>0</v>
      </c>
      <c r="F232" s="5">
        <v>0</v>
      </c>
      <c r="G232" s="5">
        <v>0</v>
      </c>
      <c r="H232" s="5">
        <v>0</v>
      </c>
      <c r="I232" s="5">
        <v>0</v>
      </c>
      <c r="J232" s="9">
        <v>0</v>
      </c>
      <c r="K232" s="8">
        <v>0</v>
      </c>
      <c r="L232" s="5">
        <v>0</v>
      </c>
      <c r="M232" s="5">
        <v>0</v>
      </c>
      <c r="N232" s="9">
        <v>0</v>
      </c>
      <c r="O232" s="8">
        <v>1</v>
      </c>
      <c r="P232" s="5">
        <v>6</v>
      </c>
      <c r="Q232" s="5">
        <v>0</v>
      </c>
      <c r="R232" s="9">
        <v>0</v>
      </c>
      <c r="S232" s="5">
        <v>0</v>
      </c>
      <c r="T232" s="5">
        <v>0</v>
      </c>
    </row>
    <row r="233" spans="1:20" x14ac:dyDescent="0.2">
      <c r="A233" s="5" t="s">
        <v>444</v>
      </c>
      <c r="B233" s="5" t="s">
        <v>69</v>
      </c>
      <c r="C233" s="6" t="s">
        <v>641</v>
      </c>
      <c r="D233" s="7">
        <f t="shared" si="0"/>
        <v>1.6</v>
      </c>
      <c r="E233" s="8">
        <v>0</v>
      </c>
      <c r="F233" s="5">
        <v>0</v>
      </c>
      <c r="G233" s="5">
        <v>0</v>
      </c>
      <c r="H233" s="5">
        <v>0</v>
      </c>
      <c r="I233" s="5">
        <v>0</v>
      </c>
      <c r="J233" s="9">
        <v>0</v>
      </c>
      <c r="K233" s="8">
        <v>0</v>
      </c>
      <c r="L233" s="5">
        <v>0</v>
      </c>
      <c r="M233" s="5">
        <v>0</v>
      </c>
      <c r="N233" s="9">
        <v>0</v>
      </c>
      <c r="O233" s="8">
        <v>1</v>
      </c>
      <c r="P233" s="5">
        <v>6</v>
      </c>
      <c r="Q233" s="5">
        <v>0</v>
      </c>
      <c r="R233" s="9">
        <v>0</v>
      </c>
      <c r="S233" s="5">
        <v>0</v>
      </c>
      <c r="T233" s="5">
        <v>0</v>
      </c>
    </row>
    <row r="234" spans="1:20" x14ac:dyDescent="0.2">
      <c r="A234" s="5" t="s">
        <v>492</v>
      </c>
      <c r="B234" s="5" t="s">
        <v>69</v>
      </c>
      <c r="C234" s="8" t="s">
        <v>640</v>
      </c>
      <c r="D234" s="7">
        <f t="shared" si="0"/>
        <v>1.6</v>
      </c>
      <c r="E234" s="8">
        <v>0</v>
      </c>
      <c r="F234" s="5">
        <v>0</v>
      </c>
      <c r="G234" s="5">
        <v>0</v>
      </c>
      <c r="H234" s="5">
        <v>0</v>
      </c>
      <c r="I234" s="5">
        <v>0</v>
      </c>
      <c r="J234" s="9">
        <v>0</v>
      </c>
      <c r="K234" s="8">
        <v>0</v>
      </c>
      <c r="L234" s="5">
        <v>0</v>
      </c>
      <c r="M234" s="5">
        <v>0</v>
      </c>
      <c r="N234" s="9">
        <v>0</v>
      </c>
      <c r="O234" s="8">
        <v>1</v>
      </c>
      <c r="P234" s="5">
        <v>6</v>
      </c>
      <c r="Q234" s="5">
        <v>0</v>
      </c>
      <c r="R234" s="9">
        <v>0</v>
      </c>
      <c r="S234" s="5">
        <v>0</v>
      </c>
      <c r="T234" s="5">
        <v>0</v>
      </c>
    </row>
    <row r="235" spans="1:20" x14ac:dyDescent="0.2">
      <c r="A235" s="5" t="s">
        <v>257</v>
      </c>
      <c r="B235" s="5" t="s">
        <v>162</v>
      </c>
      <c r="C235" s="8" t="s">
        <v>641</v>
      </c>
      <c r="D235" s="7">
        <f t="shared" si="0"/>
        <v>1.5</v>
      </c>
      <c r="E235" s="8">
        <v>0</v>
      </c>
      <c r="F235" s="5">
        <v>0</v>
      </c>
      <c r="G235" s="5">
        <v>0</v>
      </c>
      <c r="H235" s="5">
        <v>0</v>
      </c>
      <c r="I235" s="5">
        <v>0</v>
      </c>
      <c r="J235" s="9">
        <v>0</v>
      </c>
      <c r="K235" s="8">
        <v>1</v>
      </c>
      <c r="L235" s="5">
        <v>15</v>
      </c>
      <c r="M235" s="5">
        <v>0</v>
      </c>
      <c r="N235" s="9">
        <v>0</v>
      </c>
      <c r="O235" s="8">
        <v>0</v>
      </c>
      <c r="P235" s="5">
        <v>0</v>
      </c>
      <c r="Q235" s="5">
        <v>0</v>
      </c>
      <c r="R235" s="9">
        <v>0</v>
      </c>
      <c r="S235" s="5">
        <v>0</v>
      </c>
      <c r="T235" s="5">
        <v>0</v>
      </c>
    </row>
    <row r="236" spans="1:20" x14ac:dyDescent="0.2">
      <c r="A236" s="5" t="s">
        <v>367</v>
      </c>
      <c r="B236" s="5" t="s">
        <v>162</v>
      </c>
      <c r="C236" s="8" t="s">
        <v>641</v>
      </c>
      <c r="D236" s="7">
        <f t="shared" si="0"/>
        <v>1.5</v>
      </c>
      <c r="E236" s="8">
        <v>0</v>
      </c>
      <c r="F236" s="5">
        <v>0</v>
      </c>
      <c r="G236" s="5">
        <v>0</v>
      </c>
      <c r="H236" s="5">
        <v>0</v>
      </c>
      <c r="I236" s="5">
        <v>0</v>
      </c>
      <c r="J236" s="9">
        <v>0</v>
      </c>
      <c r="K236" s="8">
        <v>0</v>
      </c>
      <c r="L236" s="5">
        <v>0</v>
      </c>
      <c r="M236" s="5">
        <v>0</v>
      </c>
      <c r="N236" s="9">
        <v>0</v>
      </c>
      <c r="O236" s="8">
        <v>1</v>
      </c>
      <c r="P236" s="5">
        <v>5</v>
      </c>
      <c r="Q236" s="5">
        <v>0</v>
      </c>
      <c r="R236" s="9">
        <v>0</v>
      </c>
      <c r="S236" s="5">
        <v>0</v>
      </c>
      <c r="T236" s="5">
        <v>0</v>
      </c>
    </row>
    <row r="237" spans="1:20" x14ac:dyDescent="0.2">
      <c r="A237" s="5" t="s">
        <v>278</v>
      </c>
      <c r="B237" s="5" t="s">
        <v>69</v>
      </c>
      <c r="C237" s="6" t="s">
        <v>645</v>
      </c>
      <c r="D237" s="7">
        <f t="shared" si="0"/>
        <v>1.5</v>
      </c>
      <c r="E237" s="8">
        <v>0</v>
      </c>
      <c r="F237" s="5">
        <v>0</v>
      </c>
      <c r="G237" s="5">
        <v>0</v>
      </c>
      <c r="H237" s="5">
        <v>0</v>
      </c>
      <c r="I237" s="5">
        <v>0</v>
      </c>
      <c r="J237" s="9">
        <v>0</v>
      </c>
      <c r="K237" s="8">
        <v>1</v>
      </c>
      <c r="L237" s="5">
        <v>2</v>
      </c>
      <c r="M237" s="5">
        <v>0</v>
      </c>
      <c r="N237" s="9">
        <v>0</v>
      </c>
      <c r="O237" s="8">
        <v>1</v>
      </c>
      <c r="P237" s="5">
        <v>3</v>
      </c>
      <c r="Q237" s="5">
        <v>0</v>
      </c>
      <c r="R237" s="9">
        <v>0</v>
      </c>
      <c r="S237" s="5">
        <v>0</v>
      </c>
      <c r="T237" s="5">
        <v>0</v>
      </c>
    </row>
    <row r="238" spans="1:20" x14ac:dyDescent="0.2">
      <c r="A238" s="5" t="s">
        <v>285</v>
      </c>
      <c r="B238" s="5" t="s">
        <v>69</v>
      </c>
      <c r="C238" s="6" t="s">
        <v>644</v>
      </c>
      <c r="D238" s="7">
        <f t="shared" si="0"/>
        <v>1.5</v>
      </c>
      <c r="E238" s="8">
        <v>0</v>
      </c>
      <c r="F238" s="5">
        <v>0</v>
      </c>
      <c r="G238" s="5">
        <v>0</v>
      </c>
      <c r="H238" s="5">
        <v>0</v>
      </c>
      <c r="I238" s="5">
        <v>0</v>
      </c>
      <c r="J238" s="9">
        <v>0</v>
      </c>
      <c r="K238" s="8">
        <v>0</v>
      </c>
      <c r="L238" s="5">
        <v>0</v>
      </c>
      <c r="M238" s="5">
        <v>0</v>
      </c>
      <c r="N238" s="9">
        <v>0</v>
      </c>
      <c r="O238" s="8">
        <v>1</v>
      </c>
      <c r="P238" s="5">
        <v>5</v>
      </c>
      <c r="Q238" s="5">
        <v>0</v>
      </c>
      <c r="R238" s="9">
        <v>0</v>
      </c>
      <c r="S238" s="5">
        <v>0</v>
      </c>
      <c r="T238" s="5">
        <v>0</v>
      </c>
    </row>
    <row r="239" spans="1:20" x14ac:dyDescent="0.2">
      <c r="A239" s="5" t="s">
        <v>317</v>
      </c>
      <c r="B239" s="5" t="s">
        <v>69</v>
      </c>
      <c r="C239" s="8" t="s">
        <v>645</v>
      </c>
      <c r="D239" s="7">
        <f t="shared" si="0"/>
        <v>1.5</v>
      </c>
      <c r="E239" s="8">
        <v>0</v>
      </c>
      <c r="F239" s="5">
        <v>0</v>
      </c>
      <c r="G239" s="5">
        <v>0</v>
      </c>
      <c r="H239" s="5">
        <v>0</v>
      </c>
      <c r="I239" s="5">
        <v>0</v>
      </c>
      <c r="J239" s="9">
        <v>0</v>
      </c>
      <c r="K239" s="8">
        <v>0</v>
      </c>
      <c r="L239" s="5">
        <v>0</v>
      </c>
      <c r="M239" s="5">
        <v>0</v>
      </c>
      <c r="N239" s="9">
        <v>0</v>
      </c>
      <c r="O239" s="8">
        <v>1</v>
      </c>
      <c r="P239" s="5">
        <v>5</v>
      </c>
      <c r="Q239" s="5">
        <v>0</v>
      </c>
      <c r="R239" s="9">
        <v>0</v>
      </c>
      <c r="S239" s="5">
        <v>0</v>
      </c>
      <c r="T239" s="5">
        <v>0</v>
      </c>
    </row>
    <row r="240" spans="1:20" x14ac:dyDescent="0.2">
      <c r="A240" s="5" t="s">
        <v>380</v>
      </c>
      <c r="B240" s="5" t="s">
        <v>75</v>
      </c>
      <c r="C240" s="8" t="s">
        <v>641</v>
      </c>
      <c r="D240" s="7">
        <f t="shared" si="0"/>
        <v>1.4</v>
      </c>
      <c r="E240" s="8">
        <v>0</v>
      </c>
      <c r="F240" s="5">
        <v>0</v>
      </c>
      <c r="G240" s="5">
        <v>0</v>
      </c>
      <c r="H240" s="5">
        <v>0</v>
      </c>
      <c r="I240" s="5">
        <v>0</v>
      </c>
      <c r="J240" s="9">
        <v>0</v>
      </c>
      <c r="K240" s="8">
        <v>0</v>
      </c>
      <c r="L240" s="5">
        <v>0</v>
      </c>
      <c r="M240" s="5">
        <v>0</v>
      </c>
      <c r="N240" s="9">
        <v>0</v>
      </c>
      <c r="O240" s="8">
        <v>1</v>
      </c>
      <c r="P240" s="5">
        <v>4</v>
      </c>
      <c r="Q240" s="5">
        <v>0</v>
      </c>
      <c r="R240" s="9">
        <v>0</v>
      </c>
      <c r="S240" s="5">
        <v>0</v>
      </c>
      <c r="T240" s="5">
        <v>0</v>
      </c>
    </row>
    <row r="241" spans="1:20" x14ac:dyDescent="0.2">
      <c r="A241" s="5" t="s">
        <v>481</v>
      </c>
      <c r="B241" s="5" t="s">
        <v>162</v>
      </c>
      <c r="C241" s="8" t="s">
        <v>643</v>
      </c>
      <c r="D241" s="7">
        <f t="shared" si="0"/>
        <v>1.4</v>
      </c>
      <c r="E241" s="8">
        <v>0</v>
      </c>
      <c r="F241" s="5">
        <v>0</v>
      </c>
      <c r="G241" s="5">
        <v>0</v>
      </c>
      <c r="H241" s="5">
        <v>0</v>
      </c>
      <c r="I241" s="5">
        <v>0</v>
      </c>
      <c r="J241" s="9">
        <v>0</v>
      </c>
      <c r="K241" s="8">
        <v>0</v>
      </c>
      <c r="L241" s="5">
        <v>0</v>
      </c>
      <c r="M241" s="5">
        <v>0</v>
      </c>
      <c r="N241" s="9">
        <v>0</v>
      </c>
      <c r="O241" s="8">
        <v>1</v>
      </c>
      <c r="P241" s="5">
        <v>4</v>
      </c>
      <c r="Q241" s="5">
        <v>0</v>
      </c>
      <c r="R241" s="9">
        <v>0</v>
      </c>
      <c r="S241" s="5">
        <v>0</v>
      </c>
      <c r="T241" s="5">
        <v>0</v>
      </c>
    </row>
    <row r="242" spans="1:20" x14ac:dyDescent="0.2">
      <c r="A242" s="5" t="s">
        <v>157</v>
      </c>
      <c r="B242" s="5" t="s">
        <v>75</v>
      </c>
      <c r="C242" s="8" t="s">
        <v>638</v>
      </c>
      <c r="D242" s="7">
        <f t="shared" si="0"/>
        <v>1.3</v>
      </c>
      <c r="E242" s="8">
        <v>0</v>
      </c>
      <c r="F242" s="5">
        <v>0</v>
      </c>
      <c r="G242" s="5">
        <v>0</v>
      </c>
      <c r="H242" s="5">
        <v>0</v>
      </c>
      <c r="I242" s="5">
        <v>0</v>
      </c>
      <c r="J242" s="9">
        <v>0</v>
      </c>
      <c r="K242" s="8">
        <v>1</v>
      </c>
      <c r="L242" s="5">
        <v>13</v>
      </c>
      <c r="M242" s="5">
        <v>0</v>
      </c>
      <c r="N242" s="9">
        <v>0</v>
      </c>
      <c r="O242" s="8">
        <v>0</v>
      </c>
      <c r="P242" s="5">
        <v>0</v>
      </c>
      <c r="Q242" s="5">
        <v>0</v>
      </c>
      <c r="R242" s="9">
        <v>0</v>
      </c>
      <c r="S242" s="5">
        <v>0</v>
      </c>
      <c r="T242" s="5">
        <v>0</v>
      </c>
    </row>
    <row r="243" spans="1:20" x14ac:dyDescent="0.2">
      <c r="A243" s="5" t="s">
        <v>609</v>
      </c>
      <c r="B243" s="5" t="s">
        <v>75</v>
      </c>
      <c r="C243" s="6" t="s">
        <v>634</v>
      </c>
      <c r="D243" s="7">
        <f t="shared" si="0"/>
        <v>1.3</v>
      </c>
      <c r="E243" s="8">
        <v>0</v>
      </c>
      <c r="F243" s="5">
        <v>0</v>
      </c>
      <c r="G243" s="5">
        <v>0</v>
      </c>
      <c r="H243" s="5">
        <v>0</v>
      </c>
      <c r="I243" s="5">
        <v>0</v>
      </c>
      <c r="J243" s="9">
        <v>0</v>
      </c>
      <c r="K243" s="8">
        <v>0</v>
      </c>
      <c r="L243" s="5">
        <v>0</v>
      </c>
      <c r="M243" s="5">
        <v>0</v>
      </c>
      <c r="N243" s="9">
        <v>0</v>
      </c>
      <c r="O243" s="8">
        <v>1</v>
      </c>
      <c r="P243" s="5">
        <v>3</v>
      </c>
      <c r="Q243" s="5">
        <v>0</v>
      </c>
      <c r="R243" s="9">
        <v>0</v>
      </c>
      <c r="S243" s="5">
        <v>0</v>
      </c>
      <c r="T243" s="5">
        <v>0</v>
      </c>
    </row>
    <row r="244" spans="1:20" x14ac:dyDescent="0.2">
      <c r="A244" s="5" t="s">
        <v>318</v>
      </c>
      <c r="B244" s="5" t="s">
        <v>69</v>
      </c>
      <c r="C244" s="8" t="s">
        <v>634</v>
      </c>
      <c r="D244" s="7">
        <f t="shared" si="0"/>
        <v>1.3</v>
      </c>
      <c r="E244" s="8">
        <v>0</v>
      </c>
      <c r="F244" s="5">
        <v>0</v>
      </c>
      <c r="G244" s="5">
        <v>0</v>
      </c>
      <c r="H244" s="5">
        <v>0</v>
      </c>
      <c r="I244" s="5">
        <v>0</v>
      </c>
      <c r="J244" s="9">
        <v>0</v>
      </c>
      <c r="K244" s="8">
        <v>0</v>
      </c>
      <c r="L244" s="5">
        <v>0</v>
      </c>
      <c r="M244" s="5">
        <v>0</v>
      </c>
      <c r="N244" s="9">
        <v>0</v>
      </c>
      <c r="O244" s="8">
        <v>1</v>
      </c>
      <c r="P244" s="5">
        <v>3</v>
      </c>
      <c r="Q244" s="5">
        <v>0</v>
      </c>
      <c r="R244" s="9">
        <v>0</v>
      </c>
      <c r="S244" s="5">
        <v>0</v>
      </c>
      <c r="T244" s="5">
        <v>0</v>
      </c>
    </row>
    <row r="245" spans="1:20" x14ac:dyDescent="0.2">
      <c r="A245" s="5" t="s">
        <v>72</v>
      </c>
      <c r="B245" s="5" t="s">
        <v>17</v>
      </c>
      <c r="C245" s="8" t="s">
        <v>632</v>
      </c>
      <c r="D245" s="7">
        <f t="shared" si="0"/>
        <v>1.2200000000000002</v>
      </c>
      <c r="E245" s="8">
        <v>9</v>
      </c>
      <c r="F245" s="5">
        <v>7</v>
      </c>
      <c r="G245" s="5">
        <v>68</v>
      </c>
      <c r="H245" s="5">
        <v>0</v>
      </c>
      <c r="I245" s="5">
        <v>1</v>
      </c>
      <c r="J245" s="9">
        <v>0</v>
      </c>
      <c r="K245" s="8">
        <v>2</v>
      </c>
      <c r="L245" s="5">
        <v>5</v>
      </c>
      <c r="M245" s="5">
        <v>0</v>
      </c>
      <c r="N245" s="9">
        <v>0</v>
      </c>
      <c r="O245" s="8">
        <v>0</v>
      </c>
      <c r="P245" s="5">
        <v>0</v>
      </c>
      <c r="Q245" s="5">
        <v>0</v>
      </c>
      <c r="R245" s="9">
        <v>0</v>
      </c>
      <c r="S245" s="5">
        <v>0</v>
      </c>
      <c r="T245" s="5">
        <v>0</v>
      </c>
    </row>
    <row r="246" spans="1:20" x14ac:dyDescent="0.2">
      <c r="A246" s="5" t="s">
        <v>160</v>
      </c>
      <c r="B246" s="5" t="s">
        <v>75</v>
      </c>
      <c r="C246" s="8" t="s">
        <v>636</v>
      </c>
      <c r="D246" s="7">
        <f t="shared" si="0"/>
        <v>1.2</v>
      </c>
      <c r="E246" s="8">
        <v>0</v>
      </c>
      <c r="F246" s="5">
        <v>0</v>
      </c>
      <c r="G246" s="5">
        <v>0</v>
      </c>
      <c r="H246" s="5">
        <v>0</v>
      </c>
      <c r="I246" s="5">
        <v>0</v>
      </c>
      <c r="J246" s="9">
        <v>0</v>
      </c>
      <c r="K246" s="8">
        <v>0</v>
      </c>
      <c r="L246" s="5">
        <v>0</v>
      </c>
      <c r="M246" s="5">
        <v>0</v>
      </c>
      <c r="N246" s="9">
        <v>0</v>
      </c>
      <c r="O246" s="8">
        <v>1</v>
      </c>
      <c r="P246" s="5">
        <v>2</v>
      </c>
      <c r="Q246" s="5">
        <v>0</v>
      </c>
      <c r="R246" s="9">
        <v>0</v>
      </c>
      <c r="S246" s="5">
        <v>0</v>
      </c>
      <c r="T246" s="5">
        <v>0</v>
      </c>
    </row>
    <row r="247" spans="1:20" x14ac:dyDescent="0.2">
      <c r="A247" s="5" t="s">
        <v>290</v>
      </c>
      <c r="B247" s="5" t="s">
        <v>69</v>
      </c>
      <c r="C247" s="6" t="s">
        <v>633</v>
      </c>
      <c r="D247" s="7">
        <f t="shared" si="0"/>
        <v>1.2</v>
      </c>
      <c r="E247" s="8">
        <v>0</v>
      </c>
      <c r="F247" s="5">
        <v>0</v>
      </c>
      <c r="G247" s="5">
        <v>0</v>
      </c>
      <c r="H247" s="5">
        <v>0</v>
      </c>
      <c r="I247" s="5">
        <v>0</v>
      </c>
      <c r="J247" s="9">
        <v>0</v>
      </c>
      <c r="K247" s="8">
        <v>0</v>
      </c>
      <c r="L247" s="5">
        <v>0</v>
      </c>
      <c r="M247" s="5">
        <v>0</v>
      </c>
      <c r="N247" s="9">
        <v>0</v>
      </c>
      <c r="O247" s="8">
        <v>1</v>
      </c>
      <c r="P247" s="5">
        <v>2</v>
      </c>
      <c r="Q247" s="5">
        <v>0</v>
      </c>
      <c r="R247" s="9">
        <v>0</v>
      </c>
      <c r="S247" s="5">
        <v>0</v>
      </c>
      <c r="T247" s="5">
        <v>0</v>
      </c>
    </row>
    <row r="248" spans="1:20" x14ac:dyDescent="0.2">
      <c r="A248" s="5" t="s">
        <v>348</v>
      </c>
      <c r="B248" s="5" t="s">
        <v>69</v>
      </c>
      <c r="C248" s="6" t="s">
        <v>638</v>
      </c>
      <c r="D248" s="7">
        <f t="shared" si="0"/>
        <v>1.1000000000000001</v>
      </c>
      <c r="E248" s="8">
        <v>0</v>
      </c>
      <c r="F248" s="5">
        <v>0</v>
      </c>
      <c r="G248" s="5">
        <v>0</v>
      </c>
      <c r="H248" s="5">
        <v>0</v>
      </c>
      <c r="I248" s="5">
        <v>0</v>
      </c>
      <c r="J248" s="9">
        <v>0</v>
      </c>
      <c r="K248" s="8">
        <v>0</v>
      </c>
      <c r="L248" s="5">
        <v>0</v>
      </c>
      <c r="M248" s="5">
        <v>0</v>
      </c>
      <c r="N248" s="9">
        <v>0</v>
      </c>
      <c r="O248" s="8">
        <v>1</v>
      </c>
      <c r="P248" s="5">
        <v>1</v>
      </c>
      <c r="Q248" s="5">
        <v>0</v>
      </c>
      <c r="R248" s="9">
        <v>0</v>
      </c>
      <c r="S248" s="5">
        <v>0</v>
      </c>
      <c r="T248" s="5">
        <v>0</v>
      </c>
    </row>
    <row r="249" spans="1:20" x14ac:dyDescent="0.2">
      <c r="A249" s="5" t="s">
        <v>654</v>
      </c>
      <c r="B249" s="5" t="s">
        <v>75</v>
      </c>
      <c r="C249" s="8" t="s">
        <v>633</v>
      </c>
      <c r="D249" s="7">
        <f t="shared" si="0"/>
        <v>0.9</v>
      </c>
      <c r="E249" s="8">
        <v>0</v>
      </c>
      <c r="F249" s="5">
        <v>0</v>
      </c>
      <c r="G249" s="5">
        <v>0</v>
      </c>
      <c r="H249" s="5">
        <v>0</v>
      </c>
      <c r="I249" s="5">
        <v>0</v>
      </c>
      <c r="J249" s="9">
        <v>0</v>
      </c>
      <c r="K249" s="8">
        <v>2</v>
      </c>
      <c r="L249" s="5">
        <v>9</v>
      </c>
      <c r="M249" s="5">
        <v>0</v>
      </c>
      <c r="N249" s="9">
        <v>0</v>
      </c>
      <c r="O249" s="8">
        <v>0</v>
      </c>
      <c r="P249" s="5">
        <v>0</v>
      </c>
      <c r="Q249" s="5">
        <v>0</v>
      </c>
      <c r="R249" s="9">
        <v>0</v>
      </c>
      <c r="S249" s="5">
        <v>0</v>
      </c>
      <c r="T249" s="5">
        <v>0</v>
      </c>
    </row>
    <row r="250" spans="1:20" x14ac:dyDescent="0.2">
      <c r="A250" s="5" t="s">
        <v>365</v>
      </c>
      <c r="B250" s="5" t="s">
        <v>162</v>
      </c>
      <c r="C250" s="8" t="s">
        <v>641</v>
      </c>
      <c r="D250" s="7">
        <f t="shared" si="0"/>
        <v>0.9</v>
      </c>
      <c r="E250" s="8">
        <v>0</v>
      </c>
      <c r="F250" s="5">
        <v>0</v>
      </c>
      <c r="G250" s="5">
        <v>0</v>
      </c>
      <c r="H250" s="5">
        <v>0</v>
      </c>
      <c r="I250" s="5">
        <v>0</v>
      </c>
      <c r="J250" s="9">
        <v>0</v>
      </c>
      <c r="K250" s="8">
        <v>1</v>
      </c>
      <c r="L250" s="5">
        <v>9</v>
      </c>
      <c r="M250" s="5">
        <v>0</v>
      </c>
      <c r="N250" s="9">
        <v>0</v>
      </c>
      <c r="O250" s="8">
        <v>0</v>
      </c>
      <c r="P250" s="5">
        <v>0</v>
      </c>
      <c r="Q250" s="5">
        <v>0</v>
      </c>
      <c r="R250" s="9">
        <v>0</v>
      </c>
      <c r="S250" s="5">
        <v>0</v>
      </c>
      <c r="T250" s="5">
        <v>0</v>
      </c>
    </row>
    <row r="251" spans="1:20" x14ac:dyDescent="0.2">
      <c r="A251" s="5" t="s">
        <v>91</v>
      </c>
      <c r="B251" s="5" t="s">
        <v>75</v>
      </c>
      <c r="C251" s="8" t="s">
        <v>645</v>
      </c>
      <c r="D251" s="7">
        <f t="shared" si="0"/>
        <v>0.70000000000000007</v>
      </c>
      <c r="E251" s="8">
        <v>0</v>
      </c>
      <c r="F251" s="5">
        <v>0</v>
      </c>
      <c r="G251" s="5">
        <v>0</v>
      </c>
      <c r="H251" s="5">
        <v>0</v>
      </c>
      <c r="I251" s="5">
        <v>0</v>
      </c>
      <c r="J251" s="9">
        <v>0</v>
      </c>
      <c r="K251" s="8">
        <v>2</v>
      </c>
      <c r="L251" s="5">
        <v>7</v>
      </c>
      <c r="M251" s="5">
        <v>0</v>
      </c>
      <c r="N251" s="9">
        <v>0</v>
      </c>
      <c r="O251" s="8">
        <v>0</v>
      </c>
      <c r="P251" s="5">
        <v>0</v>
      </c>
      <c r="Q251" s="5">
        <v>0</v>
      </c>
      <c r="R251" s="9">
        <v>0</v>
      </c>
      <c r="S251" s="5">
        <v>0</v>
      </c>
      <c r="T251" s="5">
        <v>0</v>
      </c>
    </row>
    <row r="252" spans="1:20" x14ac:dyDescent="0.2">
      <c r="A252" s="5" t="s">
        <v>112</v>
      </c>
      <c r="B252" s="5" t="s">
        <v>75</v>
      </c>
      <c r="C252" s="8" t="s">
        <v>637</v>
      </c>
      <c r="D252" s="7">
        <f t="shared" si="0"/>
        <v>0.5</v>
      </c>
      <c r="E252" s="8">
        <v>0</v>
      </c>
      <c r="F252" s="5">
        <v>0</v>
      </c>
      <c r="G252" s="5">
        <v>0</v>
      </c>
      <c r="H252" s="5">
        <v>0</v>
      </c>
      <c r="I252" s="5">
        <v>0</v>
      </c>
      <c r="J252" s="9">
        <v>0</v>
      </c>
      <c r="K252" s="8">
        <v>3</v>
      </c>
      <c r="L252" s="5">
        <v>5</v>
      </c>
      <c r="M252" s="5">
        <v>0</v>
      </c>
      <c r="N252" s="9">
        <v>0</v>
      </c>
      <c r="O252" s="8">
        <v>0</v>
      </c>
      <c r="P252" s="5">
        <v>0</v>
      </c>
      <c r="Q252" s="5">
        <v>0</v>
      </c>
      <c r="R252" s="9">
        <v>0</v>
      </c>
      <c r="S252" s="5">
        <v>0</v>
      </c>
      <c r="T252" s="5">
        <v>0</v>
      </c>
    </row>
    <row r="253" spans="1:20" x14ac:dyDescent="0.2">
      <c r="A253" s="5" t="s">
        <v>551</v>
      </c>
      <c r="B253" s="5" t="s">
        <v>75</v>
      </c>
      <c r="C253" s="8" t="s">
        <v>643</v>
      </c>
      <c r="D253" s="7">
        <f t="shared" si="0"/>
        <v>0.5</v>
      </c>
      <c r="E253" s="8">
        <v>0</v>
      </c>
      <c r="F253" s="5">
        <v>0</v>
      </c>
      <c r="G253" s="5">
        <v>0</v>
      </c>
      <c r="H253" s="5">
        <v>0</v>
      </c>
      <c r="I253" s="5">
        <v>0</v>
      </c>
      <c r="J253" s="9">
        <v>0</v>
      </c>
      <c r="K253" s="8">
        <v>2</v>
      </c>
      <c r="L253" s="5">
        <v>5</v>
      </c>
      <c r="M253" s="5">
        <v>0</v>
      </c>
      <c r="N253" s="9">
        <v>0</v>
      </c>
      <c r="O253" s="8">
        <v>0</v>
      </c>
      <c r="P253" s="5">
        <v>0</v>
      </c>
      <c r="Q253" s="5">
        <v>0</v>
      </c>
      <c r="R253" s="9">
        <v>0</v>
      </c>
      <c r="S253" s="5">
        <v>0</v>
      </c>
      <c r="T253" s="5">
        <v>0</v>
      </c>
    </row>
    <row r="254" spans="1:20" x14ac:dyDescent="0.2">
      <c r="A254" s="5" t="s">
        <v>153</v>
      </c>
      <c r="B254" s="5" t="s">
        <v>75</v>
      </c>
      <c r="C254" s="8" t="s">
        <v>641</v>
      </c>
      <c r="D254" s="7">
        <f t="shared" si="0"/>
        <v>0.5</v>
      </c>
      <c r="E254" s="8">
        <v>0</v>
      </c>
      <c r="F254" s="5">
        <v>0</v>
      </c>
      <c r="G254" s="5">
        <v>0</v>
      </c>
      <c r="H254" s="5">
        <v>0</v>
      </c>
      <c r="I254" s="5">
        <v>0</v>
      </c>
      <c r="J254" s="9">
        <v>0</v>
      </c>
      <c r="K254" s="8">
        <v>1</v>
      </c>
      <c r="L254" s="5">
        <v>5</v>
      </c>
      <c r="M254" s="5">
        <v>0</v>
      </c>
      <c r="N254" s="9">
        <v>0</v>
      </c>
      <c r="O254" s="8">
        <v>0</v>
      </c>
      <c r="P254" s="5">
        <v>0</v>
      </c>
      <c r="Q254" s="5">
        <v>0</v>
      </c>
      <c r="R254" s="9">
        <v>0</v>
      </c>
      <c r="S254" s="5">
        <v>0</v>
      </c>
      <c r="T254" s="5">
        <v>0</v>
      </c>
    </row>
    <row r="255" spans="1:20" x14ac:dyDescent="0.2">
      <c r="A255" s="5" t="s">
        <v>142</v>
      </c>
      <c r="B255" s="5" t="s">
        <v>75</v>
      </c>
      <c r="C255" s="6" t="s">
        <v>632</v>
      </c>
      <c r="D255" s="7">
        <f t="shared" si="0"/>
        <v>0.30000000000000004</v>
      </c>
      <c r="E255" s="8">
        <v>0</v>
      </c>
      <c r="F255" s="5">
        <v>0</v>
      </c>
      <c r="G255" s="5">
        <v>0</v>
      </c>
      <c r="H255" s="5">
        <v>0</v>
      </c>
      <c r="I255" s="5">
        <v>0</v>
      </c>
      <c r="J255" s="9">
        <v>0</v>
      </c>
      <c r="K255" s="8">
        <v>1</v>
      </c>
      <c r="L255" s="5">
        <v>3</v>
      </c>
      <c r="M255" s="5">
        <v>0</v>
      </c>
      <c r="N255" s="9">
        <v>0</v>
      </c>
      <c r="O255" s="8">
        <v>0</v>
      </c>
      <c r="P255" s="5">
        <v>0</v>
      </c>
      <c r="Q255" s="5">
        <v>0</v>
      </c>
      <c r="R255" s="9">
        <v>0</v>
      </c>
      <c r="S255" s="5">
        <v>0</v>
      </c>
      <c r="T255" s="5">
        <v>0</v>
      </c>
    </row>
    <row r="256" spans="1:20" x14ac:dyDescent="0.2">
      <c r="A256" s="5" t="s">
        <v>452</v>
      </c>
      <c r="B256" s="5" t="s">
        <v>17</v>
      </c>
      <c r="C256" s="8" t="s">
        <v>637</v>
      </c>
      <c r="D256" s="7">
        <f t="shared" si="0"/>
        <v>0.2</v>
      </c>
      <c r="E256" s="8">
        <v>2</v>
      </c>
      <c r="F256" s="5">
        <v>1</v>
      </c>
      <c r="G256" s="5">
        <v>5</v>
      </c>
      <c r="H256" s="5">
        <v>0</v>
      </c>
      <c r="I256" s="5">
        <v>0</v>
      </c>
      <c r="J256" s="9">
        <v>0</v>
      </c>
      <c r="K256" s="8">
        <v>0</v>
      </c>
      <c r="L256" s="5">
        <v>0</v>
      </c>
      <c r="M256" s="5">
        <v>0</v>
      </c>
      <c r="N256" s="9">
        <v>0</v>
      </c>
      <c r="O256" s="8">
        <v>0</v>
      </c>
      <c r="P256" s="5">
        <v>0</v>
      </c>
      <c r="Q256" s="5">
        <v>0</v>
      </c>
      <c r="R256" s="9">
        <v>0</v>
      </c>
      <c r="S256" s="5">
        <v>0</v>
      </c>
      <c r="T256" s="5">
        <v>0</v>
      </c>
    </row>
    <row r="257" spans="1:20" x14ac:dyDescent="0.2">
      <c r="A257" s="5" t="s">
        <v>155</v>
      </c>
      <c r="B257" s="5" t="s">
        <v>75</v>
      </c>
      <c r="C257" s="8" t="s">
        <v>638</v>
      </c>
      <c r="D257" s="7">
        <f t="shared" si="0"/>
        <v>0.2</v>
      </c>
      <c r="E257" s="8">
        <v>0</v>
      </c>
      <c r="F257" s="5">
        <v>0</v>
      </c>
      <c r="G257" s="5">
        <v>0</v>
      </c>
      <c r="H257" s="5">
        <v>0</v>
      </c>
      <c r="I257" s="5">
        <v>0</v>
      </c>
      <c r="J257" s="9">
        <v>0</v>
      </c>
      <c r="K257" s="8">
        <v>2</v>
      </c>
      <c r="L257" s="5">
        <v>2</v>
      </c>
      <c r="M257" s="5">
        <v>0</v>
      </c>
      <c r="N257" s="9">
        <v>0</v>
      </c>
      <c r="O257" s="8">
        <v>0</v>
      </c>
      <c r="P257" s="5">
        <v>0</v>
      </c>
      <c r="Q257" s="5">
        <v>0</v>
      </c>
      <c r="R257" s="9">
        <v>0</v>
      </c>
      <c r="S257" s="5">
        <v>0</v>
      </c>
      <c r="T257" s="5">
        <v>0</v>
      </c>
    </row>
    <row r="258" spans="1:20" x14ac:dyDescent="0.2">
      <c r="A258" s="5" t="s">
        <v>655</v>
      </c>
      <c r="B258" s="5" t="s">
        <v>75</v>
      </c>
      <c r="C258" s="8" t="s">
        <v>639</v>
      </c>
      <c r="D258" s="7">
        <f t="shared" ref="D258:D265" si="1">0.04*G258+4*H258-2*I258+2*J258+0.1*L258+6*M258+2*N258+1*O258+0.1*P258+6*Q258+2*R258-2*S258</f>
        <v>0.2</v>
      </c>
      <c r="E258" s="8">
        <v>0</v>
      </c>
      <c r="F258" s="5">
        <v>0</v>
      </c>
      <c r="G258" s="5">
        <v>0</v>
      </c>
      <c r="H258" s="5">
        <v>0</v>
      </c>
      <c r="I258" s="5">
        <v>0</v>
      </c>
      <c r="J258" s="9">
        <v>0</v>
      </c>
      <c r="K258" s="8">
        <v>1</v>
      </c>
      <c r="L258" s="5">
        <v>2</v>
      </c>
      <c r="M258" s="5">
        <v>0</v>
      </c>
      <c r="N258" s="9">
        <v>0</v>
      </c>
      <c r="O258" s="8">
        <v>0</v>
      </c>
      <c r="P258" s="5">
        <v>0</v>
      </c>
      <c r="Q258" s="5">
        <v>0</v>
      </c>
      <c r="R258" s="9">
        <v>0</v>
      </c>
      <c r="S258" s="5">
        <v>0</v>
      </c>
      <c r="T258" s="5">
        <v>0</v>
      </c>
    </row>
    <row r="259" spans="1:20" x14ac:dyDescent="0.2">
      <c r="A259" s="5" t="s">
        <v>337</v>
      </c>
      <c r="B259" s="5" t="s">
        <v>75</v>
      </c>
      <c r="C259" s="6" t="s">
        <v>644</v>
      </c>
      <c r="D259" s="7">
        <f t="shared" si="1"/>
        <v>0.2</v>
      </c>
      <c r="E259" s="8">
        <v>0</v>
      </c>
      <c r="F259" s="5">
        <v>0</v>
      </c>
      <c r="G259" s="5">
        <v>0</v>
      </c>
      <c r="H259" s="5">
        <v>0</v>
      </c>
      <c r="I259" s="5">
        <v>0</v>
      </c>
      <c r="J259" s="9">
        <v>0</v>
      </c>
      <c r="K259" s="8">
        <v>1</v>
      </c>
      <c r="L259" s="5">
        <v>2</v>
      </c>
      <c r="M259" s="5">
        <v>0</v>
      </c>
      <c r="N259" s="9">
        <v>0</v>
      </c>
      <c r="O259" s="8">
        <v>0</v>
      </c>
      <c r="P259" s="5">
        <v>0</v>
      </c>
      <c r="Q259" s="5">
        <v>0</v>
      </c>
      <c r="R259" s="9">
        <v>0</v>
      </c>
      <c r="S259" s="5">
        <v>0</v>
      </c>
      <c r="T259" s="5">
        <v>0</v>
      </c>
    </row>
    <row r="260" spans="1:20" x14ac:dyDescent="0.2">
      <c r="A260" s="5" t="s">
        <v>553</v>
      </c>
      <c r="B260" s="5" t="s">
        <v>17</v>
      </c>
      <c r="C260" s="6" t="s">
        <v>645</v>
      </c>
      <c r="D260" s="7">
        <f t="shared" si="1"/>
        <v>0</v>
      </c>
      <c r="E260" s="8">
        <v>1</v>
      </c>
      <c r="F260" s="5">
        <v>0</v>
      </c>
      <c r="G260" s="5">
        <v>0</v>
      </c>
      <c r="H260" s="5">
        <v>0</v>
      </c>
      <c r="I260" s="5">
        <v>0</v>
      </c>
      <c r="J260" s="9">
        <v>0</v>
      </c>
      <c r="K260" s="8">
        <v>0</v>
      </c>
      <c r="L260" s="5">
        <v>0</v>
      </c>
      <c r="M260" s="5">
        <v>0</v>
      </c>
      <c r="N260" s="9">
        <v>0</v>
      </c>
      <c r="O260" s="8">
        <v>0</v>
      </c>
      <c r="P260" s="5">
        <v>0</v>
      </c>
      <c r="Q260" s="5">
        <v>0</v>
      </c>
      <c r="R260" s="9">
        <v>0</v>
      </c>
      <c r="S260" s="5">
        <v>0</v>
      </c>
      <c r="T260" s="5">
        <v>0</v>
      </c>
    </row>
    <row r="261" spans="1:20" x14ac:dyDescent="0.2">
      <c r="A261" s="5" t="s">
        <v>67</v>
      </c>
      <c r="B261" s="5" t="s">
        <v>17</v>
      </c>
      <c r="C261" s="6" t="s">
        <v>637</v>
      </c>
      <c r="D261" s="7">
        <f t="shared" si="1"/>
        <v>-6.0000000000000053E-2</v>
      </c>
      <c r="E261" s="8">
        <v>2</v>
      </c>
      <c r="F261" s="5">
        <v>1</v>
      </c>
      <c r="G261" s="5">
        <v>6</v>
      </c>
      <c r="H261" s="5">
        <v>0</v>
      </c>
      <c r="I261" s="5">
        <v>0</v>
      </c>
      <c r="J261" s="9">
        <v>0</v>
      </c>
      <c r="K261" s="8">
        <v>3</v>
      </c>
      <c r="L261" s="5">
        <v>-3</v>
      </c>
      <c r="M261" s="5">
        <v>0</v>
      </c>
      <c r="N261" s="9">
        <v>0</v>
      </c>
      <c r="O261" s="8">
        <v>0</v>
      </c>
      <c r="P261" s="5">
        <v>0</v>
      </c>
      <c r="Q261" s="5">
        <v>0</v>
      </c>
      <c r="R261" s="9">
        <v>0</v>
      </c>
      <c r="S261" s="5">
        <v>0</v>
      </c>
      <c r="T261" s="5">
        <v>0</v>
      </c>
    </row>
    <row r="262" spans="1:20" x14ac:dyDescent="0.2">
      <c r="A262" s="5" t="s">
        <v>656</v>
      </c>
      <c r="B262" s="5" t="s">
        <v>17</v>
      </c>
      <c r="C262" s="8" t="s">
        <v>635</v>
      </c>
      <c r="D262" s="7">
        <f t="shared" si="1"/>
        <v>-0.1</v>
      </c>
      <c r="E262" s="8">
        <v>0</v>
      </c>
      <c r="F262" s="5">
        <v>0</v>
      </c>
      <c r="G262" s="5">
        <v>0</v>
      </c>
      <c r="H262" s="5">
        <v>0</v>
      </c>
      <c r="I262" s="5">
        <v>0</v>
      </c>
      <c r="J262" s="9">
        <v>0</v>
      </c>
      <c r="K262" s="8">
        <v>1</v>
      </c>
      <c r="L262" s="5">
        <v>-1</v>
      </c>
      <c r="M262" s="5">
        <v>0</v>
      </c>
      <c r="N262" s="9">
        <v>0</v>
      </c>
      <c r="O262" s="8">
        <v>0</v>
      </c>
      <c r="P262" s="5">
        <v>0</v>
      </c>
      <c r="Q262" s="5">
        <v>0</v>
      </c>
      <c r="R262" s="9">
        <v>0</v>
      </c>
      <c r="S262" s="5">
        <v>0</v>
      </c>
      <c r="T262" s="5">
        <v>0</v>
      </c>
    </row>
    <row r="263" spans="1:20" x14ac:dyDescent="0.2">
      <c r="A263" s="5" t="s">
        <v>254</v>
      </c>
      <c r="B263" s="5" t="s">
        <v>162</v>
      </c>
      <c r="C263" s="6" t="s">
        <v>639</v>
      </c>
      <c r="D263" s="7">
        <f t="shared" si="1"/>
        <v>-0.30000000000000004</v>
      </c>
      <c r="E263" s="8">
        <v>0</v>
      </c>
      <c r="F263" s="5">
        <v>0</v>
      </c>
      <c r="G263" s="5">
        <v>0</v>
      </c>
      <c r="H263" s="5">
        <v>0</v>
      </c>
      <c r="I263" s="5">
        <v>0</v>
      </c>
      <c r="J263" s="9">
        <v>0</v>
      </c>
      <c r="K263" s="8">
        <v>1</v>
      </c>
      <c r="L263" s="5">
        <v>-3</v>
      </c>
      <c r="M263" s="5">
        <v>0</v>
      </c>
      <c r="N263" s="9">
        <v>0</v>
      </c>
      <c r="O263" s="8">
        <v>0</v>
      </c>
      <c r="P263" s="5">
        <v>0</v>
      </c>
      <c r="Q263" s="5">
        <v>0</v>
      </c>
      <c r="R263" s="9">
        <v>0</v>
      </c>
      <c r="S263" s="5">
        <v>0</v>
      </c>
      <c r="T263" s="5">
        <v>0</v>
      </c>
    </row>
    <row r="264" spans="1:20" x14ac:dyDescent="0.2">
      <c r="A264" s="5" t="s">
        <v>488</v>
      </c>
      <c r="B264" s="5" t="s">
        <v>17</v>
      </c>
      <c r="C264" s="8" t="s">
        <v>644</v>
      </c>
      <c r="D264" s="7">
        <f t="shared" si="1"/>
        <v>-1</v>
      </c>
      <c r="E264" s="8">
        <v>7</v>
      </c>
      <c r="F264" s="5">
        <v>3</v>
      </c>
      <c r="G264" s="5">
        <v>25</v>
      </c>
      <c r="H264" s="5">
        <v>0</v>
      </c>
      <c r="I264" s="5">
        <v>1</v>
      </c>
      <c r="J264" s="9">
        <v>0</v>
      </c>
      <c r="K264" s="8">
        <v>0</v>
      </c>
      <c r="L264" s="5">
        <v>0</v>
      </c>
      <c r="M264" s="5">
        <v>0</v>
      </c>
      <c r="N264" s="9">
        <v>0</v>
      </c>
      <c r="O264" s="8">
        <v>0</v>
      </c>
      <c r="P264" s="5">
        <v>0</v>
      </c>
      <c r="Q264" s="5">
        <v>0</v>
      </c>
      <c r="R264" s="9">
        <v>0</v>
      </c>
      <c r="S264" s="5">
        <v>0</v>
      </c>
      <c r="T264" s="5">
        <v>0</v>
      </c>
    </row>
    <row r="265" spans="1:20" x14ac:dyDescent="0.2">
      <c r="A265" s="5" t="s">
        <v>657</v>
      </c>
      <c r="B265" s="5" t="s">
        <v>162</v>
      </c>
      <c r="C265" s="6" t="s">
        <v>645</v>
      </c>
      <c r="D265" s="7">
        <f t="shared" si="1"/>
        <v>-2</v>
      </c>
      <c r="E265" s="8">
        <v>0</v>
      </c>
      <c r="F265" s="5">
        <v>0</v>
      </c>
      <c r="G265" s="5">
        <v>0</v>
      </c>
      <c r="H265" s="5">
        <v>0</v>
      </c>
      <c r="I265" s="5">
        <v>0</v>
      </c>
      <c r="J265" s="9">
        <v>0</v>
      </c>
      <c r="K265" s="8">
        <v>0</v>
      </c>
      <c r="L265" s="5">
        <v>0</v>
      </c>
      <c r="M265" s="5">
        <v>0</v>
      </c>
      <c r="N265" s="9">
        <v>0</v>
      </c>
      <c r="O265" s="8">
        <v>0</v>
      </c>
      <c r="P265" s="5">
        <v>0</v>
      </c>
      <c r="Q265" s="5">
        <v>0</v>
      </c>
      <c r="R265" s="9">
        <v>0</v>
      </c>
      <c r="S265" s="5">
        <v>1</v>
      </c>
      <c r="T265" s="5">
        <v>0</v>
      </c>
    </row>
    <row r="266" spans="1:20" x14ac:dyDescent="0.2">
      <c r="A266" s="5" t="s">
        <v>320</v>
      </c>
      <c r="B266" s="5"/>
      <c r="C266" s="10"/>
      <c r="D266" s="5">
        <v>0</v>
      </c>
      <c r="E266" s="8"/>
      <c r="F266" s="5"/>
      <c r="G266" s="5"/>
      <c r="H266" s="5"/>
      <c r="I266" s="5"/>
      <c r="J266" s="9"/>
      <c r="K266" s="8"/>
      <c r="L266" s="5"/>
      <c r="M266" s="5"/>
      <c r="N266" s="9"/>
      <c r="O266" s="8"/>
      <c r="P266" s="5"/>
      <c r="Q266" s="5"/>
      <c r="R266" s="9"/>
      <c r="S266" s="8"/>
      <c r="T266" s="9"/>
    </row>
    <row r="267" spans="1:20" x14ac:dyDescent="0.2">
      <c r="C267" s="8"/>
      <c r="D267" s="7"/>
      <c r="E267" s="8"/>
      <c r="J267" s="9"/>
      <c r="K267" s="8"/>
      <c r="N267" s="9"/>
      <c r="O267" s="8"/>
      <c r="R267" s="9"/>
    </row>
    <row r="268" spans="1:20" x14ac:dyDescent="0.2">
      <c r="C268" s="8"/>
      <c r="D268" s="7"/>
      <c r="E268" s="8"/>
      <c r="J268" s="9"/>
      <c r="K268" s="8"/>
      <c r="N268" s="9"/>
      <c r="O268" s="8"/>
      <c r="R268" s="9"/>
    </row>
    <row r="269" spans="1:20" x14ac:dyDescent="0.2">
      <c r="C269" s="8"/>
      <c r="D269" s="7"/>
      <c r="E269" s="8"/>
      <c r="J269" s="9"/>
      <c r="K269" s="8"/>
      <c r="N269" s="9"/>
      <c r="O269" s="8"/>
      <c r="R269" s="9"/>
    </row>
    <row r="270" spans="1:20" x14ac:dyDescent="0.2">
      <c r="C270" s="8"/>
      <c r="D270" s="7"/>
      <c r="E270" s="8"/>
      <c r="J270" s="9"/>
      <c r="K270" s="8"/>
      <c r="N270" s="9"/>
      <c r="O270" s="8"/>
      <c r="R270" s="9"/>
    </row>
  </sheetData>
  <autoFilter ref="A2:T266" xr:uid="{00000000-0009-0000-0000-000009000000}">
    <sortState xmlns:xlrd2="http://schemas.microsoft.com/office/spreadsheetml/2017/richdata2" ref="A2:T266">
      <sortCondition descending="1" ref="D2:D266"/>
    </sortState>
  </autoFilter>
  <mergeCells count="4">
    <mergeCell ref="E1:J1"/>
    <mergeCell ref="K1:N1"/>
    <mergeCell ref="O1:R1"/>
    <mergeCell ref="S1:T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T270"/>
  <sheetViews>
    <sheetView workbookViewId="0"/>
  </sheetViews>
  <sheetFormatPr defaultColWidth="12.5703125" defaultRowHeight="15.75" customHeight="1" x14ac:dyDescent="0.2"/>
  <cols>
    <col min="1" max="1" width="20.85546875" customWidth="1"/>
    <col min="2" max="2" width="9.85546875" customWidth="1"/>
    <col min="3" max="3" width="10" customWidth="1"/>
    <col min="4" max="4" width="5.85546875" customWidth="1"/>
    <col min="5" max="6" width="7.140625" customWidth="1"/>
    <col min="7" max="7" width="6.28515625" customWidth="1"/>
    <col min="8" max="8" width="5.85546875" customWidth="1"/>
    <col min="9" max="9" width="5.5703125" customWidth="1"/>
    <col min="10" max="10" width="6" customWidth="1"/>
    <col min="11" max="11" width="7.42578125" customWidth="1"/>
    <col min="12" max="12" width="6.28515625" customWidth="1"/>
    <col min="13" max="13" width="5.42578125" customWidth="1"/>
    <col min="14" max="14" width="6" customWidth="1"/>
    <col min="15" max="15" width="8.85546875" customWidth="1"/>
    <col min="16" max="16" width="6.28515625" customWidth="1"/>
    <col min="17" max="17" width="5.5703125" customWidth="1"/>
    <col min="18" max="18" width="6" customWidth="1"/>
    <col min="19" max="19" width="7" customWidth="1"/>
    <col min="20" max="20" width="5.42578125" customWidth="1"/>
  </cols>
  <sheetData>
    <row r="1" spans="1:20" x14ac:dyDescent="0.2">
      <c r="A1" s="2"/>
      <c r="B1" s="1"/>
      <c r="C1" s="11"/>
      <c r="D1" s="11"/>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4" t="s">
        <v>6</v>
      </c>
      <c r="D2" s="14" t="s">
        <v>658</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32</v>
      </c>
      <c r="B3" s="5" t="s">
        <v>17</v>
      </c>
      <c r="C3" s="10" t="s">
        <v>659</v>
      </c>
      <c r="D3" s="7">
        <f t="shared" ref="D3:D257" si="0">0.04*G3+4*H3-2*I3+2*J3+0.1*L3+6*M3+2*N3+1*O3+0.1*P3+6*Q3+2*R3-2*S3</f>
        <v>32.18</v>
      </c>
      <c r="E3" s="8">
        <v>32</v>
      </c>
      <c r="F3" s="5">
        <v>24</v>
      </c>
      <c r="G3" s="5">
        <v>262</v>
      </c>
      <c r="H3" s="5">
        <v>2</v>
      </c>
      <c r="I3" s="5">
        <v>0</v>
      </c>
      <c r="J3" s="9">
        <v>0</v>
      </c>
      <c r="K3" s="8">
        <v>5</v>
      </c>
      <c r="L3" s="5">
        <v>17</v>
      </c>
      <c r="M3" s="5">
        <v>2</v>
      </c>
      <c r="N3" s="9">
        <v>0</v>
      </c>
      <c r="O3" s="8">
        <v>0</v>
      </c>
      <c r="P3" s="5">
        <v>0</v>
      </c>
      <c r="Q3" s="5">
        <v>0</v>
      </c>
      <c r="R3" s="9">
        <v>0</v>
      </c>
      <c r="S3" s="8">
        <v>0</v>
      </c>
      <c r="T3" s="9">
        <v>0</v>
      </c>
    </row>
    <row r="4" spans="1:20" x14ac:dyDescent="0.2">
      <c r="A4" s="5" t="s">
        <v>33</v>
      </c>
      <c r="B4" s="5" t="s">
        <v>17</v>
      </c>
      <c r="C4" s="10" t="s">
        <v>660</v>
      </c>
      <c r="D4" s="7">
        <f t="shared" si="0"/>
        <v>26.72</v>
      </c>
      <c r="E4" s="8">
        <v>25</v>
      </c>
      <c r="F4" s="5">
        <v>21</v>
      </c>
      <c r="G4" s="5">
        <v>333</v>
      </c>
      <c r="H4" s="5">
        <v>3</v>
      </c>
      <c r="I4" s="5">
        <v>0</v>
      </c>
      <c r="J4" s="9">
        <v>0</v>
      </c>
      <c r="K4" s="8">
        <v>4</v>
      </c>
      <c r="L4" s="5">
        <v>14</v>
      </c>
      <c r="M4" s="5">
        <v>0</v>
      </c>
      <c r="N4" s="9">
        <v>0</v>
      </c>
      <c r="O4" s="8">
        <v>0</v>
      </c>
      <c r="P4" s="5">
        <v>0</v>
      </c>
      <c r="Q4" s="5">
        <v>0</v>
      </c>
      <c r="R4" s="9">
        <v>0</v>
      </c>
      <c r="S4" s="8">
        <v>0</v>
      </c>
      <c r="T4" s="9">
        <v>0</v>
      </c>
    </row>
    <row r="5" spans="1:20" x14ac:dyDescent="0.2">
      <c r="A5" s="5" t="s">
        <v>25</v>
      </c>
      <c r="B5" s="5" t="s">
        <v>17</v>
      </c>
      <c r="C5" s="17" t="s">
        <v>661</v>
      </c>
      <c r="D5" s="7">
        <f t="shared" si="0"/>
        <v>25.7</v>
      </c>
      <c r="E5" s="8">
        <v>36</v>
      </c>
      <c r="F5" s="5">
        <v>21</v>
      </c>
      <c r="G5" s="5">
        <v>260</v>
      </c>
      <c r="H5" s="5">
        <v>2</v>
      </c>
      <c r="I5" s="5">
        <v>0</v>
      </c>
      <c r="J5" s="9">
        <v>0</v>
      </c>
      <c r="K5" s="8">
        <v>8</v>
      </c>
      <c r="L5" s="5">
        <v>73</v>
      </c>
      <c r="M5" s="5">
        <v>0</v>
      </c>
      <c r="N5" s="9">
        <v>0</v>
      </c>
      <c r="O5" s="8">
        <v>0</v>
      </c>
      <c r="P5" s="5">
        <v>0</v>
      </c>
      <c r="Q5" s="5">
        <v>0</v>
      </c>
      <c r="R5" s="9">
        <v>0</v>
      </c>
      <c r="S5" s="8">
        <v>0</v>
      </c>
      <c r="T5" s="9">
        <v>0</v>
      </c>
    </row>
    <row r="6" spans="1:20" x14ac:dyDescent="0.2">
      <c r="A6" s="5" t="s">
        <v>48</v>
      </c>
      <c r="B6" s="5" t="s">
        <v>17</v>
      </c>
      <c r="C6" s="10" t="s">
        <v>662</v>
      </c>
      <c r="D6" s="7">
        <f t="shared" si="0"/>
        <v>22.5</v>
      </c>
      <c r="E6" s="8">
        <v>32</v>
      </c>
      <c r="F6" s="5">
        <v>20</v>
      </c>
      <c r="G6" s="5">
        <v>275</v>
      </c>
      <c r="H6" s="5">
        <v>3</v>
      </c>
      <c r="I6" s="5">
        <v>1</v>
      </c>
      <c r="J6" s="9">
        <v>0</v>
      </c>
      <c r="K6" s="8">
        <v>5</v>
      </c>
      <c r="L6" s="5">
        <v>15</v>
      </c>
      <c r="M6" s="5">
        <v>0</v>
      </c>
      <c r="N6" s="9">
        <v>0</v>
      </c>
      <c r="O6" s="8">
        <v>0</v>
      </c>
      <c r="P6" s="5">
        <v>0</v>
      </c>
      <c r="Q6" s="5">
        <v>0</v>
      </c>
      <c r="R6" s="9">
        <v>0</v>
      </c>
      <c r="S6" s="8">
        <v>0</v>
      </c>
      <c r="T6" s="9">
        <v>0</v>
      </c>
    </row>
    <row r="7" spans="1:20" x14ac:dyDescent="0.2">
      <c r="A7" s="5" t="s">
        <v>605</v>
      </c>
      <c r="B7" s="5" t="s">
        <v>17</v>
      </c>
      <c r="C7" s="17" t="s">
        <v>663</v>
      </c>
      <c r="D7" s="7">
        <f t="shared" si="0"/>
        <v>22.54</v>
      </c>
      <c r="E7" s="8">
        <v>26</v>
      </c>
      <c r="F7" s="5">
        <v>18</v>
      </c>
      <c r="G7" s="5">
        <v>246</v>
      </c>
      <c r="H7" s="5">
        <v>3</v>
      </c>
      <c r="I7" s="5">
        <v>0</v>
      </c>
      <c r="J7" s="9">
        <v>0</v>
      </c>
      <c r="K7" s="8">
        <v>1</v>
      </c>
      <c r="L7" s="5">
        <v>7</v>
      </c>
      <c r="M7" s="5">
        <v>0</v>
      </c>
      <c r="N7" s="9">
        <v>0</v>
      </c>
      <c r="O7" s="8">
        <v>0</v>
      </c>
      <c r="P7" s="5">
        <v>0</v>
      </c>
      <c r="Q7" s="5">
        <v>0</v>
      </c>
      <c r="R7" s="9">
        <v>0</v>
      </c>
      <c r="S7" s="8">
        <v>0</v>
      </c>
      <c r="T7" s="9">
        <v>0</v>
      </c>
    </row>
    <row r="8" spans="1:20" x14ac:dyDescent="0.2">
      <c r="A8" s="5" t="s">
        <v>58</v>
      </c>
      <c r="B8" s="5" t="s">
        <v>17</v>
      </c>
      <c r="C8" s="10" t="s">
        <v>664</v>
      </c>
      <c r="D8" s="7">
        <f t="shared" si="0"/>
        <v>23.96</v>
      </c>
      <c r="E8" s="8">
        <v>26</v>
      </c>
      <c r="F8" s="5">
        <v>16</v>
      </c>
      <c r="G8" s="5">
        <v>264</v>
      </c>
      <c r="H8" s="5">
        <v>2</v>
      </c>
      <c r="I8" s="5">
        <v>0</v>
      </c>
      <c r="J8" s="9">
        <v>0</v>
      </c>
      <c r="K8" s="8">
        <v>9</v>
      </c>
      <c r="L8" s="5">
        <v>54</v>
      </c>
      <c r="M8" s="5">
        <v>0</v>
      </c>
      <c r="N8" s="9">
        <v>0</v>
      </c>
      <c r="O8" s="8">
        <v>0</v>
      </c>
      <c r="P8" s="5">
        <v>0</v>
      </c>
      <c r="Q8" s="5">
        <v>0</v>
      </c>
      <c r="R8" s="9">
        <v>0</v>
      </c>
      <c r="S8" s="8">
        <v>0</v>
      </c>
      <c r="T8" s="9">
        <v>0</v>
      </c>
    </row>
    <row r="9" spans="1:20" x14ac:dyDescent="0.2">
      <c r="A9" s="5" t="s">
        <v>21</v>
      </c>
      <c r="B9" s="5" t="s">
        <v>17</v>
      </c>
      <c r="C9" s="10" t="s">
        <v>661</v>
      </c>
      <c r="D9" s="7">
        <f t="shared" si="0"/>
        <v>20.880000000000003</v>
      </c>
      <c r="E9" s="8">
        <v>40</v>
      </c>
      <c r="F9" s="5">
        <v>27</v>
      </c>
      <c r="G9" s="5">
        <v>322</v>
      </c>
      <c r="H9" s="5">
        <v>2</v>
      </c>
      <c r="I9" s="5">
        <v>0</v>
      </c>
      <c r="J9" s="9">
        <v>0</v>
      </c>
      <c r="K9" s="8">
        <v>3</v>
      </c>
      <c r="L9" s="5">
        <v>0</v>
      </c>
      <c r="M9" s="5">
        <v>0</v>
      </c>
      <c r="N9" s="9">
        <v>0</v>
      </c>
      <c r="O9" s="8">
        <v>0</v>
      </c>
      <c r="P9" s="5">
        <v>0</v>
      </c>
      <c r="Q9" s="5">
        <v>0</v>
      </c>
      <c r="R9" s="9">
        <v>0</v>
      </c>
      <c r="S9" s="8">
        <v>0</v>
      </c>
      <c r="T9" s="9">
        <v>0</v>
      </c>
    </row>
    <row r="10" spans="1:20" x14ac:dyDescent="0.2">
      <c r="A10" s="5" t="s">
        <v>642</v>
      </c>
      <c r="B10" s="5" t="s">
        <v>17</v>
      </c>
      <c r="C10" s="17" t="s">
        <v>665</v>
      </c>
      <c r="D10" s="7">
        <f t="shared" si="0"/>
        <v>21.66</v>
      </c>
      <c r="E10" s="8">
        <v>30</v>
      </c>
      <c r="F10" s="5">
        <v>20</v>
      </c>
      <c r="G10" s="5">
        <v>214</v>
      </c>
      <c r="H10" s="5">
        <v>1</v>
      </c>
      <c r="I10" s="5">
        <v>1</v>
      </c>
      <c r="J10" s="9">
        <v>0</v>
      </c>
      <c r="K10" s="8">
        <v>7</v>
      </c>
      <c r="L10" s="5">
        <v>51</v>
      </c>
      <c r="M10" s="5">
        <v>1</v>
      </c>
      <c r="N10" s="9">
        <v>0</v>
      </c>
      <c r="O10" s="8">
        <v>0</v>
      </c>
      <c r="P10" s="5">
        <v>0</v>
      </c>
      <c r="Q10" s="5">
        <v>0</v>
      </c>
      <c r="R10" s="9">
        <v>0</v>
      </c>
      <c r="S10" s="8">
        <v>0</v>
      </c>
      <c r="T10" s="9">
        <v>0</v>
      </c>
    </row>
    <row r="11" spans="1:20" x14ac:dyDescent="0.2">
      <c r="A11" s="5" t="s">
        <v>43</v>
      </c>
      <c r="B11" s="5" t="s">
        <v>17</v>
      </c>
      <c r="C11" s="17" t="s">
        <v>666</v>
      </c>
      <c r="D11" s="7">
        <f t="shared" si="0"/>
        <v>21.16</v>
      </c>
      <c r="E11" s="8">
        <v>23</v>
      </c>
      <c r="F11" s="5">
        <v>16</v>
      </c>
      <c r="G11" s="5">
        <v>169</v>
      </c>
      <c r="H11" s="5">
        <v>1</v>
      </c>
      <c r="I11" s="5">
        <v>0</v>
      </c>
      <c r="J11" s="9">
        <v>0</v>
      </c>
      <c r="K11" s="8">
        <v>18</v>
      </c>
      <c r="L11" s="5">
        <v>104</v>
      </c>
      <c r="M11" s="5">
        <v>0</v>
      </c>
      <c r="N11" s="9">
        <v>0</v>
      </c>
      <c r="O11" s="8">
        <v>0</v>
      </c>
      <c r="P11" s="5">
        <v>0</v>
      </c>
      <c r="Q11" s="5">
        <v>0</v>
      </c>
      <c r="R11" s="9">
        <v>0</v>
      </c>
      <c r="S11" s="8">
        <v>0</v>
      </c>
      <c r="T11" s="9">
        <v>0</v>
      </c>
    </row>
    <row r="12" spans="1:20" x14ac:dyDescent="0.2">
      <c r="A12" s="5" t="s">
        <v>16</v>
      </c>
      <c r="B12" s="5" t="s">
        <v>17</v>
      </c>
      <c r="C12" s="10" t="s">
        <v>667</v>
      </c>
      <c r="D12" s="7">
        <f t="shared" si="0"/>
        <v>17.600000000000001</v>
      </c>
      <c r="E12" s="8">
        <v>39</v>
      </c>
      <c r="F12" s="5">
        <v>28</v>
      </c>
      <c r="G12" s="5">
        <v>325</v>
      </c>
      <c r="H12" s="5">
        <v>2</v>
      </c>
      <c r="I12" s="5">
        <v>1</v>
      </c>
      <c r="J12" s="9">
        <v>0</v>
      </c>
      <c r="K12" s="8">
        <v>2</v>
      </c>
      <c r="L12" s="5">
        <v>6</v>
      </c>
      <c r="M12" s="5">
        <v>0</v>
      </c>
      <c r="N12" s="9">
        <v>0</v>
      </c>
      <c r="O12" s="8">
        <v>0</v>
      </c>
      <c r="P12" s="5">
        <v>0</v>
      </c>
      <c r="Q12" s="5">
        <v>0</v>
      </c>
      <c r="R12" s="9">
        <v>0</v>
      </c>
      <c r="S12" s="8">
        <v>1</v>
      </c>
      <c r="T12" s="9">
        <v>0</v>
      </c>
    </row>
    <row r="13" spans="1:20" x14ac:dyDescent="0.2">
      <c r="A13" s="5" t="s">
        <v>23</v>
      </c>
      <c r="B13" s="5" t="s">
        <v>17</v>
      </c>
      <c r="C13" s="10" t="s">
        <v>668</v>
      </c>
      <c r="D13" s="7">
        <f t="shared" si="0"/>
        <v>16.88</v>
      </c>
      <c r="E13" s="8">
        <v>43</v>
      </c>
      <c r="F13" s="5">
        <v>24</v>
      </c>
      <c r="G13" s="5">
        <v>177</v>
      </c>
      <c r="H13" s="5">
        <v>2</v>
      </c>
      <c r="I13" s="5">
        <v>1</v>
      </c>
      <c r="J13" s="9">
        <v>0</v>
      </c>
      <c r="K13" s="8">
        <v>6</v>
      </c>
      <c r="L13" s="5">
        <v>38</v>
      </c>
      <c r="M13" s="5">
        <v>0</v>
      </c>
      <c r="N13" s="9">
        <v>0</v>
      </c>
      <c r="O13" s="8">
        <v>0</v>
      </c>
      <c r="P13" s="5">
        <v>0</v>
      </c>
      <c r="Q13" s="5">
        <v>0</v>
      </c>
      <c r="R13" s="9">
        <v>0</v>
      </c>
      <c r="S13" s="8">
        <v>0</v>
      </c>
      <c r="T13" s="9">
        <v>0</v>
      </c>
    </row>
    <row r="14" spans="1:20" x14ac:dyDescent="0.2">
      <c r="A14" s="5" t="s">
        <v>63</v>
      </c>
      <c r="B14" s="5" t="s">
        <v>17</v>
      </c>
      <c r="C14" s="17" t="s">
        <v>669</v>
      </c>
      <c r="D14" s="7">
        <f t="shared" si="0"/>
        <v>16.939999999999998</v>
      </c>
      <c r="E14" s="8">
        <v>32</v>
      </c>
      <c r="F14" s="5">
        <v>20</v>
      </c>
      <c r="G14" s="5">
        <v>221</v>
      </c>
      <c r="H14" s="5">
        <v>1</v>
      </c>
      <c r="I14" s="5">
        <v>1</v>
      </c>
      <c r="J14" s="9">
        <v>0</v>
      </c>
      <c r="K14" s="8">
        <v>8</v>
      </c>
      <c r="L14" s="5">
        <v>21</v>
      </c>
      <c r="M14" s="5">
        <v>1</v>
      </c>
      <c r="N14" s="9">
        <v>0</v>
      </c>
      <c r="O14" s="8">
        <v>0</v>
      </c>
      <c r="P14" s="5">
        <v>0</v>
      </c>
      <c r="Q14" s="5">
        <v>0</v>
      </c>
      <c r="R14" s="9">
        <v>0</v>
      </c>
      <c r="S14" s="8">
        <v>1</v>
      </c>
      <c r="T14" s="9">
        <v>0</v>
      </c>
    </row>
    <row r="15" spans="1:20" x14ac:dyDescent="0.2">
      <c r="A15" s="5" t="s">
        <v>39</v>
      </c>
      <c r="B15" s="5" t="s">
        <v>17</v>
      </c>
      <c r="C15" s="10" t="s">
        <v>663</v>
      </c>
      <c r="D15" s="7">
        <f t="shared" si="0"/>
        <v>17.700000000000003</v>
      </c>
      <c r="E15" s="8">
        <v>45</v>
      </c>
      <c r="F15" s="5">
        <v>31</v>
      </c>
      <c r="G15" s="5">
        <v>255</v>
      </c>
      <c r="H15" s="5">
        <v>1</v>
      </c>
      <c r="I15" s="5">
        <v>3</v>
      </c>
      <c r="J15" s="9">
        <v>0</v>
      </c>
      <c r="K15" s="8">
        <v>3</v>
      </c>
      <c r="L15" s="5">
        <v>35</v>
      </c>
      <c r="M15" s="5">
        <v>1</v>
      </c>
      <c r="N15" s="9">
        <v>0</v>
      </c>
      <c r="O15" s="8">
        <v>0</v>
      </c>
      <c r="P15" s="5">
        <v>0</v>
      </c>
      <c r="Q15" s="5">
        <v>0</v>
      </c>
      <c r="R15" s="9">
        <v>0</v>
      </c>
      <c r="S15" s="8">
        <v>0</v>
      </c>
      <c r="T15" s="9">
        <v>0</v>
      </c>
    </row>
    <row r="16" spans="1:20" x14ac:dyDescent="0.2">
      <c r="A16" s="5" t="s">
        <v>59</v>
      </c>
      <c r="B16" s="5" t="s">
        <v>17</v>
      </c>
      <c r="C16" s="17" t="s">
        <v>670</v>
      </c>
      <c r="D16" s="7">
        <f t="shared" si="0"/>
        <v>16.16</v>
      </c>
      <c r="E16" s="8">
        <v>38</v>
      </c>
      <c r="F16" s="5">
        <v>25</v>
      </c>
      <c r="G16" s="5">
        <v>189</v>
      </c>
      <c r="H16" s="5">
        <v>2</v>
      </c>
      <c r="I16" s="5">
        <v>0</v>
      </c>
      <c r="J16" s="9">
        <v>0</v>
      </c>
      <c r="K16" s="8">
        <v>2</v>
      </c>
      <c r="L16" s="5">
        <v>6</v>
      </c>
      <c r="M16" s="5">
        <v>0</v>
      </c>
      <c r="N16" s="9">
        <v>0</v>
      </c>
      <c r="O16" s="8">
        <v>0</v>
      </c>
      <c r="P16" s="5">
        <v>0</v>
      </c>
      <c r="Q16" s="5">
        <v>0</v>
      </c>
      <c r="R16" s="9">
        <v>0</v>
      </c>
      <c r="S16" s="8">
        <v>0</v>
      </c>
      <c r="T16" s="9">
        <v>0</v>
      </c>
    </row>
    <row r="17" spans="1:20" x14ac:dyDescent="0.2">
      <c r="A17" s="5" t="s">
        <v>53</v>
      </c>
      <c r="B17" s="5" t="s">
        <v>17</v>
      </c>
      <c r="C17" s="10" t="s">
        <v>665</v>
      </c>
      <c r="D17" s="7">
        <f t="shared" si="0"/>
        <v>15.339999999999998</v>
      </c>
      <c r="E17" s="8">
        <v>37</v>
      </c>
      <c r="F17" s="5">
        <v>27</v>
      </c>
      <c r="G17" s="5">
        <v>336</v>
      </c>
      <c r="H17" s="5">
        <v>2</v>
      </c>
      <c r="I17" s="5">
        <v>3</v>
      </c>
      <c r="J17" s="9">
        <v>0</v>
      </c>
      <c r="K17" s="8">
        <v>1</v>
      </c>
      <c r="L17" s="5">
        <v>-1</v>
      </c>
      <c r="M17" s="5">
        <v>0</v>
      </c>
      <c r="N17" s="9">
        <v>0</v>
      </c>
      <c r="O17" s="8">
        <v>0</v>
      </c>
      <c r="P17" s="5">
        <v>0</v>
      </c>
      <c r="Q17" s="5">
        <v>0</v>
      </c>
      <c r="R17" s="9">
        <v>0</v>
      </c>
      <c r="S17" s="8">
        <v>0</v>
      </c>
      <c r="T17" s="9">
        <v>0</v>
      </c>
    </row>
    <row r="18" spans="1:20" x14ac:dyDescent="0.2">
      <c r="A18" s="5" t="s">
        <v>45</v>
      </c>
      <c r="B18" s="5" t="s">
        <v>17</v>
      </c>
      <c r="C18" s="17" t="s">
        <v>668</v>
      </c>
      <c r="D18" s="7">
        <f t="shared" si="0"/>
        <v>18.899999999999999</v>
      </c>
      <c r="E18" s="8">
        <v>22</v>
      </c>
      <c r="F18" s="5">
        <v>14</v>
      </c>
      <c r="G18" s="5">
        <v>150</v>
      </c>
      <c r="H18" s="5">
        <v>0</v>
      </c>
      <c r="I18" s="5">
        <v>1</v>
      </c>
      <c r="J18" s="9">
        <v>0</v>
      </c>
      <c r="K18" s="8">
        <v>12</v>
      </c>
      <c r="L18" s="5">
        <v>29</v>
      </c>
      <c r="M18" s="5">
        <v>2</v>
      </c>
      <c r="N18" s="9">
        <v>0</v>
      </c>
      <c r="O18" s="8">
        <v>0</v>
      </c>
      <c r="P18" s="5">
        <v>0</v>
      </c>
      <c r="Q18" s="5">
        <v>0</v>
      </c>
      <c r="R18" s="9">
        <v>0</v>
      </c>
      <c r="S18" s="8">
        <v>0</v>
      </c>
      <c r="T18" s="9">
        <v>0</v>
      </c>
    </row>
    <row r="19" spans="1:20" x14ac:dyDescent="0.2">
      <c r="A19" s="5" t="s">
        <v>44</v>
      </c>
      <c r="B19" s="5" t="s">
        <v>17</v>
      </c>
      <c r="C19" s="10" t="s">
        <v>666</v>
      </c>
      <c r="D19" s="7">
        <f t="shared" si="0"/>
        <v>13.739999999999998</v>
      </c>
      <c r="E19" s="8">
        <v>35</v>
      </c>
      <c r="F19" s="5">
        <v>23</v>
      </c>
      <c r="G19" s="5">
        <v>236</v>
      </c>
      <c r="H19" s="5">
        <v>2</v>
      </c>
      <c r="I19" s="5">
        <v>3</v>
      </c>
      <c r="J19" s="9">
        <v>1</v>
      </c>
      <c r="K19" s="8">
        <v>2</v>
      </c>
      <c r="L19" s="5">
        <v>3</v>
      </c>
      <c r="M19" s="5">
        <v>0</v>
      </c>
      <c r="N19" s="9">
        <v>0</v>
      </c>
      <c r="O19" s="8">
        <v>0</v>
      </c>
      <c r="P19" s="5">
        <v>0</v>
      </c>
      <c r="Q19" s="5">
        <v>0</v>
      </c>
      <c r="R19" s="9">
        <v>0</v>
      </c>
      <c r="S19" s="8">
        <v>0</v>
      </c>
      <c r="T19" s="9">
        <v>0</v>
      </c>
    </row>
    <row r="20" spans="1:20" x14ac:dyDescent="0.2">
      <c r="A20" s="5" t="s">
        <v>594</v>
      </c>
      <c r="B20" s="5" t="s">
        <v>17</v>
      </c>
      <c r="C20" s="17" t="s">
        <v>659</v>
      </c>
      <c r="D20" s="7">
        <f t="shared" si="0"/>
        <v>12.52</v>
      </c>
      <c r="E20" s="8">
        <v>17</v>
      </c>
      <c r="F20" s="5">
        <v>13</v>
      </c>
      <c r="G20" s="5">
        <v>158</v>
      </c>
      <c r="H20" s="5">
        <v>2</v>
      </c>
      <c r="I20" s="5">
        <v>0</v>
      </c>
      <c r="J20" s="9">
        <v>0</v>
      </c>
      <c r="K20" s="8">
        <v>4</v>
      </c>
      <c r="L20" s="5">
        <v>2</v>
      </c>
      <c r="M20" s="5">
        <v>0</v>
      </c>
      <c r="N20" s="9">
        <v>0</v>
      </c>
      <c r="O20" s="8">
        <v>0</v>
      </c>
      <c r="P20" s="5">
        <v>0</v>
      </c>
      <c r="Q20" s="5">
        <v>0</v>
      </c>
      <c r="R20" s="9">
        <v>0</v>
      </c>
      <c r="S20" s="8">
        <v>1</v>
      </c>
      <c r="T20" s="9">
        <v>0</v>
      </c>
    </row>
    <row r="21" spans="1:20" x14ac:dyDescent="0.2">
      <c r="A21" s="5" t="s">
        <v>38</v>
      </c>
      <c r="B21" s="5" t="s">
        <v>17</v>
      </c>
      <c r="C21" s="10" t="s">
        <v>669</v>
      </c>
      <c r="D21" s="7">
        <f t="shared" si="0"/>
        <v>14.459999999999999</v>
      </c>
      <c r="E21" s="8">
        <v>35</v>
      </c>
      <c r="F21" s="5">
        <v>27</v>
      </c>
      <c r="G21" s="5">
        <v>259</v>
      </c>
      <c r="H21" s="5">
        <v>1</v>
      </c>
      <c r="I21" s="5">
        <v>0</v>
      </c>
      <c r="J21" s="9">
        <v>0</v>
      </c>
      <c r="K21" s="8">
        <v>2</v>
      </c>
      <c r="L21" s="5">
        <v>1</v>
      </c>
      <c r="M21" s="5">
        <v>0</v>
      </c>
      <c r="N21" s="9">
        <v>0</v>
      </c>
      <c r="O21" s="8">
        <v>0</v>
      </c>
      <c r="P21" s="5">
        <v>0</v>
      </c>
      <c r="Q21" s="5">
        <v>0</v>
      </c>
      <c r="R21" s="9">
        <v>0</v>
      </c>
      <c r="S21" s="8">
        <v>0</v>
      </c>
      <c r="T21" s="9">
        <v>0</v>
      </c>
    </row>
    <row r="22" spans="1:20" x14ac:dyDescent="0.2">
      <c r="A22" s="5" t="s">
        <v>55</v>
      </c>
      <c r="B22" s="5" t="s">
        <v>17</v>
      </c>
      <c r="C22" s="17" t="s">
        <v>671</v>
      </c>
      <c r="D22" s="7">
        <f t="shared" si="0"/>
        <v>13.22</v>
      </c>
      <c r="E22" s="8">
        <v>34</v>
      </c>
      <c r="F22" s="5">
        <v>22</v>
      </c>
      <c r="G22" s="5">
        <v>233</v>
      </c>
      <c r="H22" s="5">
        <v>1</v>
      </c>
      <c r="I22" s="5">
        <v>0</v>
      </c>
      <c r="J22" s="9">
        <v>0</v>
      </c>
      <c r="K22" s="8">
        <v>1</v>
      </c>
      <c r="L22" s="5">
        <v>-1</v>
      </c>
      <c r="M22" s="5">
        <v>0</v>
      </c>
      <c r="N22" s="9">
        <v>0</v>
      </c>
      <c r="O22" s="8">
        <v>0</v>
      </c>
      <c r="P22" s="5">
        <v>0</v>
      </c>
      <c r="Q22" s="5">
        <v>0</v>
      </c>
      <c r="R22" s="9">
        <v>0</v>
      </c>
      <c r="S22" s="8">
        <v>0</v>
      </c>
      <c r="T22" s="9">
        <v>0</v>
      </c>
    </row>
    <row r="23" spans="1:20" x14ac:dyDescent="0.2">
      <c r="A23" s="5" t="s">
        <v>65</v>
      </c>
      <c r="B23" s="5" t="s">
        <v>17</v>
      </c>
      <c r="C23" s="17" t="s">
        <v>664</v>
      </c>
      <c r="D23" s="7">
        <f t="shared" si="0"/>
        <v>10.72</v>
      </c>
      <c r="E23" s="8">
        <v>14</v>
      </c>
      <c r="F23" s="5">
        <v>8</v>
      </c>
      <c r="G23" s="5">
        <v>68</v>
      </c>
      <c r="H23" s="5">
        <v>1</v>
      </c>
      <c r="I23" s="5">
        <v>0</v>
      </c>
      <c r="J23" s="9">
        <v>0</v>
      </c>
      <c r="K23" s="8">
        <v>4</v>
      </c>
      <c r="L23" s="5">
        <v>40</v>
      </c>
      <c r="M23" s="5">
        <v>0</v>
      </c>
      <c r="N23" s="9">
        <v>0</v>
      </c>
      <c r="O23" s="8">
        <v>0</v>
      </c>
      <c r="P23" s="5">
        <v>0</v>
      </c>
      <c r="Q23" s="5">
        <v>0</v>
      </c>
      <c r="R23" s="9">
        <v>0</v>
      </c>
      <c r="S23" s="8">
        <v>0</v>
      </c>
      <c r="T23" s="9">
        <v>0</v>
      </c>
    </row>
    <row r="24" spans="1:20" x14ac:dyDescent="0.2">
      <c r="A24" s="5" t="s">
        <v>37</v>
      </c>
      <c r="B24" s="5" t="s">
        <v>17</v>
      </c>
      <c r="C24" s="17" t="s">
        <v>660</v>
      </c>
      <c r="D24" s="7">
        <f t="shared" si="0"/>
        <v>10.34</v>
      </c>
      <c r="E24" s="8">
        <v>45</v>
      </c>
      <c r="F24" s="5">
        <v>29</v>
      </c>
      <c r="G24" s="5">
        <v>246</v>
      </c>
      <c r="H24" s="5">
        <v>1</v>
      </c>
      <c r="I24" s="5">
        <v>1</v>
      </c>
      <c r="J24" s="9">
        <v>0</v>
      </c>
      <c r="K24" s="8">
        <v>3</v>
      </c>
      <c r="L24" s="5">
        <v>5</v>
      </c>
      <c r="M24" s="5">
        <v>0</v>
      </c>
      <c r="N24" s="9">
        <v>0</v>
      </c>
      <c r="O24" s="8">
        <v>0</v>
      </c>
      <c r="P24" s="5">
        <v>0</v>
      </c>
      <c r="Q24" s="5">
        <v>0</v>
      </c>
      <c r="R24" s="9">
        <v>0</v>
      </c>
      <c r="S24" s="8">
        <v>1</v>
      </c>
      <c r="T24" s="9">
        <v>0</v>
      </c>
    </row>
    <row r="25" spans="1:20" x14ac:dyDescent="0.2">
      <c r="A25" s="5" t="s">
        <v>46</v>
      </c>
      <c r="B25" s="5" t="s">
        <v>17</v>
      </c>
      <c r="C25" s="10" t="s">
        <v>671</v>
      </c>
      <c r="D25" s="7">
        <f t="shared" si="0"/>
        <v>9.7000000000000011</v>
      </c>
      <c r="E25" s="8">
        <v>31</v>
      </c>
      <c r="F25" s="5">
        <v>17</v>
      </c>
      <c r="G25" s="5">
        <v>190</v>
      </c>
      <c r="H25" s="5">
        <v>1</v>
      </c>
      <c r="I25" s="5">
        <v>1</v>
      </c>
      <c r="J25" s="9">
        <v>0</v>
      </c>
      <c r="K25" s="8">
        <v>2</v>
      </c>
      <c r="L25" s="5">
        <v>1</v>
      </c>
      <c r="M25" s="5">
        <v>0</v>
      </c>
      <c r="N25" s="9">
        <v>0</v>
      </c>
      <c r="O25" s="8">
        <v>0</v>
      </c>
      <c r="P25" s="5">
        <v>0</v>
      </c>
      <c r="Q25" s="5">
        <v>0</v>
      </c>
      <c r="R25" s="9">
        <v>0</v>
      </c>
      <c r="S25" s="8">
        <v>0</v>
      </c>
      <c r="T25" s="9">
        <v>0</v>
      </c>
    </row>
    <row r="26" spans="1:20" x14ac:dyDescent="0.2">
      <c r="A26" s="5" t="s">
        <v>62</v>
      </c>
      <c r="B26" s="5" t="s">
        <v>17</v>
      </c>
      <c r="C26" s="17" t="s">
        <v>664</v>
      </c>
      <c r="D26" s="7">
        <f t="shared" si="0"/>
        <v>8.7399999999999984</v>
      </c>
      <c r="E26" s="8">
        <v>17</v>
      </c>
      <c r="F26" s="5">
        <v>11</v>
      </c>
      <c r="G26" s="5">
        <v>101</v>
      </c>
      <c r="H26" s="5">
        <v>1</v>
      </c>
      <c r="I26" s="5">
        <v>0</v>
      </c>
      <c r="J26" s="9">
        <v>0</v>
      </c>
      <c r="K26" s="8">
        <v>1</v>
      </c>
      <c r="L26" s="5">
        <v>7</v>
      </c>
      <c r="M26" s="5">
        <v>0</v>
      </c>
      <c r="N26" s="9">
        <v>0</v>
      </c>
      <c r="O26" s="8">
        <v>0</v>
      </c>
      <c r="P26" s="5">
        <v>0</v>
      </c>
      <c r="Q26" s="5">
        <v>0</v>
      </c>
      <c r="R26" s="9">
        <v>0</v>
      </c>
      <c r="S26" s="8">
        <v>0</v>
      </c>
      <c r="T26" s="9">
        <v>0</v>
      </c>
    </row>
    <row r="27" spans="1:20" x14ac:dyDescent="0.2">
      <c r="A27" s="5" t="s">
        <v>476</v>
      </c>
      <c r="B27" s="5" t="s">
        <v>17</v>
      </c>
      <c r="C27" s="17" t="s">
        <v>667</v>
      </c>
      <c r="D27" s="7">
        <f t="shared" si="0"/>
        <v>9.14</v>
      </c>
      <c r="E27" s="8">
        <v>41</v>
      </c>
      <c r="F27" s="5">
        <v>24</v>
      </c>
      <c r="G27" s="5">
        <v>271</v>
      </c>
      <c r="H27" s="5">
        <v>1</v>
      </c>
      <c r="I27" s="5">
        <v>3</v>
      </c>
      <c r="J27" s="9">
        <v>0</v>
      </c>
      <c r="K27" s="8">
        <v>1</v>
      </c>
      <c r="L27" s="5">
        <v>3</v>
      </c>
      <c r="M27" s="5">
        <v>0</v>
      </c>
      <c r="N27" s="9">
        <v>0</v>
      </c>
      <c r="O27" s="8">
        <v>0</v>
      </c>
      <c r="P27" s="5">
        <v>0</v>
      </c>
      <c r="Q27" s="5">
        <v>0</v>
      </c>
      <c r="R27" s="9">
        <v>0</v>
      </c>
      <c r="S27" s="8">
        <v>0</v>
      </c>
      <c r="T27" s="9">
        <v>0</v>
      </c>
    </row>
    <row r="28" spans="1:20" x14ac:dyDescent="0.2">
      <c r="A28" s="5" t="s">
        <v>56</v>
      </c>
      <c r="B28" s="5" t="s">
        <v>17</v>
      </c>
      <c r="C28" s="17" t="s">
        <v>662</v>
      </c>
      <c r="D28" s="7">
        <f t="shared" si="0"/>
        <v>6.74</v>
      </c>
      <c r="E28" s="8">
        <v>15</v>
      </c>
      <c r="F28" s="5">
        <v>7</v>
      </c>
      <c r="G28" s="5">
        <v>81</v>
      </c>
      <c r="H28" s="5">
        <v>1</v>
      </c>
      <c r="I28" s="5">
        <v>1</v>
      </c>
      <c r="J28" s="9">
        <v>0</v>
      </c>
      <c r="K28" s="8">
        <v>4</v>
      </c>
      <c r="L28" s="5">
        <v>15</v>
      </c>
      <c r="M28" s="5">
        <v>0</v>
      </c>
      <c r="N28" s="9">
        <v>0</v>
      </c>
      <c r="O28" s="8">
        <v>0</v>
      </c>
      <c r="P28" s="5">
        <v>0</v>
      </c>
      <c r="Q28" s="5">
        <v>0</v>
      </c>
      <c r="R28" s="9">
        <v>0</v>
      </c>
      <c r="S28" s="8">
        <v>0</v>
      </c>
      <c r="T28" s="9">
        <v>0</v>
      </c>
    </row>
    <row r="29" spans="1:20" x14ac:dyDescent="0.2">
      <c r="A29" s="5" t="s">
        <v>57</v>
      </c>
      <c r="B29" s="5" t="s">
        <v>17</v>
      </c>
      <c r="C29" s="10" t="s">
        <v>670</v>
      </c>
      <c r="D29" s="7">
        <f t="shared" si="0"/>
        <v>5.22</v>
      </c>
      <c r="E29" s="8">
        <v>29</v>
      </c>
      <c r="F29" s="5">
        <v>16</v>
      </c>
      <c r="G29" s="5">
        <v>123</v>
      </c>
      <c r="H29" s="5">
        <v>1</v>
      </c>
      <c r="I29" s="5">
        <v>1</v>
      </c>
      <c r="J29" s="9">
        <v>0</v>
      </c>
      <c r="K29" s="8">
        <v>2</v>
      </c>
      <c r="L29" s="5">
        <v>3</v>
      </c>
      <c r="M29" s="5">
        <v>0</v>
      </c>
      <c r="N29" s="9">
        <v>0</v>
      </c>
      <c r="O29" s="8">
        <v>0</v>
      </c>
      <c r="P29" s="5">
        <v>0</v>
      </c>
      <c r="Q29" s="5">
        <v>0</v>
      </c>
      <c r="R29" s="9">
        <v>0</v>
      </c>
      <c r="S29" s="8">
        <v>1</v>
      </c>
      <c r="T29" s="9">
        <v>0</v>
      </c>
    </row>
    <row r="30" spans="1:20" x14ac:dyDescent="0.2">
      <c r="A30" s="5" t="s">
        <v>496</v>
      </c>
      <c r="B30" s="5" t="s">
        <v>17</v>
      </c>
      <c r="C30" s="10" t="s">
        <v>672</v>
      </c>
      <c r="D30" s="7">
        <f t="shared" si="0"/>
        <v>6.6000000000000005</v>
      </c>
      <c r="E30" s="8">
        <v>43</v>
      </c>
      <c r="F30" s="5">
        <v>24</v>
      </c>
      <c r="G30" s="5">
        <v>165</v>
      </c>
      <c r="H30" s="5">
        <v>0</v>
      </c>
      <c r="I30" s="5">
        <v>1</v>
      </c>
      <c r="J30" s="9">
        <v>0</v>
      </c>
      <c r="K30" s="8">
        <v>3</v>
      </c>
      <c r="L30" s="5">
        <v>20</v>
      </c>
      <c r="M30" s="5">
        <v>0</v>
      </c>
      <c r="N30" s="9">
        <v>0</v>
      </c>
      <c r="O30" s="8">
        <v>0</v>
      </c>
      <c r="P30" s="5">
        <v>0</v>
      </c>
      <c r="Q30" s="5">
        <v>0</v>
      </c>
      <c r="R30" s="9">
        <v>0</v>
      </c>
      <c r="S30" s="8">
        <v>0</v>
      </c>
      <c r="T30" s="9">
        <v>0</v>
      </c>
    </row>
    <row r="31" spans="1:20" x14ac:dyDescent="0.2">
      <c r="A31" s="5" t="s">
        <v>50</v>
      </c>
      <c r="B31" s="5" t="s">
        <v>17</v>
      </c>
      <c r="C31" s="17" t="s">
        <v>672</v>
      </c>
      <c r="D31" s="7">
        <f t="shared" si="0"/>
        <v>5.1400000000000006</v>
      </c>
      <c r="E31" s="8">
        <v>28</v>
      </c>
      <c r="F31" s="5">
        <v>15</v>
      </c>
      <c r="G31" s="5">
        <v>106</v>
      </c>
      <c r="H31" s="5">
        <v>0</v>
      </c>
      <c r="I31" s="5">
        <v>0</v>
      </c>
      <c r="J31" s="9">
        <v>0</v>
      </c>
      <c r="K31" s="8">
        <v>4</v>
      </c>
      <c r="L31" s="5">
        <v>9</v>
      </c>
      <c r="M31" s="5">
        <v>0</v>
      </c>
      <c r="N31" s="9">
        <v>0</v>
      </c>
      <c r="O31" s="8">
        <v>0</v>
      </c>
      <c r="P31" s="5">
        <v>0</v>
      </c>
      <c r="Q31" s="5">
        <v>0</v>
      </c>
      <c r="R31" s="9">
        <v>0</v>
      </c>
      <c r="S31" s="8">
        <v>0</v>
      </c>
      <c r="T31" s="9">
        <v>0</v>
      </c>
    </row>
    <row r="32" spans="1:20" x14ac:dyDescent="0.2">
      <c r="A32" s="5" t="s">
        <v>397</v>
      </c>
      <c r="B32" s="5" t="s">
        <v>17</v>
      </c>
      <c r="C32" s="10" t="s">
        <v>662</v>
      </c>
      <c r="D32" s="7">
        <f t="shared" si="0"/>
        <v>-0.2</v>
      </c>
      <c r="E32" s="8">
        <v>0</v>
      </c>
      <c r="F32" s="5">
        <v>0</v>
      </c>
      <c r="G32" s="5">
        <v>0</v>
      </c>
      <c r="H32" s="5">
        <v>0</v>
      </c>
      <c r="I32" s="5">
        <v>0</v>
      </c>
      <c r="J32" s="9">
        <v>0</v>
      </c>
      <c r="K32" s="8">
        <v>2</v>
      </c>
      <c r="L32" s="5">
        <v>-2</v>
      </c>
      <c r="M32" s="5">
        <v>0</v>
      </c>
      <c r="N32" s="9">
        <v>0</v>
      </c>
      <c r="O32" s="8">
        <v>0</v>
      </c>
      <c r="P32" s="5">
        <v>0</v>
      </c>
      <c r="Q32" s="5">
        <v>0</v>
      </c>
      <c r="R32" s="9">
        <v>0</v>
      </c>
      <c r="S32" s="8">
        <v>0</v>
      </c>
      <c r="T32" s="9">
        <v>0</v>
      </c>
    </row>
    <row r="33" spans="1:20" x14ac:dyDescent="0.2">
      <c r="A33" s="5" t="s">
        <v>673</v>
      </c>
      <c r="B33" s="5" t="s">
        <v>17</v>
      </c>
      <c r="C33" s="10" t="s">
        <v>665</v>
      </c>
      <c r="D33" s="7">
        <f t="shared" si="0"/>
        <v>0.08</v>
      </c>
      <c r="E33" s="8">
        <v>1</v>
      </c>
      <c r="F33" s="5">
        <v>1</v>
      </c>
      <c r="G33" s="5">
        <v>2</v>
      </c>
      <c r="H33" s="5">
        <v>0</v>
      </c>
      <c r="I33" s="5">
        <v>0</v>
      </c>
      <c r="J33" s="9">
        <v>0</v>
      </c>
      <c r="K33" s="8">
        <v>0</v>
      </c>
      <c r="L33" s="5">
        <v>0</v>
      </c>
      <c r="M33" s="5">
        <v>0</v>
      </c>
      <c r="N33" s="9">
        <v>0</v>
      </c>
      <c r="O33" s="8">
        <v>0</v>
      </c>
      <c r="P33" s="5">
        <v>0</v>
      </c>
      <c r="Q33" s="5">
        <v>0</v>
      </c>
      <c r="R33" s="9">
        <v>0</v>
      </c>
      <c r="S33" s="8">
        <v>0</v>
      </c>
      <c r="T33" s="9">
        <v>0</v>
      </c>
    </row>
    <row r="34" spans="1:20" x14ac:dyDescent="0.2">
      <c r="A34" s="5" t="s">
        <v>72</v>
      </c>
      <c r="B34" s="5" t="s">
        <v>17</v>
      </c>
      <c r="C34" s="17" t="s">
        <v>670</v>
      </c>
      <c r="D34" s="7">
        <f t="shared" si="0"/>
        <v>0.29999999999999993</v>
      </c>
      <c r="E34" s="8">
        <v>3</v>
      </c>
      <c r="F34" s="5">
        <v>2</v>
      </c>
      <c r="G34" s="5">
        <v>15</v>
      </c>
      <c r="H34" s="5">
        <v>0</v>
      </c>
      <c r="I34" s="5">
        <v>0</v>
      </c>
      <c r="J34" s="9">
        <v>0</v>
      </c>
      <c r="K34" s="8">
        <v>3</v>
      </c>
      <c r="L34" s="5">
        <v>-3</v>
      </c>
      <c r="M34" s="5">
        <v>0</v>
      </c>
      <c r="N34" s="9">
        <v>0</v>
      </c>
      <c r="O34" s="8">
        <v>0</v>
      </c>
      <c r="P34" s="5">
        <v>0</v>
      </c>
      <c r="Q34" s="5">
        <v>0</v>
      </c>
      <c r="R34" s="9">
        <v>0</v>
      </c>
      <c r="S34" s="8">
        <v>0</v>
      </c>
      <c r="T34" s="9">
        <v>0</v>
      </c>
    </row>
    <row r="35" spans="1:20" x14ac:dyDescent="0.2">
      <c r="A35" s="5" t="s">
        <v>674</v>
      </c>
      <c r="B35" s="5" t="s">
        <v>17</v>
      </c>
      <c r="C35" s="17" t="s">
        <v>662</v>
      </c>
      <c r="D35" s="7">
        <f t="shared" si="0"/>
        <v>-0.57999999999999996</v>
      </c>
      <c r="E35" s="8">
        <v>14</v>
      </c>
      <c r="F35" s="5">
        <v>7</v>
      </c>
      <c r="G35" s="5">
        <v>33</v>
      </c>
      <c r="H35" s="5">
        <v>0</v>
      </c>
      <c r="I35" s="5">
        <v>1</v>
      </c>
      <c r="J35" s="9">
        <v>0</v>
      </c>
      <c r="K35" s="8">
        <v>1</v>
      </c>
      <c r="L35" s="5">
        <v>1</v>
      </c>
      <c r="M35" s="5">
        <v>0</v>
      </c>
      <c r="N35" s="9">
        <v>0</v>
      </c>
      <c r="O35" s="8">
        <v>0</v>
      </c>
      <c r="P35" s="5">
        <v>0</v>
      </c>
      <c r="Q35" s="5">
        <v>0</v>
      </c>
      <c r="R35" s="9">
        <v>0</v>
      </c>
      <c r="S35" s="8">
        <v>0</v>
      </c>
      <c r="T35" s="9">
        <v>0</v>
      </c>
    </row>
    <row r="36" spans="1:20" x14ac:dyDescent="0.2">
      <c r="A36" s="5" t="s">
        <v>480</v>
      </c>
      <c r="B36" s="5" t="s">
        <v>17</v>
      </c>
      <c r="C36" s="17" t="s">
        <v>671</v>
      </c>
      <c r="D36" s="7">
        <f t="shared" si="0"/>
        <v>-1.88</v>
      </c>
      <c r="E36" s="8">
        <v>6</v>
      </c>
      <c r="F36" s="5">
        <v>2</v>
      </c>
      <c r="G36" s="5">
        <v>3</v>
      </c>
      <c r="H36" s="5">
        <v>0</v>
      </c>
      <c r="I36" s="5">
        <v>1</v>
      </c>
      <c r="J36" s="9">
        <v>0</v>
      </c>
      <c r="K36" s="8">
        <v>0</v>
      </c>
      <c r="L36" s="5">
        <v>0</v>
      </c>
      <c r="M36" s="5">
        <v>0</v>
      </c>
      <c r="N36" s="9">
        <v>0</v>
      </c>
      <c r="O36" s="8">
        <v>0</v>
      </c>
      <c r="P36" s="5">
        <v>0</v>
      </c>
      <c r="Q36" s="5">
        <v>0</v>
      </c>
      <c r="R36" s="9">
        <v>0</v>
      </c>
      <c r="S36" s="8">
        <v>0</v>
      </c>
      <c r="T36" s="9">
        <v>0</v>
      </c>
    </row>
    <row r="37" spans="1:20" x14ac:dyDescent="0.2">
      <c r="A37" s="5" t="s">
        <v>101</v>
      </c>
      <c r="B37" s="5" t="s">
        <v>75</v>
      </c>
      <c r="C37" s="17" t="s">
        <v>663</v>
      </c>
      <c r="D37" s="7">
        <f t="shared" si="0"/>
        <v>30</v>
      </c>
      <c r="E37" s="8">
        <v>0</v>
      </c>
      <c r="F37" s="5">
        <v>0</v>
      </c>
      <c r="G37" s="5">
        <v>0</v>
      </c>
      <c r="H37" s="5">
        <v>0</v>
      </c>
      <c r="I37" s="5">
        <v>0</v>
      </c>
      <c r="J37" s="9">
        <v>0</v>
      </c>
      <c r="K37" s="8">
        <v>14</v>
      </c>
      <c r="L37" s="5">
        <v>83</v>
      </c>
      <c r="M37" s="5">
        <v>0</v>
      </c>
      <c r="N37" s="9">
        <v>0</v>
      </c>
      <c r="O37" s="8">
        <v>4</v>
      </c>
      <c r="P37" s="5">
        <v>57</v>
      </c>
      <c r="Q37" s="5">
        <v>2</v>
      </c>
      <c r="R37" s="9">
        <v>0</v>
      </c>
      <c r="S37" s="8">
        <v>0</v>
      </c>
      <c r="T37" s="9">
        <v>0</v>
      </c>
    </row>
    <row r="38" spans="1:20" x14ac:dyDescent="0.2">
      <c r="A38" s="5" t="s">
        <v>113</v>
      </c>
      <c r="B38" s="5" t="s">
        <v>75</v>
      </c>
      <c r="C38" s="17" t="s">
        <v>672</v>
      </c>
      <c r="D38" s="7">
        <f t="shared" si="0"/>
        <v>23.5</v>
      </c>
      <c r="E38" s="8">
        <v>0</v>
      </c>
      <c r="F38" s="5">
        <v>0</v>
      </c>
      <c r="G38" s="5">
        <v>0</v>
      </c>
      <c r="H38" s="5">
        <v>0</v>
      </c>
      <c r="I38" s="5">
        <v>0</v>
      </c>
      <c r="J38" s="9">
        <v>0</v>
      </c>
      <c r="K38" s="8">
        <v>9</v>
      </c>
      <c r="L38" s="5">
        <v>129</v>
      </c>
      <c r="M38" s="5">
        <v>1</v>
      </c>
      <c r="N38" s="9">
        <v>0</v>
      </c>
      <c r="O38" s="8">
        <v>3</v>
      </c>
      <c r="P38" s="5">
        <v>16</v>
      </c>
      <c r="Q38" s="5">
        <v>0</v>
      </c>
      <c r="R38" s="9">
        <v>0</v>
      </c>
      <c r="S38" s="8">
        <v>0</v>
      </c>
      <c r="T38" s="9">
        <v>0</v>
      </c>
    </row>
    <row r="39" spans="1:20" x14ac:dyDescent="0.2">
      <c r="A39" s="5" t="s">
        <v>116</v>
      </c>
      <c r="B39" s="5" t="s">
        <v>75</v>
      </c>
      <c r="C39" s="10" t="s">
        <v>664</v>
      </c>
      <c r="D39" s="7">
        <f t="shared" si="0"/>
        <v>21</v>
      </c>
      <c r="E39" s="8">
        <v>0</v>
      </c>
      <c r="F39" s="5">
        <v>0</v>
      </c>
      <c r="G39" s="5">
        <v>0</v>
      </c>
      <c r="H39" s="5">
        <v>0</v>
      </c>
      <c r="I39" s="5">
        <v>0</v>
      </c>
      <c r="J39" s="9">
        <v>0</v>
      </c>
      <c r="K39" s="8">
        <v>12</v>
      </c>
      <c r="L39" s="5">
        <v>62</v>
      </c>
      <c r="M39" s="5">
        <v>2</v>
      </c>
      <c r="N39" s="9">
        <v>0</v>
      </c>
      <c r="O39" s="8">
        <v>2</v>
      </c>
      <c r="P39" s="5">
        <v>8</v>
      </c>
      <c r="Q39" s="5">
        <v>0</v>
      </c>
      <c r="R39" s="9">
        <v>0</v>
      </c>
      <c r="S39" s="8">
        <v>0</v>
      </c>
      <c r="T39" s="9">
        <v>0</v>
      </c>
    </row>
    <row r="40" spans="1:20" x14ac:dyDescent="0.2">
      <c r="A40" s="5" t="s">
        <v>151</v>
      </c>
      <c r="B40" s="5" t="s">
        <v>75</v>
      </c>
      <c r="C40" s="10" t="s">
        <v>665</v>
      </c>
      <c r="D40" s="7">
        <f t="shared" si="0"/>
        <v>19.800000000000004</v>
      </c>
      <c r="E40" s="8">
        <v>0</v>
      </c>
      <c r="F40" s="5">
        <v>0</v>
      </c>
      <c r="G40" s="5">
        <v>0</v>
      </c>
      <c r="H40" s="5">
        <v>0</v>
      </c>
      <c r="I40" s="5">
        <v>0</v>
      </c>
      <c r="J40" s="9">
        <v>0</v>
      </c>
      <c r="K40" s="8">
        <v>22</v>
      </c>
      <c r="L40" s="5">
        <v>112</v>
      </c>
      <c r="M40" s="5">
        <v>1</v>
      </c>
      <c r="N40" s="9">
        <v>0</v>
      </c>
      <c r="O40" s="8">
        <v>2</v>
      </c>
      <c r="P40" s="5">
        <v>6</v>
      </c>
      <c r="Q40" s="5">
        <v>0</v>
      </c>
      <c r="R40" s="9">
        <v>0</v>
      </c>
      <c r="S40" s="8">
        <v>0</v>
      </c>
      <c r="T40" s="9">
        <v>0</v>
      </c>
    </row>
    <row r="41" spans="1:20" x14ac:dyDescent="0.2">
      <c r="A41" s="5" t="s">
        <v>152</v>
      </c>
      <c r="B41" s="5" t="s">
        <v>75</v>
      </c>
      <c r="C41" s="17" t="s">
        <v>668</v>
      </c>
      <c r="D41" s="7">
        <f t="shared" si="0"/>
        <v>19.700000000000003</v>
      </c>
      <c r="E41" s="8">
        <v>0</v>
      </c>
      <c r="F41" s="5">
        <v>0</v>
      </c>
      <c r="G41" s="5">
        <v>0</v>
      </c>
      <c r="H41" s="5">
        <v>0</v>
      </c>
      <c r="I41" s="5">
        <v>0</v>
      </c>
      <c r="J41" s="9">
        <v>0</v>
      </c>
      <c r="K41" s="8">
        <v>12</v>
      </c>
      <c r="L41" s="5">
        <v>76</v>
      </c>
      <c r="M41" s="5">
        <v>1</v>
      </c>
      <c r="N41" s="9">
        <v>0</v>
      </c>
      <c r="O41" s="8">
        <v>3</v>
      </c>
      <c r="P41" s="5">
        <v>31</v>
      </c>
      <c r="Q41" s="5">
        <v>0</v>
      </c>
      <c r="R41" s="9">
        <v>0</v>
      </c>
      <c r="S41" s="8">
        <v>0</v>
      </c>
      <c r="T41" s="9">
        <v>0</v>
      </c>
    </row>
    <row r="42" spans="1:20" x14ac:dyDescent="0.2">
      <c r="A42" s="5" t="s">
        <v>102</v>
      </c>
      <c r="B42" s="5" t="s">
        <v>75</v>
      </c>
      <c r="C42" s="10" t="s">
        <v>662</v>
      </c>
      <c r="D42" s="7">
        <f t="shared" si="0"/>
        <v>19.200000000000003</v>
      </c>
      <c r="E42" s="8">
        <v>0</v>
      </c>
      <c r="F42" s="5">
        <v>0</v>
      </c>
      <c r="G42" s="5">
        <v>0</v>
      </c>
      <c r="H42" s="5">
        <v>0</v>
      </c>
      <c r="I42" s="5">
        <v>0</v>
      </c>
      <c r="J42" s="9">
        <v>0</v>
      </c>
      <c r="K42" s="8">
        <v>17</v>
      </c>
      <c r="L42" s="5">
        <v>73</v>
      </c>
      <c r="M42" s="5">
        <v>0</v>
      </c>
      <c r="N42" s="9">
        <v>0</v>
      </c>
      <c r="O42" s="8">
        <v>3</v>
      </c>
      <c r="P42" s="5">
        <v>29</v>
      </c>
      <c r="Q42" s="5">
        <v>1</v>
      </c>
      <c r="R42" s="9">
        <v>0</v>
      </c>
      <c r="S42" s="8">
        <v>0</v>
      </c>
      <c r="T42" s="9">
        <v>0</v>
      </c>
    </row>
    <row r="43" spans="1:20" x14ac:dyDescent="0.2">
      <c r="A43" s="5" t="s">
        <v>77</v>
      </c>
      <c r="B43" s="5" t="s">
        <v>75</v>
      </c>
      <c r="C43" s="10" t="s">
        <v>660</v>
      </c>
      <c r="D43" s="7">
        <f t="shared" si="0"/>
        <v>21.3</v>
      </c>
      <c r="E43" s="8">
        <v>0</v>
      </c>
      <c r="F43" s="5">
        <v>0</v>
      </c>
      <c r="G43" s="5">
        <v>0</v>
      </c>
      <c r="H43" s="5">
        <v>0</v>
      </c>
      <c r="I43" s="5">
        <v>0</v>
      </c>
      <c r="J43" s="9">
        <v>0</v>
      </c>
      <c r="K43" s="8">
        <v>21</v>
      </c>
      <c r="L43" s="5">
        <v>78</v>
      </c>
      <c r="M43" s="5">
        <v>0</v>
      </c>
      <c r="N43" s="9">
        <v>0</v>
      </c>
      <c r="O43" s="8">
        <v>5</v>
      </c>
      <c r="P43" s="5">
        <v>25</v>
      </c>
      <c r="Q43" s="5">
        <v>1</v>
      </c>
      <c r="R43" s="9">
        <v>0</v>
      </c>
      <c r="S43" s="8">
        <v>0</v>
      </c>
      <c r="T43" s="9">
        <v>0</v>
      </c>
    </row>
    <row r="44" spans="1:20" x14ac:dyDescent="0.2">
      <c r="A44" s="5" t="s">
        <v>103</v>
      </c>
      <c r="B44" s="5" t="s">
        <v>75</v>
      </c>
      <c r="C44" s="17" t="s">
        <v>664</v>
      </c>
      <c r="D44" s="7">
        <f t="shared" si="0"/>
        <v>21</v>
      </c>
      <c r="E44" s="8">
        <v>0</v>
      </c>
      <c r="F44" s="5">
        <v>0</v>
      </c>
      <c r="G44" s="5">
        <v>0</v>
      </c>
      <c r="H44" s="5">
        <v>0</v>
      </c>
      <c r="I44" s="5">
        <v>0</v>
      </c>
      <c r="J44" s="9">
        <v>0</v>
      </c>
      <c r="K44" s="8">
        <v>16</v>
      </c>
      <c r="L44" s="5">
        <v>69</v>
      </c>
      <c r="M44" s="5">
        <v>0</v>
      </c>
      <c r="N44" s="9">
        <v>0</v>
      </c>
      <c r="O44" s="8">
        <v>5</v>
      </c>
      <c r="P44" s="5">
        <v>31</v>
      </c>
      <c r="Q44" s="5">
        <v>1</v>
      </c>
      <c r="R44" s="9">
        <v>0</v>
      </c>
      <c r="S44" s="8">
        <v>0</v>
      </c>
      <c r="T44" s="9">
        <v>0</v>
      </c>
    </row>
    <row r="45" spans="1:20" x14ac:dyDescent="0.2">
      <c r="A45" s="5" t="s">
        <v>90</v>
      </c>
      <c r="B45" s="5" t="s">
        <v>75</v>
      </c>
      <c r="C45" s="10" t="s">
        <v>666</v>
      </c>
      <c r="D45" s="7">
        <f t="shared" si="0"/>
        <v>17.8</v>
      </c>
      <c r="E45" s="8">
        <v>0</v>
      </c>
      <c r="F45" s="5">
        <v>0</v>
      </c>
      <c r="G45" s="5">
        <v>0</v>
      </c>
      <c r="H45" s="5">
        <v>0</v>
      </c>
      <c r="I45" s="5">
        <v>0</v>
      </c>
      <c r="J45" s="9">
        <v>0</v>
      </c>
      <c r="K45" s="8">
        <v>12</v>
      </c>
      <c r="L45" s="5">
        <v>76</v>
      </c>
      <c r="M45" s="5">
        <v>1</v>
      </c>
      <c r="N45" s="9">
        <v>0</v>
      </c>
      <c r="O45" s="8">
        <v>2</v>
      </c>
      <c r="P45" s="5">
        <v>22</v>
      </c>
      <c r="Q45" s="5">
        <v>0</v>
      </c>
      <c r="R45" s="9">
        <v>0</v>
      </c>
      <c r="S45" s="8">
        <v>0</v>
      </c>
      <c r="T45" s="9">
        <v>0</v>
      </c>
    </row>
    <row r="46" spans="1:20" x14ac:dyDescent="0.2">
      <c r="A46" s="5" t="s">
        <v>111</v>
      </c>
      <c r="B46" s="5" t="s">
        <v>75</v>
      </c>
      <c r="C46" s="10" t="s">
        <v>666</v>
      </c>
      <c r="D46" s="7">
        <f t="shared" si="0"/>
        <v>21.5</v>
      </c>
      <c r="E46" s="8">
        <v>0</v>
      </c>
      <c r="F46" s="5">
        <v>0</v>
      </c>
      <c r="G46" s="5">
        <v>0</v>
      </c>
      <c r="H46" s="5">
        <v>0</v>
      </c>
      <c r="I46" s="5">
        <v>0</v>
      </c>
      <c r="J46" s="9">
        <v>0</v>
      </c>
      <c r="K46" s="8">
        <v>8</v>
      </c>
      <c r="L46" s="5">
        <v>36</v>
      </c>
      <c r="M46" s="5">
        <v>1</v>
      </c>
      <c r="N46" s="9">
        <v>0</v>
      </c>
      <c r="O46" s="8">
        <v>6</v>
      </c>
      <c r="P46" s="5">
        <v>59</v>
      </c>
      <c r="Q46" s="5">
        <v>0</v>
      </c>
      <c r="R46" s="9">
        <v>0</v>
      </c>
      <c r="S46" s="8">
        <v>0</v>
      </c>
      <c r="T46" s="9">
        <v>0</v>
      </c>
    </row>
    <row r="47" spans="1:20" x14ac:dyDescent="0.2">
      <c r="A47" s="5" t="s">
        <v>85</v>
      </c>
      <c r="B47" s="5" t="s">
        <v>75</v>
      </c>
      <c r="C47" s="17" t="s">
        <v>662</v>
      </c>
      <c r="D47" s="7">
        <f t="shared" si="0"/>
        <v>18.3</v>
      </c>
      <c r="E47" s="8">
        <v>0</v>
      </c>
      <c r="F47" s="5">
        <v>0</v>
      </c>
      <c r="G47" s="5">
        <v>0</v>
      </c>
      <c r="H47" s="5">
        <v>0</v>
      </c>
      <c r="I47" s="5">
        <v>0</v>
      </c>
      <c r="J47" s="9">
        <v>0</v>
      </c>
      <c r="K47" s="8">
        <v>10</v>
      </c>
      <c r="L47" s="5">
        <v>23</v>
      </c>
      <c r="M47" s="5">
        <v>0</v>
      </c>
      <c r="N47" s="9">
        <v>0</v>
      </c>
      <c r="O47" s="8">
        <v>5</v>
      </c>
      <c r="P47" s="5">
        <v>50</v>
      </c>
      <c r="Q47" s="5">
        <v>1</v>
      </c>
      <c r="R47" s="9">
        <v>0</v>
      </c>
      <c r="S47" s="8">
        <v>0</v>
      </c>
      <c r="T47" s="9">
        <v>0</v>
      </c>
    </row>
    <row r="48" spans="1:20" x14ac:dyDescent="0.2">
      <c r="A48" s="5" t="s">
        <v>79</v>
      </c>
      <c r="B48" s="5" t="s">
        <v>75</v>
      </c>
      <c r="C48" s="17" t="s">
        <v>670</v>
      </c>
      <c r="D48" s="7">
        <f t="shared" si="0"/>
        <v>18</v>
      </c>
      <c r="E48" s="8">
        <v>0</v>
      </c>
      <c r="F48" s="5">
        <v>0</v>
      </c>
      <c r="G48" s="5">
        <v>0</v>
      </c>
      <c r="H48" s="5">
        <v>0</v>
      </c>
      <c r="I48" s="5">
        <v>0</v>
      </c>
      <c r="J48" s="9">
        <v>0</v>
      </c>
      <c r="K48" s="8">
        <v>12</v>
      </c>
      <c r="L48" s="5">
        <v>61</v>
      </c>
      <c r="M48" s="5">
        <v>1</v>
      </c>
      <c r="N48" s="9">
        <v>0</v>
      </c>
      <c r="O48" s="8">
        <v>4</v>
      </c>
      <c r="P48" s="5">
        <v>19</v>
      </c>
      <c r="Q48" s="5">
        <v>0</v>
      </c>
      <c r="R48" s="9">
        <v>0</v>
      </c>
      <c r="S48" s="8">
        <v>0</v>
      </c>
      <c r="T48" s="9">
        <v>0</v>
      </c>
    </row>
    <row r="49" spans="1:20" x14ac:dyDescent="0.2">
      <c r="A49" s="5" t="s">
        <v>93</v>
      </c>
      <c r="B49" s="5" t="s">
        <v>75</v>
      </c>
      <c r="C49" s="10" t="s">
        <v>663</v>
      </c>
      <c r="D49" s="7">
        <f t="shared" si="0"/>
        <v>20.100000000000001</v>
      </c>
      <c r="E49" s="8">
        <v>0</v>
      </c>
      <c r="F49" s="5">
        <v>0</v>
      </c>
      <c r="G49" s="5">
        <v>0</v>
      </c>
      <c r="H49" s="5">
        <v>0</v>
      </c>
      <c r="I49" s="5">
        <v>0</v>
      </c>
      <c r="J49" s="9">
        <v>0</v>
      </c>
      <c r="K49" s="8">
        <v>17</v>
      </c>
      <c r="L49" s="5">
        <v>73</v>
      </c>
      <c r="M49" s="5">
        <v>0</v>
      </c>
      <c r="N49" s="9">
        <v>0</v>
      </c>
      <c r="O49" s="8">
        <v>7</v>
      </c>
      <c r="P49" s="5">
        <v>58</v>
      </c>
      <c r="Q49" s="5">
        <v>0</v>
      </c>
      <c r="R49" s="9">
        <v>0</v>
      </c>
      <c r="S49" s="8">
        <v>0</v>
      </c>
      <c r="T49" s="9">
        <v>0</v>
      </c>
    </row>
    <row r="50" spans="1:20" x14ac:dyDescent="0.2">
      <c r="A50" s="5" t="s">
        <v>655</v>
      </c>
      <c r="B50" s="5" t="s">
        <v>75</v>
      </c>
      <c r="C50" s="10" t="s">
        <v>662</v>
      </c>
      <c r="D50" s="7">
        <f t="shared" si="0"/>
        <v>14.8</v>
      </c>
      <c r="E50" s="8">
        <v>0</v>
      </c>
      <c r="F50" s="5">
        <v>0</v>
      </c>
      <c r="G50" s="5">
        <v>0</v>
      </c>
      <c r="H50" s="5">
        <v>0</v>
      </c>
      <c r="I50" s="5">
        <v>0</v>
      </c>
      <c r="J50" s="9">
        <v>0</v>
      </c>
      <c r="K50" s="8">
        <v>3</v>
      </c>
      <c r="L50" s="5">
        <v>11</v>
      </c>
      <c r="M50" s="5">
        <v>0</v>
      </c>
      <c r="N50" s="9">
        <v>0</v>
      </c>
      <c r="O50" s="8">
        <v>3</v>
      </c>
      <c r="P50" s="5">
        <v>47</v>
      </c>
      <c r="Q50" s="5">
        <v>1</v>
      </c>
      <c r="R50" s="9">
        <v>0</v>
      </c>
      <c r="S50" s="8">
        <v>0</v>
      </c>
      <c r="T50" s="9">
        <v>0</v>
      </c>
    </row>
    <row r="51" spans="1:20" x14ac:dyDescent="0.2">
      <c r="A51" s="5" t="s">
        <v>114</v>
      </c>
      <c r="B51" s="5" t="s">
        <v>75</v>
      </c>
      <c r="C51" s="17" t="s">
        <v>660</v>
      </c>
      <c r="D51" s="7">
        <f t="shared" si="0"/>
        <v>17.8</v>
      </c>
      <c r="E51" s="8">
        <v>0</v>
      </c>
      <c r="F51" s="5">
        <v>0</v>
      </c>
      <c r="G51" s="5">
        <v>0</v>
      </c>
      <c r="H51" s="5">
        <v>0</v>
      </c>
      <c r="I51" s="5">
        <v>0</v>
      </c>
      <c r="J51" s="9">
        <v>0</v>
      </c>
      <c r="K51" s="8">
        <v>9</v>
      </c>
      <c r="L51" s="5">
        <v>30</v>
      </c>
      <c r="M51" s="5">
        <v>1</v>
      </c>
      <c r="N51" s="9">
        <v>0</v>
      </c>
      <c r="O51" s="8">
        <v>6</v>
      </c>
      <c r="P51" s="5">
        <v>28</v>
      </c>
      <c r="Q51" s="5">
        <v>0</v>
      </c>
      <c r="R51" s="9">
        <v>0</v>
      </c>
      <c r="S51" s="8">
        <v>0</v>
      </c>
      <c r="T51" s="9">
        <v>0</v>
      </c>
    </row>
    <row r="52" spans="1:20" x14ac:dyDescent="0.2">
      <c r="A52" s="5" t="s">
        <v>132</v>
      </c>
      <c r="B52" s="5" t="s">
        <v>75</v>
      </c>
      <c r="C52" s="17" t="s">
        <v>669</v>
      </c>
      <c r="D52" s="7">
        <f t="shared" si="0"/>
        <v>15</v>
      </c>
      <c r="E52" s="8">
        <v>0</v>
      </c>
      <c r="F52" s="5">
        <v>0</v>
      </c>
      <c r="G52" s="5">
        <v>0</v>
      </c>
      <c r="H52" s="5">
        <v>0</v>
      </c>
      <c r="I52" s="5">
        <v>0</v>
      </c>
      <c r="J52" s="9">
        <v>0</v>
      </c>
      <c r="K52" s="8">
        <v>10</v>
      </c>
      <c r="L52" s="5">
        <v>73</v>
      </c>
      <c r="M52" s="5">
        <v>0</v>
      </c>
      <c r="N52" s="9">
        <v>0</v>
      </c>
      <c r="O52" s="8">
        <v>4</v>
      </c>
      <c r="P52" s="5">
        <v>37</v>
      </c>
      <c r="Q52" s="5">
        <v>0</v>
      </c>
      <c r="R52" s="9">
        <v>0</v>
      </c>
      <c r="S52" s="8">
        <v>0</v>
      </c>
      <c r="T52" s="9">
        <v>0</v>
      </c>
    </row>
    <row r="53" spans="1:20" x14ac:dyDescent="0.2">
      <c r="A53" s="5" t="s">
        <v>136</v>
      </c>
      <c r="B53" s="5" t="s">
        <v>75</v>
      </c>
      <c r="C53" s="10" t="s">
        <v>672</v>
      </c>
      <c r="D53" s="7">
        <f t="shared" si="0"/>
        <v>11.9</v>
      </c>
      <c r="E53" s="8">
        <v>0</v>
      </c>
      <c r="F53" s="5">
        <v>0</v>
      </c>
      <c r="G53" s="5">
        <v>0</v>
      </c>
      <c r="H53" s="5">
        <v>0</v>
      </c>
      <c r="I53" s="5">
        <v>0</v>
      </c>
      <c r="J53" s="9">
        <v>0</v>
      </c>
      <c r="K53" s="8">
        <v>12</v>
      </c>
      <c r="L53" s="5">
        <v>31</v>
      </c>
      <c r="M53" s="5">
        <v>1</v>
      </c>
      <c r="N53" s="9">
        <v>0</v>
      </c>
      <c r="O53" s="8">
        <v>2</v>
      </c>
      <c r="P53" s="5">
        <v>8</v>
      </c>
      <c r="Q53" s="5">
        <v>0</v>
      </c>
      <c r="R53" s="9">
        <v>0</v>
      </c>
      <c r="S53" s="8">
        <v>0</v>
      </c>
      <c r="T53" s="9">
        <v>0</v>
      </c>
    </row>
    <row r="54" spans="1:20" x14ac:dyDescent="0.2">
      <c r="A54" s="5" t="s">
        <v>141</v>
      </c>
      <c r="B54" s="5" t="s">
        <v>75</v>
      </c>
      <c r="C54" s="10" t="s">
        <v>667</v>
      </c>
      <c r="D54" s="7">
        <f t="shared" si="0"/>
        <v>12.1</v>
      </c>
      <c r="E54" s="8">
        <v>0</v>
      </c>
      <c r="F54" s="5">
        <v>0</v>
      </c>
      <c r="G54" s="5">
        <v>0</v>
      </c>
      <c r="H54" s="5">
        <v>0</v>
      </c>
      <c r="I54" s="5">
        <v>0</v>
      </c>
      <c r="J54" s="9">
        <v>0</v>
      </c>
      <c r="K54" s="8">
        <v>3</v>
      </c>
      <c r="L54" s="5">
        <v>6</v>
      </c>
      <c r="M54" s="5">
        <v>0</v>
      </c>
      <c r="N54" s="9">
        <v>0</v>
      </c>
      <c r="O54" s="8">
        <v>3</v>
      </c>
      <c r="P54" s="5">
        <v>25</v>
      </c>
      <c r="Q54" s="5">
        <v>1</v>
      </c>
      <c r="R54" s="9">
        <v>0</v>
      </c>
      <c r="S54" s="8">
        <v>0</v>
      </c>
      <c r="T54" s="9">
        <v>0</v>
      </c>
    </row>
    <row r="55" spans="1:20" x14ac:dyDescent="0.2">
      <c r="A55" s="5" t="s">
        <v>574</v>
      </c>
      <c r="B55" s="5" t="s">
        <v>75</v>
      </c>
      <c r="C55" s="10" t="s">
        <v>671</v>
      </c>
      <c r="D55" s="7">
        <f t="shared" si="0"/>
        <v>12.9</v>
      </c>
      <c r="E55" s="8">
        <v>0</v>
      </c>
      <c r="F55" s="5">
        <v>0</v>
      </c>
      <c r="G55" s="5">
        <v>0</v>
      </c>
      <c r="H55" s="5">
        <v>0</v>
      </c>
      <c r="I55" s="5">
        <v>0</v>
      </c>
      <c r="J55" s="9">
        <v>0</v>
      </c>
      <c r="K55" s="8">
        <v>6</v>
      </c>
      <c r="L55" s="5">
        <v>1</v>
      </c>
      <c r="M55" s="5">
        <v>1</v>
      </c>
      <c r="N55" s="9">
        <v>0</v>
      </c>
      <c r="O55" s="8">
        <v>4</v>
      </c>
      <c r="P55" s="5">
        <v>28</v>
      </c>
      <c r="Q55" s="5">
        <v>0</v>
      </c>
      <c r="R55" s="9">
        <v>0</v>
      </c>
      <c r="S55" s="8">
        <v>0</v>
      </c>
      <c r="T55" s="9">
        <v>0</v>
      </c>
    </row>
    <row r="56" spans="1:20" x14ac:dyDescent="0.2">
      <c r="A56" s="5" t="s">
        <v>92</v>
      </c>
      <c r="B56" s="5" t="s">
        <v>75</v>
      </c>
      <c r="C56" s="10" t="s">
        <v>667</v>
      </c>
      <c r="D56" s="7">
        <f t="shared" si="0"/>
        <v>10.299999999999999</v>
      </c>
      <c r="E56" s="8">
        <v>0</v>
      </c>
      <c r="F56" s="5">
        <v>0</v>
      </c>
      <c r="G56" s="5">
        <v>0</v>
      </c>
      <c r="H56" s="5">
        <v>0</v>
      </c>
      <c r="I56" s="5">
        <v>0</v>
      </c>
      <c r="J56" s="9">
        <v>0</v>
      </c>
      <c r="K56" s="8">
        <v>22</v>
      </c>
      <c r="L56" s="5">
        <v>86</v>
      </c>
      <c r="M56" s="5">
        <v>0</v>
      </c>
      <c r="N56" s="9">
        <v>0</v>
      </c>
      <c r="O56" s="8">
        <v>1</v>
      </c>
      <c r="P56" s="5">
        <v>7</v>
      </c>
      <c r="Q56" s="5">
        <v>0</v>
      </c>
      <c r="R56" s="9">
        <v>0</v>
      </c>
      <c r="S56" s="8">
        <v>0</v>
      </c>
      <c r="T56" s="9">
        <v>0</v>
      </c>
    </row>
    <row r="57" spans="1:20" x14ac:dyDescent="0.2">
      <c r="A57" s="5" t="s">
        <v>104</v>
      </c>
      <c r="B57" s="5" t="s">
        <v>75</v>
      </c>
      <c r="C57" s="10" t="s">
        <v>668</v>
      </c>
      <c r="D57" s="7">
        <f t="shared" si="0"/>
        <v>10.1</v>
      </c>
      <c r="E57" s="8">
        <v>0</v>
      </c>
      <c r="F57" s="5">
        <v>0</v>
      </c>
      <c r="G57" s="5">
        <v>0</v>
      </c>
      <c r="H57" s="5">
        <v>0</v>
      </c>
      <c r="I57" s="5">
        <v>0</v>
      </c>
      <c r="J57" s="9">
        <v>0</v>
      </c>
      <c r="K57" s="8">
        <v>19</v>
      </c>
      <c r="L57" s="5">
        <v>89</v>
      </c>
      <c r="M57" s="5">
        <v>0</v>
      </c>
      <c r="N57" s="9">
        <v>0</v>
      </c>
      <c r="O57" s="8">
        <v>1</v>
      </c>
      <c r="P57" s="5">
        <v>2</v>
      </c>
      <c r="Q57" s="5">
        <v>0</v>
      </c>
      <c r="R57" s="9">
        <v>0</v>
      </c>
      <c r="S57" s="8">
        <v>0</v>
      </c>
      <c r="T57" s="9">
        <v>0</v>
      </c>
    </row>
    <row r="58" spans="1:20" x14ac:dyDescent="0.2">
      <c r="A58" s="5" t="s">
        <v>125</v>
      </c>
      <c r="B58" s="5" t="s">
        <v>75</v>
      </c>
      <c r="C58" s="17" t="s">
        <v>666</v>
      </c>
      <c r="D58" s="7">
        <f t="shared" si="0"/>
        <v>7.4</v>
      </c>
      <c r="E58" s="8">
        <v>0</v>
      </c>
      <c r="F58" s="5">
        <v>0</v>
      </c>
      <c r="G58" s="5">
        <v>0</v>
      </c>
      <c r="H58" s="5">
        <v>0</v>
      </c>
      <c r="I58" s="5">
        <v>0</v>
      </c>
      <c r="J58" s="9">
        <v>0</v>
      </c>
      <c r="K58" s="8">
        <v>6</v>
      </c>
      <c r="L58" s="5">
        <v>14</v>
      </c>
      <c r="M58" s="5">
        <v>1</v>
      </c>
      <c r="N58" s="9">
        <v>0</v>
      </c>
      <c r="O58" s="8">
        <v>0</v>
      </c>
      <c r="P58" s="5">
        <v>0</v>
      </c>
      <c r="Q58" s="5">
        <v>0</v>
      </c>
      <c r="R58" s="9">
        <v>0</v>
      </c>
      <c r="S58" s="8">
        <v>0</v>
      </c>
      <c r="T58" s="9">
        <v>0</v>
      </c>
    </row>
    <row r="59" spans="1:20" x14ac:dyDescent="0.2">
      <c r="A59" s="5" t="s">
        <v>575</v>
      </c>
      <c r="B59" s="5" t="s">
        <v>75</v>
      </c>
      <c r="C59" s="10" t="s">
        <v>671</v>
      </c>
      <c r="D59" s="7">
        <f t="shared" si="0"/>
        <v>7.3000000000000007</v>
      </c>
      <c r="E59" s="8">
        <v>0</v>
      </c>
      <c r="F59" s="5">
        <v>0</v>
      </c>
      <c r="G59" s="5">
        <v>0</v>
      </c>
      <c r="H59" s="5">
        <v>0</v>
      </c>
      <c r="I59" s="5">
        <v>0</v>
      </c>
      <c r="J59" s="9">
        <v>0</v>
      </c>
      <c r="K59" s="8">
        <v>17</v>
      </c>
      <c r="L59" s="5">
        <v>73</v>
      </c>
      <c r="M59" s="5">
        <v>0</v>
      </c>
      <c r="N59" s="9">
        <v>0</v>
      </c>
      <c r="O59" s="8">
        <v>0</v>
      </c>
      <c r="P59" s="5">
        <v>0</v>
      </c>
      <c r="Q59" s="5">
        <v>0</v>
      </c>
      <c r="R59" s="9">
        <v>0</v>
      </c>
      <c r="S59" s="8">
        <v>0</v>
      </c>
      <c r="T59" s="9">
        <v>0</v>
      </c>
    </row>
    <row r="60" spans="1:20" x14ac:dyDescent="0.2">
      <c r="A60" s="5" t="s">
        <v>89</v>
      </c>
      <c r="B60" s="5" t="s">
        <v>75</v>
      </c>
      <c r="C60" s="17" t="s">
        <v>669</v>
      </c>
      <c r="D60" s="7">
        <f t="shared" si="0"/>
        <v>7</v>
      </c>
      <c r="E60" s="8">
        <v>0</v>
      </c>
      <c r="F60" s="5">
        <v>0</v>
      </c>
      <c r="G60" s="5">
        <v>0</v>
      </c>
      <c r="H60" s="5">
        <v>0</v>
      </c>
      <c r="I60" s="5">
        <v>0</v>
      </c>
      <c r="J60" s="9">
        <v>0</v>
      </c>
      <c r="K60" s="8">
        <v>18</v>
      </c>
      <c r="L60" s="5">
        <v>81</v>
      </c>
      <c r="M60" s="5">
        <v>0</v>
      </c>
      <c r="N60" s="9">
        <v>0</v>
      </c>
      <c r="O60" s="8">
        <v>1</v>
      </c>
      <c r="P60" s="5">
        <v>-1</v>
      </c>
      <c r="Q60" s="5">
        <v>0</v>
      </c>
      <c r="R60" s="9">
        <v>0</v>
      </c>
      <c r="S60" s="8">
        <v>1</v>
      </c>
      <c r="T60" s="9">
        <v>0</v>
      </c>
    </row>
    <row r="61" spans="1:20" x14ac:dyDescent="0.2">
      <c r="A61" s="5" t="s">
        <v>144</v>
      </c>
      <c r="B61" s="5" t="s">
        <v>75</v>
      </c>
      <c r="C61" s="17" t="s">
        <v>671</v>
      </c>
      <c r="D61" s="7">
        <f t="shared" si="0"/>
        <v>12.899999999999999</v>
      </c>
      <c r="E61" s="8">
        <v>0</v>
      </c>
      <c r="F61" s="5">
        <v>0</v>
      </c>
      <c r="G61" s="5">
        <v>0</v>
      </c>
      <c r="H61" s="5">
        <v>0</v>
      </c>
      <c r="I61" s="5">
        <v>0</v>
      </c>
      <c r="J61" s="9">
        <v>0</v>
      </c>
      <c r="K61" s="8">
        <v>15</v>
      </c>
      <c r="L61" s="5">
        <v>47</v>
      </c>
      <c r="M61" s="5">
        <v>0</v>
      </c>
      <c r="N61" s="9">
        <v>0</v>
      </c>
      <c r="O61" s="8">
        <v>6</v>
      </c>
      <c r="P61" s="5">
        <v>22</v>
      </c>
      <c r="Q61" s="5">
        <v>0</v>
      </c>
      <c r="R61" s="9">
        <v>0</v>
      </c>
      <c r="S61" s="8">
        <v>0</v>
      </c>
      <c r="T61" s="9">
        <v>0</v>
      </c>
    </row>
    <row r="62" spans="1:20" x14ac:dyDescent="0.2">
      <c r="A62" s="5" t="s">
        <v>95</v>
      </c>
      <c r="B62" s="5" t="s">
        <v>75</v>
      </c>
      <c r="C62" s="17" t="s">
        <v>665</v>
      </c>
      <c r="D62" s="7">
        <f t="shared" si="0"/>
        <v>8.2999999999999989</v>
      </c>
      <c r="E62" s="8">
        <v>0</v>
      </c>
      <c r="F62" s="5">
        <v>0</v>
      </c>
      <c r="G62" s="5">
        <v>0</v>
      </c>
      <c r="H62" s="5">
        <v>0</v>
      </c>
      <c r="I62" s="5">
        <v>0</v>
      </c>
      <c r="J62" s="9">
        <v>0</v>
      </c>
      <c r="K62" s="8">
        <v>14</v>
      </c>
      <c r="L62" s="5">
        <v>62</v>
      </c>
      <c r="M62" s="5">
        <v>0</v>
      </c>
      <c r="N62" s="9">
        <v>0</v>
      </c>
      <c r="O62" s="8">
        <v>2</v>
      </c>
      <c r="P62" s="5">
        <v>1</v>
      </c>
      <c r="Q62" s="5">
        <v>0</v>
      </c>
      <c r="R62" s="9">
        <v>0</v>
      </c>
      <c r="S62" s="8">
        <v>0</v>
      </c>
      <c r="T62" s="9">
        <v>0</v>
      </c>
    </row>
    <row r="63" spans="1:20" x14ac:dyDescent="0.2">
      <c r="A63" s="5" t="s">
        <v>98</v>
      </c>
      <c r="B63" s="5" t="s">
        <v>75</v>
      </c>
      <c r="C63" s="10" t="s">
        <v>669</v>
      </c>
      <c r="D63" s="7">
        <f t="shared" si="0"/>
        <v>13.7</v>
      </c>
      <c r="E63" s="8">
        <v>0</v>
      </c>
      <c r="F63" s="5">
        <v>0</v>
      </c>
      <c r="G63" s="5">
        <v>0</v>
      </c>
      <c r="H63" s="5">
        <v>0</v>
      </c>
      <c r="I63" s="5">
        <v>0</v>
      </c>
      <c r="J63" s="9">
        <v>0</v>
      </c>
      <c r="K63" s="8">
        <v>1</v>
      </c>
      <c r="L63" s="5">
        <v>7</v>
      </c>
      <c r="M63" s="5">
        <v>0</v>
      </c>
      <c r="N63" s="9">
        <v>0</v>
      </c>
      <c r="O63" s="8">
        <v>7</v>
      </c>
      <c r="P63" s="5">
        <v>60</v>
      </c>
      <c r="Q63" s="5">
        <v>0</v>
      </c>
      <c r="R63" s="9">
        <v>0</v>
      </c>
      <c r="S63" s="8">
        <v>0</v>
      </c>
      <c r="T63" s="9">
        <v>0</v>
      </c>
    </row>
    <row r="64" spans="1:20" x14ac:dyDescent="0.2">
      <c r="A64" s="5" t="s">
        <v>122</v>
      </c>
      <c r="B64" s="5" t="s">
        <v>75</v>
      </c>
      <c r="C64" s="10" t="s">
        <v>661</v>
      </c>
      <c r="D64" s="7">
        <f t="shared" si="0"/>
        <v>10.100000000000001</v>
      </c>
      <c r="E64" s="8">
        <v>0</v>
      </c>
      <c r="F64" s="5">
        <v>0</v>
      </c>
      <c r="G64" s="5">
        <v>0</v>
      </c>
      <c r="H64" s="5">
        <v>0</v>
      </c>
      <c r="I64" s="5">
        <v>0</v>
      </c>
      <c r="J64" s="9">
        <v>0</v>
      </c>
      <c r="K64" s="8">
        <v>14</v>
      </c>
      <c r="L64" s="5">
        <v>29</v>
      </c>
      <c r="M64" s="5">
        <v>0</v>
      </c>
      <c r="N64" s="9">
        <v>0</v>
      </c>
      <c r="O64" s="8">
        <v>4</v>
      </c>
      <c r="P64" s="5">
        <v>32</v>
      </c>
      <c r="Q64" s="5">
        <v>0</v>
      </c>
      <c r="R64" s="9">
        <v>0</v>
      </c>
      <c r="S64" s="8">
        <v>0</v>
      </c>
      <c r="T64" s="9">
        <v>0</v>
      </c>
    </row>
    <row r="65" spans="1:20" x14ac:dyDescent="0.2">
      <c r="A65" s="5" t="s">
        <v>76</v>
      </c>
      <c r="B65" s="5" t="s">
        <v>75</v>
      </c>
      <c r="C65" s="17" t="s">
        <v>661</v>
      </c>
      <c r="D65" s="7">
        <f t="shared" si="0"/>
        <v>7</v>
      </c>
      <c r="E65" s="8">
        <v>0</v>
      </c>
      <c r="F65" s="5">
        <v>0</v>
      </c>
      <c r="G65" s="5">
        <v>0</v>
      </c>
      <c r="H65" s="5">
        <v>0</v>
      </c>
      <c r="I65" s="5">
        <v>0</v>
      </c>
      <c r="J65" s="9">
        <v>0</v>
      </c>
      <c r="K65" s="8">
        <v>10</v>
      </c>
      <c r="L65" s="5">
        <v>64</v>
      </c>
      <c r="M65" s="5">
        <v>0</v>
      </c>
      <c r="N65" s="9">
        <v>0</v>
      </c>
      <c r="O65" s="8">
        <v>2</v>
      </c>
      <c r="P65" s="5">
        <v>6</v>
      </c>
      <c r="Q65" s="5">
        <v>0</v>
      </c>
      <c r="R65" s="9">
        <v>0</v>
      </c>
      <c r="S65" s="8">
        <v>1</v>
      </c>
      <c r="T65" s="9">
        <v>0</v>
      </c>
    </row>
    <row r="66" spans="1:20" x14ac:dyDescent="0.2">
      <c r="A66" s="5" t="s">
        <v>80</v>
      </c>
      <c r="B66" s="5" t="s">
        <v>75</v>
      </c>
      <c r="C66" s="10" t="s">
        <v>659</v>
      </c>
      <c r="D66" s="7">
        <f t="shared" si="0"/>
        <v>8.8999999999999986</v>
      </c>
      <c r="E66" s="8">
        <v>0</v>
      </c>
      <c r="F66" s="5">
        <v>0</v>
      </c>
      <c r="G66" s="5">
        <v>0</v>
      </c>
      <c r="H66" s="5">
        <v>0</v>
      </c>
      <c r="I66" s="5">
        <v>0</v>
      </c>
      <c r="J66" s="9">
        <v>0</v>
      </c>
      <c r="K66" s="8">
        <v>14</v>
      </c>
      <c r="L66" s="5">
        <v>52</v>
      </c>
      <c r="M66" s="5">
        <v>0</v>
      </c>
      <c r="N66" s="9">
        <v>0</v>
      </c>
      <c r="O66" s="8">
        <v>3</v>
      </c>
      <c r="P66" s="5">
        <v>7</v>
      </c>
      <c r="Q66" s="5">
        <v>0</v>
      </c>
      <c r="R66" s="9">
        <v>0</v>
      </c>
      <c r="S66" s="8">
        <v>0</v>
      </c>
      <c r="T66" s="9">
        <v>0</v>
      </c>
    </row>
    <row r="67" spans="1:20" x14ac:dyDescent="0.2">
      <c r="A67" s="5" t="s">
        <v>108</v>
      </c>
      <c r="B67" s="5" t="s">
        <v>75</v>
      </c>
      <c r="C67" s="10" t="s">
        <v>670</v>
      </c>
      <c r="D67" s="7">
        <f t="shared" si="0"/>
        <v>8.5</v>
      </c>
      <c r="E67" s="8">
        <v>0</v>
      </c>
      <c r="F67" s="5">
        <v>0</v>
      </c>
      <c r="G67" s="5">
        <v>0</v>
      </c>
      <c r="H67" s="5">
        <v>0</v>
      </c>
      <c r="I67" s="5">
        <v>0</v>
      </c>
      <c r="J67" s="9">
        <v>0</v>
      </c>
      <c r="K67" s="8">
        <v>10</v>
      </c>
      <c r="L67" s="5">
        <v>57</v>
      </c>
      <c r="M67" s="5">
        <v>0</v>
      </c>
      <c r="N67" s="9">
        <v>0</v>
      </c>
      <c r="O67" s="8">
        <v>2</v>
      </c>
      <c r="P67" s="5">
        <v>8</v>
      </c>
      <c r="Q67" s="5">
        <v>0</v>
      </c>
      <c r="R67" s="9">
        <v>0</v>
      </c>
      <c r="S67" s="8">
        <v>0</v>
      </c>
      <c r="T67" s="9">
        <v>0</v>
      </c>
    </row>
    <row r="68" spans="1:20" x14ac:dyDescent="0.2">
      <c r="A68" s="5" t="s">
        <v>156</v>
      </c>
      <c r="B68" s="5" t="s">
        <v>75</v>
      </c>
      <c r="C68" s="10" t="s">
        <v>659</v>
      </c>
      <c r="D68" s="7">
        <f t="shared" si="0"/>
        <v>6.4</v>
      </c>
      <c r="E68" s="8">
        <v>0</v>
      </c>
      <c r="F68" s="5">
        <v>0</v>
      </c>
      <c r="G68" s="5">
        <v>0</v>
      </c>
      <c r="H68" s="5">
        <v>0</v>
      </c>
      <c r="I68" s="5">
        <v>0</v>
      </c>
      <c r="J68" s="9">
        <v>0</v>
      </c>
      <c r="K68" s="8">
        <v>7</v>
      </c>
      <c r="L68" s="5">
        <v>20</v>
      </c>
      <c r="M68" s="5">
        <v>0</v>
      </c>
      <c r="N68" s="9">
        <v>0</v>
      </c>
      <c r="O68" s="8">
        <v>1</v>
      </c>
      <c r="P68" s="5">
        <v>34</v>
      </c>
      <c r="Q68" s="5">
        <v>0</v>
      </c>
      <c r="R68" s="9">
        <v>0</v>
      </c>
      <c r="S68" s="8">
        <v>0</v>
      </c>
      <c r="T68" s="9">
        <v>0</v>
      </c>
    </row>
    <row r="69" spans="1:20" x14ac:dyDescent="0.2">
      <c r="A69" s="5" t="s">
        <v>94</v>
      </c>
      <c r="B69" s="5" t="s">
        <v>75</v>
      </c>
      <c r="C69" s="10" t="s">
        <v>670</v>
      </c>
      <c r="D69" s="7">
        <f t="shared" si="0"/>
        <v>6.2</v>
      </c>
      <c r="E69" s="8">
        <v>0</v>
      </c>
      <c r="F69" s="5">
        <v>0</v>
      </c>
      <c r="G69" s="5">
        <v>0</v>
      </c>
      <c r="H69" s="5">
        <v>0</v>
      </c>
      <c r="I69" s="5">
        <v>0</v>
      </c>
      <c r="J69" s="9">
        <v>0</v>
      </c>
      <c r="K69" s="8">
        <v>11</v>
      </c>
      <c r="L69" s="5">
        <v>50</v>
      </c>
      <c r="M69" s="5">
        <v>0</v>
      </c>
      <c r="N69" s="9">
        <v>0</v>
      </c>
      <c r="O69" s="8">
        <v>1</v>
      </c>
      <c r="P69" s="5">
        <v>2</v>
      </c>
      <c r="Q69" s="5">
        <v>0</v>
      </c>
      <c r="R69" s="9">
        <v>0</v>
      </c>
      <c r="S69" s="8">
        <v>0</v>
      </c>
      <c r="T69" s="9">
        <v>0</v>
      </c>
    </row>
    <row r="70" spans="1:20" x14ac:dyDescent="0.2">
      <c r="A70" s="5" t="s">
        <v>109</v>
      </c>
      <c r="B70" s="5" t="s">
        <v>75</v>
      </c>
      <c r="C70" s="17" t="s">
        <v>667</v>
      </c>
      <c r="D70" s="7">
        <f t="shared" si="0"/>
        <v>6.1000000000000005</v>
      </c>
      <c r="E70" s="8">
        <v>0</v>
      </c>
      <c r="F70" s="5">
        <v>0</v>
      </c>
      <c r="G70" s="5">
        <v>0</v>
      </c>
      <c r="H70" s="5">
        <v>0</v>
      </c>
      <c r="I70" s="5">
        <v>0</v>
      </c>
      <c r="J70" s="9">
        <v>0</v>
      </c>
      <c r="K70" s="8">
        <v>14</v>
      </c>
      <c r="L70" s="5">
        <v>39</v>
      </c>
      <c r="M70" s="5">
        <v>0</v>
      </c>
      <c r="N70" s="9">
        <v>0</v>
      </c>
      <c r="O70" s="8">
        <v>1</v>
      </c>
      <c r="P70" s="5">
        <v>12</v>
      </c>
      <c r="Q70" s="5">
        <v>0</v>
      </c>
      <c r="R70" s="9">
        <v>0</v>
      </c>
      <c r="S70" s="8">
        <v>0</v>
      </c>
      <c r="T70" s="9">
        <v>0</v>
      </c>
    </row>
    <row r="71" spans="1:20" x14ac:dyDescent="0.2">
      <c r="A71" s="5" t="s">
        <v>105</v>
      </c>
      <c r="B71" s="5" t="s">
        <v>75</v>
      </c>
      <c r="C71" s="10" t="s">
        <v>669</v>
      </c>
      <c r="D71" s="7">
        <f t="shared" si="0"/>
        <v>7.3000000000000007</v>
      </c>
      <c r="E71" s="8">
        <v>0</v>
      </c>
      <c r="F71" s="5">
        <v>0</v>
      </c>
      <c r="G71" s="5">
        <v>0</v>
      </c>
      <c r="H71" s="5">
        <v>0</v>
      </c>
      <c r="I71" s="5">
        <v>0</v>
      </c>
      <c r="J71" s="9">
        <v>0</v>
      </c>
      <c r="K71" s="8">
        <v>11</v>
      </c>
      <c r="L71" s="5">
        <v>37</v>
      </c>
      <c r="M71" s="5">
        <v>0</v>
      </c>
      <c r="N71" s="9">
        <v>0</v>
      </c>
      <c r="O71" s="8">
        <v>2</v>
      </c>
      <c r="P71" s="5">
        <v>16</v>
      </c>
      <c r="Q71" s="5">
        <v>0</v>
      </c>
      <c r="R71" s="9">
        <v>0</v>
      </c>
      <c r="S71" s="8">
        <v>0</v>
      </c>
      <c r="T71" s="9">
        <v>0</v>
      </c>
    </row>
    <row r="72" spans="1:20" x14ac:dyDescent="0.2">
      <c r="A72" s="5" t="s">
        <v>117</v>
      </c>
      <c r="B72" s="5" t="s">
        <v>75</v>
      </c>
      <c r="C72" s="17" t="s">
        <v>672</v>
      </c>
      <c r="D72" s="7">
        <f t="shared" si="0"/>
        <v>4.5999999999999996</v>
      </c>
      <c r="E72" s="8">
        <v>0</v>
      </c>
      <c r="F72" s="5">
        <v>0</v>
      </c>
      <c r="G72" s="5">
        <v>0</v>
      </c>
      <c r="H72" s="5">
        <v>0</v>
      </c>
      <c r="I72" s="5">
        <v>0</v>
      </c>
      <c r="J72" s="9">
        <v>0</v>
      </c>
      <c r="K72" s="8">
        <v>12</v>
      </c>
      <c r="L72" s="5">
        <v>35</v>
      </c>
      <c r="M72" s="5">
        <v>0</v>
      </c>
      <c r="N72" s="9">
        <v>0</v>
      </c>
      <c r="O72" s="8">
        <v>1</v>
      </c>
      <c r="P72" s="5">
        <v>1</v>
      </c>
      <c r="Q72" s="5">
        <v>0</v>
      </c>
      <c r="R72" s="9">
        <v>0</v>
      </c>
      <c r="S72" s="8">
        <v>0</v>
      </c>
      <c r="T72" s="9">
        <v>0</v>
      </c>
    </row>
    <row r="73" spans="1:20" x14ac:dyDescent="0.2">
      <c r="A73" s="5" t="s">
        <v>88</v>
      </c>
      <c r="B73" s="5" t="s">
        <v>75</v>
      </c>
      <c r="C73" s="17" t="s">
        <v>659</v>
      </c>
      <c r="D73" s="7">
        <f t="shared" si="0"/>
        <v>5.4</v>
      </c>
      <c r="E73" s="8">
        <v>0</v>
      </c>
      <c r="F73" s="5">
        <v>0</v>
      </c>
      <c r="G73" s="5">
        <v>0</v>
      </c>
      <c r="H73" s="5">
        <v>0</v>
      </c>
      <c r="I73" s="5">
        <v>0</v>
      </c>
      <c r="J73" s="9">
        <v>0</v>
      </c>
      <c r="K73" s="8">
        <v>10</v>
      </c>
      <c r="L73" s="5">
        <v>38</v>
      </c>
      <c r="M73" s="5">
        <v>0</v>
      </c>
      <c r="N73" s="9">
        <v>0</v>
      </c>
      <c r="O73" s="8">
        <v>1</v>
      </c>
      <c r="P73" s="5">
        <v>6</v>
      </c>
      <c r="Q73" s="5">
        <v>0</v>
      </c>
      <c r="R73" s="9">
        <v>0</v>
      </c>
      <c r="S73" s="8">
        <v>0</v>
      </c>
      <c r="T73" s="9">
        <v>0</v>
      </c>
    </row>
    <row r="74" spans="1:20" x14ac:dyDescent="0.2">
      <c r="A74" s="5" t="s">
        <v>99</v>
      </c>
      <c r="B74" s="5" t="s">
        <v>75</v>
      </c>
      <c r="C74" s="17" t="s">
        <v>666</v>
      </c>
      <c r="D74" s="7">
        <f t="shared" si="0"/>
        <v>6.1</v>
      </c>
      <c r="E74" s="8">
        <v>0</v>
      </c>
      <c r="F74" s="5">
        <v>0</v>
      </c>
      <c r="G74" s="5">
        <v>0</v>
      </c>
      <c r="H74" s="5">
        <v>0</v>
      </c>
      <c r="I74" s="5">
        <v>0</v>
      </c>
      <c r="J74" s="9">
        <v>0</v>
      </c>
      <c r="K74" s="8">
        <v>16</v>
      </c>
      <c r="L74" s="5">
        <v>35</v>
      </c>
      <c r="M74" s="5">
        <v>0</v>
      </c>
      <c r="N74" s="9">
        <v>0</v>
      </c>
      <c r="O74" s="8">
        <v>2</v>
      </c>
      <c r="P74" s="5">
        <v>6</v>
      </c>
      <c r="Q74" s="5">
        <v>0</v>
      </c>
      <c r="R74" s="9">
        <v>0</v>
      </c>
      <c r="S74" s="8">
        <v>0</v>
      </c>
      <c r="T74" s="9">
        <v>0</v>
      </c>
    </row>
    <row r="75" spans="1:20" x14ac:dyDescent="0.2">
      <c r="A75" s="5" t="s">
        <v>428</v>
      </c>
      <c r="B75" s="5" t="s">
        <v>75</v>
      </c>
      <c r="C75" s="10" t="s">
        <v>672</v>
      </c>
      <c r="D75" s="7">
        <f t="shared" si="0"/>
        <v>6.6999999999999993</v>
      </c>
      <c r="E75" s="8">
        <v>0</v>
      </c>
      <c r="F75" s="5">
        <v>0</v>
      </c>
      <c r="G75" s="5">
        <v>0</v>
      </c>
      <c r="H75" s="5">
        <v>0</v>
      </c>
      <c r="I75" s="5">
        <v>0</v>
      </c>
      <c r="J75" s="9">
        <v>0</v>
      </c>
      <c r="K75" s="8">
        <v>12</v>
      </c>
      <c r="L75" s="5">
        <v>36</v>
      </c>
      <c r="M75" s="5">
        <v>0</v>
      </c>
      <c r="N75" s="9">
        <v>0</v>
      </c>
      <c r="O75" s="8">
        <v>3</v>
      </c>
      <c r="P75" s="5">
        <v>1</v>
      </c>
      <c r="Q75" s="5">
        <v>0</v>
      </c>
      <c r="R75" s="9">
        <v>0</v>
      </c>
      <c r="S75" s="8">
        <v>0</v>
      </c>
      <c r="T75" s="9">
        <v>0</v>
      </c>
    </row>
    <row r="76" spans="1:20" x14ac:dyDescent="0.2">
      <c r="A76" s="5" t="s">
        <v>82</v>
      </c>
      <c r="B76" s="5" t="s">
        <v>75</v>
      </c>
      <c r="C76" s="17" t="s">
        <v>666</v>
      </c>
      <c r="D76" s="7">
        <f t="shared" si="0"/>
        <v>3</v>
      </c>
      <c r="E76" s="8">
        <v>0</v>
      </c>
      <c r="F76" s="5">
        <v>0</v>
      </c>
      <c r="G76" s="5">
        <v>0</v>
      </c>
      <c r="H76" s="5">
        <v>0</v>
      </c>
      <c r="I76" s="5">
        <v>0</v>
      </c>
      <c r="J76" s="9">
        <v>0</v>
      </c>
      <c r="K76" s="8">
        <v>6</v>
      </c>
      <c r="L76" s="5">
        <v>30</v>
      </c>
      <c r="M76" s="5">
        <v>0</v>
      </c>
      <c r="N76" s="9">
        <v>0</v>
      </c>
      <c r="O76" s="8">
        <v>0</v>
      </c>
      <c r="P76" s="5">
        <v>0</v>
      </c>
      <c r="Q76" s="5">
        <v>0</v>
      </c>
      <c r="R76" s="9">
        <v>0</v>
      </c>
      <c r="S76" s="8">
        <v>0</v>
      </c>
      <c r="T76" s="9">
        <v>0</v>
      </c>
    </row>
    <row r="77" spans="1:20" x14ac:dyDescent="0.2">
      <c r="A77" s="5" t="s">
        <v>578</v>
      </c>
      <c r="B77" s="5" t="s">
        <v>75</v>
      </c>
      <c r="C77" s="10" t="s">
        <v>664</v>
      </c>
      <c r="D77" s="7">
        <f t="shared" si="0"/>
        <v>5.1000000000000005</v>
      </c>
      <c r="E77" s="8">
        <v>0</v>
      </c>
      <c r="F77" s="5">
        <v>0</v>
      </c>
      <c r="G77" s="5">
        <v>0</v>
      </c>
      <c r="H77" s="5">
        <v>0</v>
      </c>
      <c r="I77" s="5">
        <v>0</v>
      </c>
      <c r="J77" s="9">
        <v>0</v>
      </c>
      <c r="K77" s="8">
        <v>8</v>
      </c>
      <c r="L77" s="5">
        <v>33</v>
      </c>
      <c r="M77" s="5">
        <v>0</v>
      </c>
      <c r="N77" s="9">
        <v>0</v>
      </c>
      <c r="O77" s="8">
        <v>1</v>
      </c>
      <c r="P77" s="5">
        <v>8</v>
      </c>
      <c r="Q77" s="5">
        <v>0</v>
      </c>
      <c r="R77" s="9">
        <v>0</v>
      </c>
      <c r="S77" s="8">
        <v>0</v>
      </c>
      <c r="T77" s="9">
        <v>0</v>
      </c>
    </row>
    <row r="78" spans="1:20" x14ac:dyDescent="0.2">
      <c r="A78" s="5" t="s">
        <v>149</v>
      </c>
      <c r="B78" s="5" t="s">
        <v>75</v>
      </c>
      <c r="C78" s="10" t="s">
        <v>662</v>
      </c>
      <c r="D78" s="7">
        <f t="shared" si="0"/>
        <v>3.5</v>
      </c>
      <c r="E78" s="8">
        <v>0</v>
      </c>
      <c r="F78" s="5">
        <v>0</v>
      </c>
      <c r="G78" s="5">
        <v>0</v>
      </c>
      <c r="H78" s="5">
        <v>0</v>
      </c>
      <c r="I78" s="5">
        <v>0</v>
      </c>
      <c r="J78" s="9">
        <v>0</v>
      </c>
      <c r="K78" s="8">
        <v>10</v>
      </c>
      <c r="L78" s="5">
        <v>35</v>
      </c>
      <c r="M78" s="5">
        <v>0</v>
      </c>
      <c r="N78" s="9">
        <v>0</v>
      </c>
      <c r="O78" s="8">
        <v>0</v>
      </c>
      <c r="P78" s="5">
        <v>0</v>
      </c>
      <c r="Q78" s="5">
        <v>0</v>
      </c>
      <c r="R78" s="9">
        <v>0</v>
      </c>
      <c r="S78" s="8">
        <v>0</v>
      </c>
      <c r="T78" s="9">
        <v>0</v>
      </c>
    </row>
    <row r="79" spans="1:20" x14ac:dyDescent="0.2">
      <c r="A79" s="5" t="s">
        <v>158</v>
      </c>
      <c r="B79" s="5" t="s">
        <v>75</v>
      </c>
      <c r="C79" s="10" t="s">
        <v>663</v>
      </c>
      <c r="D79" s="7">
        <f t="shared" si="0"/>
        <v>3.8</v>
      </c>
      <c r="E79" s="8">
        <v>0</v>
      </c>
      <c r="F79" s="5">
        <v>0</v>
      </c>
      <c r="G79" s="5">
        <v>0</v>
      </c>
      <c r="H79" s="5">
        <v>0</v>
      </c>
      <c r="I79" s="5">
        <v>0</v>
      </c>
      <c r="J79" s="9">
        <v>0</v>
      </c>
      <c r="K79" s="8">
        <v>6</v>
      </c>
      <c r="L79" s="5">
        <v>43</v>
      </c>
      <c r="M79" s="5">
        <v>0</v>
      </c>
      <c r="N79" s="9">
        <v>0</v>
      </c>
      <c r="O79" s="8">
        <v>1</v>
      </c>
      <c r="P79" s="5">
        <v>5</v>
      </c>
      <c r="Q79" s="5">
        <v>0</v>
      </c>
      <c r="R79" s="9">
        <v>0</v>
      </c>
      <c r="S79" s="8">
        <v>1</v>
      </c>
      <c r="T79" s="9">
        <v>0</v>
      </c>
    </row>
    <row r="80" spans="1:20" x14ac:dyDescent="0.2">
      <c r="A80" s="5" t="s">
        <v>112</v>
      </c>
      <c r="B80" s="5" t="s">
        <v>75</v>
      </c>
      <c r="C80" s="10" t="s">
        <v>659</v>
      </c>
      <c r="D80" s="7">
        <f t="shared" si="0"/>
        <v>2.1</v>
      </c>
      <c r="E80" s="8">
        <v>0</v>
      </c>
      <c r="F80" s="5">
        <v>0</v>
      </c>
      <c r="G80" s="5">
        <v>0</v>
      </c>
      <c r="H80" s="5">
        <v>0</v>
      </c>
      <c r="I80" s="5">
        <v>0</v>
      </c>
      <c r="J80" s="9">
        <v>0</v>
      </c>
      <c r="K80" s="8">
        <v>9</v>
      </c>
      <c r="L80" s="5">
        <v>21</v>
      </c>
      <c r="M80" s="5">
        <v>0</v>
      </c>
      <c r="N80" s="9">
        <v>0</v>
      </c>
      <c r="O80" s="8">
        <v>0</v>
      </c>
      <c r="P80" s="5">
        <v>0</v>
      </c>
      <c r="Q80" s="5">
        <v>0</v>
      </c>
      <c r="R80" s="9">
        <v>0</v>
      </c>
      <c r="S80" s="8">
        <v>0</v>
      </c>
      <c r="T80" s="9">
        <v>0</v>
      </c>
    </row>
    <row r="81" spans="1:20" x14ac:dyDescent="0.2">
      <c r="A81" s="5" t="s">
        <v>134</v>
      </c>
      <c r="B81" s="5" t="s">
        <v>75</v>
      </c>
      <c r="C81" s="17" t="s">
        <v>670</v>
      </c>
      <c r="D81" s="7">
        <f t="shared" si="0"/>
        <v>4.0000000000000009</v>
      </c>
      <c r="E81" s="8">
        <v>0</v>
      </c>
      <c r="F81" s="5">
        <v>0</v>
      </c>
      <c r="G81" s="5">
        <v>0</v>
      </c>
      <c r="H81" s="5">
        <v>0</v>
      </c>
      <c r="I81" s="5">
        <v>0</v>
      </c>
      <c r="J81" s="9">
        <v>0</v>
      </c>
      <c r="K81" s="8">
        <v>8</v>
      </c>
      <c r="L81" s="5">
        <v>23</v>
      </c>
      <c r="M81" s="5">
        <v>0</v>
      </c>
      <c r="N81" s="9">
        <v>0</v>
      </c>
      <c r="O81" s="8">
        <v>2</v>
      </c>
      <c r="P81" s="5">
        <v>-3</v>
      </c>
      <c r="Q81" s="5">
        <v>0</v>
      </c>
      <c r="R81" s="9">
        <v>0</v>
      </c>
      <c r="S81" s="8">
        <v>0</v>
      </c>
      <c r="T81" s="9">
        <v>0</v>
      </c>
    </row>
    <row r="82" spans="1:20" x14ac:dyDescent="0.2">
      <c r="A82" s="5" t="s">
        <v>124</v>
      </c>
      <c r="B82" s="5" t="s">
        <v>75</v>
      </c>
      <c r="C82" s="10" t="s">
        <v>668</v>
      </c>
      <c r="D82" s="7">
        <f t="shared" si="0"/>
        <v>2</v>
      </c>
      <c r="E82" s="8">
        <v>0</v>
      </c>
      <c r="F82" s="5">
        <v>0</v>
      </c>
      <c r="G82" s="5">
        <v>0</v>
      </c>
      <c r="H82" s="5">
        <v>0</v>
      </c>
      <c r="I82" s="5">
        <v>0</v>
      </c>
      <c r="J82" s="9">
        <v>0</v>
      </c>
      <c r="K82" s="8">
        <v>2</v>
      </c>
      <c r="L82" s="5">
        <v>20</v>
      </c>
      <c r="M82" s="5">
        <v>0</v>
      </c>
      <c r="N82" s="9">
        <v>0</v>
      </c>
      <c r="O82" s="8">
        <v>0</v>
      </c>
      <c r="P82" s="5">
        <v>0</v>
      </c>
      <c r="Q82" s="5">
        <v>0</v>
      </c>
      <c r="R82" s="9">
        <v>0</v>
      </c>
      <c r="S82" s="8">
        <v>0</v>
      </c>
      <c r="T82" s="9">
        <v>0</v>
      </c>
    </row>
    <row r="83" spans="1:20" x14ac:dyDescent="0.2">
      <c r="A83" s="5" t="s">
        <v>675</v>
      </c>
      <c r="B83" s="5" t="s">
        <v>75</v>
      </c>
      <c r="C83" s="10" t="s">
        <v>663</v>
      </c>
      <c r="D83" s="7">
        <f t="shared" si="0"/>
        <v>2.3000000000000003</v>
      </c>
      <c r="E83" s="8">
        <v>0</v>
      </c>
      <c r="F83" s="5">
        <v>0</v>
      </c>
      <c r="G83" s="5">
        <v>0</v>
      </c>
      <c r="H83" s="5">
        <v>0</v>
      </c>
      <c r="I83" s="5">
        <v>0</v>
      </c>
      <c r="J83" s="9">
        <v>0</v>
      </c>
      <c r="K83" s="8">
        <v>2</v>
      </c>
      <c r="L83" s="5">
        <v>23</v>
      </c>
      <c r="M83" s="5">
        <v>0</v>
      </c>
      <c r="N83" s="9">
        <v>0</v>
      </c>
      <c r="O83" s="8">
        <v>0</v>
      </c>
      <c r="P83" s="5">
        <v>0</v>
      </c>
      <c r="Q83" s="5">
        <v>0</v>
      </c>
      <c r="R83" s="9">
        <v>0</v>
      </c>
      <c r="S83" s="8">
        <v>0</v>
      </c>
      <c r="T83" s="9">
        <v>0</v>
      </c>
    </row>
    <row r="84" spans="1:20" x14ac:dyDescent="0.2">
      <c r="A84" s="5" t="s">
        <v>157</v>
      </c>
      <c r="B84" s="5" t="s">
        <v>75</v>
      </c>
      <c r="C84" s="17" t="s">
        <v>665</v>
      </c>
      <c r="D84" s="7">
        <f t="shared" si="0"/>
        <v>3.1</v>
      </c>
      <c r="E84" s="8">
        <v>0</v>
      </c>
      <c r="F84" s="5">
        <v>0</v>
      </c>
      <c r="G84" s="5">
        <v>0</v>
      </c>
      <c r="H84" s="5">
        <v>0</v>
      </c>
      <c r="I84" s="5">
        <v>0</v>
      </c>
      <c r="J84" s="9">
        <v>0</v>
      </c>
      <c r="K84" s="8">
        <v>1</v>
      </c>
      <c r="L84" s="5">
        <v>10</v>
      </c>
      <c r="M84" s="5">
        <v>0</v>
      </c>
      <c r="N84" s="9">
        <v>0</v>
      </c>
      <c r="O84" s="8">
        <v>1</v>
      </c>
      <c r="P84" s="5">
        <v>11</v>
      </c>
      <c r="Q84" s="5">
        <v>0</v>
      </c>
      <c r="R84" s="9">
        <v>0</v>
      </c>
      <c r="S84" s="8">
        <v>0</v>
      </c>
      <c r="T84" s="9">
        <v>0</v>
      </c>
    </row>
    <row r="85" spans="1:20" x14ac:dyDescent="0.2">
      <c r="A85" s="5" t="s">
        <v>148</v>
      </c>
      <c r="B85" s="5" t="s">
        <v>75</v>
      </c>
      <c r="C85" s="10" t="s">
        <v>660</v>
      </c>
      <c r="D85" s="7">
        <f t="shared" si="0"/>
        <v>2.4000000000000004</v>
      </c>
      <c r="E85" s="8">
        <v>0</v>
      </c>
      <c r="F85" s="5">
        <v>0</v>
      </c>
      <c r="G85" s="5">
        <v>0</v>
      </c>
      <c r="H85" s="5">
        <v>0</v>
      </c>
      <c r="I85" s="5">
        <v>0</v>
      </c>
      <c r="J85" s="9">
        <v>0</v>
      </c>
      <c r="K85" s="8">
        <v>4</v>
      </c>
      <c r="L85" s="5">
        <v>24</v>
      </c>
      <c r="M85" s="5">
        <v>0</v>
      </c>
      <c r="N85" s="9">
        <v>0</v>
      </c>
      <c r="O85" s="8">
        <v>0</v>
      </c>
      <c r="P85" s="5">
        <v>0</v>
      </c>
      <c r="Q85" s="5">
        <v>0</v>
      </c>
      <c r="R85" s="9">
        <v>0</v>
      </c>
      <c r="S85" s="8">
        <v>0</v>
      </c>
      <c r="T85" s="9">
        <v>0</v>
      </c>
    </row>
    <row r="86" spans="1:20" x14ac:dyDescent="0.2">
      <c r="A86" s="5" t="s">
        <v>129</v>
      </c>
      <c r="B86" s="5" t="s">
        <v>75</v>
      </c>
      <c r="C86" s="17" t="s">
        <v>659</v>
      </c>
      <c r="D86" s="7">
        <f t="shared" si="0"/>
        <v>4.6000000000000005</v>
      </c>
      <c r="E86" s="8">
        <v>0</v>
      </c>
      <c r="F86" s="5">
        <v>0</v>
      </c>
      <c r="G86" s="5">
        <v>0</v>
      </c>
      <c r="H86" s="5">
        <v>0</v>
      </c>
      <c r="I86" s="5">
        <v>0</v>
      </c>
      <c r="J86" s="9">
        <v>0</v>
      </c>
      <c r="K86" s="8">
        <v>4</v>
      </c>
      <c r="L86" s="5">
        <v>14</v>
      </c>
      <c r="M86" s="5">
        <v>0</v>
      </c>
      <c r="N86" s="9">
        <v>0</v>
      </c>
      <c r="O86" s="8">
        <v>2</v>
      </c>
      <c r="P86" s="5">
        <v>12</v>
      </c>
      <c r="Q86" s="5">
        <v>0</v>
      </c>
      <c r="R86" s="9">
        <v>0</v>
      </c>
      <c r="S86" s="8">
        <v>0</v>
      </c>
      <c r="T86" s="9">
        <v>0</v>
      </c>
    </row>
    <row r="87" spans="1:20" x14ac:dyDescent="0.2">
      <c r="A87" s="5" t="s">
        <v>160</v>
      </c>
      <c r="B87" s="5" t="s">
        <v>75</v>
      </c>
      <c r="C87" s="17" t="s">
        <v>664</v>
      </c>
      <c r="D87" s="7">
        <f t="shared" si="0"/>
        <v>2</v>
      </c>
      <c r="E87" s="8">
        <v>0</v>
      </c>
      <c r="F87" s="5">
        <v>0</v>
      </c>
      <c r="G87" s="5">
        <v>0</v>
      </c>
      <c r="H87" s="5">
        <v>0</v>
      </c>
      <c r="I87" s="5">
        <v>0</v>
      </c>
      <c r="J87" s="9">
        <v>0</v>
      </c>
      <c r="K87" s="8">
        <v>2</v>
      </c>
      <c r="L87" s="5">
        <v>20</v>
      </c>
      <c r="M87" s="5">
        <v>0</v>
      </c>
      <c r="N87" s="9">
        <v>0</v>
      </c>
      <c r="O87" s="8">
        <v>0</v>
      </c>
      <c r="P87" s="5">
        <v>0</v>
      </c>
      <c r="Q87" s="5">
        <v>0</v>
      </c>
      <c r="R87" s="9">
        <v>0</v>
      </c>
      <c r="S87" s="8">
        <v>0</v>
      </c>
      <c r="T87" s="9">
        <v>0</v>
      </c>
    </row>
    <row r="88" spans="1:20" x14ac:dyDescent="0.2">
      <c r="A88" s="5" t="s">
        <v>676</v>
      </c>
      <c r="B88" s="5" t="s">
        <v>75</v>
      </c>
      <c r="C88" s="17" t="s">
        <v>662</v>
      </c>
      <c r="D88" s="7">
        <f t="shared" si="0"/>
        <v>2.6</v>
      </c>
      <c r="E88" s="8">
        <v>0</v>
      </c>
      <c r="F88" s="5">
        <v>0</v>
      </c>
      <c r="G88" s="5">
        <v>0</v>
      </c>
      <c r="H88" s="5">
        <v>0</v>
      </c>
      <c r="I88" s="5">
        <v>0</v>
      </c>
      <c r="J88" s="9">
        <v>0</v>
      </c>
      <c r="K88" s="8">
        <v>1</v>
      </c>
      <c r="L88" s="5">
        <v>11</v>
      </c>
      <c r="M88" s="5">
        <v>0</v>
      </c>
      <c r="N88" s="9">
        <v>0</v>
      </c>
      <c r="O88" s="8">
        <v>1</v>
      </c>
      <c r="P88" s="5">
        <v>5</v>
      </c>
      <c r="Q88" s="5">
        <v>0</v>
      </c>
      <c r="R88" s="9">
        <v>0</v>
      </c>
      <c r="S88" s="8">
        <v>0</v>
      </c>
      <c r="T88" s="9">
        <v>0</v>
      </c>
    </row>
    <row r="89" spans="1:20" x14ac:dyDescent="0.2">
      <c r="A89" s="5" t="s">
        <v>107</v>
      </c>
      <c r="B89" s="5" t="s">
        <v>75</v>
      </c>
      <c r="C89" s="17" t="s">
        <v>662</v>
      </c>
      <c r="D89" s="7">
        <f t="shared" si="0"/>
        <v>1.3</v>
      </c>
      <c r="E89" s="8">
        <v>0</v>
      </c>
      <c r="F89" s="5">
        <v>0</v>
      </c>
      <c r="G89" s="5">
        <v>0</v>
      </c>
      <c r="H89" s="5">
        <v>0</v>
      </c>
      <c r="I89" s="5">
        <v>0</v>
      </c>
      <c r="J89" s="9">
        <v>0</v>
      </c>
      <c r="K89" s="8">
        <v>2</v>
      </c>
      <c r="L89" s="5">
        <v>13</v>
      </c>
      <c r="M89" s="5">
        <v>0</v>
      </c>
      <c r="N89" s="9">
        <v>0</v>
      </c>
      <c r="O89" s="8">
        <v>0</v>
      </c>
      <c r="P89" s="5">
        <v>0</v>
      </c>
      <c r="Q89" s="5">
        <v>0</v>
      </c>
      <c r="R89" s="9">
        <v>0</v>
      </c>
      <c r="S89" s="8">
        <v>0</v>
      </c>
      <c r="T89" s="9">
        <v>0</v>
      </c>
    </row>
    <row r="90" spans="1:20" x14ac:dyDescent="0.2">
      <c r="A90" s="5" t="s">
        <v>133</v>
      </c>
      <c r="B90" s="5" t="s">
        <v>75</v>
      </c>
      <c r="C90" s="17" t="s">
        <v>671</v>
      </c>
      <c r="D90" s="7">
        <f t="shared" si="0"/>
        <v>2.4</v>
      </c>
      <c r="E90" s="8">
        <v>0</v>
      </c>
      <c r="F90" s="5">
        <v>0</v>
      </c>
      <c r="G90" s="5">
        <v>0</v>
      </c>
      <c r="H90" s="5">
        <v>0</v>
      </c>
      <c r="I90" s="5">
        <v>0</v>
      </c>
      <c r="J90" s="9">
        <v>0</v>
      </c>
      <c r="K90" s="8">
        <v>1</v>
      </c>
      <c r="L90" s="5">
        <v>4</v>
      </c>
      <c r="M90" s="5">
        <v>0</v>
      </c>
      <c r="N90" s="9">
        <v>0</v>
      </c>
      <c r="O90" s="8">
        <v>1</v>
      </c>
      <c r="P90" s="5">
        <v>10</v>
      </c>
      <c r="Q90" s="5">
        <v>0</v>
      </c>
      <c r="R90" s="9">
        <v>0</v>
      </c>
      <c r="S90" s="8">
        <v>0</v>
      </c>
      <c r="T90" s="9">
        <v>0</v>
      </c>
    </row>
    <row r="91" spans="1:20" x14ac:dyDescent="0.2">
      <c r="A91" s="5" t="s">
        <v>154</v>
      </c>
      <c r="B91" s="5" t="s">
        <v>75</v>
      </c>
      <c r="C91" s="17" t="s">
        <v>660</v>
      </c>
      <c r="D91" s="7">
        <f t="shared" si="0"/>
        <v>2.9000000000000004</v>
      </c>
      <c r="E91" s="8">
        <v>0</v>
      </c>
      <c r="F91" s="5">
        <v>0</v>
      </c>
      <c r="G91" s="5">
        <v>0</v>
      </c>
      <c r="H91" s="5">
        <v>0</v>
      </c>
      <c r="I91" s="5">
        <v>0</v>
      </c>
      <c r="J91" s="9">
        <v>0</v>
      </c>
      <c r="K91" s="8">
        <v>4</v>
      </c>
      <c r="L91" s="5">
        <v>8</v>
      </c>
      <c r="M91" s="5">
        <v>0</v>
      </c>
      <c r="N91" s="9">
        <v>0</v>
      </c>
      <c r="O91" s="8">
        <v>1</v>
      </c>
      <c r="P91" s="5">
        <v>11</v>
      </c>
      <c r="Q91" s="5">
        <v>0</v>
      </c>
      <c r="R91" s="9">
        <v>0</v>
      </c>
      <c r="S91" s="8">
        <v>0</v>
      </c>
      <c r="T91" s="9">
        <v>0</v>
      </c>
    </row>
    <row r="92" spans="1:20" x14ac:dyDescent="0.2">
      <c r="A92" s="5" t="s">
        <v>118</v>
      </c>
      <c r="B92" s="5" t="s">
        <v>75</v>
      </c>
      <c r="C92" s="10" t="s">
        <v>667</v>
      </c>
      <c r="D92" s="7">
        <f t="shared" si="0"/>
        <v>4.5999999999999996</v>
      </c>
      <c r="E92" s="8">
        <v>0</v>
      </c>
      <c r="F92" s="5">
        <v>0</v>
      </c>
      <c r="G92" s="5">
        <v>0</v>
      </c>
      <c r="H92" s="5">
        <v>0</v>
      </c>
      <c r="I92" s="5">
        <v>0</v>
      </c>
      <c r="J92" s="9">
        <v>0</v>
      </c>
      <c r="K92" s="8">
        <v>0</v>
      </c>
      <c r="L92" s="5">
        <v>0</v>
      </c>
      <c r="M92" s="5">
        <v>0</v>
      </c>
      <c r="N92" s="9">
        <v>0</v>
      </c>
      <c r="O92" s="8">
        <v>3</v>
      </c>
      <c r="P92" s="5">
        <v>16</v>
      </c>
      <c r="Q92" s="5">
        <v>0</v>
      </c>
      <c r="R92" s="9">
        <v>0</v>
      </c>
      <c r="S92" s="8">
        <v>0</v>
      </c>
      <c r="T92" s="9">
        <v>0</v>
      </c>
    </row>
    <row r="93" spans="1:20" x14ac:dyDescent="0.2">
      <c r="A93" s="5" t="s">
        <v>74</v>
      </c>
      <c r="B93" s="5" t="s">
        <v>75</v>
      </c>
      <c r="C93" s="10" t="s">
        <v>661</v>
      </c>
      <c r="D93" s="7">
        <f t="shared" si="0"/>
        <v>2.7</v>
      </c>
      <c r="E93" s="8">
        <v>0</v>
      </c>
      <c r="F93" s="5">
        <v>0</v>
      </c>
      <c r="G93" s="5">
        <v>0</v>
      </c>
      <c r="H93" s="5">
        <v>0</v>
      </c>
      <c r="I93" s="5">
        <v>0</v>
      </c>
      <c r="J93" s="9">
        <v>0</v>
      </c>
      <c r="K93" s="8">
        <v>4</v>
      </c>
      <c r="L93" s="5">
        <v>14</v>
      </c>
      <c r="M93" s="5">
        <v>0</v>
      </c>
      <c r="N93" s="9">
        <v>0</v>
      </c>
      <c r="O93" s="8">
        <v>1</v>
      </c>
      <c r="P93" s="5">
        <v>3</v>
      </c>
      <c r="Q93" s="5">
        <v>0</v>
      </c>
      <c r="R93" s="9">
        <v>0</v>
      </c>
      <c r="S93" s="8">
        <v>0</v>
      </c>
      <c r="T93" s="9">
        <v>0</v>
      </c>
    </row>
    <row r="94" spans="1:20" x14ac:dyDescent="0.2">
      <c r="A94" s="5" t="s">
        <v>86</v>
      </c>
      <c r="B94" s="5" t="s">
        <v>75</v>
      </c>
      <c r="C94" s="17" t="s">
        <v>661</v>
      </c>
      <c r="D94" s="7">
        <f t="shared" si="0"/>
        <v>1.3</v>
      </c>
      <c r="E94" s="8">
        <v>0</v>
      </c>
      <c r="F94" s="5">
        <v>0</v>
      </c>
      <c r="G94" s="5">
        <v>0</v>
      </c>
      <c r="H94" s="5">
        <v>0</v>
      </c>
      <c r="I94" s="5">
        <v>0</v>
      </c>
      <c r="J94" s="9">
        <v>0</v>
      </c>
      <c r="K94" s="8">
        <v>6</v>
      </c>
      <c r="L94" s="5">
        <v>13</v>
      </c>
      <c r="M94" s="5">
        <v>0</v>
      </c>
      <c r="N94" s="9">
        <v>0</v>
      </c>
      <c r="O94" s="8">
        <v>0</v>
      </c>
      <c r="P94" s="5">
        <v>0</v>
      </c>
      <c r="Q94" s="5">
        <v>0</v>
      </c>
      <c r="R94" s="9">
        <v>0</v>
      </c>
      <c r="S94" s="8">
        <v>0</v>
      </c>
      <c r="T94" s="9">
        <v>0</v>
      </c>
    </row>
    <row r="95" spans="1:20" x14ac:dyDescent="0.2">
      <c r="A95" s="5" t="s">
        <v>147</v>
      </c>
      <c r="B95" s="5" t="s">
        <v>75</v>
      </c>
      <c r="C95" s="10" t="s">
        <v>669</v>
      </c>
      <c r="D95" s="7">
        <f t="shared" si="0"/>
        <v>6.5</v>
      </c>
      <c r="E95" s="8">
        <v>0</v>
      </c>
      <c r="F95" s="5">
        <v>0</v>
      </c>
      <c r="G95" s="5">
        <v>0</v>
      </c>
      <c r="H95" s="5">
        <v>0</v>
      </c>
      <c r="I95" s="5">
        <v>0</v>
      </c>
      <c r="J95" s="9">
        <v>0</v>
      </c>
      <c r="K95" s="8">
        <v>1</v>
      </c>
      <c r="L95" s="5">
        <v>1</v>
      </c>
      <c r="M95" s="5">
        <v>0</v>
      </c>
      <c r="N95" s="9">
        <v>0</v>
      </c>
      <c r="O95" s="8">
        <v>5</v>
      </c>
      <c r="P95" s="5">
        <v>14</v>
      </c>
      <c r="Q95" s="5">
        <v>0</v>
      </c>
      <c r="R95" s="9">
        <v>0</v>
      </c>
      <c r="S95" s="8">
        <v>0</v>
      </c>
      <c r="T95" s="9">
        <v>0</v>
      </c>
    </row>
    <row r="96" spans="1:20" x14ac:dyDescent="0.2">
      <c r="A96" s="5" t="s">
        <v>100</v>
      </c>
      <c r="B96" s="5" t="s">
        <v>75</v>
      </c>
      <c r="C96" s="17" t="s">
        <v>671</v>
      </c>
      <c r="D96" s="7">
        <f t="shared" si="0"/>
        <v>2.5999999999999996</v>
      </c>
      <c r="E96" s="8">
        <v>0</v>
      </c>
      <c r="F96" s="5">
        <v>0</v>
      </c>
      <c r="G96" s="5">
        <v>0</v>
      </c>
      <c r="H96" s="5">
        <v>0</v>
      </c>
      <c r="I96" s="5">
        <v>0</v>
      </c>
      <c r="J96" s="9">
        <v>0</v>
      </c>
      <c r="K96" s="8">
        <v>4</v>
      </c>
      <c r="L96" s="5">
        <v>18</v>
      </c>
      <c r="M96" s="5">
        <v>0</v>
      </c>
      <c r="N96" s="9">
        <v>0</v>
      </c>
      <c r="O96" s="8">
        <v>1</v>
      </c>
      <c r="P96" s="5">
        <v>-2</v>
      </c>
      <c r="Q96" s="5">
        <v>0</v>
      </c>
      <c r="R96" s="9">
        <v>0</v>
      </c>
      <c r="S96" s="8">
        <v>0</v>
      </c>
      <c r="T96" s="9">
        <v>0</v>
      </c>
    </row>
    <row r="97" spans="1:20" x14ac:dyDescent="0.2">
      <c r="A97" s="5" t="s">
        <v>391</v>
      </c>
      <c r="B97" s="5" t="s">
        <v>75</v>
      </c>
      <c r="C97" s="10" t="s">
        <v>661</v>
      </c>
      <c r="D97" s="7">
        <f t="shared" si="0"/>
        <v>3.1</v>
      </c>
      <c r="E97" s="8">
        <v>0</v>
      </c>
      <c r="F97" s="5">
        <v>0</v>
      </c>
      <c r="G97" s="5">
        <v>0</v>
      </c>
      <c r="H97" s="5">
        <v>0</v>
      </c>
      <c r="I97" s="5">
        <v>0</v>
      </c>
      <c r="J97" s="9">
        <v>0</v>
      </c>
      <c r="K97" s="8">
        <v>3</v>
      </c>
      <c r="L97" s="5">
        <v>12</v>
      </c>
      <c r="M97" s="5">
        <v>0</v>
      </c>
      <c r="N97" s="9">
        <v>0</v>
      </c>
      <c r="O97" s="8">
        <v>1</v>
      </c>
      <c r="P97" s="5">
        <v>9</v>
      </c>
      <c r="Q97" s="5">
        <v>0</v>
      </c>
      <c r="R97" s="9">
        <v>0</v>
      </c>
      <c r="S97" s="8">
        <v>0</v>
      </c>
      <c r="T97" s="9">
        <v>0</v>
      </c>
    </row>
    <row r="98" spans="1:20" x14ac:dyDescent="0.2">
      <c r="A98" s="5" t="s">
        <v>380</v>
      </c>
      <c r="B98" s="5" t="s">
        <v>75</v>
      </c>
      <c r="C98" s="17" t="s">
        <v>667</v>
      </c>
      <c r="D98" s="7">
        <f t="shared" si="0"/>
        <v>1.4</v>
      </c>
      <c r="E98" s="8">
        <v>0</v>
      </c>
      <c r="F98" s="5">
        <v>0</v>
      </c>
      <c r="G98" s="5">
        <v>0</v>
      </c>
      <c r="H98" s="5">
        <v>0</v>
      </c>
      <c r="I98" s="5">
        <v>0</v>
      </c>
      <c r="J98" s="9">
        <v>0</v>
      </c>
      <c r="K98" s="8">
        <v>0</v>
      </c>
      <c r="L98" s="5">
        <v>0</v>
      </c>
      <c r="M98" s="5">
        <v>0</v>
      </c>
      <c r="N98" s="9">
        <v>0</v>
      </c>
      <c r="O98" s="8">
        <v>1</v>
      </c>
      <c r="P98" s="5">
        <v>4</v>
      </c>
      <c r="Q98" s="5">
        <v>0</v>
      </c>
      <c r="R98" s="9">
        <v>0</v>
      </c>
      <c r="S98" s="8">
        <v>0</v>
      </c>
      <c r="T98" s="9">
        <v>0</v>
      </c>
    </row>
    <row r="99" spans="1:20" x14ac:dyDescent="0.2">
      <c r="A99" s="5" t="s">
        <v>375</v>
      </c>
      <c r="B99" s="5" t="s">
        <v>75</v>
      </c>
      <c r="C99" s="10" t="s">
        <v>667</v>
      </c>
      <c r="D99" s="7">
        <f t="shared" si="0"/>
        <v>1.5</v>
      </c>
      <c r="E99" s="8">
        <v>0</v>
      </c>
      <c r="F99" s="5">
        <v>0</v>
      </c>
      <c r="G99" s="5">
        <v>0</v>
      </c>
      <c r="H99" s="5">
        <v>0</v>
      </c>
      <c r="I99" s="5">
        <v>0</v>
      </c>
      <c r="J99" s="9">
        <v>0</v>
      </c>
      <c r="K99" s="8">
        <v>1</v>
      </c>
      <c r="L99" s="5">
        <v>1</v>
      </c>
      <c r="M99" s="5">
        <v>0</v>
      </c>
      <c r="N99" s="9">
        <v>0</v>
      </c>
      <c r="O99" s="8">
        <v>1</v>
      </c>
      <c r="P99" s="5">
        <v>4</v>
      </c>
      <c r="Q99" s="5">
        <v>0</v>
      </c>
      <c r="R99" s="9">
        <v>0</v>
      </c>
      <c r="S99" s="8">
        <v>0</v>
      </c>
      <c r="T99" s="9">
        <v>0</v>
      </c>
    </row>
    <row r="100" spans="1:20" x14ac:dyDescent="0.2">
      <c r="A100" s="5" t="s">
        <v>394</v>
      </c>
      <c r="B100" s="5" t="s">
        <v>75</v>
      </c>
      <c r="C100" s="10" t="s">
        <v>665</v>
      </c>
      <c r="D100" s="7">
        <f t="shared" si="0"/>
        <v>0</v>
      </c>
      <c r="E100" s="8">
        <v>0</v>
      </c>
      <c r="F100" s="5">
        <v>0</v>
      </c>
      <c r="G100" s="5">
        <v>0</v>
      </c>
      <c r="H100" s="5">
        <v>0</v>
      </c>
      <c r="I100" s="5">
        <v>0</v>
      </c>
      <c r="J100" s="9">
        <v>0</v>
      </c>
      <c r="K100" s="8">
        <v>1</v>
      </c>
      <c r="L100" s="5">
        <v>0</v>
      </c>
      <c r="M100" s="5">
        <v>0</v>
      </c>
      <c r="N100" s="9">
        <v>0</v>
      </c>
      <c r="O100" s="8">
        <v>0</v>
      </c>
      <c r="P100" s="5">
        <v>0</v>
      </c>
      <c r="Q100" s="5">
        <v>0</v>
      </c>
      <c r="R100" s="9">
        <v>0</v>
      </c>
      <c r="S100" s="8">
        <v>0</v>
      </c>
      <c r="T100" s="9">
        <v>0</v>
      </c>
    </row>
    <row r="101" spans="1:20" x14ac:dyDescent="0.2">
      <c r="A101" s="5" t="s">
        <v>121</v>
      </c>
      <c r="B101" s="5" t="s">
        <v>75</v>
      </c>
      <c r="C101" s="10" t="s">
        <v>665</v>
      </c>
      <c r="D101" s="7">
        <f t="shared" si="0"/>
        <v>1.5</v>
      </c>
      <c r="E101" s="8">
        <v>0</v>
      </c>
      <c r="F101" s="5">
        <v>0</v>
      </c>
      <c r="G101" s="5">
        <v>0</v>
      </c>
      <c r="H101" s="5">
        <v>0</v>
      </c>
      <c r="I101" s="5">
        <v>0</v>
      </c>
      <c r="J101" s="9">
        <v>0</v>
      </c>
      <c r="K101" s="8">
        <v>1</v>
      </c>
      <c r="L101" s="5">
        <v>0</v>
      </c>
      <c r="M101" s="5">
        <v>0</v>
      </c>
      <c r="N101" s="9">
        <v>0</v>
      </c>
      <c r="O101" s="8">
        <v>1</v>
      </c>
      <c r="P101" s="5">
        <v>5</v>
      </c>
      <c r="Q101" s="5">
        <v>0</v>
      </c>
      <c r="R101" s="9">
        <v>0</v>
      </c>
      <c r="S101" s="8">
        <v>0</v>
      </c>
      <c r="T101" s="9">
        <v>0</v>
      </c>
    </row>
    <row r="102" spans="1:20" x14ac:dyDescent="0.2">
      <c r="A102" s="5" t="s">
        <v>142</v>
      </c>
      <c r="B102" s="5" t="s">
        <v>75</v>
      </c>
      <c r="C102" s="17" t="s">
        <v>663</v>
      </c>
      <c r="D102" s="7">
        <f t="shared" si="0"/>
        <v>-0.1</v>
      </c>
      <c r="E102" s="8">
        <v>0</v>
      </c>
      <c r="F102" s="5">
        <v>0</v>
      </c>
      <c r="G102" s="5">
        <v>0</v>
      </c>
      <c r="H102" s="5">
        <v>0</v>
      </c>
      <c r="I102" s="5">
        <v>0</v>
      </c>
      <c r="J102" s="9">
        <v>0</v>
      </c>
      <c r="K102" s="8">
        <v>3</v>
      </c>
      <c r="L102" s="5">
        <v>-1</v>
      </c>
      <c r="M102" s="5">
        <v>0</v>
      </c>
      <c r="N102" s="9">
        <v>0</v>
      </c>
      <c r="O102" s="8">
        <v>0</v>
      </c>
      <c r="P102" s="5">
        <v>0</v>
      </c>
      <c r="Q102" s="5">
        <v>0</v>
      </c>
      <c r="R102" s="9">
        <v>0</v>
      </c>
      <c r="S102" s="8">
        <v>0</v>
      </c>
      <c r="T102" s="9">
        <v>0</v>
      </c>
    </row>
    <row r="103" spans="1:20" x14ac:dyDescent="0.2">
      <c r="A103" s="5" t="s">
        <v>558</v>
      </c>
      <c r="B103" s="5" t="s">
        <v>75</v>
      </c>
      <c r="C103" s="10" t="s">
        <v>671</v>
      </c>
      <c r="D103" s="7">
        <f t="shared" si="0"/>
        <v>0</v>
      </c>
      <c r="E103" s="8">
        <v>0</v>
      </c>
      <c r="F103" s="5">
        <v>0</v>
      </c>
      <c r="G103" s="5">
        <v>0</v>
      </c>
      <c r="H103" s="5">
        <v>0</v>
      </c>
      <c r="I103" s="5">
        <v>0</v>
      </c>
      <c r="J103" s="9">
        <v>0</v>
      </c>
      <c r="K103" s="8">
        <v>1</v>
      </c>
      <c r="L103" s="5">
        <v>0</v>
      </c>
      <c r="M103" s="5">
        <v>0</v>
      </c>
      <c r="N103" s="9">
        <v>0</v>
      </c>
      <c r="O103" s="8">
        <v>0</v>
      </c>
      <c r="P103" s="5">
        <v>0</v>
      </c>
      <c r="Q103" s="5">
        <v>0</v>
      </c>
      <c r="R103" s="9">
        <v>0</v>
      </c>
      <c r="S103" s="8">
        <v>0</v>
      </c>
      <c r="T103" s="9">
        <v>0</v>
      </c>
    </row>
    <row r="104" spans="1:20" x14ac:dyDescent="0.2">
      <c r="A104" s="5" t="s">
        <v>97</v>
      </c>
      <c r="B104" s="5" t="s">
        <v>75</v>
      </c>
      <c r="C104" s="17" t="s">
        <v>668</v>
      </c>
      <c r="D104" s="7">
        <f t="shared" si="0"/>
        <v>1.5</v>
      </c>
      <c r="E104" s="8">
        <v>0</v>
      </c>
      <c r="F104" s="5">
        <v>0</v>
      </c>
      <c r="G104" s="5">
        <v>0</v>
      </c>
      <c r="H104" s="5">
        <v>0</v>
      </c>
      <c r="I104" s="5">
        <v>0</v>
      </c>
      <c r="J104" s="9">
        <v>0</v>
      </c>
      <c r="K104" s="8">
        <v>1</v>
      </c>
      <c r="L104" s="5">
        <v>1</v>
      </c>
      <c r="M104" s="5">
        <v>0</v>
      </c>
      <c r="N104" s="9">
        <v>0</v>
      </c>
      <c r="O104" s="8">
        <v>1</v>
      </c>
      <c r="P104" s="5">
        <v>4</v>
      </c>
      <c r="Q104" s="5">
        <v>0</v>
      </c>
      <c r="R104" s="9">
        <v>0</v>
      </c>
      <c r="S104" s="8">
        <v>0</v>
      </c>
      <c r="T104" s="9">
        <v>0</v>
      </c>
    </row>
    <row r="105" spans="1:20" x14ac:dyDescent="0.2">
      <c r="A105" s="5" t="s">
        <v>91</v>
      </c>
      <c r="B105" s="5" t="s">
        <v>75</v>
      </c>
      <c r="C105" s="10" t="s">
        <v>664</v>
      </c>
      <c r="D105" s="7">
        <f t="shared" si="0"/>
        <v>1.7000000000000002</v>
      </c>
      <c r="E105" s="8">
        <v>0</v>
      </c>
      <c r="F105" s="5">
        <v>0</v>
      </c>
      <c r="G105" s="5">
        <v>0</v>
      </c>
      <c r="H105" s="5">
        <v>0</v>
      </c>
      <c r="I105" s="5">
        <v>0</v>
      </c>
      <c r="J105" s="9">
        <v>0</v>
      </c>
      <c r="K105" s="8">
        <v>1</v>
      </c>
      <c r="L105" s="5">
        <v>1</v>
      </c>
      <c r="M105" s="5">
        <v>0</v>
      </c>
      <c r="N105" s="9">
        <v>0</v>
      </c>
      <c r="O105" s="8">
        <v>1</v>
      </c>
      <c r="P105" s="5">
        <v>6</v>
      </c>
      <c r="Q105" s="5">
        <v>0</v>
      </c>
      <c r="R105" s="9">
        <v>0</v>
      </c>
      <c r="S105" s="8">
        <v>0</v>
      </c>
      <c r="T105" s="9">
        <v>0</v>
      </c>
    </row>
    <row r="106" spans="1:20" x14ac:dyDescent="0.2">
      <c r="A106" s="5" t="s">
        <v>138</v>
      </c>
      <c r="B106" s="5" t="s">
        <v>75</v>
      </c>
      <c r="C106" s="10" t="s">
        <v>668</v>
      </c>
      <c r="D106" s="7">
        <f t="shared" si="0"/>
        <v>3.5</v>
      </c>
      <c r="E106" s="8">
        <v>0</v>
      </c>
      <c r="F106" s="5">
        <v>0</v>
      </c>
      <c r="G106" s="5">
        <v>0</v>
      </c>
      <c r="H106" s="5">
        <v>0</v>
      </c>
      <c r="I106" s="5">
        <v>0</v>
      </c>
      <c r="J106" s="9">
        <v>0</v>
      </c>
      <c r="K106" s="8">
        <v>1</v>
      </c>
      <c r="L106" s="5">
        <v>7</v>
      </c>
      <c r="M106" s="5">
        <v>0</v>
      </c>
      <c r="N106" s="9">
        <v>0</v>
      </c>
      <c r="O106" s="8">
        <v>2</v>
      </c>
      <c r="P106" s="5">
        <v>8</v>
      </c>
      <c r="Q106" s="5">
        <v>0</v>
      </c>
      <c r="R106" s="9">
        <v>0</v>
      </c>
      <c r="S106" s="8">
        <v>0</v>
      </c>
      <c r="T106" s="9">
        <v>0</v>
      </c>
    </row>
    <row r="107" spans="1:20" x14ac:dyDescent="0.2">
      <c r="A107" s="5" t="s">
        <v>150</v>
      </c>
      <c r="B107" s="5" t="s">
        <v>75</v>
      </c>
      <c r="C107" s="17" t="s">
        <v>668</v>
      </c>
      <c r="D107" s="7">
        <f t="shared" si="0"/>
        <v>0.8</v>
      </c>
      <c r="E107" s="8">
        <v>0</v>
      </c>
      <c r="F107" s="5">
        <v>0</v>
      </c>
      <c r="G107" s="5">
        <v>0</v>
      </c>
      <c r="H107" s="5">
        <v>0</v>
      </c>
      <c r="I107" s="5">
        <v>0</v>
      </c>
      <c r="J107" s="9">
        <v>0</v>
      </c>
      <c r="K107" s="8">
        <v>2</v>
      </c>
      <c r="L107" s="5">
        <v>8</v>
      </c>
      <c r="M107" s="5">
        <v>0</v>
      </c>
      <c r="N107" s="9">
        <v>0</v>
      </c>
      <c r="O107" s="8">
        <v>0</v>
      </c>
      <c r="P107" s="5">
        <v>0</v>
      </c>
      <c r="Q107" s="5">
        <v>0</v>
      </c>
      <c r="R107" s="9">
        <v>0</v>
      </c>
      <c r="S107" s="8">
        <v>0</v>
      </c>
      <c r="T107" s="9">
        <v>0</v>
      </c>
    </row>
    <row r="108" spans="1:20" x14ac:dyDescent="0.2">
      <c r="A108" s="5" t="s">
        <v>356</v>
      </c>
      <c r="B108" s="5" t="s">
        <v>75</v>
      </c>
      <c r="C108" s="10" t="s">
        <v>672</v>
      </c>
      <c r="D108" s="7">
        <f t="shared" si="0"/>
        <v>1.5</v>
      </c>
      <c r="E108" s="8">
        <v>0</v>
      </c>
      <c r="F108" s="5">
        <v>0</v>
      </c>
      <c r="G108" s="5">
        <v>0</v>
      </c>
      <c r="H108" s="5">
        <v>0</v>
      </c>
      <c r="I108" s="5">
        <v>0</v>
      </c>
      <c r="J108" s="9">
        <v>0</v>
      </c>
      <c r="K108" s="8">
        <v>1</v>
      </c>
      <c r="L108" s="5">
        <v>1</v>
      </c>
      <c r="M108" s="5">
        <v>0</v>
      </c>
      <c r="N108" s="9">
        <v>0</v>
      </c>
      <c r="O108" s="8">
        <v>1</v>
      </c>
      <c r="P108" s="5">
        <v>4</v>
      </c>
      <c r="Q108" s="5">
        <v>0</v>
      </c>
      <c r="R108" s="9">
        <v>0</v>
      </c>
      <c r="S108" s="8">
        <v>0</v>
      </c>
      <c r="T108" s="9">
        <v>0</v>
      </c>
    </row>
    <row r="109" spans="1:20" x14ac:dyDescent="0.2">
      <c r="A109" s="5" t="s">
        <v>379</v>
      </c>
      <c r="B109" s="5" t="s">
        <v>75</v>
      </c>
      <c r="C109" s="10" t="s">
        <v>666</v>
      </c>
      <c r="D109" s="7">
        <f t="shared" si="0"/>
        <v>-2</v>
      </c>
      <c r="E109" s="8">
        <v>0</v>
      </c>
      <c r="F109" s="5">
        <v>0</v>
      </c>
      <c r="G109" s="5">
        <v>0</v>
      </c>
      <c r="H109" s="5">
        <v>0</v>
      </c>
      <c r="I109" s="5">
        <v>0</v>
      </c>
      <c r="J109" s="9">
        <v>0</v>
      </c>
      <c r="K109" s="8">
        <v>0</v>
      </c>
      <c r="L109" s="5">
        <v>0</v>
      </c>
      <c r="M109" s="5">
        <v>0</v>
      </c>
      <c r="N109" s="9">
        <v>0</v>
      </c>
      <c r="O109" s="8">
        <v>0</v>
      </c>
      <c r="P109" s="5">
        <v>0</v>
      </c>
      <c r="Q109" s="5">
        <v>0</v>
      </c>
      <c r="R109" s="9">
        <v>0</v>
      </c>
      <c r="S109" s="8">
        <v>1</v>
      </c>
      <c r="T109" s="9">
        <v>0</v>
      </c>
    </row>
    <row r="110" spans="1:20" x14ac:dyDescent="0.2">
      <c r="A110" s="5" t="s">
        <v>168</v>
      </c>
      <c r="B110" s="5" t="s">
        <v>162</v>
      </c>
      <c r="C110" s="10" t="s">
        <v>659</v>
      </c>
      <c r="D110" s="7">
        <f t="shared" si="0"/>
        <v>31.1</v>
      </c>
      <c r="E110" s="8">
        <v>0</v>
      </c>
      <c r="F110" s="5">
        <v>0</v>
      </c>
      <c r="G110" s="5">
        <v>0</v>
      </c>
      <c r="H110" s="5">
        <v>0</v>
      </c>
      <c r="I110" s="5">
        <v>0</v>
      </c>
      <c r="J110" s="9">
        <v>0</v>
      </c>
      <c r="K110" s="8">
        <v>1</v>
      </c>
      <c r="L110" s="5">
        <v>18</v>
      </c>
      <c r="M110" s="5">
        <v>0</v>
      </c>
      <c r="N110" s="9">
        <v>0</v>
      </c>
      <c r="O110" s="8">
        <v>7</v>
      </c>
      <c r="P110" s="5">
        <v>103</v>
      </c>
      <c r="Q110" s="5">
        <v>2</v>
      </c>
      <c r="R110" s="9">
        <v>0</v>
      </c>
      <c r="S110" s="8">
        <v>0</v>
      </c>
      <c r="T110" s="9">
        <v>0</v>
      </c>
    </row>
    <row r="111" spans="1:20" x14ac:dyDescent="0.2">
      <c r="A111" s="5" t="s">
        <v>163</v>
      </c>
      <c r="B111" s="5" t="s">
        <v>162</v>
      </c>
      <c r="C111" s="10" t="s">
        <v>660</v>
      </c>
      <c r="D111" s="7">
        <f t="shared" si="0"/>
        <v>26.6</v>
      </c>
      <c r="E111" s="8">
        <v>0</v>
      </c>
      <c r="F111" s="5">
        <v>0</v>
      </c>
      <c r="G111" s="5">
        <v>0</v>
      </c>
      <c r="H111" s="5">
        <v>0</v>
      </c>
      <c r="I111" s="5">
        <v>0</v>
      </c>
      <c r="J111" s="9">
        <v>0</v>
      </c>
      <c r="K111" s="8">
        <v>0</v>
      </c>
      <c r="L111" s="5">
        <v>0</v>
      </c>
      <c r="M111" s="5">
        <v>0</v>
      </c>
      <c r="N111" s="9">
        <v>0</v>
      </c>
      <c r="O111" s="8">
        <v>5</v>
      </c>
      <c r="P111" s="5">
        <v>156</v>
      </c>
      <c r="Q111" s="5">
        <v>1</v>
      </c>
      <c r="R111" s="9">
        <v>0</v>
      </c>
      <c r="S111" s="8">
        <v>0</v>
      </c>
      <c r="T111" s="9">
        <v>0</v>
      </c>
    </row>
    <row r="112" spans="1:20" x14ac:dyDescent="0.2">
      <c r="A112" s="5" t="s">
        <v>219</v>
      </c>
      <c r="B112" s="5" t="s">
        <v>162</v>
      </c>
      <c r="C112" s="10" t="s">
        <v>665</v>
      </c>
      <c r="D112" s="7">
        <f t="shared" si="0"/>
        <v>28.9</v>
      </c>
      <c r="E112" s="8">
        <v>0</v>
      </c>
      <c r="F112" s="5">
        <v>0</v>
      </c>
      <c r="G112" s="5">
        <v>0</v>
      </c>
      <c r="H112" s="5">
        <v>0</v>
      </c>
      <c r="I112" s="5">
        <v>0</v>
      </c>
      <c r="J112" s="9">
        <v>0</v>
      </c>
      <c r="K112" s="8">
        <v>0</v>
      </c>
      <c r="L112" s="5">
        <v>0</v>
      </c>
      <c r="M112" s="5">
        <v>0</v>
      </c>
      <c r="N112" s="9">
        <v>0</v>
      </c>
      <c r="O112" s="8">
        <v>8</v>
      </c>
      <c r="P112" s="5">
        <v>149</v>
      </c>
      <c r="Q112" s="5">
        <v>1</v>
      </c>
      <c r="R112" s="9">
        <v>0</v>
      </c>
      <c r="S112" s="8">
        <v>0</v>
      </c>
      <c r="T112" s="9">
        <v>0</v>
      </c>
    </row>
    <row r="113" spans="1:20" x14ac:dyDescent="0.2">
      <c r="A113" s="5" t="s">
        <v>161</v>
      </c>
      <c r="B113" s="5" t="s">
        <v>162</v>
      </c>
      <c r="C113" s="10" t="s">
        <v>667</v>
      </c>
      <c r="D113" s="7">
        <f t="shared" si="0"/>
        <v>30.6</v>
      </c>
      <c r="E113" s="8">
        <v>0</v>
      </c>
      <c r="F113" s="5">
        <v>0</v>
      </c>
      <c r="G113" s="5">
        <v>0</v>
      </c>
      <c r="H113" s="5">
        <v>0</v>
      </c>
      <c r="I113" s="5">
        <v>0</v>
      </c>
      <c r="J113" s="9">
        <v>0</v>
      </c>
      <c r="K113" s="8">
        <v>0</v>
      </c>
      <c r="L113" s="5">
        <v>0</v>
      </c>
      <c r="M113" s="5">
        <v>0</v>
      </c>
      <c r="N113" s="9">
        <v>0</v>
      </c>
      <c r="O113" s="8">
        <v>10</v>
      </c>
      <c r="P113" s="5">
        <v>146</v>
      </c>
      <c r="Q113" s="5">
        <v>1</v>
      </c>
      <c r="R113" s="9">
        <v>0</v>
      </c>
      <c r="S113" s="8">
        <v>0</v>
      </c>
      <c r="T113" s="9">
        <v>0</v>
      </c>
    </row>
    <row r="114" spans="1:20" x14ac:dyDescent="0.2">
      <c r="A114" s="5" t="s">
        <v>185</v>
      </c>
      <c r="B114" s="5" t="s">
        <v>162</v>
      </c>
      <c r="C114" s="17" t="s">
        <v>661</v>
      </c>
      <c r="D114" s="7">
        <f t="shared" si="0"/>
        <v>27.6</v>
      </c>
      <c r="E114" s="8">
        <v>0</v>
      </c>
      <c r="F114" s="5">
        <v>0</v>
      </c>
      <c r="G114" s="5">
        <v>0</v>
      </c>
      <c r="H114" s="5">
        <v>0</v>
      </c>
      <c r="I114" s="5">
        <v>0</v>
      </c>
      <c r="J114" s="9">
        <v>0</v>
      </c>
      <c r="K114" s="8">
        <v>0</v>
      </c>
      <c r="L114" s="5">
        <v>0</v>
      </c>
      <c r="M114" s="5">
        <v>0</v>
      </c>
      <c r="N114" s="9">
        <v>0</v>
      </c>
      <c r="O114" s="8">
        <v>10</v>
      </c>
      <c r="P114" s="5">
        <v>116</v>
      </c>
      <c r="Q114" s="5">
        <v>1</v>
      </c>
      <c r="R114" s="9">
        <v>0</v>
      </c>
      <c r="S114" s="8">
        <v>0</v>
      </c>
      <c r="T114" s="9">
        <v>0</v>
      </c>
    </row>
    <row r="115" spans="1:20" x14ac:dyDescent="0.2">
      <c r="A115" s="5" t="s">
        <v>350</v>
      </c>
      <c r="B115" s="5" t="s">
        <v>162</v>
      </c>
      <c r="C115" s="10" t="s">
        <v>662</v>
      </c>
      <c r="D115" s="7">
        <f t="shared" si="0"/>
        <v>20.5</v>
      </c>
      <c r="E115" s="8">
        <v>0</v>
      </c>
      <c r="F115" s="5">
        <v>0</v>
      </c>
      <c r="G115" s="5">
        <v>0</v>
      </c>
      <c r="H115" s="5">
        <v>0</v>
      </c>
      <c r="I115" s="5">
        <v>0</v>
      </c>
      <c r="J115" s="9">
        <v>0</v>
      </c>
      <c r="K115" s="8">
        <v>0</v>
      </c>
      <c r="L115" s="5">
        <v>0</v>
      </c>
      <c r="M115" s="5">
        <v>0</v>
      </c>
      <c r="N115" s="9">
        <v>0</v>
      </c>
      <c r="O115" s="8">
        <v>3</v>
      </c>
      <c r="P115" s="5">
        <v>115</v>
      </c>
      <c r="Q115" s="5">
        <v>1</v>
      </c>
      <c r="R115" s="9">
        <v>0</v>
      </c>
      <c r="S115" s="8">
        <v>0</v>
      </c>
      <c r="T115" s="9">
        <v>0</v>
      </c>
    </row>
    <row r="116" spans="1:20" x14ac:dyDescent="0.2">
      <c r="A116" s="5" t="s">
        <v>188</v>
      </c>
      <c r="B116" s="5" t="s">
        <v>162</v>
      </c>
      <c r="C116" s="17" t="s">
        <v>671</v>
      </c>
      <c r="D116" s="7">
        <f t="shared" si="0"/>
        <v>20.399999999999999</v>
      </c>
      <c r="E116" s="8">
        <v>0</v>
      </c>
      <c r="F116" s="5">
        <v>0</v>
      </c>
      <c r="G116" s="5">
        <v>0</v>
      </c>
      <c r="H116" s="5">
        <v>0</v>
      </c>
      <c r="I116" s="5">
        <v>0</v>
      </c>
      <c r="J116" s="9">
        <v>0</v>
      </c>
      <c r="K116" s="8">
        <v>0</v>
      </c>
      <c r="L116" s="5">
        <v>0</v>
      </c>
      <c r="M116" s="5">
        <v>0</v>
      </c>
      <c r="N116" s="9">
        <v>0</v>
      </c>
      <c r="O116" s="8">
        <v>5</v>
      </c>
      <c r="P116" s="5">
        <v>94</v>
      </c>
      <c r="Q116" s="5">
        <v>1</v>
      </c>
      <c r="R116" s="9">
        <v>0</v>
      </c>
      <c r="S116" s="8">
        <v>0</v>
      </c>
      <c r="T116" s="9">
        <v>0</v>
      </c>
    </row>
    <row r="117" spans="1:20" x14ac:dyDescent="0.2">
      <c r="A117" s="5" t="s">
        <v>235</v>
      </c>
      <c r="B117" s="5" t="s">
        <v>162</v>
      </c>
      <c r="C117" s="17" t="s">
        <v>666</v>
      </c>
      <c r="D117" s="7">
        <f t="shared" si="0"/>
        <v>22.6</v>
      </c>
      <c r="E117" s="8">
        <v>0</v>
      </c>
      <c r="F117" s="5">
        <v>0</v>
      </c>
      <c r="G117" s="5">
        <v>0</v>
      </c>
      <c r="H117" s="5">
        <v>0</v>
      </c>
      <c r="I117" s="5">
        <v>0</v>
      </c>
      <c r="J117" s="9">
        <v>0</v>
      </c>
      <c r="K117" s="8">
        <v>0</v>
      </c>
      <c r="L117" s="5">
        <v>0</v>
      </c>
      <c r="M117" s="5">
        <v>0</v>
      </c>
      <c r="N117" s="9">
        <v>0</v>
      </c>
      <c r="O117" s="8">
        <v>7</v>
      </c>
      <c r="P117" s="5">
        <v>96</v>
      </c>
      <c r="Q117" s="5">
        <v>1</v>
      </c>
      <c r="R117" s="9">
        <v>0</v>
      </c>
      <c r="S117" s="8">
        <v>0</v>
      </c>
      <c r="T117" s="9">
        <v>0</v>
      </c>
    </row>
    <row r="118" spans="1:20" x14ac:dyDescent="0.2">
      <c r="A118" s="5" t="s">
        <v>190</v>
      </c>
      <c r="B118" s="5" t="s">
        <v>162</v>
      </c>
      <c r="C118" s="17" t="s">
        <v>667</v>
      </c>
      <c r="D118" s="7">
        <f t="shared" si="0"/>
        <v>21.200000000000003</v>
      </c>
      <c r="E118" s="8">
        <v>0</v>
      </c>
      <c r="F118" s="5">
        <v>0</v>
      </c>
      <c r="G118" s="5">
        <v>0</v>
      </c>
      <c r="H118" s="5">
        <v>0</v>
      </c>
      <c r="I118" s="5">
        <v>0</v>
      </c>
      <c r="J118" s="9">
        <v>0</v>
      </c>
      <c r="K118" s="8">
        <v>0</v>
      </c>
      <c r="L118" s="5">
        <v>0</v>
      </c>
      <c r="M118" s="5">
        <v>0</v>
      </c>
      <c r="N118" s="9">
        <v>0</v>
      </c>
      <c r="O118" s="8">
        <v>7</v>
      </c>
      <c r="P118" s="5">
        <v>82</v>
      </c>
      <c r="Q118" s="5">
        <v>1</v>
      </c>
      <c r="R118" s="9">
        <v>0</v>
      </c>
      <c r="S118" s="8">
        <v>0</v>
      </c>
      <c r="T118" s="9">
        <v>0</v>
      </c>
    </row>
    <row r="119" spans="1:20" x14ac:dyDescent="0.2">
      <c r="A119" s="5" t="s">
        <v>225</v>
      </c>
      <c r="B119" s="5" t="s">
        <v>162</v>
      </c>
      <c r="C119" s="10" t="s">
        <v>661</v>
      </c>
      <c r="D119" s="7">
        <f t="shared" si="0"/>
        <v>19.200000000000003</v>
      </c>
      <c r="E119" s="8">
        <v>0</v>
      </c>
      <c r="F119" s="5">
        <v>0</v>
      </c>
      <c r="G119" s="5">
        <v>0</v>
      </c>
      <c r="H119" s="5">
        <v>0</v>
      </c>
      <c r="I119" s="5">
        <v>0</v>
      </c>
      <c r="J119" s="9">
        <v>0</v>
      </c>
      <c r="K119" s="8">
        <v>3</v>
      </c>
      <c r="L119" s="5">
        <v>46</v>
      </c>
      <c r="M119" s="5">
        <v>1</v>
      </c>
      <c r="N119" s="9">
        <v>0</v>
      </c>
      <c r="O119" s="8">
        <v>4</v>
      </c>
      <c r="P119" s="5">
        <v>46</v>
      </c>
      <c r="Q119" s="5">
        <v>0</v>
      </c>
      <c r="R119" s="9">
        <v>0</v>
      </c>
      <c r="S119" s="8">
        <v>0</v>
      </c>
      <c r="T119" s="9">
        <v>0</v>
      </c>
    </row>
    <row r="120" spans="1:20" x14ac:dyDescent="0.2">
      <c r="A120" s="5" t="s">
        <v>236</v>
      </c>
      <c r="B120" s="5" t="s">
        <v>162</v>
      </c>
      <c r="C120" s="17" t="s">
        <v>663</v>
      </c>
      <c r="D120" s="7">
        <f t="shared" si="0"/>
        <v>18.200000000000003</v>
      </c>
      <c r="E120" s="8">
        <v>0</v>
      </c>
      <c r="F120" s="5">
        <v>0</v>
      </c>
      <c r="G120" s="5">
        <v>0</v>
      </c>
      <c r="H120" s="5">
        <v>0</v>
      </c>
      <c r="I120" s="5">
        <v>0</v>
      </c>
      <c r="J120" s="9">
        <v>0</v>
      </c>
      <c r="K120" s="8">
        <v>0</v>
      </c>
      <c r="L120" s="5">
        <v>0</v>
      </c>
      <c r="M120" s="5">
        <v>0</v>
      </c>
      <c r="N120" s="9">
        <v>0</v>
      </c>
      <c r="O120" s="8">
        <v>4</v>
      </c>
      <c r="P120" s="5">
        <v>82</v>
      </c>
      <c r="Q120" s="5">
        <v>1</v>
      </c>
      <c r="R120" s="9">
        <v>0</v>
      </c>
      <c r="S120" s="8">
        <v>0</v>
      </c>
      <c r="T120" s="9">
        <v>0</v>
      </c>
    </row>
    <row r="121" spans="1:20" x14ac:dyDescent="0.2">
      <c r="A121" s="5" t="s">
        <v>170</v>
      </c>
      <c r="B121" s="5" t="s">
        <v>162</v>
      </c>
      <c r="C121" s="10" t="s">
        <v>671</v>
      </c>
      <c r="D121" s="7">
        <f t="shared" si="0"/>
        <v>18.7</v>
      </c>
      <c r="E121" s="8">
        <v>0</v>
      </c>
      <c r="F121" s="5">
        <v>0</v>
      </c>
      <c r="G121" s="5">
        <v>0</v>
      </c>
      <c r="H121" s="5">
        <v>0</v>
      </c>
      <c r="I121" s="5">
        <v>0</v>
      </c>
      <c r="J121" s="9">
        <v>0</v>
      </c>
      <c r="K121" s="8">
        <v>1</v>
      </c>
      <c r="L121" s="5">
        <v>7</v>
      </c>
      <c r="M121" s="5">
        <v>0</v>
      </c>
      <c r="N121" s="9">
        <v>0</v>
      </c>
      <c r="O121" s="8">
        <v>5</v>
      </c>
      <c r="P121" s="5">
        <v>70</v>
      </c>
      <c r="Q121" s="5">
        <v>1</v>
      </c>
      <c r="R121" s="9">
        <v>0</v>
      </c>
      <c r="S121" s="8">
        <v>0</v>
      </c>
      <c r="T121" s="9">
        <v>0</v>
      </c>
    </row>
    <row r="122" spans="1:20" x14ac:dyDescent="0.2">
      <c r="A122" s="5" t="s">
        <v>173</v>
      </c>
      <c r="B122" s="5" t="s">
        <v>162</v>
      </c>
      <c r="C122" s="10" t="s">
        <v>666</v>
      </c>
      <c r="D122" s="7">
        <f t="shared" si="0"/>
        <v>21.7</v>
      </c>
      <c r="E122" s="8">
        <v>0</v>
      </c>
      <c r="F122" s="5">
        <v>0</v>
      </c>
      <c r="G122" s="5">
        <v>0</v>
      </c>
      <c r="H122" s="5">
        <v>0</v>
      </c>
      <c r="I122" s="5">
        <v>0</v>
      </c>
      <c r="J122" s="9">
        <v>0</v>
      </c>
      <c r="K122" s="8">
        <v>0</v>
      </c>
      <c r="L122" s="5">
        <v>0</v>
      </c>
      <c r="M122" s="5">
        <v>0</v>
      </c>
      <c r="N122" s="9">
        <v>0</v>
      </c>
      <c r="O122" s="8">
        <v>8</v>
      </c>
      <c r="P122" s="5">
        <v>77</v>
      </c>
      <c r="Q122" s="5">
        <v>1</v>
      </c>
      <c r="R122" s="9">
        <v>0</v>
      </c>
      <c r="S122" s="8">
        <v>0</v>
      </c>
      <c r="T122" s="9">
        <v>0</v>
      </c>
    </row>
    <row r="123" spans="1:20" x14ac:dyDescent="0.2">
      <c r="A123" s="5" t="s">
        <v>189</v>
      </c>
      <c r="B123" s="5" t="s">
        <v>162</v>
      </c>
      <c r="C123" s="10" t="s">
        <v>669</v>
      </c>
      <c r="D123" s="7">
        <f t="shared" si="0"/>
        <v>16.600000000000001</v>
      </c>
      <c r="E123" s="8">
        <v>0</v>
      </c>
      <c r="F123" s="5">
        <v>0</v>
      </c>
      <c r="G123" s="5">
        <v>0</v>
      </c>
      <c r="H123" s="5">
        <v>0</v>
      </c>
      <c r="I123" s="5">
        <v>0</v>
      </c>
      <c r="J123" s="9">
        <v>0</v>
      </c>
      <c r="K123" s="8">
        <v>0</v>
      </c>
      <c r="L123" s="5">
        <v>0</v>
      </c>
      <c r="M123" s="5">
        <v>0</v>
      </c>
      <c r="N123" s="9">
        <v>0</v>
      </c>
      <c r="O123" s="8">
        <v>4</v>
      </c>
      <c r="P123" s="5">
        <v>66</v>
      </c>
      <c r="Q123" s="5">
        <v>1</v>
      </c>
      <c r="R123" s="9">
        <v>0</v>
      </c>
      <c r="S123" s="8">
        <v>0</v>
      </c>
      <c r="T123" s="9">
        <v>0</v>
      </c>
    </row>
    <row r="124" spans="1:20" x14ac:dyDescent="0.2">
      <c r="A124" s="5" t="s">
        <v>228</v>
      </c>
      <c r="B124" s="5" t="s">
        <v>162</v>
      </c>
      <c r="C124" s="10" t="s">
        <v>664</v>
      </c>
      <c r="D124" s="7">
        <f t="shared" si="0"/>
        <v>15.600000000000001</v>
      </c>
      <c r="E124" s="8">
        <v>0</v>
      </c>
      <c r="F124" s="5">
        <v>0</v>
      </c>
      <c r="G124" s="5">
        <v>0</v>
      </c>
      <c r="H124" s="5">
        <v>0</v>
      </c>
      <c r="I124" s="5">
        <v>0</v>
      </c>
      <c r="J124" s="9">
        <v>0</v>
      </c>
      <c r="K124" s="8">
        <v>0</v>
      </c>
      <c r="L124" s="5">
        <v>0</v>
      </c>
      <c r="M124" s="5">
        <v>0</v>
      </c>
      <c r="N124" s="9">
        <v>0</v>
      </c>
      <c r="O124" s="8">
        <v>4</v>
      </c>
      <c r="P124" s="5">
        <v>116</v>
      </c>
      <c r="Q124" s="5">
        <v>0</v>
      </c>
      <c r="R124" s="9">
        <v>0</v>
      </c>
      <c r="S124" s="8">
        <v>0</v>
      </c>
      <c r="T124" s="9">
        <v>0</v>
      </c>
    </row>
    <row r="125" spans="1:20" x14ac:dyDescent="0.2">
      <c r="A125" s="5" t="s">
        <v>174</v>
      </c>
      <c r="B125" s="5" t="s">
        <v>162</v>
      </c>
      <c r="C125" s="10" t="s">
        <v>661</v>
      </c>
      <c r="D125" s="7">
        <f t="shared" si="0"/>
        <v>16.3</v>
      </c>
      <c r="E125" s="8">
        <v>0</v>
      </c>
      <c r="F125" s="5">
        <v>0</v>
      </c>
      <c r="G125" s="5">
        <v>0</v>
      </c>
      <c r="H125" s="5">
        <v>0</v>
      </c>
      <c r="I125" s="5">
        <v>0</v>
      </c>
      <c r="J125" s="9">
        <v>0</v>
      </c>
      <c r="K125" s="8">
        <v>0</v>
      </c>
      <c r="L125" s="5">
        <v>0</v>
      </c>
      <c r="M125" s="5">
        <v>0</v>
      </c>
      <c r="N125" s="9">
        <v>0</v>
      </c>
      <c r="O125" s="8">
        <v>5</v>
      </c>
      <c r="P125" s="5">
        <v>53</v>
      </c>
      <c r="Q125" s="5">
        <v>1</v>
      </c>
      <c r="R125" s="9">
        <v>0</v>
      </c>
      <c r="S125" s="8">
        <v>0</v>
      </c>
      <c r="T125" s="9">
        <v>0</v>
      </c>
    </row>
    <row r="126" spans="1:20" x14ac:dyDescent="0.2">
      <c r="A126" s="5" t="s">
        <v>187</v>
      </c>
      <c r="B126" s="5" t="s">
        <v>162</v>
      </c>
      <c r="C126" s="17" t="s">
        <v>659</v>
      </c>
      <c r="D126" s="7">
        <f t="shared" si="0"/>
        <v>15.9</v>
      </c>
      <c r="E126" s="8">
        <v>0</v>
      </c>
      <c r="F126" s="5">
        <v>0</v>
      </c>
      <c r="G126" s="5">
        <v>0</v>
      </c>
      <c r="H126" s="5">
        <v>0</v>
      </c>
      <c r="I126" s="5">
        <v>0</v>
      </c>
      <c r="J126" s="9">
        <v>0</v>
      </c>
      <c r="K126" s="8">
        <v>0</v>
      </c>
      <c r="L126" s="5">
        <v>0</v>
      </c>
      <c r="M126" s="5">
        <v>0</v>
      </c>
      <c r="N126" s="9">
        <v>0</v>
      </c>
      <c r="O126" s="8">
        <v>4</v>
      </c>
      <c r="P126" s="5">
        <v>59</v>
      </c>
      <c r="Q126" s="5">
        <v>1</v>
      </c>
      <c r="R126" s="9">
        <v>0</v>
      </c>
      <c r="S126" s="8">
        <v>0</v>
      </c>
      <c r="T126" s="9">
        <v>0</v>
      </c>
    </row>
    <row r="127" spans="1:20" x14ac:dyDescent="0.2">
      <c r="A127" s="5" t="s">
        <v>227</v>
      </c>
      <c r="B127" s="5" t="s">
        <v>162</v>
      </c>
      <c r="C127" s="10" t="s">
        <v>668</v>
      </c>
      <c r="D127" s="7">
        <f t="shared" si="0"/>
        <v>16.3</v>
      </c>
      <c r="E127" s="8">
        <v>0</v>
      </c>
      <c r="F127" s="5">
        <v>0</v>
      </c>
      <c r="G127" s="5">
        <v>0</v>
      </c>
      <c r="H127" s="5">
        <v>0</v>
      </c>
      <c r="I127" s="5">
        <v>0</v>
      </c>
      <c r="J127" s="9">
        <v>0</v>
      </c>
      <c r="K127" s="8">
        <v>0</v>
      </c>
      <c r="L127" s="5">
        <v>0</v>
      </c>
      <c r="M127" s="5">
        <v>0</v>
      </c>
      <c r="N127" s="9">
        <v>0</v>
      </c>
      <c r="O127" s="8">
        <v>5</v>
      </c>
      <c r="P127" s="5">
        <v>53</v>
      </c>
      <c r="Q127" s="5">
        <v>1</v>
      </c>
      <c r="R127" s="9">
        <v>0</v>
      </c>
      <c r="S127" s="8">
        <v>0</v>
      </c>
      <c r="T127" s="9">
        <v>0</v>
      </c>
    </row>
    <row r="128" spans="1:20" x14ac:dyDescent="0.2">
      <c r="A128" s="5" t="s">
        <v>175</v>
      </c>
      <c r="B128" s="5" t="s">
        <v>162</v>
      </c>
      <c r="C128" s="17" t="s">
        <v>660</v>
      </c>
      <c r="D128" s="7">
        <f t="shared" si="0"/>
        <v>15.3</v>
      </c>
      <c r="E128" s="8">
        <v>0</v>
      </c>
      <c r="F128" s="5">
        <v>0</v>
      </c>
      <c r="G128" s="5">
        <v>0</v>
      </c>
      <c r="H128" s="5">
        <v>0</v>
      </c>
      <c r="I128" s="5">
        <v>0</v>
      </c>
      <c r="J128" s="9">
        <v>0</v>
      </c>
      <c r="K128" s="8">
        <v>0</v>
      </c>
      <c r="L128" s="5">
        <v>0</v>
      </c>
      <c r="M128" s="5">
        <v>0</v>
      </c>
      <c r="N128" s="9">
        <v>0</v>
      </c>
      <c r="O128" s="8">
        <v>5</v>
      </c>
      <c r="P128" s="5">
        <v>43</v>
      </c>
      <c r="Q128" s="5">
        <v>1</v>
      </c>
      <c r="R128" s="9">
        <v>0</v>
      </c>
      <c r="S128" s="8">
        <v>0</v>
      </c>
      <c r="T128" s="9">
        <v>0</v>
      </c>
    </row>
    <row r="129" spans="1:20" x14ac:dyDescent="0.2">
      <c r="A129" s="5" t="s">
        <v>215</v>
      </c>
      <c r="B129" s="5" t="s">
        <v>162</v>
      </c>
      <c r="C129" s="17" t="s">
        <v>665</v>
      </c>
      <c r="D129" s="7">
        <f t="shared" si="0"/>
        <v>12.4</v>
      </c>
      <c r="E129" s="8">
        <v>0</v>
      </c>
      <c r="F129" s="5">
        <v>0</v>
      </c>
      <c r="G129" s="5">
        <v>0</v>
      </c>
      <c r="H129" s="5">
        <v>0</v>
      </c>
      <c r="I129" s="5">
        <v>0</v>
      </c>
      <c r="J129" s="9">
        <v>0</v>
      </c>
      <c r="K129" s="8">
        <v>2</v>
      </c>
      <c r="L129" s="5">
        <v>6</v>
      </c>
      <c r="M129" s="5">
        <v>0</v>
      </c>
      <c r="N129" s="9">
        <v>0</v>
      </c>
      <c r="O129" s="8">
        <v>1</v>
      </c>
      <c r="P129" s="5">
        <v>48</v>
      </c>
      <c r="Q129" s="5">
        <v>1</v>
      </c>
      <c r="R129" s="9">
        <v>0</v>
      </c>
      <c r="S129" s="8">
        <v>0</v>
      </c>
      <c r="T129" s="9">
        <v>0</v>
      </c>
    </row>
    <row r="130" spans="1:20" x14ac:dyDescent="0.2">
      <c r="A130" s="5" t="s">
        <v>523</v>
      </c>
      <c r="B130" s="5" t="s">
        <v>162</v>
      </c>
      <c r="C130" s="10" t="s">
        <v>666</v>
      </c>
      <c r="D130" s="7">
        <f t="shared" si="0"/>
        <v>12.4</v>
      </c>
      <c r="E130" s="8">
        <v>0</v>
      </c>
      <c r="F130" s="5">
        <v>0</v>
      </c>
      <c r="G130" s="5">
        <v>0</v>
      </c>
      <c r="H130" s="5">
        <v>0</v>
      </c>
      <c r="I130" s="5">
        <v>0</v>
      </c>
      <c r="J130" s="9">
        <v>0</v>
      </c>
      <c r="K130" s="8">
        <v>0</v>
      </c>
      <c r="L130" s="5">
        <v>0</v>
      </c>
      <c r="M130" s="5">
        <v>0</v>
      </c>
      <c r="N130" s="9">
        <v>0</v>
      </c>
      <c r="O130" s="8">
        <v>2</v>
      </c>
      <c r="P130" s="5">
        <v>44</v>
      </c>
      <c r="Q130" s="5">
        <v>1</v>
      </c>
      <c r="R130" s="9">
        <v>0</v>
      </c>
      <c r="S130" s="8">
        <v>0</v>
      </c>
      <c r="T130" s="9">
        <v>0</v>
      </c>
    </row>
    <row r="131" spans="1:20" x14ac:dyDescent="0.2">
      <c r="A131" s="5" t="s">
        <v>340</v>
      </c>
      <c r="B131" s="5" t="s">
        <v>162</v>
      </c>
      <c r="C131" s="10" t="s">
        <v>664</v>
      </c>
      <c r="D131" s="7">
        <f t="shared" si="0"/>
        <v>10.7</v>
      </c>
      <c r="E131" s="8">
        <v>0</v>
      </c>
      <c r="F131" s="5">
        <v>0</v>
      </c>
      <c r="G131" s="5">
        <v>0</v>
      </c>
      <c r="H131" s="5">
        <v>0</v>
      </c>
      <c r="I131" s="5">
        <v>0</v>
      </c>
      <c r="J131" s="9">
        <v>0</v>
      </c>
      <c r="K131" s="8">
        <v>0</v>
      </c>
      <c r="L131" s="5">
        <v>0</v>
      </c>
      <c r="M131" s="5">
        <v>0</v>
      </c>
      <c r="N131" s="9">
        <v>0</v>
      </c>
      <c r="O131" s="8">
        <v>1</v>
      </c>
      <c r="P131" s="5">
        <v>37</v>
      </c>
      <c r="Q131" s="5">
        <v>1</v>
      </c>
      <c r="R131" s="9">
        <v>0</v>
      </c>
      <c r="S131" s="8">
        <v>0</v>
      </c>
      <c r="T131" s="9">
        <v>0</v>
      </c>
    </row>
    <row r="132" spans="1:20" x14ac:dyDescent="0.2">
      <c r="A132" s="5" t="s">
        <v>192</v>
      </c>
      <c r="B132" s="5" t="s">
        <v>162</v>
      </c>
      <c r="C132" s="17" t="s">
        <v>670</v>
      </c>
      <c r="D132" s="7">
        <f t="shared" si="0"/>
        <v>16.5</v>
      </c>
      <c r="E132" s="8">
        <v>0</v>
      </c>
      <c r="F132" s="5">
        <v>0</v>
      </c>
      <c r="G132" s="5">
        <v>0</v>
      </c>
      <c r="H132" s="5">
        <v>0</v>
      </c>
      <c r="I132" s="5">
        <v>0</v>
      </c>
      <c r="J132" s="9">
        <v>0</v>
      </c>
      <c r="K132" s="8">
        <v>1</v>
      </c>
      <c r="L132" s="5">
        <v>7</v>
      </c>
      <c r="M132" s="5">
        <v>0</v>
      </c>
      <c r="N132" s="9">
        <v>0</v>
      </c>
      <c r="O132" s="8">
        <v>6</v>
      </c>
      <c r="P132" s="5">
        <v>38</v>
      </c>
      <c r="Q132" s="5">
        <v>1</v>
      </c>
      <c r="R132" s="9">
        <v>0</v>
      </c>
      <c r="S132" s="8">
        <v>0</v>
      </c>
      <c r="T132" s="9">
        <v>0</v>
      </c>
    </row>
    <row r="133" spans="1:20" x14ac:dyDescent="0.2">
      <c r="A133" s="5" t="s">
        <v>177</v>
      </c>
      <c r="B133" s="5" t="s">
        <v>162</v>
      </c>
      <c r="C133" s="17" t="s">
        <v>668</v>
      </c>
      <c r="D133" s="7">
        <f t="shared" si="0"/>
        <v>15.9</v>
      </c>
      <c r="E133" s="8">
        <v>0</v>
      </c>
      <c r="F133" s="5">
        <v>0</v>
      </c>
      <c r="G133" s="5">
        <v>0</v>
      </c>
      <c r="H133" s="5">
        <v>0</v>
      </c>
      <c r="I133" s="5">
        <v>0</v>
      </c>
      <c r="J133" s="9">
        <v>0</v>
      </c>
      <c r="K133" s="8">
        <v>0</v>
      </c>
      <c r="L133" s="5">
        <v>0</v>
      </c>
      <c r="M133" s="5">
        <v>0</v>
      </c>
      <c r="N133" s="9">
        <v>0</v>
      </c>
      <c r="O133" s="8">
        <v>6</v>
      </c>
      <c r="P133" s="5">
        <v>99</v>
      </c>
      <c r="Q133" s="5">
        <v>0</v>
      </c>
      <c r="R133" s="9">
        <v>0</v>
      </c>
      <c r="S133" s="8">
        <v>0</v>
      </c>
      <c r="T133" s="9">
        <v>0</v>
      </c>
    </row>
    <row r="134" spans="1:20" x14ac:dyDescent="0.2">
      <c r="A134" s="5" t="s">
        <v>344</v>
      </c>
      <c r="B134" s="5" t="s">
        <v>162</v>
      </c>
      <c r="C134" s="10" t="s">
        <v>661</v>
      </c>
      <c r="D134" s="7">
        <f t="shared" si="0"/>
        <v>12.1</v>
      </c>
      <c r="E134" s="8">
        <v>0</v>
      </c>
      <c r="F134" s="5">
        <v>0</v>
      </c>
      <c r="G134" s="5">
        <v>0</v>
      </c>
      <c r="H134" s="5">
        <v>0</v>
      </c>
      <c r="I134" s="5">
        <v>0</v>
      </c>
      <c r="J134" s="9">
        <v>0</v>
      </c>
      <c r="K134" s="8">
        <v>0</v>
      </c>
      <c r="L134" s="5">
        <v>0</v>
      </c>
      <c r="M134" s="5">
        <v>0</v>
      </c>
      <c r="N134" s="9">
        <v>0</v>
      </c>
      <c r="O134" s="8">
        <v>3</v>
      </c>
      <c r="P134" s="5">
        <v>91</v>
      </c>
      <c r="Q134" s="5">
        <v>0</v>
      </c>
      <c r="R134" s="9">
        <v>0</v>
      </c>
      <c r="S134" s="8">
        <v>0</v>
      </c>
      <c r="T134" s="9">
        <v>0</v>
      </c>
    </row>
    <row r="135" spans="1:20" x14ac:dyDescent="0.2">
      <c r="A135" s="5" t="s">
        <v>203</v>
      </c>
      <c r="B135" s="5" t="s">
        <v>162</v>
      </c>
      <c r="C135" s="10" t="s">
        <v>663</v>
      </c>
      <c r="D135" s="7">
        <f t="shared" si="0"/>
        <v>11.3</v>
      </c>
      <c r="E135" s="8">
        <v>0</v>
      </c>
      <c r="F135" s="5">
        <v>0</v>
      </c>
      <c r="G135" s="5">
        <v>0</v>
      </c>
      <c r="H135" s="5">
        <v>0</v>
      </c>
      <c r="I135" s="5">
        <v>0</v>
      </c>
      <c r="J135" s="9">
        <v>0</v>
      </c>
      <c r="K135" s="8">
        <v>0</v>
      </c>
      <c r="L135" s="5">
        <v>0</v>
      </c>
      <c r="M135" s="5">
        <v>0</v>
      </c>
      <c r="N135" s="9">
        <v>0</v>
      </c>
      <c r="O135" s="8">
        <v>3</v>
      </c>
      <c r="P135" s="5">
        <v>23</v>
      </c>
      <c r="Q135" s="5">
        <v>1</v>
      </c>
      <c r="R135" s="9">
        <v>0</v>
      </c>
      <c r="S135" s="8">
        <v>0</v>
      </c>
      <c r="T135" s="9">
        <v>0</v>
      </c>
    </row>
    <row r="136" spans="1:20" x14ac:dyDescent="0.2">
      <c r="A136" s="5" t="s">
        <v>475</v>
      </c>
      <c r="B136" s="5" t="s">
        <v>162</v>
      </c>
      <c r="C136" s="10" t="s">
        <v>661</v>
      </c>
      <c r="D136" s="7">
        <f t="shared" si="0"/>
        <v>10.199999999999999</v>
      </c>
      <c r="E136" s="8">
        <v>0</v>
      </c>
      <c r="F136" s="5">
        <v>0</v>
      </c>
      <c r="G136" s="5">
        <v>0</v>
      </c>
      <c r="H136" s="5">
        <v>0</v>
      </c>
      <c r="I136" s="5">
        <v>0</v>
      </c>
      <c r="J136" s="9">
        <v>0</v>
      </c>
      <c r="K136" s="8">
        <v>1</v>
      </c>
      <c r="L136" s="5">
        <v>1</v>
      </c>
      <c r="M136" s="5">
        <v>0</v>
      </c>
      <c r="N136" s="9">
        <v>0</v>
      </c>
      <c r="O136" s="8">
        <v>2</v>
      </c>
      <c r="P136" s="5">
        <v>21</v>
      </c>
      <c r="Q136" s="5">
        <v>1</v>
      </c>
      <c r="R136" s="9">
        <v>0</v>
      </c>
      <c r="S136" s="8">
        <v>0</v>
      </c>
      <c r="T136" s="9">
        <v>0</v>
      </c>
    </row>
    <row r="137" spans="1:20" x14ac:dyDescent="0.2">
      <c r="A137" s="5" t="s">
        <v>217</v>
      </c>
      <c r="B137" s="5" t="s">
        <v>162</v>
      </c>
      <c r="C137" s="10" t="s">
        <v>664</v>
      </c>
      <c r="D137" s="7">
        <f t="shared" si="0"/>
        <v>8</v>
      </c>
      <c r="E137" s="8">
        <v>0</v>
      </c>
      <c r="F137" s="5">
        <v>0</v>
      </c>
      <c r="G137" s="5">
        <v>0</v>
      </c>
      <c r="H137" s="5">
        <v>0</v>
      </c>
      <c r="I137" s="5">
        <v>0</v>
      </c>
      <c r="J137" s="9">
        <v>0</v>
      </c>
      <c r="K137" s="8">
        <v>0</v>
      </c>
      <c r="L137" s="5">
        <v>0</v>
      </c>
      <c r="M137" s="5">
        <v>0</v>
      </c>
      <c r="N137" s="9">
        <v>0</v>
      </c>
      <c r="O137" s="8">
        <v>1</v>
      </c>
      <c r="P137" s="5">
        <v>10</v>
      </c>
      <c r="Q137" s="5">
        <v>1</v>
      </c>
      <c r="R137" s="9">
        <v>0</v>
      </c>
      <c r="S137" s="8">
        <v>0</v>
      </c>
      <c r="T137" s="9">
        <v>0</v>
      </c>
    </row>
    <row r="138" spans="1:20" x14ac:dyDescent="0.2">
      <c r="A138" s="5" t="s">
        <v>206</v>
      </c>
      <c r="B138" s="5" t="s">
        <v>162</v>
      </c>
      <c r="C138" s="17" t="s">
        <v>664</v>
      </c>
      <c r="D138" s="7">
        <f t="shared" si="0"/>
        <v>9.1999999999999993</v>
      </c>
      <c r="E138" s="8">
        <v>0</v>
      </c>
      <c r="F138" s="5">
        <v>0</v>
      </c>
      <c r="G138" s="5">
        <v>0</v>
      </c>
      <c r="H138" s="5">
        <v>0</v>
      </c>
      <c r="I138" s="5">
        <v>0</v>
      </c>
      <c r="J138" s="9">
        <v>0</v>
      </c>
      <c r="K138" s="8">
        <v>0</v>
      </c>
      <c r="L138" s="5">
        <v>0</v>
      </c>
      <c r="M138" s="5">
        <v>0</v>
      </c>
      <c r="N138" s="9">
        <v>0</v>
      </c>
      <c r="O138" s="8">
        <v>2</v>
      </c>
      <c r="P138" s="5">
        <v>12</v>
      </c>
      <c r="Q138" s="5">
        <v>1</v>
      </c>
      <c r="R138" s="9">
        <v>0</v>
      </c>
      <c r="S138" s="8">
        <v>0</v>
      </c>
      <c r="T138" s="9">
        <v>0</v>
      </c>
    </row>
    <row r="139" spans="1:20" x14ac:dyDescent="0.2">
      <c r="A139" s="5" t="s">
        <v>629</v>
      </c>
      <c r="B139" s="5" t="s">
        <v>162</v>
      </c>
      <c r="C139" s="17" t="s">
        <v>665</v>
      </c>
      <c r="D139" s="7">
        <f t="shared" si="0"/>
        <v>13.600000000000001</v>
      </c>
      <c r="E139" s="8">
        <v>0</v>
      </c>
      <c r="F139" s="5">
        <v>0</v>
      </c>
      <c r="G139" s="5">
        <v>0</v>
      </c>
      <c r="H139" s="5">
        <v>0</v>
      </c>
      <c r="I139" s="5">
        <v>0</v>
      </c>
      <c r="J139" s="9">
        <v>0</v>
      </c>
      <c r="K139" s="8">
        <v>0</v>
      </c>
      <c r="L139" s="5">
        <v>0</v>
      </c>
      <c r="M139" s="5">
        <v>0</v>
      </c>
      <c r="N139" s="9">
        <v>0</v>
      </c>
      <c r="O139" s="8">
        <v>6</v>
      </c>
      <c r="P139" s="5">
        <v>76</v>
      </c>
      <c r="Q139" s="5">
        <v>0</v>
      </c>
      <c r="R139" s="9">
        <v>0</v>
      </c>
      <c r="S139" s="8">
        <v>0</v>
      </c>
      <c r="T139" s="9">
        <v>0</v>
      </c>
    </row>
    <row r="140" spans="1:20" x14ac:dyDescent="0.2">
      <c r="A140" s="5" t="s">
        <v>357</v>
      </c>
      <c r="B140" s="5" t="s">
        <v>162</v>
      </c>
      <c r="C140" s="17" t="s">
        <v>659</v>
      </c>
      <c r="D140" s="7">
        <f t="shared" si="0"/>
        <v>9.7000000000000011</v>
      </c>
      <c r="E140" s="8">
        <v>0</v>
      </c>
      <c r="F140" s="5">
        <v>0</v>
      </c>
      <c r="G140" s="5">
        <v>0</v>
      </c>
      <c r="H140" s="5">
        <v>0</v>
      </c>
      <c r="I140" s="5">
        <v>0</v>
      </c>
      <c r="J140" s="9">
        <v>0</v>
      </c>
      <c r="K140" s="8">
        <v>1</v>
      </c>
      <c r="L140" s="5">
        <v>38</v>
      </c>
      <c r="M140" s="5">
        <v>0</v>
      </c>
      <c r="N140" s="9">
        <v>0</v>
      </c>
      <c r="O140" s="8">
        <v>1</v>
      </c>
      <c r="P140" s="5">
        <v>49</v>
      </c>
      <c r="Q140" s="5">
        <v>0</v>
      </c>
      <c r="R140" s="9">
        <v>0</v>
      </c>
      <c r="S140" s="8">
        <v>0</v>
      </c>
      <c r="T140" s="9">
        <v>0</v>
      </c>
    </row>
    <row r="141" spans="1:20" x14ac:dyDescent="0.2">
      <c r="A141" s="5" t="s">
        <v>246</v>
      </c>
      <c r="B141" s="5" t="s">
        <v>162</v>
      </c>
      <c r="C141" s="10" t="s">
        <v>670</v>
      </c>
      <c r="D141" s="7">
        <f t="shared" si="0"/>
        <v>15.4</v>
      </c>
      <c r="E141" s="8">
        <v>0</v>
      </c>
      <c r="F141" s="5">
        <v>0</v>
      </c>
      <c r="G141" s="5">
        <v>0</v>
      </c>
      <c r="H141" s="5">
        <v>0</v>
      </c>
      <c r="I141" s="5">
        <v>0</v>
      </c>
      <c r="J141" s="9">
        <v>0</v>
      </c>
      <c r="K141" s="8">
        <v>0</v>
      </c>
      <c r="L141" s="5">
        <v>0</v>
      </c>
      <c r="M141" s="5">
        <v>0</v>
      </c>
      <c r="N141" s="9">
        <v>0</v>
      </c>
      <c r="O141" s="8">
        <v>8</v>
      </c>
      <c r="P141" s="5">
        <v>74</v>
      </c>
      <c r="Q141" s="5">
        <v>0</v>
      </c>
      <c r="R141" s="9">
        <v>0</v>
      </c>
      <c r="S141" s="8">
        <v>0</v>
      </c>
      <c r="T141" s="9">
        <v>0</v>
      </c>
    </row>
    <row r="142" spans="1:20" x14ac:dyDescent="0.2">
      <c r="A142" s="5" t="s">
        <v>183</v>
      </c>
      <c r="B142" s="5" t="s">
        <v>162</v>
      </c>
      <c r="C142" s="10" t="s">
        <v>665</v>
      </c>
      <c r="D142" s="7">
        <f t="shared" si="0"/>
        <v>13.5</v>
      </c>
      <c r="E142" s="8">
        <v>0</v>
      </c>
      <c r="F142" s="5">
        <v>0</v>
      </c>
      <c r="G142" s="5">
        <v>0</v>
      </c>
      <c r="H142" s="5">
        <v>0</v>
      </c>
      <c r="I142" s="5">
        <v>0</v>
      </c>
      <c r="J142" s="9">
        <v>0</v>
      </c>
      <c r="K142" s="8">
        <v>0</v>
      </c>
      <c r="L142" s="5">
        <v>0</v>
      </c>
      <c r="M142" s="5">
        <v>0</v>
      </c>
      <c r="N142" s="9">
        <v>0</v>
      </c>
      <c r="O142" s="8">
        <v>7</v>
      </c>
      <c r="P142" s="5">
        <v>65</v>
      </c>
      <c r="Q142" s="5">
        <v>0</v>
      </c>
      <c r="R142" s="9">
        <v>0</v>
      </c>
      <c r="S142" s="8">
        <v>0</v>
      </c>
      <c r="T142" s="9">
        <v>0</v>
      </c>
    </row>
    <row r="143" spans="1:20" x14ac:dyDescent="0.2">
      <c r="A143" s="5" t="s">
        <v>208</v>
      </c>
      <c r="B143" s="5" t="s">
        <v>162</v>
      </c>
      <c r="C143" s="10" t="s">
        <v>672</v>
      </c>
      <c r="D143" s="7">
        <f t="shared" si="0"/>
        <v>12</v>
      </c>
      <c r="E143" s="8">
        <v>0</v>
      </c>
      <c r="F143" s="5">
        <v>0</v>
      </c>
      <c r="G143" s="5">
        <v>0</v>
      </c>
      <c r="H143" s="5">
        <v>0</v>
      </c>
      <c r="I143" s="5">
        <v>0</v>
      </c>
      <c r="J143" s="9">
        <v>0</v>
      </c>
      <c r="K143" s="8">
        <v>0</v>
      </c>
      <c r="L143" s="5">
        <v>0</v>
      </c>
      <c r="M143" s="5">
        <v>0</v>
      </c>
      <c r="N143" s="9">
        <v>0</v>
      </c>
      <c r="O143" s="8">
        <v>6</v>
      </c>
      <c r="P143" s="5">
        <v>60</v>
      </c>
      <c r="Q143" s="5">
        <v>0</v>
      </c>
      <c r="R143" s="9">
        <v>0</v>
      </c>
      <c r="S143" s="8">
        <v>0</v>
      </c>
      <c r="T143" s="9">
        <v>0</v>
      </c>
    </row>
    <row r="144" spans="1:20" x14ac:dyDescent="0.2">
      <c r="A144" s="5" t="s">
        <v>200</v>
      </c>
      <c r="B144" s="5" t="s">
        <v>162</v>
      </c>
      <c r="C144" s="10" t="s">
        <v>660</v>
      </c>
      <c r="D144" s="7">
        <f t="shared" si="0"/>
        <v>9.2000000000000011</v>
      </c>
      <c r="E144" s="8">
        <v>0</v>
      </c>
      <c r="F144" s="5">
        <v>0</v>
      </c>
      <c r="G144" s="5">
        <v>0</v>
      </c>
      <c r="H144" s="5">
        <v>0</v>
      </c>
      <c r="I144" s="5">
        <v>0</v>
      </c>
      <c r="J144" s="9">
        <v>0</v>
      </c>
      <c r="K144" s="8">
        <v>1</v>
      </c>
      <c r="L144" s="5">
        <v>-1</v>
      </c>
      <c r="M144" s="5">
        <v>0</v>
      </c>
      <c r="N144" s="9">
        <v>0</v>
      </c>
      <c r="O144" s="8">
        <v>3</v>
      </c>
      <c r="P144" s="5">
        <v>63</v>
      </c>
      <c r="Q144" s="5">
        <v>0</v>
      </c>
      <c r="R144" s="9">
        <v>0</v>
      </c>
      <c r="S144" s="8">
        <v>0</v>
      </c>
      <c r="T144" s="9">
        <v>0</v>
      </c>
    </row>
    <row r="145" spans="1:20" x14ac:dyDescent="0.2">
      <c r="A145" s="5" t="s">
        <v>360</v>
      </c>
      <c r="B145" s="5" t="s">
        <v>162</v>
      </c>
      <c r="C145" s="10" t="s">
        <v>669</v>
      </c>
      <c r="D145" s="7">
        <f t="shared" si="0"/>
        <v>10.8</v>
      </c>
      <c r="E145" s="8">
        <v>0</v>
      </c>
      <c r="F145" s="5">
        <v>0</v>
      </c>
      <c r="G145" s="5">
        <v>0</v>
      </c>
      <c r="H145" s="5">
        <v>0</v>
      </c>
      <c r="I145" s="5">
        <v>0</v>
      </c>
      <c r="J145" s="9">
        <v>0</v>
      </c>
      <c r="K145" s="8">
        <v>0</v>
      </c>
      <c r="L145" s="5">
        <v>0</v>
      </c>
      <c r="M145" s="5">
        <v>0</v>
      </c>
      <c r="N145" s="9">
        <v>0</v>
      </c>
      <c r="O145" s="8">
        <v>5</v>
      </c>
      <c r="P145" s="5">
        <v>58</v>
      </c>
      <c r="Q145" s="5">
        <v>0</v>
      </c>
      <c r="R145" s="9">
        <v>0</v>
      </c>
      <c r="S145" s="8">
        <v>0</v>
      </c>
      <c r="T145" s="9">
        <v>0</v>
      </c>
    </row>
    <row r="146" spans="1:20" x14ac:dyDescent="0.2">
      <c r="A146" s="5" t="s">
        <v>241</v>
      </c>
      <c r="B146" s="5" t="s">
        <v>162</v>
      </c>
      <c r="C146" s="17" t="s">
        <v>671</v>
      </c>
      <c r="D146" s="7">
        <f t="shared" si="0"/>
        <v>10.100000000000001</v>
      </c>
      <c r="E146" s="8">
        <v>0</v>
      </c>
      <c r="F146" s="5">
        <v>0</v>
      </c>
      <c r="G146" s="5">
        <v>0</v>
      </c>
      <c r="H146" s="5">
        <v>0</v>
      </c>
      <c r="I146" s="5">
        <v>0</v>
      </c>
      <c r="J146" s="9">
        <v>0</v>
      </c>
      <c r="K146" s="8">
        <v>0</v>
      </c>
      <c r="L146" s="5">
        <v>0</v>
      </c>
      <c r="M146" s="5">
        <v>0</v>
      </c>
      <c r="N146" s="9">
        <v>0</v>
      </c>
      <c r="O146" s="8">
        <v>5</v>
      </c>
      <c r="P146" s="5">
        <v>51</v>
      </c>
      <c r="Q146" s="5">
        <v>0</v>
      </c>
      <c r="R146" s="9">
        <v>0</v>
      </c>
      <c r="S146" s="8">
        <v>0</v>
      </c>
      <c r="T146" s="9">
        <v>0</v>
      </c>
    </row>
    <row r="147" spans="1:20" x14ac:dyDescent="0.2">
      <c r="A147" s="5" t="s">
        <v>196</v>
      </c>
      <c r="B147" s="5" t="s">
        <v>162</v>
      </c>
      <c r="C147" s="10" t="s">
        <v>667</v>
      </c>
      <c r="D147" s="7">
        <f t="shared" si="0"/>
        <v>9.5</v>
      </c>
      <c r="E147" s="8">
        <v>0</v>
      </c>
      <c r="F147" s="5">
        <v>0</v>
      </c>
      <c r="G147" s="5">
        <v>0</v>
      </c>
      <c r="H147" s="5">
        <v>0</v>
      </c>
      <c r="I147" s="5">
        <v>0</v>
      </c>
      <c r="J147" s="9">
        <v>0</v>
      </c>
      <c r="K147" s="8">
        <v>0</v>
      </c>
      <c r="L147" s="5">
        <v>0</v>
      </c>
      <c r="M147" s="5">
        <v>0</v>
      </c>
      <c r="N147" s="9">
        <v>0</v>
      </c>
      <c r="O147" s="8">
        <v>4</v>
      </c>
      <c r="P147" s="5">
        <v>55</v>
      </c>
      <c r="Q147" s="5">
        <v>0</v>
      </c>
      <c r="R147" s="9">
        <v>0</v>
      </c>
      <c r="S147" s="8">
        <v>0</v>
      </c>
      <c r="T147" s="9">
        <v>0</v>
      </c>
    </row>
    <row r="148" spans="1:20" x14ac:dyDescent="0.2">
      <c r="A148" s="5" t="s">
        <v>178</v>
      </c>
      <c r="B148" s="5" t="s">
        <v>162</v>
      </c>
      <c r="C148" s="17" t="s">
        <v>669</v>
      </c>
      <c r="D148" s="7">
        <f t="shared" si="0"/>
        <v>7.4</v>
      </c>
      <c r="E148" s="8">
        <v>0</v>
      </c>
      <c r="F148" s="5">
        <v>0</v>
      </c>
      <c r="G148" s="5">
        <v>0</v>
      </c>
      <c r="H148" s="5">
        <v>0</v>
      </c>
      <c r="I148" s="5">
        <v>0</v>
      </c>
      <c r="J148" s="9">
        <v>0</v>
      </c>
      <c r="K148" s="8">
        <v>0</v>
      </c>
      <c r="L148" s="5">
        <v>0</v>
      </c>
      <c r="M148" s="5">
        <v>0</v>
      </c>
      <c r="N148" s="9">
        <v>0</v>
      </c>
      <c r="O148" s="8">
        <v>3</v>
      </c>
      <c r="P148" s="5">
        <v>44</v>
      </c>
      <c r="Q148" s="5">
        <v>0</v>
      </c>
      <c r="R148" s="9">
        <v>0</v>
      </c>
      <c r="S148" s="8">
        <v>0</v>
      </c>
      <c r="T148" s="9">
        <v>0</v>
      </c>
    </row>
    <row r="149" spans="1:20" x14ac:dyDescent="0.2">
      <c r="A149" s="5" t="s">
        <v>233</v>
      </c>
      <c r="B149" s="5" t="s">
        <v>162</v>
      </c>
      <c r="C149" s="17" t="s">
        <v>670</v>
      </c>
      <c r="D149" s="7">
        <f t="shared" si="0"/>
        <v>7.2</v>
      </c>
      <c r="E149" s="8">
        <v>0</v>
      </c>
      <c r="F149" s="5">
        <v>0</v>
      </c>
      <c r="G149" s="5">
        <v>0</v>
      </c>
      <c r="H149" s="5">
        <v>0</v>
      </c>
      <c r="I149" s="5">
        <v>0</v>
      </c>
      <c r="J149" s="9">
        <v>0</v>
      </c>
      <c r="K149" s="8">
        <v>0</v>
      </c>
      <c r="L149" s="5">
        <v>0</v>
      </c>
      <c r="M149" s="5">
        <v>0</v>
      </c>
      <c r="N149" s="9">
        <v>0</v>
      </c>
      <c r="O149" s="8">
        <v>3</v>
      </c>
      <c r="P149" s="5">
        <v>42</v>
      </c>
      <c r="Q149" s="5">
        <v>0</v>
      </c>
      <c r="R149" s="9">
        <v>0</v>
      </c>
      <c r="S149" s="8">
        <v>0</v>
      </c>
      <c r="T149" s="9">
        <v>0</v>
      </c>
    </row>
    <row r="150" spans="1:20" x14ac:dyDescent="0.2">
      <c r="A150" s="5" t="s">
        <v>179</v>
      </c>
      <c r="B150" s="5" t="s">
        <v>162</v>
      </c>
      <c r="C150" s="10" t="s">
        <v>664</v>
      </c>
      <c r="D150" s="7">
        <f t="shared" si="0"/>
        <v>8</v>
      </c>
      <c r="E150" s="8">
        <v>0</v>
      </c>
      <c r="F150" s="5">
        <v>0</v>
      </c>
      <c r="G150" s="5">
        <v>0</v>
      </c>
      <c r="H150" s="5">
        <v>0</v>
      </c>
      <c r="I150" s="5">
        <v>0</v>
      </c>
      <c r="J150" s="9">
        <v>0</v>
      </c>
      <c r="K150" s="8">
        <v>1</v>
      </c>
      <c r="L150" s="5">
        <v>7</v>
      </c>
      <c r="M150" s="5">
        <v>0</v>
      </c>
      <c r="N150" s="9">
        <v>0</v>
      </c>
      <c r="O150" s="8">
        <v>3</v>
      </c>
      <c r="P150" s="5">
        <v>43</v>
      </c>
      <c r="Q150" s="5">
        <v>0</v>
      </c>
      <c r="R150" s="9">
        <v>0</v>
      </c>
      <c r="S150" s="8">
        <v>0</v>
      </c>
      <c r="T150" s="9">
        <v>0</v>
      </c>
    </row>
    <row r="151" spans="1:20" x14ac:dyDescent="0.2">
      <c r="A151" s="5" t="s">
        <v>269</v>
      </c>
      <c r="B151" s="5" t="s">
        <v>162</v>
      </c>
      <c r="C151" s="17" t="s">
        <v>660</v>
      </c>
      <c r="D151" s="7">
        <f t="shared" si="0"/>
        <v>5.1000000000000005</v>
      </c>
      <c r="E151" s="8">
        <v>0</v>
      </c>
      <c r="F151" s="5">
        <v>0</v>
      </c>
      <c r="G151" s="5">
        <v>0</v>
      </c>
      <c r="H151" s="5">
        <v>0</v>
      </c>
      <c r="I151" s="5">
        <v>0</v>
      </c>
      <c r="J151" s="9">
        <v>0</v>
      </c>
      <c r="K151" s="8">
        <v>0</v>
      </c>
      <c r="L151" s="5">
        <v>0</v>
      </c>
      <c r="M151" s="5">
        <v>0</v>
      </c>
      <c r="N151" s="9">
        <v>0</v>
      </c>
      <c r="O151" s="8">
        <v>1</v>
      </c>
      <c r="P151" s="5">
        <v>41</v>
      </c>
      <c r="Q151" s="5">
        <v>0</v>
      </c>
      <c r="R151" s="9">
        <v>0</v>
      </c>
      <c r="S151" s="8">
        <v>0</v>
      </c>
      <c r="T151" s="9">
        <v>0</v>
      </c>
    </row>
    <row r="152" spans="1:20" x14ac:dyDescent="0.2">
      <c r="A152" s="5" t="s">
        <v>263</v>
      </c>
      <c r="B152" s="5" t="s">
        <v>162</v>
      </c>
      <c r="C152" s="10" t="s">
        <v>659</v>
      </c>
      <c r="D152" s="7">
        <f t="shared" si="0"/>
        <v>7.8000000000000007</v>
      </c>
      <c r="E152" s="8">
        <v>0</v>
      </c>
      <c r="F152" s="5">
        <v>0</v>
      </c>
      <c r="G152" s="5">
        <v>0</v>
      </c>
      <c r="H152" s="5">
        <v>0</v>
      </c>
      <c r="I152" s="5">
        <v>0</v>
      </c>
      <c r="J152" s="9">
        <v>0</v>
      </c>
      <c r="K152" s="8">
        <v>0</v>
      </c>
      <c r="L152" s="5">
        <v>0</v>
      </c>
      <c r="M152" s="5">
        <v>0</v>
      </c>
      <c r="N152" s="9">
        <v>0</v>
      </c>
      <c r="O152" s="8">
        <v>3</v>
      </c>
      <c r="P152" s="5">
        <v>48</v>
      </c>
      <c r="Q152" s="5">
        <v>0</v>
      </c>
      <c r="R152" s="9">
        <v>0</v>
      </c>
      <c r="S152" s="8">
        <v>0</v>
      </c>
      <c r="T152" s="9">
        <v>0</v>
      </c>
    </row>
    <row r="153" spans="1:20" x14ac:dyDescent="0.2">
      <c r="A153" s="5" t="s">
        <v>232</v>
      </c>
      <c r="B153" s="5" t="s">
        <v>162</v>
      </c>
      <c r="C153" s="10" t="s">
        <v>663</v>
      </c>
      <c r="D153" s="7">
        <f t="shared" si="0"/>
        <v>9.3000000000000007</v>
      </c>
      <c r="E153" s="8">
        <v>0</v>
      </c>
      <c r="F153" s="5">
        <v>0</v>
      </c>
      <c r="G153" s="5">
        <v>0</v>
      </c>
      <c r="H153" s="5">
        <v>0</v>
      </c>
      <c r="I153" s="5">
        <v>0</v>
      </c>
      <c r="J153" s="9">
        <v>0</v>
      </c>
      <c r="K153" s="8">
        <v>0</v>
      </c>
      <c r="L153" s="5">
        <v>0</v>
      </c>
      <c r="M153" s="5">
        <v>0</v>
      </c>
      <c r="N153" s="9">
        <v>0</v>
      </c>
      <c r="O153" s="8">
        <v>5</v>
      </c>
      <c r="P153" s="5">
        <v>43</v>
      </c>
      <c r="Q153" s="5">
        <v>0</v>
      </c>
      <c r="R153" s="9">
        <v>0</v>
      </c>
      <c r="S153" s="8">
        <v>0</v>
      </c>
      <c r="T153" s="9">
        <v>0</v>
      </c>
    </row>
    <row r="154" spans="1:20" x14ac:dyDescent="0.2">
      <c r="A154" s="5" t="s">
        <v>164</v>
      </c>
      <c r="B154" s="5" t="s">
        <v>162</v>
      </c>
      <c r="C154" s="17" t="s">
        <v>667</v>
      </c>
      <c r="D154" s="7">
        <f t="shared" si="0"/>
        <v>8.9</v>
      </c>
      <c r="E154" s="8">
        <v>0</v>
      </c>
      <c r="F154" s="5">
        <v>0</v>
      </c>
      <c r="G154" s="5">
        <v>0</v>
      </c>
      <c r="H154" s="5">
        <v>0</v>
      </c>
      <c r="I154" s="5">
        <v>0</v>
      </c>
      <c r="J154" s="9">
        <v>0</v>
      </c>
      <c r="K154" s="8">
        <v>0</v>
      </c>
      <c r="L154" s="5">
        <v>0</v>
      </c>
      <c r="M154" s="5">
        <v>0</v>
      </c>
      <c r="N154" s="9">
        <v>0</v>
      </c>
      <c r="O154" s="8">
        <v>4</v>
      </c>
      <c r="P154" s="5">
        <v>49</v>
      </c>
      <c r="Q154" s="5">
        <v>0</v>
      </c>
      <c r="R154" s="9">
        <v>0</v>
      </c>
      <c r="S154" s="8">
        <v>0</v>
      </c>
      <c r="T154" s="9">
        <v>0</v>
      </c>
    </row>
    <row r="155" spans="1:20" x14ac:dyDescent="0.2">
      <c r="A155" s="5" t="s">
        <v>367</v>
      </c>
      <c r="B155" s="5" t="s">
        <v>162</v>
      </c>
      <c r="C155" s="17" t="s">
        <v>667</v>
      </c>
      <c r="D155" s="7">
        <f t="shared" si="0"/>
        <v>9.1999999999999993</v>
      </c>
      <c r="E155" s="8">
        <v>0</v>
      </c>
      <c r="F155" s="5">
        <v>0</v>
      </c>
      <c r="G155" s="5">
        <v>0</v>
      </c>
      <c r="H155" s="5">
        <v>0</v>
      </c>
      <c r="I155" s="5">
        <v>0</v>
      </c>
      <c r="J155" s="9">
        <v>0</v>
      </c>
      <c r="K155" s="8">
        <v>0</v>
      </c>
      <c r="L155" s="5">
        <v>0</v>
      </c>
      <c r="M155" s="5">
        <v>0</v>
      </c>
      <c r="N155" s="9">
        <v>0</v>
      </c>
      <c r="O155" s="8">
        <v>5</v>
      </c>
      <c r="P155" s="5">
        <v>42</v>
      </c>
      <c r="Q155" s="5">
        <v>0</v>
      </c>
      <c r="R155" s="9">
        <v>0</v>
      </c>
      <c r="S155" s="8">
        <v>0</v>
      </c>
      <c r="T155" s="9">
        <v>0</v>
      </c>
    </row>
    <row r="156" spans="1:20" x14ac:dyDescent="0.2">
      <c r="A156" s="5" t="s">
        <v>193</v>
      </c>
      <c r="B156" s="5" t="s">
        <v>162</v>
      </c>
      <c r="C156" s="10" t="s">
        <v>668</v>
      </c>
      <c r="D156" s="7">
        <f t="shared" si="0"/>
        <v>8.1999999999999993</v>
      </c>
      <c r="E156" s="8">
        <v>0</v>
      </c>
      <c r="F156" s="5">
        <v>0</v>
      </c>
      <c r="G156" s="5">
        <v>0</v>
      </c>
      <c r="H156" s="5">
        <v>0</v>
      </c>
      <c r="I156" s="5">
        <v>0</v>
      </c>
      <c r="J156" s="9">
        <v>0</v>
      </c>
      <c r="K156" s="8">
        <v>0</v>
      </c>
      <c r="L156" s="5">
        <v>0</v>
      </c>
      <c r="M156" s="5">
        <v>0</v>
      </c>
      <c r="N156" s="9">
        <v>0</v>
      </c>
      <c r="O156" s="8">
        <v>4</v>
      </c>
      <c r="P156" s="5">
        <v>42</v>
      </c>
      <c r="Q156" s="5">
        <v>0</v>
      </c>
      <c r="R156" s="9">
        <v>0</v>
      </c>
      <c r="S156" s="8">
        <v>0</v>
      </c>
      <c r="T156" s="9">
        <v>0</v>
      </c>
    </row>
    <row r="157" spans="1:20" x14ac:dyDescent="0.2">
      <c r="A157" s="5" t="s">
        <v>237</v>
      </c>
      <c r="B157" s="5" t="s">
        <v>162</v>
      </c>
      <c r="C157" s="17" t="s">
        <v>671</v>
      </c>
      <c r="D157" s="7">
        <f t="shared" si="0"/>
        <v>7</v>
      </c>
      <c r="E157" s="8">
        <v>0</v>
      </c>
      <c r="F157" s="5">
        <v>0</v>
      </c>
      <c r="G157" s="5">
        <v>0</v>
      </c>
      <c r="H157" s="5">
        <v>0</v>
      </c>
      <c r="I157" s="5">
        <v>0</v>
      </c>
      <c r="J157" s="9">
        <v>0</v>
      </c>
      <c r="K157" s="8">
        <v>0</v>
      </c>
      <c r="L157" s="5">
        <v>0</v>
      </c>
      <c r="M157" s="5">
        <v>0</v>
      </c>
      <c r="N157" s="9">
        <v>0</v>
      </c>
      <c r="O157" s="8">
        <v>3</v>
      </c>
      <c r="P157" s="5">
        <v>40</v>
      </c>
      <c r="Q157" s="5">
        <v>0</v>
      </c>
      <c r="R157" s="9">
        <v>0</v>
      </c>
      <c r="S157" s="8">
        <v>0</v>
      </c>
      <c r="T157" s="9">
        <v>0</v>
      </c>
    </row>
    <row r="158" spans="1:20" x14ac:dyDescent="0.2">
      <c r="A158" s="5" t="s">
        <v>197</v>
      </c>
      <c r="B158" s="5" t="s">
        <v>162</v>
      </c>
      <c r="C158" s="10" t="s">
        <v>665</v>
      </c>
      <c r="D158" s="7">
        <f t="shared" si="0"/>
        <v>9.4</v>
      </c>
      <c r="E158" s="8">
        <v>0</v>
      </c>
      <c r="F158" s="5">
        <v>0</v>
      </c>
      <c r="G158" s="5">
        <v>0</v>
      </c>
      <c r="H158" s="5">
        <v>0</v>
      </c>
      <c r="I158" s="5">
        <v>0</v>
      </c>
      <c r="J158" s="9">
        <v>0</v>
      </c>
      <c r="K158" s="8">
        <v>0</v>
      </c>
      <c r="L158" s="5">
        <v>0</v>
      </c>
      <c r="M158" s="5">
        <v>0</v>
      </c>
      <c r="N158" s="9">
        <v>0</v>
      </c>
      <c r="O158" s="8">
        <v>5</v>
      </c>
      <c r="P158" s="5">
        <v>44</v>
      </c>
      <c r="Q158" s="5">
        <v>0</v>
      </c>
      <c r="R158" s="9">
        <v>0</v>
      </c>
      <c r="S158" s="8">
        <v>0</v>
      </c>
      <c r="T158" s="9">
        <v>0</v>
      </c>
    </row>
    <row r="159" spans="1:20" x14ac:dyDescent="0.2">
      <c r="A159" s="5" t="s">
        <v>419</v>
      </c>
      <c r="B159" s="5" t="s">
        <v>162</v>
      </c>
      <c r="C159" s="10" t="s">
        <v>667</v>
      </c>
      <c r="D159" s="7">
        <f t="shared" si="0"/>
        <v>5.9</v>
      </c>
      <c r="E159" s="8">
        <v>0</v>
      </c>
      <c r="F159" s="5">
        <v>0</v>
      </c>
      <c r="G159" s="5">
        <v>0</v>
      </c>
      <c r="H159" s="5">
        <v>0</v>
      </c>
      <c r="I159" s="5">
        <v>0</v>
      </c>
      <c r="J159" s="9">
        <v>0</v>
      </c>
      <c r="K159" s="8">
        <v>0</v>
      </c>
      <c r="L159" s="5">
        <v>0</v>
      </c>
      <c r="M159" s="5">
        <v>0</v>
      </c>
      <c r="N159" s="9">
        <v>0</v>
      </c>
      <c r="O159" s="8">
        <v>2</v>
      </c>
      <c r="P159" s="5">
        <v>39</v>
      </c>
      <c r="Q159" s="5">
        <v>0</v>
      </c>
      <c r="R159" s="9">
        <v>0</v>
      </c>
      <c r="S159" s="8">
        <v>0</v>
      </c>
      <c r="T159" s="9">
        <v>0</v>
      </c>
    </row>
    <row r="160" spans="1:20" x14ac:dyDescent="0.2">
      <c r="A160" s="5" t="s">
        <v>218</v>
      </c>
      <c r="B160" s="5" t="s">
        <v>162</v>
      </c>
      <c r="C160" s="10" t="s">
        <v>672</v>
      </c>
      <c r="D160" s="7">
        <f t="shared" si="0"/>
        <v>7.4</v>
      </c>
      <c r="E160" s="8">
        <v>0</v>
      </c>
      <c r="F160" s="5">
        <v>0</v>
      </c>
      <c r="G160" s="5">
        <v>0</v>
      </c>
      <c r="H160" s="5">
        <v>0</v>
      </c>
      <c r="I160" s="5">
        <v>0</v>
      </c>
      <c r="J160" s="9">
        <v>0</v>
      </c>
      <c r="K160" s="8">
        <v>0</v>
      </c>
      <c r="L160" s="5">
        <v>0</v>
      </c>
      <c r="M160" s="5">
        <v>0</v>
      </c>
      <c r="N160" s="9">
        <v>0</v>
      </c>
      <c r="O160" s="8">
        <v>4</v>
      </c>
      <c r="P160" s="5">
        <v>34</v>
      </c>
      <c r="Q160" s="5">
        <v>0</v>
      </c>
      <c r="R160" s="9">
        <v>0</v>
      </c>
      <c r="S160" s="8">
        <v>0</v>
      </c>
      <c r="T160" s="9">
        <v>0</v>
      </c>
    </row>
    <row r="161" spans="1:20" x14ac:dyDescent="0.2">
      <c r="A161" s="5" t="s">
        <v>251</v>
      </c>
      <c r="B161" s="5" t="s">
        <v>162</v>
      </c>
      <c r="C161" s="17" t="s">
        <v>670</v>
      </c>
      <c r="D161" s="7">
        <f t="shared" si="0"/>
        <v>6.1</v>
      </c>
      <c r="E161" s="8">
        <v>0</v>
      </c>
      <c r="F161" s="5">
        <v>0</v>
      </c>
      <c r="G161" s="5">
        <v>0</v>
      </c>
      <c r="H161" s="5">
        <v>0</v>
      </c>
      <c r="I161" s="5">
        <v>0</v>
      </c>
      <c r="J161" s="9">
        <v>0</v>
      </c>
      <c r="K161" s="8">
        <v>0</v>
      </c>
      <c r="L161" s="5">
        <v>0</v>
      </c>
      <c r="M161" s="5">
        <v>0</v>
      </c>
      <c r="N161" s="9">
        <v>0</v>
      </c>
      <c r="O161" s="8">
        <v>3</v>
      </c>
      <c r="P161" s="5">
        <v>31</v>
      </c>
      <c r="Q161" s="5">
        <v>0</v>
      </c>
      <c r="R161" s="9">
        <v>0</v>
      </c>
      <c r="S161" s="8">
        <v>0</v>
      </c>
      <c r="T161" s="9">
        <v>0</v>
      </c>
    </row>
    <row r="162" spans="1:20" x14ac:dyDescent="0.2">
      <c r="A162" s="5" t="s">
        <v>198</v>
      </c>
      <c r="B162" s="5" t="s">
        <v>162</v>
      </c>
      <c r="C162" s="17" t="s">
        <v>660</v>
      </c>
      <c r="D162" s="7">
        <f t="shared" si="0"/>
        <v>9.9</v>
      </c>
      <c r="E162" s="8">
        <v>0</v>
      </c>
      <c r="F162" s="5">
        <v>0</v>
      </c>
      <c r="G162" s="5">
        <v>0</v>
      </c>
      <c r="H162" s="5">
        <v>0</v>
      </c>
      <c r="I162" s="5">
        <v>0</v>
      </c>
      <c r="J162" s="9">
        <v>0</v>
      </c>
      <c r="K162" s="8">
        <v>0</v>
      </c>
      <c r="L162" s="5">
        <v>0</v>
      </c>
      <c r="M162" s="5">
        <v>0</v>
      </c>
      <c r="N162" s="9">
        <v>0</v>
      </c>
      <c r="O162" s="8">
        <v>6</v>
      </c>
      <c r="P162" s="5">
        <v>39</v>
      </c>
      <c r="Q162" s="5">
        <v>0</v>
      </c>
      <c r="R162" s="9">
        <v>0</v>
      </c>
      <c r="S162" s="8">
        <v>0</v>
      </c>
      <c r="T162" s="9">
        <v>0</v>
      </c>
    </row>
    <row r="163" spans="1:20" x14ac:dyDescent="0.2">
      <c r="A163" s="5" t="s">
        <v>483</v>
      </c>
      <c r="B163" s="5" t="s">
        <v>162</v>
      </c>
      <c r="C163" s="17" t="s">
        <v>664</v>
      </c>
      <c r="D163" s="7">
        <f t="shared" si="0"/>
        <v>6.6</v>
      </c>
      <c r="E163" s="8">
        <v>0</v>
      </c>
      <c r="F163" s="5">
        <v>0</v>
      </c>
      <c r="G163" s="5">
        <v>0</v>
      </c>
      <c r="H163" s="5">
        <v>0</v>
      </c>
      <c r="I163" s="5">
        <v>0</v>
      </c>
      <c r="J163" s="9">
        <v>0</v>
      </c>
      <c r="K163" s="8">
        <v>0</v>
      </c>
      <c r="L163" s="5">
        <v>0</v>
      </c>
      <c r="M163" s="5">
        <v>0</v>
      </c>
      <c r="N163" s="9">
        <v>0</v>
      </c>
      <c r="O163" s="8">
        <v>3</v>
      </c>
      <c r="P163" s="5">
        <v>36</v>
      </c>
      <c r="Q163" s="5">
        <v>0</v>
      </c>
      <c r="R163" s="9">
        <v>0</v>
      </c>
      <c r="S163" s="8">
        <v>0</v>
      </c>
      <c r="T163" s="9">
        <v>0</v>
      </c>
    </row>
    <row r="164" spans="1:20" x14ac:dyDescent="0.2">
      <c r="A164" s="5" t="s">
        <v>210</v>
      </c>
      <c r="B164" s="5" t="s">
        <v>162</v>
      </c>
      <c r="C164" s="17" t="s">
        <v>672</v>
      </c>
      <c r="D164" s="7">
        <f t="shared" si="0"/>
        <v>7.7</v>
      </c>
      <c r="E164" s="8">
        <v>0</v>
      </c>
      <c r="F164" s="5">
        <v>0</v>
      </c>
      <c r="G164" s="5">
        <v>0</v>
      </c>
      <c r="H164" s="5">
        <v>0</v>
      </c>
      <c r="I164" s="5">
        <v>0</v>
      </c>
      <c r="J164" s="9">
        <v>0</v>
      </c>
      <c r="K164" s="8">
        <v>1</v>
      </c>
      <c r="L164" s="5">
        <v>-1</v>
      </c>
      <c r="M164" s="5">
        <v>0</v>
      </c>
      <c r="N164" s="9">
        <v>0</v>
      </c>
      <c r="O164" s="8">
        <v>4</v>
      </c>
      <c r="P164" s="5">
        <v>38</v>
      </c>
      <c r="Q164" s="5">
        <v>0</v>
      </c>
      <c r="R164" s="9">
        <v>0</v>
      </c>
      <c r="S164" s="8">
        <v>0</v>
      </c>
      <c r="T164" s="9">
        <v>0</v>
      </c>
    </row>
    <row r="165" spans="1:20" x14ac:dyDescent="0.2">
      <c r="A165" s="5" t="s">
        <v>400</v>
      </c>
      <c r="B165" s="5" t="s">
        <v>162</v>
      </c>
      <c r="C165" s="17" t="s">
        <v>669</v>
      </c>
      <c r="D165" s="7">
        <f t="shared" si="0"/>
        <v>6.2</v>
      </c>
      <c r="E165" s="8">
        <v>0</v>
      </c>
      <c r="F165" s="5">
        <v>0</v>
      </c>
      <c r="G165" s="5">
        <v>0</v>
      </c>
      <c r="H165" s="5">
        <v>0</v>
      </c>
      <c r="I165" s="5">
        <v>0</v>
      </c>
      <c r="J165" s="9">
        <v>0</v>
      </c>
      <c r="K165" s="8">
        <v>0</v>
      </c>
      <c r="L165" s="5">
        <v>0</v>
      </c>
      <c r="M165" s="5">
        <v>0</v>
      </c>
      <c r="N165" s="9">
        <v>0</v>
      </c>
      <c r="O165" s="8">
        <v>3</v>
      </c>
      <c r="P165" s="5">
        <v>32</v>
      </c>
      <c r="Q165" s="5">
        <v>0</v>
      </c>
      <c r="R165" s="9">
        <v>0</v>
      </c>
      <c r="S165" s="8">
        <v>0</v>
      </c>
      <c r="T165" s="9">
        <v>0</v>
      </c>
    </row>
    <row r="166" spans="1:20" x14ac:dyDescent="0.2">
      <c r="A166" s="5" t="s">
        <v>427</v>
      </c>
      <c r="B166" s="5" t="s">
        <v>162</v>
      </c>
      <c r="C166" s="17" t="s">
        <v>663</v>
      </c>
      <c r="D166" s="7">
        <f t="shared" si="0"/>
        <v>6.7</v>
      </c>
      <c r="E166" s="8">
        <v>0</v>
      </c>
      <c r="F166" s="5">
        <v>0</v>
      </c>
      <c r="G166" s="5">
        <v>0</v>
      </c>
      <c r="H166" s="5">
        <v>0</v>
      </c>
      <c r="I166" s="5">
        <v>0</v>
      </c>
      <c r="J166" s="9">
        <v>0</v>
      </c>
      <c r="K166" s="8">
        <v>1</v>
      </c>
      <c r="L166" s="5">
        <v>2</v>
      </c>
      <c r="M166" s="5">
        <v>0</v>
      </c>
      <c r="N166" s="9">
        <v>0</v>
      </c>
      <c r="O166" s="8">
        <v>3</v>
      </c>
      <c r="P166" s="5">
        <v>35</v>
      </c>
      <c r="Q166" s="5">
        <v>0</v>
      </c>
      <c r="R166" s="9">
        <v>0</v>
      </c>
      <c r="S166" s="8">
        <v>0</v>
      </c>
      <c r="T166" s="9">
        <v>0</v>
      </c>
    </row>
    <row r="167" spans="1:20" x14ac:dyDescent="0.2">
      <c r="A167" s="5" t="s">
        <v>365</v>
      </c>
      <c r="B167" s="5" t="s">
        <v>162</v>
      </c>
      <c r="C167" s="17" t="s">
        <v>667</v>
      </c>
      <c r="D167" s="7">
        <f t="shared" si="0"/>
        <v>5</v>
      </c>
      <c r="E167" s="8">
        <v>0</v>
      </c>
      <c r="F167" s="5">
        <v>0</v>
      </c>
      <c r="G167" s="5">
        <v>0</v>
      </c>
      <c r="H167" s="5">
        <v>0</v>
      </c>
      <c r="I167" s="5">
        <v>0</v>
      </c>
      <c r="J167" s="9">
        <v>0</v>
      </c>
      <c r="K167" s="8">
        <v>1</v>
      </c>
      <c r="L167" s="5">
        <v>-6</v>
      </c>
      <c r="M167" s="5">
        <v>0</v>
      </c>
      <c r="N167" s="9">
        <v>0</v>
      </c>
      <c r="O167" s="8">
        <v>2</v>
      </c>
      <c r="P167" s="5">
        <v>36</v>
      </c>
      <c r="Q167" s="5">
        <v>0</v>
      </c>
      <c r="R167" s="9">
        <v>0</v>
      </c>
      <c r="S167" s="8">
        <v>0</v>
      </c>
      <c r="T167" s="9">
        <v>0</v>
      </c>
    </row>
    <row r="168" spans="1:20" x14ac:dyDescent="0.2">
      <c r="A168" s="5" t="s">
        <v>238</v>
      </c>
      <c r="B168" s="5" t="s">
        <v>162</v>
      </c>
      <c r="C168" s="17" t="s">
        <v>664</v>
      </c>
      <c r="D168" s="7">
        <f t="shared" si="0"/>
        <v>5.2</v>
      </c>
      <c r="E168" s="8">
        <v>0</v>
      </c>
      <c r="F168" s="5">
        <v>0</v>
      </c>
      <c r="G168" s="5">
        <v>0</v>
      </c>
      <c r="H168" s="5">
        <v>0</v>
      </c>
      <c r="I168" s="5">
        <v>0</v>
      </c>
      <c r="J168" s="9">
        <v>0</v>
      </c>
      <c r="K168" s="8">
        <v>0</v>
      </c>
      <c r="L168" s="5">
        <v>0</v>
      </c>
      <c r="M168" s="5">
        <v>0</v>
      </c>
      <c r="N168" s="9">
        <v>0</v>
      </c>
      <c r="O168" s="8">
        <v>3</v>
      </c>
      <c r="P168" s="5">
        <v>22</v>
      </c>
      <c r="Q168" s="5">
        <v>0</v>
      </c>
      <c r="R168" s="9">
        <v>0</v>
      </c>
      <c r="S168" s="8">
        <v>0</v>
      </c>
      <c r="T168" s="9">
        <v>0</v>
      </c>
    </row>
    <row r="169" spans="1:20" x14ac:dyDescent="0.2">
      <c r="A169" s="5" t="s">
        <v>165</v>
      </c>
      <c r="B169" s="5" t="s">
        <v>162</v>
      </c>
      <c r="C169" s="10" t="s">
        <v>662</v>
      </c>
      <c r="D169" s="7">
        <f t="shared" si="0"/>
        <v>6.7</v>
      </c>
      <c r="E169" s="8">
        <v>0</v>
      </c>
      <c r="F169" s="5">
        <v>0</v>
      </c>
      <c r="G169" s="5">
        <v>0</v>
      </c>
      <c r="H169" s="5">
        <v>0</v>
      </c>
      <c r="I169" s="5">
        <v>0</v>
      </c>
      <c r="J169" s="9">
        <v>0</v>
      </c>
      <c r="K169" s="8">
        <v>0</v>
      </c>
      <c r="L169" s="5">
        <v>0</v>
      </c>
      <c r="M169" s="5">
        <v>0</v>
      </c>
      <c r="N169" s="9">
        <v>0</v>
      </c>
      <c r="O169" s="8">
        <v>4</v>
      </c>
      <c r="P169" s="5">
        <v>27</v>
      </c>
      <c r="Q169" s="5">
        <v>0</v>
      </c>
      <c r="R169" s="9">
        <v>0</v>
      </c>
      <c r="S169" s="8">
        <v>0</v>
      </c>
      <c r="T169" s="9">
        <v>0</v>
      </c>
    </row>
    <row r="170" spans="1:20" x14ac:dyDescent="0.2">
      <c r="A170" s="5" t="s">
        <v>252</v>
      </c>
      <c r="B170" s="5" t="s">
        <v>162</v>
      </c>
      <c r="C170" s="17" t="s">
        <v>663</v>
      </c>
      <c r="D170" s="7">
        <f t="shared" si="0"/>
        <v>4.2</v>
      </c>
      <c r="E170" s="8">
        <v>0</v>
      </c>
      <c r="F170" s="5">
        <v>0</v>
      </c>
      <c r="G170" s="5">
        <v>0</v>
      </c>
      <c r="H170" s="5">
        <v>0</v>
      </c>
      <c r="I170" s="5">
        <v>0</v>
      </c>
      <c r="J170" s="9">
        <v>0</v>
      </c>
      <c r="K170" s="8">
        <v>0</v>
      </c>
      <c r="L170" s="5">
        <v>0</v>
      </c>
      <c r="M170" s="5">
        <v>0</v>
      </c>
      <c r="N170" s="9">
        <v>0</v>
      </c>
      <c r="O170" s="8">
        <v>2</v>
      </c>
      <c r="P170" s="5">
        <v>22</v>
      </c>
      <c r="Q170" s="5">
        <v>0</v>
      </c>
      <c r="R170" s="9">
        <v>0</v>
      </c>
      <c r="S170" s="8">
        <v>0</v>
      </c>
      <c r="T170" s="9">
        <v>0</v>
      </c>
    </row>
    <row r="171" spans="1:20" x14ac:dyDescent="0.2">
      <c r="A171" s="5" t="s">
        <v>253</v>
      </c>
      <c r="B171" s="5" t="s">
        <v>162</v>
      </c>
      <c r="C171" s="17" t="s">
        <v>661</v>
      </c>
      <c r="D171" s="7">
        <f t="shared" si="0"/>
        <v>4.0999999999999996</v>
      </c>
      <c r="E171" s="8">
        <v>0</v>
      </c>
      <c r="F171" s="5">
        <v>0</v>
      </c>
      <c r="G171" s="5">
        <v>0</v>
      </c>
      <c r="H171" s="5">
        <v>0</v>
      </c>
      <c r="I171" s="5">
        <v>0</v>
      </c>
      <c r="J171" s="9">
        <v>0</v>
      </c>
      <c r="K171" s="8">
        <v>0</v>
      </c>
      <c r="L171" s="5">
        <v>0</v>
      </c>
      <c r="M171" s="5">
        <v>0</v>
      </c>
      <c r="N171" s="9">
        <v>0</v>
      </c>
      <c r="O171" s="8">
        <v>2</v>
      </c>
      <c r="P171" s="5">
        <v>21</v>
      </c>
      <c r="Q171" s="5">
        <v>0</v>
      </c>
      <c r="R171" s="9">
        <v>0</v>
      </c>
      <c r="S171" s="8">
        <v>0</v>
      </c>
      <c r="T171" s="9">
        <v>0</v>
      </c>
    </row>
    <row r="172" spans="1:20" x14ac:dyDescent="0.2">
      <c r="A172" s="5" t="s">
        <v>180</v>
      </c>
      <c r="B172" s="5" t="s">
        <v>162</v>
      </c>
      <c r="C172" s="10" t="s">
        <v>659</v>
      </c>
      <c r="D172" s="7">
        <f t="shared" si="0"/>
        <v>6</v>
      </c>
      <c r="E172" s="8">
        <v>0</v>
      </c>
      <c r="F172" s="5">
        <v>0</v>
      </c>
      <c r="G172" s="5">
        <v>0</v>
      </c>
      <c r="H172" s="5">
        <v>0</v>
      </c>
      <c r="I172" s="5">
        <v>0</v>
      </c>
      <c r="J172" s="9">
        <v>0</v>
      </c>
      <c r="K172" s="8">
        <v>0</v>
      </c>
      <c r="L172" s="5">
        <v>0</v>
      </c>
      <c r="M172" s="5">
        <v>0</v>
      </c>
      <c r="N172" s="9">
        <v>0</v>
      </c>
      <c r="O172" s="8">
        <v>4</v>
      </c>
      <c r="P172" s="5">
        <v>20</v>
      </c>
      <c r="Q172" s="5">
        <v>0</v>
      </c>
      <c r="R172" s="9">
        <v>0</v>
      </c>
      <c r="S172" s="8">
        <v>0</v>
      </c>
      <c r="T172" s="9">
        <v>0</v>
      </c>
    </row>
    <row r="173" spans="1:20" x14ac:dyDescent="0.2">
      <c r="A173" s="5" t="s">
        <v>181</v>
      </c>
      <c r="B173" s="5" t="s">
        <v>162</v>
      </c>
      <c r="C173" s="17" t="s">
        <v>666</v>
      </c>
      <c r="D173" s="7">
        <f t="shared" si="0"/>
        <v>3.4000000000000004</v>
      </c>
      <c r="E173" s="8">
        <v>0</v>
      </c>
      <c r="F173" s="5">
        <v>0</v>
      </c>
      <c r="G173" s="5">
        <v>0</v>
      </c>
      <c r="H173" s="5">
        <v>0</v>
      </c>
      <c r="I173" s="5">
        <v>0</v>
      </c>
      <c r="J173" s="9">
        <v>0</v>
      </c>
      <c r="K173" s="8">
        <v>0</v>
      </c>
      <c r="L173" s="5">
        <v>0</v>
      </c>
      <c r="M173" s="5">
        <v>0</v>
      </c>
      <c r="N173" s="9">
        <v>0</v>
      </c>
      <c r="O173" s="8">
        <v>1</v>
      </c>
      <c r="P173" s="5">
        <v>24</v>
      </c>
      <c r="Q173" s="5">
        <v>0</v>
      </c>
      <c r="R173" s="9">
        <v>0</v>
      </c>
      <c r="S173" s="8">
        <v>0</v>
      </c>
      <c r="T173" s="9">
        <v>0</v>
      </c>
    </row>
    <row r="174" spans="1:20" x14ac:dyDescent="0.2">
      <c r="A174" s="5" t="s">
        <v>209</v>
      </c>
      <c r="B174" s="5" t="s">
        <v>162</v>
      </c>
      <c r="C174" s="17" t="s">
        <v>660</v>
      </c>
      <c r="D174" s="7">
        <f t="shared" si="0"/>
        <v>6.8</v>
      </c>
      <c r="E174" s="8">
        <v>0</v>
      </c>
      <c r="F174" s="5">
        <v>0</v>
      </c>
      <c r="G174" s="5">
        <v>0</v>
      </c>
      <c r="H174" s="5">
        <v>0</v>
      </c>
      <c r="I174" s="5">
        <v>0</v>
      </c>
      <c r="J174" s="9">
        <v>0</v>
      </c>
      <c r="K174" s="8">
        <v>1</v>
      </c>
      <c r="L174" s="5">
        <v>6</v>
      </c>
      <c r="M174" s="5">
        <v>0</v>
      </c>
      <c r="N174" s="9">
        <v>0</v>
      </c>
      <c r="O174" s="8">
        <v>4</v>
      </c>
      <c r="P174" s="5">
        <v>22</v>
      </c>
      <c r="Q174" s="5">
        <v>0</v>
      </c>
      <c r="R174" s="9">
        <v>0</v>
      </c>
      <c r="S174" s="8">
        <v>0</v>
      </c>
      <c r="T174" s="9">
        <v>0</v>
      </c>
    </row>
    <row r="175" spans="1:20" x14ac:dyDescent="0.2">
      <c r="A175" s="5" t="s">
        <v>194</v>
      </c>
      <c r="B175" s="5" t="s">
        <v>162</v>
      </c>
      <c r="C175" s="17" t="s">
        <v>672</v>
      </c>
      <c r="D175" s="7">
        <f t="shared" si="0"/>
        <v>5</v>
      </c>
      <c r="E175" s="8">
        <v>0</v>
      </c>
      <c r="F175" s="5">
        <v>0</v>
      </c>
      <c r="G175" s="5">
        <v>0</v>
      </c>
      <c r="H175" s="5">
        <v>0</v>
      </c>
      <c r="I175" s="5">
        <v>0</v>
      </c>
      <c r="J175" s="9">
        <v>0</v>
      </c>
      <c r="K175" s="8">
        <v>0</v>
      </c>
      <c r="L175" s="5">
        <v>0</v>
      </c>
      <c r="M175" s="5">
        <v>0</v>
      </c>
      <c r="N175" s="9">
        <v>0</v>
      </c>
      <c r="O175" s="8">
        <v>3</v>
      </c>
      <c r="P175" s="5">
        <v>20</v>
      </c>
      <c r="Q175" s="5">
        <v>0</v>
      </c>
      <c r="R175" s="9">
        <v>0</v>
      </c>
      <c r="S175" s="8">
        <v>0</v>
      </c>
      <c r="T175" s="9">
        <v>0</v>
      </c>
    </row>
    <row r="176" spans="1:20" x14ac:dyDescent="0.2">
      <c r="A176" s="5" t="s">
        <v>627</v>
      </c>
      <c r="B176" s="5" t="s">
        <v>162</v>
      </c>
      <c r="C176" s="10" t="s">
        <v>671</v>
      </c>
      <c r="D176" s="7">
        <f t="shared" si="0"/>
        <v>4.4000000000000004</v>
      </c>
      <c r="E176" s="8">
        <v>0</v>
      </c>
      <c r="F176" s="5">
        <v>0</v>
      </c>
      <c r="G176" s="5">
        <v>0</v>
      </c>
      <c r="H176" s="5">
        <v>0</v>
      </c>
      <c r="I176" s="5">
        <v>0</v>
      </c>
      <c r="J176" s="9">
        <v>0</v>
      </c>
      <c r="K176" s="8">
        <v>0</v>
      </c>
      <c r="L176" s="5">
        <v>0</v>
      </c>
      <c r="M176" s="5">
        <v>0</v>
      </c>
      <c r="N176" s="9">
        <v>0</v>
      </c>
      <c r="O176" s="8">
        <v>2</v>
      </c>
      <c r="P176" s="5">
        <v>24</v>
      </c>
      <c r="Q176" s="5">
        <v>0</v>
      </c>
      <c r="R176" s="9">
        <v>0</v>
      </c>
      <c r="S176" s="8">
        <v>0</v>
      </c>
      <c r="T176" s="9">
        <v>0</v>
      </c>
    </row>
    <row r="177" spans="1:20" x14ac:dyDescent="0.2">
      <c r="A177" s="5" t="s">
        <v>677</v>
      </c>
      <c r="B177" s="5" t="s">
        <v>162</v>
      </c>
      <c r="C177" s="10" t="s">
        <v>665</v>
      </c>
      <c r="D177" s="7">
        <f t="shared" si="0"/>
        <v>4.5</v>
      </c>
      <c r="E177" s="8">
        <v>0</v>
      </c>
      <c r="F177" s="5">
        <v>0</v>
      </c>
      <c r="G177" s="5">
        <v>0</v>
      </c>
      <c r="H177" s="5">
        <v>0</v>
      </c>
      <c r="I177" s="5">
        <v>0</v>
      </c>
      <c r="J177" s="9">
        <v>0</v>
      </c>
      <c r="K177" s="8">
        <v>0</v>
      </c>
      <c r="L177" s="5">
        <v>0</v>
      </c>
      <c r="M177" s="5">
        <v>0</v>
      </c>
      <c r="N177" s="9">
        <v>0</v>
      </c>
      <c r="O177" s="8">
        <v>2</v>
      </c>
      <c r="P177" s="5">
        <v>25</v>
      </c>
      <c r="Q177" s="5">
        <v>0</v>
      </c>
      <c r="R177" s="9">
        <v>0</v>
      </c>
      <c r="S177" s="8">
        <v>0</v>
      </c>
      <c r="T177" s="9">
        <v>0</v>
      </c>
    </row>
    <row r="178" spans="1:20" x14ac:dyDescent="0.2">
      <c r="A178" s="5" t="s">
        <v>267</v>
      </c>
      <c r="B178" s="5" t="s">
        <v>162</v>
      </c>
      <c r="C178" s="10" t="s">
        <v>668</v>
      </c>
      <c r="D178" s="7">
        <f t="shared" si="0"/>
        <v>4.6000000000000005</v>
      </c>
      <c r="E178" s="8">
        <v>0</v>
      </c>
      <c r="F178" s="5">
        <v>0</v>
      </c>
      <c r="G178" s="5">
        <v>0</v>
      </c>
      <c r="H178" s="5">
        <v>0</v>
      </c>
      <c r="I178" s="5">
        <v>0</v>
      </c>
      <c r="J178" s="9">
        <v>0</v>
      </c>
      <c r="K178" s="8">
        <v>2</v>
      </c>
      <c r="L178" s="5">
        <v>14</v>
      </c>
      <c r="M178" s="5">
        <v>0</v>
      </c>
      <c r="N178" s="9">
        <v>0</v>
      </c>
      <c r="O178" s="8">
        <v>2</v>
      </c>
      <c r="P178" s="5">
        <v>12</v>
      </c>
      <c r="Q178" s="5">
        <v>0</v>
      </c>
      <c r="R178" s="9">
        <v>0</v>
      </c>
      <c r="S178" s="8">
        <v>0</v>
      </c>
      <c r="T178" s="9">
        <v>0</v>
      </c>
    </row>
    <row r="179" spans="1:20" x14ac:dyDescent="0.2">
      <c r="A179" s="5" t="s">
        <v>560</v>
      </c>
      <c r="B179" s="5" t="s">
        <v>162</v>
      </c>
      <c r="C179" s="10" t="s">
        <v>671</v>
      </c>
      <c r="D179" s="7">
        <f t="shared" si="0"/>
        <v>5.3000000000000007</v>
      </c>
      <c r="E179" s="8">
        <v>0</v>
      </c>
      <c r="F179" s="5">
        <v>0</v>
      </c>
      <c r="G179" s="5">
        <v>0</v>
      </c>
      <c r="H179" s="5">
        <v>0</v>
      </c>
      <c r="I179" s="5">
        <v>0</v>
      </c>
      <c r="J179" s="9">
        <v>0</v>
      </c>
      <c r="K179" s="8">
        <v>0</v>
      </c>
      <c r="L179" s="5">
        <v>0</v>
      </c>
      <c r="M179" s="5">
        <v>0</v>
      </c>
      <c r="N179" s="9">
        <v>0</v>
      </c>
      <c r="O179" s="8">
        <v>3</v>
      </c>
      <c r="P179" s="5">
        <v>23</v>
      </c>
      <c r="Q179" s="5">
        <v>0</v>
      </c>
      <c r="R179" s="9">
        <v>0</v>
      </c>
      <c r="S179" s="8">
        <v>0</v>
      </c>
      <c r="T179" s="9">
        <v>0</v>
      </c>
    </row>
    <row r="180" spans="1:20" x14ac:dyDescent="0.2">
      <c r="A180" s="5" t="s">
        <v>201</v>
      </c>
      <c r="B180" s="5" t="s">
        <v>162</v>
      </c>
      <c r="C180" s="17" t="s">
        <v>670</v>
      </c>
      <c r="D180" s="7">
        <f t="shared" si="0"/>
        <v>4.3</v>
      </c>
      <c r="E180" s="8">
        <v>0</v>
      </c>
      <c r="F180" s="5">
        <v>0</v>
      </c>
      <c r="G180" s="5">
        <v>0</v>
      </c>
      <c r="H180" s="5">
        <v>0</v>
      </c>
      <c r="I180" s="5">
        <v>0</v>
      </c>
      <c r="J180" s="9">
        <v>0</v>
      </c>
      <c r="K180" s="8">
        <v>1</v>
      </c>
      <c r="L180" s="5">
        <v>13</v>
      </c>
      <c r="M180" s="5">
        <v>0</v>
      </c>
      <c r="N180" s="9">
        <v>0</v>
      </c>
      <c r="O180" s="8">
        <v>2</v>
      </c>
      <c r="P180" s="5">
        <v>10</v>
      </c>
      <c r="Q180" s="5">
        <v>0</v>
      </c>
      <c r="R180" s="9">
        <v>0</v>
      </c>
      <c r="S180" s="8">
        <v>0</v>
      </c>
      <c r="T180" s="9">
        <v>0</v>
      </c>
    </row>
    <row r="181" spans="1:20" x14ac:dyDescent="0.2">
      <c r="A181" s="5" t="s">
        <v>485</v>
      </c>
      <c r="B181" s="5" t="s">
        <v>162</v>
      </c>
      <c r="C181" s="10" t="s">
        <v>667</v>
      </c>
      <c r="D181" s="7">
        <f t="shared" si="0"/>
        <v>5.3000000000000007</v>
      </c>
      <c r="E181" s="8">
        <v>0</v>
      </c>
      <c r="F181" s="5">
        <v>0</v>
      </c>
      <c r="G181" s="5">
        <v>0</v>
      </c>
      <c r="H181" s="5">
        <v>0</v>
      </c>
      <c r="I181" s="5">
        <v>0</v>
      </c>
      <c r="J181" s="9">
        <v>0</v>
      </c>
      <c r="K181" s="8">
        <v>0</v>
      </c>
      <c r="L181" s="5">
        <v>0</v>
      </c>
      <c r="M181" s="5">
        <v>0</v>
      </c>
      <c r="N181" s="9">
        <v>0</v>
      </c>
      <c r="O181" s="8">
        <v>3</v>
      </c>
      <c r="P181" s="5">
        <v>23</v>
      </c>
      <c r="Q181" s="5">
        <v>0</v>
      </c>
      <c r="R181" s="9">
        <v>0</v>
      </c>
      <c r="S181" s="8">
        <v>0</v>
      </c>
      <c r="T181" s="9">
        <v>0</v>
      </c>
    </row>
    <row r="182" spans="1:20" x14ac:dyDescent="0.2">
      <c r="A182" s="5" t="s">
        <v>176</v>
      </c>
      <c r="B182" s="5" t="s">
        <v>162</v>
      </c>
      <c r="C182" s="10" t="s">
        <v>671</v>
      </c>
      <c r="D182" s="7">
        <f t="shared" si="0"/>
        <v>2.7</v>
      </c>
      <c r="E182" s="8">
        <v>0</v>
      </c>
      <c r="F182" s="5">
        <v>0</v>
      </c>
      <c r="G182" s="5">
        <v>0</v>
      </c>
      <c r="H182" s="5">
        <v>0</v>
      </c>
      <c r="I182" s="5">
        <v>0</v>
      </c>
      <c r="J182" s="9">
        <v>0</v>
      </c>
      <c r="K182" s="8">
        <v>0</v>
      </c>
      <c r="L182" s="5">
        <v>0</v>
      </c>
      <c r="M182" s="5">
        <v>0</v>
      </c>
      <c r="N182" s="9">
        <v>0</v>
      </c>
      <c r="O182" s="8">
        <v>1</v>
      </c>
      <c r="P182" s="5">
        <v>17</v>
      </c>
      <c r="Q182" s="5">
        <v>0</v>
      </c>
      <c r="R182" s="9">
        <v>0</v>
      </c>
      <c r="S182" s="8">
        <v>0</v>
      </c>
      <c r="T182" s="9">
        <v>0</v>
      </c>
    </row>
    <row r="183" spans="1:20" x14ac:dyDescent="0.2">
      <c r="A183" s="5" t="s">
        <v>213</v>
      </c>
      <c r="B183" s="5" t="s">
        <v>162</v>
      </c>
      <c r="C183" s="17" t="s">
        <v>665</v>
      </c>
      <c r="D183" s="7">
        <f t="shared" si="0"/>
        <v>3.2</v>
      </c>
      <c r="E183" s="8">
        <v>0</v>
      </c>
      <c r="F183" s="5">
        <v>0</v>
      </c>
      <c r="G183" s="5">
        <v>0</v>
      </c>
      <c r="H183" s="5">
        <v>0</v>
      </c>
      <c r="I183" s="5">
        <v>0</v>
      </c>
      <c r="J183" s="9">
        <v>0</v>
      </c>
      <c r="K183" s="8">
        <v>1</v>
      </c>
      <c r="L183" s="5">
        <v>-6</v>
      </c>
      <c r="M183" s="5">
        <v>0</v>
      </c>
      <c r="N183" s="9">
        <v>0</v>
      </c>
      <c r="O183" s="8">
        <v>2</v>
      </c>
      <c r="P183" s="5">
        <v>18</v>
      </c>
      <c r="Q183" s="5">
        <v>0</v>
      </c>
      <c r="R183" s="9">
        <v>0</v>
      </c>
      <c r="S183" s="8">
        <v>0</v>
      </c>
      <c r="T183" s="9">
        <v>0</v>
      </c>
    </row>
    <row r="184" spans="1:20" x14ac:dyDescent="0.2">
      <c r="A184" s="5" t="s">
        <v>517</v>
      </c>
      <c r="B184" s="5" t="s">
        <v>162</v>
      </c>
      <c r="C184" s="10" t="s">
        <v>663</v>
      </c>
      <c r="D184" s="7">
        <f t="shared" si="0"/>
        <v>3.2</v>
      </c>
      <c r="E184" s="8">
        <v>0</v>
      </c>
      <c r="F184" s="5">
        <v>0</v>
      </c>
      <c r="G184" s="5">
        <v>0</v>
      </c>
      <c r="H184" s="5">
        <v>0</v>
      </c>
      <c r="I184" s="5">
        <v>0</v>
      </c>
      <c r="J184" s="9">
        <v>0</v>
      </c>
      <c r="K184" s="8">
        <v>0</v>
      </c>
      <c r="L184" s="5">
        <v>0</v>
      </c>
      <c r="M184" s="5">
        <v>0</v>
      </c>
      <c r="N184" s="9">
        <v>0</v>
      </c>
      <c r="O184" s="8">
        <v>2</v>
      </c>
      <c r="P184" s="5">
        <v>12</v>
      </c>
      <c r="Q184" s="5">
        <v>0</v>
      </c>
      <c r="R184" s="9">
        <v>0</v>
      </c>
      <c r="S184" s="8">
        <v>0</v>
      </c>
      <c r="T184" s="9">
        <v>0</v>
      </c>
    </row>
    <row r="185" spans="1:20" x14ac:dyDescent="0.2">
      <c r="A185" s="5" t="s">
        <v>678</v>
      </c>
      <c r="B185" s="5" t="s">
        <v>162</v>
      </c>
      <c r="C185" s="17" t="s">
        <v>661</v>
      </c>
      <c r="D185" s="7">
        <f t="shared" si="0"/>
        <v>2.2000000000000002</v>
      </c>
      <c r="E185" s="8">
        <v>0</v>
      </c>
      <c r="F185" s="5">
        <v>0</v>
      </c>
      <c r="G185" s="5">
        <v>0</v>
      </c>
      <c r="H185" s="5">
        <v>0</v>
      </c>
      <c r="I185" s="5">
        <v>0</v>
      </c>
      <c r="J185" s="9">
        <v>0</v>
      </c>
      <c r="K185" s="8">
        <v>0</v>
      </c>
      <c r="L185" s="5">
        <v>0</v>
      </c>
      <c r="M185" s="5">
        <v>0</v>
      </c>
      <c r="N185" s="9">
        <v>0</v>
      </c>
      <c r="O185" s="8">
        <v>1</v>
      </c>
      <c r="P185" s="5">
        <v>12</v>
      </c>
      <c r="Q185" s="5">
        <v>0</v>
      </c>
      <c r="R185" s="9">
        <v>0</v>
      </c>
      <c r="S185" s="8">
        <v>0</v>
      </c>
      <c r="T185" s="9">
        <v>0</v>
      </c>
    </row>
    <row r="186" spans="1:20" x14ac:dyDescent="0.2">
      <c r="A186" s="5" t="s">
        <v>378</v>
      </c>
      <c r="B186" s="5" t="s">
        <v>162</v>
      </c>
      <c r="C186" s="10" t="s">
        <v>668</v>
      </c>
      <c r="D186" s="7">
        <f t="shared" si="0"/>
        <v>3.2</v>
      </c>
      <c r="E186" s="8">
        <v>0</v>
      </c>
      <c r="F186" s="5">
        <v>0</v>
      </c>
      <c r="G186" s="5">
        <v>0</v>
      </c>
      <c r="H186" s="5">
        <v>0</v>
      </c>
      <c r="I186" s="5">
        <v>0</v>
      </c>
      <c r="J186" s="9">
        <v>0</v>
      </c>
      <c r="K186" s="8">
        <v>0</v>
      </c>
      <c r="L186" s="5">
        <v>0</v>
      </c>
      <c r="M186" s="5">
        <v>0</v>
      </c>
      <c r="N186" s="9">
        <v>0</v>
      </c>
      <c r="O186" s="8">
        <v>2</v>
      </c>
      <c r="P186" s="5">
        <v>12</v>
      </c>
      <c r="Q186" s="5">
        <v>0</v>
      </c>
      <c r="R186" s="9">
        <v>0</v>
      </c>
      <c r="S186" s="8">
        <v>0</v>
      </c>
      <c r="T186" s="9">
        <v>0</v>
      </c>
    </row>
    <row r="187" spans="1:20" x14ac:dyDescent="0.2">
      <c r="A187" s="5" t="s">
        <v>214</v>
      </c>
      <c r="B187" s="5" t="s">
        <v>162</v>
      </c>
      <c r="C187" s="17" t="s">
        <v>672</v>
      </c>
      <c r="D187" s="7">
        <f t="shared" si="0"/>
        <v>3.6</v>
      </c>
      <c r="E187" s="8">
        <v>0</v>
      </c>
      <c r="F187" s="5">
        <v>0</v>
      </c>
      <c r="G187" s="5">
        <v>0</v>
      </c>
      <c r="H187" s="5">
        <v>0</v>
      </c>
      <c r="I187" s="5">
        <v>0</v>
      </c>
      <c r="J187" s="9">
        <v>0</v>
      </c>
      <c r="K187" s="8">
        <v>0</v>
      </c>
      <c r="L187" s="5">
        <v>0</v>
      </c>
      <c r="M187" s="5">
        <v>0</v>
      </c>
      <c r="N187" s="9">
        <v>0</v>
      </c>
      <c r="O187" s="8">
        <v>2</v>
      </c>
      <c r="P187" s="5">
        <v>16</v>
      </c>
      <c r="Q187" s="5">
        <v>0</v>
      </c>
      <c r="R187" s="9">
        <v>0</v>
      </c>
      <c r="S187" s="8">
        <v>0</v>
      </c>
      <c r="T187" s="9">
        <v>0</v>
      </c>
    </row>
    <row r="188" spans="1:20" x14ac:dyDescent="0.2">
      <c r="A188" s="5" t="s">
        <v>513</v>
      </c>
      <c r="B188" s="5" t="s">
        <v>162</v>
      </c>
      <c r="C188" s="10" t="s">
        <v>671</v>
      </c>
      <c r="D188" s="7">
        <f t="shared" si="0"/>
        <v>2.1</v>
      </c>
      <c r="E188" s="8">
        <v>0</v>
      </c>
      <c r="F188" s="5">
        <v>0</v>
      </c>
      <c r="G188" s="5">
        <v>0</v>
      </c>
      <c r="H188" s="5">
        <v>0</v>
      </c>
      <c r="I188" s="5">
        <v>0</v>
      </c>
      <c r="J188" s="9">
        <v>0</v>
      </c>
      <c r="K188" s="8">
        <v>0</v>
      </c>
      <c r="L188" s="5">
        <v>0</v>
      </c>
      <c r="M188" s="5">
        <v>0</v>
      </c>
      <c r="N188" s="9">
        <v>0</v>
      </c>
      <c r="O188" s="8">
        <v>1</v>
      </c>
      <c r="P188" s="5">
        <v>11</v>
      </c>
      <c r="Q188" s="5">
        <v>0</v>
      </c>
      <c r="R188" s="9">
        <v>0</v>
      </c>
      <c r="S188" s="8">
        <v>0</v>
      </c>
      <c r="T188" s="9">
        <v>0</v>
      </c>
    </row>
    <row r="189" spans="1:20" x14ac:dyDescent="0.2">
      <c r="A189" s="5" t="s">
        <v>369</v>
      </c>
      <c r="B189" s="5" t="s">
        <v>162</v>
      </c>
      <c r="C189" s="10" t="s">
        <v>665</v>
      </c>
      <c r="D189" s="7">
        <f t="shared" si="0"/>
        <v>2.2000000000000002</v>
      </c>
      <c r="E189" s="8">
        <v>0</v>
      </c>
      <c r="F189" s="5">
        <v>0</v>
      </c>
      <c r="G189" s="5">
        <v>0</v>
      </c>
      <c r="H189" s="5">
        <v>0</v>
      </c>
      <c r="I189" s="5">
        <v>0</v>
      </c>
      <c r="J189" s="9">
        <v>0</v>
      </c>
      <c r="K189" s="8">
        <v>0</v>
      </c>
      <c r="L189" s="5">
        <v>0</v>
      </c>
      <c r="M189" s="5">
        <v>0</v>
      </c>
      <c r="N189" s="9">
        <v>0</v>
      </c>
      <c r="O189" s="8">
        <v>1</v>
      </c>
      <c r="P189" s="5">
        <v>12</v>
      </c>
      <c r="Q189" s="5">
        <v>0</v>
      </c>
      <c r="R189" s="9">
        <v>0</v>
      </c>
      <c r="S189" s="8">
        <v>0</v>
      </c>
      <c r="T189" s="9">
        <v>0</v>
      </c>
    </row>
    <row r="190" spans="1:20" x14ac:dyDescent="0.2">
      <c r="A190" s="5" t="s">
        <v>254</v>
      </c>
      <c r="B190" s="5" t="s">
        <v>162</v>
      </c>
      <c r="C190" s="10" t="s">
        <v>669</v>
      </c>
      <c r="D190" s="7">
        <f t="shared" si="0"/>
        <v>3.2</v>
      </c>
      <c r="E190" s="8">
        <v>0</v>
      </c>
      <c r="F190" s="5">
        <v>0</v>
      </c>
      <c r="G190" s="5">
        <v>0</v>
      </c>
      <c r="H190" s="5">
        <v>0</v>
      </c>
      <c r="I190" s="5">
        <v>0</v>
      </c>
      <c r="J190" s="9">
        <v>0</v>
      </c>
      <c r="K190" s="8">
        <v>0</v>
      </c>
      <c r="L190" s="5">
        <v>0</v>
      </c>
      <c r="M190" s="5">
        <v>0</v>
      </c>
      <c r="N190" s="9">
        <v>0</v>
      </c>
      <c r="O190" s="8">
        <v>2</v>
      </c>
      <c r="P190" s="5">
        <v>12</v>
      </c>
      <c r="Q190" s="5">
        <v>0</v>
      </c>
      <c r="R190" s="9">
        <v>0</v>
      </c>
      <c r="S190" s="8">
        <v>0</v>
      </c>
      <c r="T190" s="9">
        <v>0</v>
      </c>
    </row>
    <row r="191" spans="1:20" x14ac:dyDescent="0.2">
      <c r="A191" s="5" t="s">
        <v>559</v>
      </c>
      <c r="B191" s="5" t="s">
        <v>162</v>
      </c>
      <c r="C191" s="17" t="s">
        <v>659</v>
      </c>
      <c r="D191" s="7">
        <f t="shared" si="0"/>
        <v>2</v>
      </c>
      <c r="E191" s="8">
        <v>0</v>
      </c>
      <c r="F191" s="5">
        <v>0</v>
      </c>
      <c r="G191" s="5">
        <v>0</v>
      </c>
      <c r="H191" s="5">
        <v>0</v>
      </c>
      <c r="I191" s="5">
        <v>0</v>
      </c>
      <c r="J191" s="9">
        <v>0</v>
      </c>
      <c r="K191" s="8">
        <v>0</v>
      </c>
      <c r="L191" s="5">
        <v>0</v>
      </c>
      <c r="M191" s="5">
        <v>0</v>
      </c>
      <c r="N191" s="9">
        <v>0</v>
      </c>
      <c r="O191" s="8">
        <v>1</v>
      </c>
      <c r="P191" s="5">
        <v>10</v>
      </c>
      <c r="Q191" s="5">
        <v>0</v>
      </c>
      <c r="R191" s="9">
        <v>0</v>
      </c>
      <c r="S191" s="8">
        <v>0</v>
      </c>
      <c r="T191" s="9">
        <v>0</v>
      </c>
    </row>
    <row r="192" spans="1:20" x14ac:dyDescent="0.2">
      <c r="A192" s="5" t="s">
        <v>384</v>
      </c>
      <c r="B192" s="5" t="s">
        <v>162</v>
      </c>
      <c r="C192" s="10" t="s">
        <v>663</v>
      </c>
      <c r="D192" s="7">
        <f t="shared" si="0"/>
        <v>3.2</v>
      </c>
      <c r="E192" s="8">
        <v>0</v>
      </c>
      <c r="F192" s="5">
        <v>0</v>
      </c>
      <c r="G192" s="5">
        <v>0</v>
      </c>
      <c r="H192" s="5">
        <v>0</v>
      </c>
      <c r="I192" s="5">
        <v>0</v>
      </c>
      <c r="J192" s="9">
        <v>0</v>
      </c>
      <c r="K192" s="8">
        <v>0</v>
      </c>
      <c r="L192" s="5">
        <v>0</v>
      </c>
      <c r="M192" s="5">
        <v>0</v>
      </c>
      <c r="N192" s="9">
        <v>0</v>
      </c>
      <c r="O192" s="8">
        <v>3</v>
      </c>
      <c r="P192" s="5">
        <v>22</v>
      </c>
      <c r="Q192" s="5">
        <v>0</v>
      </c>
      <c r="R192" s="9">
        <v>0</v>
      </c>
      <c r="S192" s="8">
        <v>1</v>
      </c>
      <c r="T192" s="9">
        <v>0</v>
      </c>
    </row>
    <row r="193" spans="1:20" x14ac:dyDescent="0.2">
      <c r="A193" s="5" t="s">
        <v>191</v>
      </c>
      <c r="B193" s="5" t="s">
        <v>162</v>
      </c>
      <c r="C193" s="10" t="s">
        <v>666</v>
      </c>
      <c r="D193" s="7">
        <f t="shared" si="0"/>
        <v>2.1</v>
      </c>
      <c r="E193" s="8">
        <v>0</v>
      </c>
      <c r="F193" s="5">
        <v>0</v>
      </c>
      <c r="G193" s="5">
        <v>0</v>
      </c>
      <c r="H193" s="5">
        <v>0</v>
      </c>
      <c r="I193" s="5">
        <v>0</v>
      </c>
      <c r="J193" s="9">
        <v>0</v>
      </c>
      <c r="K193" s="8">
        <v>0</v>
      </c>
      <c r="L193" s="5">
        <v>0</v>
      </c>
      <c r="M193" s="5">
        <v>0</v>
      </c>
      <c r="N193" s="9">
        <v>0</v>
      </c>
      <c r="O193" s="8">
        <v>1</v>
      </c>
      <c r="P193" s="5">
        <v>11</v>
      </c>
      <c r="Q193" s="5">
        <v>0</v>
      </c>
      <c r="R193" s="9">
        <v>0</v>
      </c>
      <c r="S193" s="8">
        <v>0</v>
      </c>
      <c r="T193" s="9">
        <v>0</v>
      </c>
    </row>
    <row r="194" spans="1:20" x14ac:dyDescent="0.2">
      <c r="A194" s="5" t="s">
        <v>481</v>
      </c>
      <c r="B194" s="5" t="s">
        <v>162</v>
      </c>
      <c r="C194" s="17" t="s">
        <v>666</v>
      </c>
      <c r="D194" s="7">
        <f t="shared" si="0"/>
        <v>3.9000000000000004</v>
      </c>
      <c r="E194" s="8">
        <v>0</v>
      </c>
      <c r="F194" s="5">
        <v>0</v>
      </c>
      <c r="G194" s="5">
        <v>0</v>
      </c>
      <c r="H194" s="5">
        <v>0</v>
      </c>
      <c r="I194" s="5">
        <v>0</v>
      </c>
      <c r="J194" s="9">
        <v>0</v>
      </c>
      <c r="K194" s="8">
        <v>0</v>
      </c>
      <c r="L194" s="5">
        <v>0</v>
      </c>
      <c r="M194" s="5">
        <v>0</v>
      </c>
      <c r="N194" s="9">
        <v>0</v>
      </c>
      <c r="O194" s="8">
        <v>2</v>
      </c>
      <c r="P194" s="5">
        <v>19</v>
      </c>
      <c r="Q194" s="5">
        <v>0</v>
      </c>
      <c r="R194" s="9">
        <v>0</v>
      </c>
      <c r="S194" s="8">
        <v>0</v>
      </c>
      <c r="T194" s="9">
        <v>0</v>
      </c>
    </row>
    <row r="195" spans="1:20" x14ac:dyDescent="0.2">
      <c r="A195" s="5" t="s">
        <v>247</v>
      </c>
      <c r="B195" s="5" t="s">
        <v>162</v>
      </c>
      <c r="C195" s="17" t="s">
        <v>660</v>
      </c>
      <c r="D195" s="7">
        <f t="shared" si="0"/>
        <v>1.7000000000000002</v>
      </c>
      <c r="E195" s="8">
        <v>0</v>
      </c>
      <c r="F195" s="5">
        <v>0</v>
      </c>
      <c r="G195" s="5">
        <v>0</v>
      </c>
      <c r="H195" s="5">
        <v>0</v>
      </c>
      <c r="I195" s="5">
        <v>0</v>
      </c>
      <c r="J195" s="9">
        <v>0</v>
      </c>
      <c r="K195" s="8">
        <v>1</v>
      </c>
      <c r="L195" s="5">
        <v>17</v>
      </c>
      <c r="M195" s="5">
        <v>0</v>
      </c>
      <c r="N195" s="9">
        <v>0</v>
      </c>
      <c r="O195" s="8">
        <v>0</v>
      </c>
      <c r="P195" s="5">
        <v>0</v>
      </c>
      <c r="Q195" s="5">
        <v>0</v>
      </c>
      <c r="R195" s="9">
        <v>0</v>
      </c>
      <c r="S195" s="8">
        <v>0</v>
      </c>
      <c r="T195" s="9">
        <v>0</v>
      </c>
    </row>
    <row r="196" spans="1:20" x14ac:dyDescent="0.2">
      <c r="A196" s="5" t="s">
        <v>361</v>
      </c>
      <c r="B196" s="5" t="s">
        <v>162</v>
      </c>
      <c r="C196" s="17" t="s">
        <v>670</v>
      </c>
      <c r="D196" s="7">
        <f t="shared" si="0"/>
        <v>3.2</v>
      </c>
      <c r="E196" s="8">
        <v>0</v>
      </c>
      <c r="F196" s="5">
        <v>0</v>
      </c>
      <c r="G196" s="5">
        <v>0</v>
      </c>
      <c r="H196" s="5">
        <v>0</v>
      </c>
      <c r="I196" s="5">
        <v>0</v>
      </c>
      <c r="J196" s="9">
        <v>0</v>
      </c>
      <c r="K196" s="8">
        <v>0</v>
      </c>
      <c r="L196" s="5">
        <v>0</v>
      </c>
      <c r="M196" s="5">
        <v>0</v>
      </c>
      <c r="N196" s="9">
        <v>0</v>
      </c>
      <c r="O196" s="8">
        <v>2</v>
      </c>
      <c r="P196" s="5">
        <v>12</v>
      </c>
      <c r="Q196" s="5">
        <v>0</v>
      </c>
      <c r="R196" s="9">
        <v>0</v>
      </c>
      <c r="S196" s="8">
        <v>0</v>
      </c>
      <c r="T196" s="9">
        <v>0</v>
      </c>
    </row>
    <row r="197" spans="1:20" x14ac:dyDescent="0.2">
      <c r="A197" s="5" t="s">
        <v>387</v>
      </c>
      <c r="B197" s="5" t="s">
        <v>162</v>
      </c>
      <c r="C197" s="17" t="s">
        <v>671</v>
      </c>
      <c r="D197" s="7">
        <f t="shared" si="0"/>
        <v>1.8</v>
      </c>
      <c r="E197" s="8">
        <v>0</v>
      </c>
      <c r="F197" s="5">
        <v>0</v>
      </c>
      <c r="G197" s="5">
        <v>0</v>
      </c>
      <c r="H197" s="5">
        <v>0</v>
      </c>
      <c r="I197" s="5">
        <v>0</v>
      </c>
      <c r="J197" s="9">
        <v>0</v>
      </c>
      <c r="K197" s="8">
        <v>0</v>
      </c>
      <c r="L197" s="5">
        <v>0</v>
      </c>
      <c r="M197" s="5">
        <v>0</v>
      </c>
      <c r="N197" s="9">
        <v>0</v>
      </c>
      <c r="O197" s="8">
        <v>1</v>
      </c>
      <c r="P197" s="5">
        <v>8</v>
      </c>
      <c r="Q197" s="5">
        <v>0</v>
      </c>
      <c r="R197" s="9">
        <v>0</v>
      </c>
      <c r="S197" s="8">
        <v>0</v>
      </c>
      <c r="T197" s="9">
        <v>0</v>
      </c>
    </row>
    <row r="198" spans="1:20" x14ac:dyDescent="0.2">
      <c r="A198" s="5" t="s">
        <v>182</v>
      </c>
      <c r="B198" s="5" t="s">
        <v>162</v>
      </c>
      <c r="C198" s="17" t="s">
        <v>668</v>
      </c>
      <c r="D198" s="7">
        <f t="shared" si="0"/>
        <v>1.8</v>
      </c>
      <c r="E198" s="8">
        <v>0</v>
      </c>
      <c r="F198" s="5">
        <v>0</v>
      </c>
      <c r="G198" s="5">
        <v>0</v>
      </c>
      <c r="H198" s="5">
        <v>0</v>
      </c>
      <c r="I198" s="5">
        <v>0</v>
      </c>
      <c r="J198" s="9">
        <v>0</v>
      </c>
      <c r="K198" s="8">
        <v>0</v>
      </c>
      <c r="L198" s="5">
        <v>0</v>
      </c>
      <c r="M198" s="5">
        <v>0</v>
      </c>
      <c r="N198" s="9">
        <v>0</v>
      </c>
      <c r="O198" s="8">
        <v>1</v>
      </c>
      <c r="P198" s="5">
        <v>8</v>
      </c>
      <c r="Q198" s="5">
        <v>0</v>
      </c>
      <c r="R198" s="9">
        <v>0</v>
      </c>
      <c r="S198" s="8">
        <v>0</v>
      </c>
      <c r="T198" s="9">
        <v>0</v>
      </c>
    </row>
    <row r="199" spans="1:20" x14ac:dyDescent="0.2">
      <c r="A199" s="5" t="s">
        <v>359</v>
      </c>
      <c r="B199" s="5" t="s">
        <v>162</v>
      </c>
      <c r="C199" s="10" t="s">
        <v>663</v>
      </c>
      <c r="D199" s="7">
        <f t="shared" si="0"/>
        <v>1.7000000000000002</v>
      </c>
      <c r="E199" s="8">
        <v>0</v>
      </c>
      <c r="F199" s="5">
        <v>0</v>
      </c>
      <c r="G199" s="5">
        <v>0</v>
      </c>
      <c r="H199" s="5">
        <v>0</v>
      </c>
      <c r="I199" s="5">
        <v>0</v>
      </c>
      <c r="J199" s="9">
        <v>0</v>
      </c>
      <c r="K199" s="8">
        <v>0</v>
      </c>
      <c r="L199" s="5">
        <v>0</v>
      </c>
      <c r="M199" s="5">
        <v>0</v>
      </c>
      <c r="N199" s="9">
        <v>0</v>
      </c>
      <c r="O199" s="8">
        <v>1</v>
      </c>
      <c r="P199" s="5">
        <v>7</v>
      </c>
      <c r="Q199" s="5">
        <v>0</v>
      </c>
      <c r="R199" s="9">
        <v>0</v>
      </c>
      <c r="S199" s="8">
        <v>0</v>
      </c>
      <c r="T199" s="9">
        <v>0</v>
      </c>
    </row>
    <row r="200" spans="1:20" x14ac:dyDescent="0.2">
      <c r="A200" s="5" t="s">
        <v>258</v>
      </c>
      <c r="B200" s="5" t="s">
        <v>162</v>
      </c>
      <c r="C200" s="17" t="s">
        <v>661</v>
      </c>
      <c r="D200" s="7">
        <f t="shared" si="0"/>
        <v>0.7</v>
      </c>
      <c r="E200" s="8">
        <v>0</v>
      </c>
      <c r="F200" s="5">
        <v>0</v>
      </c>
      <c r="G200" s="5">
        <v>0</v>
      </c>
      <c r="H200" s="5">
        <v>0</v>
      </c>
      <c r="I200" s="5">
        <v>0</v>
      </c>
      <c r="J200" s="9">
        <v>0</v>
      </c>
      <c r="K200" s="8">
        <v>0</v>
      </c>
      <c r="L200" s="5">
        <v>0</v>
      </c>
      <c r="M200" s="5">
        <v>0</v>
      </c>
      <c r="N200" s="9">
        <v>0</v>
      </c>
      <c r="O200" s="8">
        <v>1</v>
      </c>
      <c r="P200" s="5">
        <v>-3</v>
      </c>
      <c r="Q200" s="5">
        <v>0</v>
      </c>
      <c r="R200" s="9">
        <v>0</v>
      </c>
      <c r="S200" s="8">
        <v>0</v>
      </c>
      <c r="T200" s="9">
        <v>0</v>
      </c>
    </row>
    <row r="201" spans="1:20" x14ac:dyDescent="0.2">
      <c r="A201" s="5" t="s">
        <v>240</v>
      </c>
      <c r="B201" s="5" t="s">
        <v>162</v>
      </c>
      <c r="C201" s="10" t="s">
        <v>662</v>
      </c>
      <c r="D201" s="7">
        <f t="shared" si="0"/>
        <v>-0.2</v>
      </c>
      <c r="E201" s="8">
        <v>0</v>
      </c>
      <c r="F201" s="5">
        <v>0</v>
      </c>
      <c r="G201" s="5">
        <v>0</v>
      </c>
      <c r="H201" s="5">
        <v>0</v>
      </c>
      <c r="I201" s="5">
        <v>0</v>
      </c>
      <c r="J201" s="9">
        <v>0</v>
      </c>
      <c r="K201" s="8">
        <v>1</v>
      </c>
      <c r="L201" s="5">
        <v>-2</v>
      </c>
      <c r="M201" s="5">
        <v>0</v>
      </c>
      <c r="N201" s="9">
        <v>0</v>
      </c>
      <c r="O201" s="8">
        <v>0</v>
      </c>
      <c r="P201" s="5">
        <v>0</v>
      </c>
      <c r="Q201" s="5">
        <v>0</v>
      </c>
      <c r="R201" s="9">
        <v>0</v>
      </c>
      <c r="S201" s="8">
        <v>0</v>
      </c>
      <c r="T201" s="9">
        <v>0</v>
      </c>
    </row>
    <row r="202" spans="1:20" x14ac:dyDescent="0.2">
      <c r="A202" s="5" t="s">
        <v>679</v>
      </c>
      <c r="B202" s="5" t="s">
        <v>162</v>
      </c>
      <c r="C202" s="10" t="s">
        <v>661</v>
      </c>
      <c r="D202" s="7">
        <f t="shared" si="0"/>
        <v>1.7000000000000002</v>
      </c>
      <c r="E202" s="8">
        <v>0</v>
      </c>
      <c r="F202" s="5">
        <v>0</v>
      </c>
      <c r="G202" s="5">
        <v>0</v>
      </c>
      <c r="H202" s="5">
        <v>0</v>
      </c>
      <c r="I202" s="5">
        <v>0</v>
      </c>
      <c r="J202" s="9">
        <v>0</v>
      </c>
      <c r="K202" s="8">
        <v>0</v>
      </c>
      <c r="L202" s="5">
        <v>0</v>
      </c>
      <c r="M202" s="5">
        <v>0</v>
      </c>
      <c r="N202" s="9">
        <v>0</v>
      </c>
      <c r="O202" s="8">
        <v>1</v>
      </c>
      <c r="P202" s="5">
        <v>7</v>
      </c>
      <c r="Q202" s="5">
        <v>0</v>
      </c>
      <c r="R202" s="9">
        <v>0</v>
      </c>
      <c r="S202" s="8">
        <v>0</v>
      </c>
      <c r="T202" s="9">
        <v>0</v>
      </c>
    </row>
    <row r="203" spans="1:20" x14ac:dyDescent="0.2">
      <c r="A203" s="5" t="s">
        <v>346</v>
      </c>
      <c r="B203" s="5" t="s">
        <v>162</v>
      </c>
      <c r="C203" s="17" t="s">
        <v>663</v>
      </c>
      <c r="D203" s="7">
        <f t="shared" si="0"/>
        <v>1.7000000000000002</v>
      </c>
      <c r="E203" s="8">
        <v>0</v>
      </c>
      <c r="F203" s="5">
        <v>0</v>
      </c>
      <c r="G203" s="5">
        <v>0</v>
      </c>
      <c r="H203" s="5">
        <v>0</v>
      </c>
      <c r="I203" s="5">
        <v>0</v>
      </c>
      <c r="J203" s="9">
        <v>0</v>
      </c>
      <c r="K203" s="8">
        <v>0</v>
      </c>
      <c r="L203" s="5">
        <v>0</v>
      </c>
      <c r="M203" s="5">
        <v>0</v>
      </c>
      <c r="N203" s="9">
        <v>0</v>
      </c>
      <c r="O203" s="8">
        <v>1</v>
      </c>
      <c r="P203" s="5">
        <v>7</v>
      </c>
      <c r="Q203" s="5">
        <v>0</v>
      </c>
      <c r="R203" s="9">
        <v>0</v>
      </c>
      <c r="S203" s="8">
        <v>0</v>
      </c>
      <c r="T203" s="9">
        <v>0</v>
      </c>
    </row>
    <row r="204" spans="1:20" x14ac:dyDescent="0.2">
      <c r="A204" s="5" t="s">
        <v>582</v>
      </c>
      <c r="B204" s="5" t="s">
        <v>162</v>
      </c>
      <c r="C204" s="17" t="s">
        <v>668</v>
      </c>
      <c r="D204" s="7">
        <f t="shared" si="0"/>
        <v>2.5</v>
      </c>
      <c r="E204" s="8">
        <v>0</v>
      </c>
      <c r="F204" s="5">
        <v>0</v>
      </c>
      <c r="G204" s="5">
        <v>0</v>
      </c>
      <c r="H204" s="5">
        <v>0</v>
      </c>
      <c r="I204" s="5">
        <v>0</v>
      </c>
      <c r="J204" s="9">
        <v>0</v>
      </c>
      <c r="K204" s="8">
        <v>0</v>
      </c>
      <c r="L204" s="5">
        <v>0</v>
      </c>
      <c r="M204" s="5">
        <v>0</v>
      </c>
      <c r="N204" s="9">
        <v>0</v>
      </c>
      <c r="O204" s="8">
        <v>2</v>
      </c>
      <c r="P204" s="5">
        <v>5</v>
      </c>
      <c r="Q204" s="5">
        <v>0</v>
      </c>
      <c r="R204" s="9">
        <v>0</v>
      </c>
      <c r="S204" s="8">
        <v>0</v>
      </c>
      <c r="T204" s="9">
        <v>0</v>
      </c>
    </row>
    <row r="205" spans="1:20" x14ac:dyDescent="0.2">
      <c r="A205" s="5" t="s">
        <v>242</v>
      </c>
      <c r="B205" s="5" t="s">
        <v>162</v>
      </c>
      <c r="C205" s="10" t="s">
        <v>670</v>
      </c>
      <c r="D205" s="7">
        <f t="shared" si="0"/>
        <v>1.6</v>
      </c>
      <c r="E205" s="8">
        <v>0</v>
      </c>
      <c r="F205" s="5">
        <v>0</v>
      </c>
      <c r="G205" s="5">
        <v>0</v>
      </c>
      <c r="H205" s="5">
        <v>0</v>
      </c>
      <c r="I205" s="5">
        <v>0</v>
      </c>
      <c r="J205" s="9">
        <v>0</v>
      </c>
      <c r="K205" s="8">
        <v>0</v>
      </c>
      <c r="L205" s="5">
        <v>0</v>
      </c>
      <c r="M205" s="5">
        <v>0</v>
      </c>
      <c r="N205" s="9">
        <v>0</v>
      </c>
      <c r="O205" s="8">
        <v>1</v>
      </c>
      <c r="P205" s="5">
        <v>6</v>
      </c>
      <c r="Q205" s="5">
        <v>0</v>
      </c>
      <c r="R205" s="9">
        <v>0</v>
      </c>
      <c r="S205" s="8">
        <v>0</v>
      </c>
      <c r="T205" s="9">
        <v>0</v>
      </c>
    </row>
    <row r="206" spans="1:20" x14ac:dyDescent="0.2">
      <c r="A206" s="5" t="s">
        <v>270</v>
      </c>
      <c r="B206" s="5" t="s">
        <v>162</v>
      </c>
      <c r="C206" s="10" t="s">
        <v>668</v>
      </c>
      <c r="D206" s="7">
        <f t="shared" si="0"/>
        <v>1.4</v>
      </c>
      <c r="E206" s="8">
        <v>0</v>
      </c>
      <c r="F206" s="5">
        <v>0</v>
      </c>
      <c r="G206" s="5">
        <v>0</v>
      </c>
      <c r="H206" s="5">
        <v>0</v>
      </c>
      <c r="I206" s="5">
        <v>0</v>
      </c>
      <c r="J206" s="9">
        <v>0</v>
      </c>
      <c r="K206" s="8">
        <v>0</v>
      </c>
      <c r="L206" s="5">
        <v>0</v>
      </c>
      <c r="M206" s="5">
        <v>0</v>
      </c>
      <c r="N206" s="9">
        <v>0</v>
      </c>
      <c r="O206" s="8">
        <v>1</v>
      </c>
      <c r="P206" s="5">
        <v>4</v>
      </c>
      <c r="Q206" s="5">
        <v>0</v>
      </c>
      <c r="R206" s="9">
        <v>0</v>
      </c>
      <c r="S206" s="8">
        <v>0</v>
      </c>
      <c r="T206" s="9">
        <v>0</v>
      </c>
    </row>
    <row r="207" spans="1:20" x14ac:dyDescent="0.2">
      <c r="A207" s="5" t="s">
        <v>224</v>
      </c>
      <c r="B207" s="5" t="s">
        <v>162</v>
      </c>
      <c r="C207" s="17" t="s">
        <v>669</v>
      </c>
      <c r="D207" s="7">
        <f t="shared" si="0"/>
        <v>1.7000000000000002</v>
      </c>
      <c r="E207" s="8">
        <v>0</v>
      </c>
      <c r="F207" s="5">
        <v>0</v>
      </c>
      <c r="G207" s="5">
        <v>0</v>
      </c>
      <c r="H207" s="5">
        <v>0</v>
      </c>
      <c r="I207" s="5">
        <v>0</v>
      </c>
      <c r="J207" s="9">
        <v>0</v>
      </c>
      <c r="K207" s="8">
        <v>0</v>
      </c>
      <c r="L207" s="5">
        <v>0</v>
      </c>
      <c r="M207" s="5">
        <v>0</v>
      </c>
      <c r="N207" s="9">
        <v>0</v>
      </c>
      <c r="O207" s="8">
        <v>1</v>
      </c>
      <c r="P207" s="5">
        <v>7</v>
      </c>
      <c r="Q207" s="5">
        <v>0</v>
      </c>
      <c r="R207" s="9">
        <v>0</v>
      </c>
      <c r="S207" s="8">
        <v>0</v>
      </c>
      <c r="T207" s="9">
        <v>0</v>
      </c>
    </row>
    <row r="208" spans="1:20" x14ac:dyDescent="0.2">
      <c r="A208" s="5" t="s">
        <v>243</v>
      </c>
      <c r="B208" s="5" t="s">
        <v>162</v>
      </c>
      <c r="C208" s="10" t="s">
        <v>666</v>
      </c>
      <c r="D208" s="7">
        <f t="shared" si="0"/>
        <v>1.5</v>
      </c>
      <c r="E208" s="8">
        <v>0</v>
      </c>
      <c r="F208" s="5">
        <v>0</v>
      </c>
      <c r="G208" s="5">
        <v>0</v>
      </c>
      <c r="H208" s="5">
        <v>0</v>
      </c>
      <c r="I208" s="5">
        <v>0</v>
      </c>
      <c r="J208" s="9">
        <v>0</v>
      </c>
      <c r="K208" s="8">
        <v>0</v>
      </c>
      <c r="L208" s="5">
        <v>0</v>
      </c>
      <c r="M208" s="5">
        <v>0</v>
      </c>
      <c r="N208" s="9">
        <v>0</v>
      </c>
      <c r="O208" s="8">
        <v>1</v>
      </c>
      <c r="P208" s="5">
        <v>5</v>
      </c>
      <c r="Q208" s="5">
        <v>0</v>
      </c>
      <c r="R208" s="9">
        <v>0</v>
      </c>
      <c r="S208" s="8">
        <v>0</v>
      </c>
      <c r="T208" s="9">
        <v>0</v>
      </c>
    </row>
    <row r="209" spans="1:20" x14ac:dyDescent="0.2">
      <c r="A209" s="5" t="s">
        <v>199</v>
      </c>
      <c r="B209" s="5" t="s">
        <v>162</v>
      </c>
      <c r="C209" s="10" t="s">
        <v>663</v>
      </c>
      <c r="D209" s="7">
        <f t="shared" si="0"/>
        <v>1.5</v>
      </c>
      <c r="E209" s="8">
        <v>0</v>
      </c>
      <c r="F209" s="5">
        <v>0</v>
      </c>
      <c r="G209" s="5">
        <v>0</v>
      </c>
      <c r="H209" s="5">
        <v>0</v>
      </c>
      <c r="I209" s="5">
        <v>0</v>
      </c>
      <c r="J209" s="9">
        <v>0</v>
      </c>
      <c r="K209" s="8">
        <v>0</v>
      </c>
      <c r="L209" s="5">
        <v>0</v>
      </c>
      <c r="M209" s="5">
        <v>0</v>
      </c>
      <c r="N209" s="9">
        <v>0</v>
      </c>
      <c r="O209" s="8">
        <v>1</v>
      </c>
      <c r="P209" s="5">
        <v>5</v>
      </c>
      <c r="Q209" s="5">
        <v>0</v>
      </c>
      <c r="R209" s="9">
        <v>0</v>
      </c>
      <c r="S209" s="8">
        <v>0</v>
      </c>
      <c r="T209" s="9">
        <v>0</v>
      </c>
    </row>
    <row r="210" spans="1:20" x14ac:dyDescent="0.2">
      <c r="A210" s="5" t="s">
        <v>245</v>
      </c>
      <c r="B210" s="5" t="s">
        <v>162</v>
      </c>
      <c r="C210" s="10" t="s">
        <v>670</v>
      </c>
      <c r="D210" s="7">
        <f t="shared" si="0"/>
        <v>2.9</v>
      </c>
      <c r="E210" s="8">
        <v>0</v>
      </c>
      <c r="F210" s="5">
        <v>0</v>
      </c>
      <c r="G210" s="5">
        <v>0</v>
      </c>
      <c r="H210" s="5">
        <v>0</v>
      </c>
      <c r="I210" s="5">
        <v>0</v>
      </c>
      <c r="J210" s="9">
        <v>0</v>
      </c>
      <c r="K210" s="8">
        <v>0</v>
      </c>
      <c r="L210" s="5">
        <v>0</v>
      </c>
      <c r="M210" s="5">
        <v>0</v>
      </c>
      <c r="N210" s="9">
        <v>0</v>
      </c>
      <c r="O210" s="8">
        <v>2</v>
      </c>
      <c r="P210" s="5">
        <v>9</v>
      </c>
      <c r="Q210" s="5">
        <v>0</v>
      </c>
      <c r="R210" s="9">
        <v>0</v>
      </c>
      <c r="S210" s="8">
        <v>0</v>
      </c>
      <c r="T210" s="9">
        <v>0</v>
      </c>
    </row>
    <row r="211" spans="1:20" x14ac:dyDescent="0.2">
      <c r="A211" s="5" t="s">
        <v>385</v>
      </c>
      <c r="B211" s="5" t="s">
        <v>162</v>
      </c>
      <c r="C211" s="17" t="s">
        <v>663</v>
      </c>
      <c r="D211" s="7">
        <f t="shared" si="0"/>
        <v>1.5</v>
      </c>
      <c r="E211" s="8">
        <v>0</v>
      </c>
      <c r="F211" s="5">
        <v>0</v>
      </c>
      <c r="G211" s="5">
        <v>0</v>
      </c>
      <c r="H211" s="5">
        <v>0</v>
      </c>
      <c r="I211" s="5">
        <v>0</v>
      </c>
      <c r="J211" s="9">
        <v>0</v>
      </c>
      <c r="K211" s="8">
        <v>0</v>
      </c>
      <c r="L211" s="5">
        <v>0</v>
      </c>
      <c r="M211" s="5">
        <v>0</v>
      </c>
      <c r="N211" s="9">
        <v>0</v>
      </c>
      <c r="O211" s="8">
        <v>1</v>
      </c>
      <c r="P211" s="5">
        <v>5</v>
      </c>
      <c r="Q211" s="5">
        <v>0</v>
      </c>
      <c r="R211" s="9">
        <v>0</v>
      </c>
      <c r="S211" s="8">
        <v>0</v>
      </c>
      <c r="T211" s="9">
        <v>0</v>
      </c>
    </row>
    <row r="212" spans="1:20" x14ac:dyDescent="0.2">
      <c r="A212" s="5" t="s">
        <v>495</v>
      </c>
      <c r="B212" s="5" t="s">
        <v>162</v>
      </c>
      <c r="C212" s="10" t="s">
        <v>672</v>
      </c>
      <c r="D212" s="7">
        <f t="shared" si="0"/>
        <v>2</v>
      </c>
      <c r="E212" s="8">
        <v>0</v>
      </c>
      <c r="F212" s="5">
        <v>0</v>
      </c>
      <c r="G212" s="5">
        <v>0</v>
      </c>
      <c r="H212" s="5">
        <v>0</v>
      </c>
      <c r="I212" s="5">
        <v>0</v>
      </c>
      <c r="J212" s="9">
        <v>0</v>
      </c>
      <c r="K212" s="8">
        <v>1</v>
      </c>
      <c r="L212" s="5">
        <v>8</v>
      </c>
      <c r="M212" s="5">
        <v>0</v>
      </c>
      <c r="N212" s="9">
        <v>0</v>
      </c>
      <c r="O212" s="8">
        <v>1</v>
      </c>
      <c r="P212" s="5">
        <v>2</v>
      </c>
      <c r="Q212" s="5">
        <v>0</v>
      </c>
      <c r="R212" s="9">
        <v>0</v>
      </c>
      <c r="S212" s="8">
        <v>0</v>
      </c>
      <c r="T212" s="9">
        <v>0</v>
      </c>
    </row>
    <row r="213" spans="1:20" x14ac:dyDescent="0.2">
      <c r="A213" s="5" t="s">
        <v>205</v>
      </c>
      <c r="B213" s="5" t="s">
        <v>162</v>
      </c>
      <c r="C213" s="17" t="s">
        <v>659</v>
      </c>
      <c r="D213" s="7">
        <f t="shared" si="0"/>
        <v>1.7000000000000002</v>
      </c>
      <c r="E213" s="8">
        <v>0</v>
      </c>
      <c r="F213" s="5">
        <v>0</v>
      </c>
      <c r="G213" s="5">
        <v>0</v>
      </c>
      <c r="H213" s="5">
        <v>0</v>
      </c>
      <c r="I213" s="5">
        <v>0</v>
      </c>
      <c r="J213" s="9">
        <v>0</v>
      </c>
      <c r="K213" s="8">
        <v>0</v>
      </c>
      <c r="L213" s="5">
        <v>0</v>
      </c>
      <c r="M213" s="5">
        <v>0</v>
      </c>
      <c r="N213" s="9">
        <v>0</v>
      </c>
      <c r="O213" s="8">
        <v>1</v>
      </c>
      <c r="P213" s="5">
        <v>7</v>
      </c>
      <c r="Q213" s="5">
        <v>0</v>
      </c>
      <c r="R213" s="9">
        <v>0</v>
      </c>
      <c r="S213" s="8">
        <v>0</v>
      </c>
      <c r="T213" s="9">
        <v>0</v>
      </c>
    </row>
    <row r="214" spans="1:20" x14ac:dyDescent="0.2">
      <c r="A214" s="5" t="s">
        <v>484</v>
      </c>
      <c r="B214" s="5" t="s">
        <v>162</v>
      </c>
      <c r="C214" s="17" t="s">
        <v>662</v>
      </c>
      <c r="D214" s="7">
        <f t="shared" si="0"/>
        <v>-0.29999999999999982</v>
      </c>
      <c r="E214" s="8">
        <v>0</v>
      </c>
      <c r="F214" s="5">
        <v>0</v>
      </c>
      <c r="G214" s="5">
        <v>0</v>
      </c>
      <c r="H214" s="5">
        <v>0</v>
      </c>
      <c r="I214" s="5">
        <v>0</v>
      </c>
      <c r="J214" s="9">
        <v>0</v>
      </c>
      <c r="K214" s="8">
        <v>0</v>
      </c>
      <c r="L214" s="5">
        <v>0</v>
      </c>
      <c r="M214" s="5">
        <v>0</v>
      </c>
      <c r="N214" s="9">
        <v>0</v>
      </c>
      <c r="O214" s="8">
        <v>1</v>
      </c>
      <c r="P214" s="5">
        <v>7</v>
      </c>
      <c r="Q214" s="5">
        <v>0</v>
      </c>
      <c r="R214" s="9">
        <v>0</v>
      </c>
      <c r="S214" s="8">
        <v>1</v>
      </c>
      <c r="T214" s="9">
        <v>0</v>
      </c>
    </row>
    <row r="215" spans="1:20" x14ac:dyDescent="0.2">
      <c r="A215" s="5" t="s">
        <v>244</v>
      </c>
      <c r="B215" s="5" t="s">
        <v>162</v>
      </c>
      <c r="C215" s="17" t="s">
        <v>666</v>
      </c>
      <c r="D215" s="7">
        <f t="shared" si="0"/>
        <v>-0.60000000000000009</v>
      </c>
      <c r="E215" s="8">
        <v>0</v>
      </c>
      <c r="F215" s="5">
        <v>0</v>
      </c>
      <c r="G215" s="5">
        <v>0</v>
      </c>
      <c r="H215" s="5">
        <v>0</v>
      </c>
      <c r="I215" s="5">
        <v>0</v>
      </c>
      <c r="J215" s="9">
        <v>0</v>
      </c>
      <c r="K215" s="8">
        <v>0</v>
      </c>
      <c r="L215" s="5">
        <v>0</v>
      </c>
      <c r="M215" s="5">
        <v>0</v>
      </c>
      <c r="N215" s="9">
        <v>0</v>
      </c>
      <c r="O215" s="8">
        <v>1</v>
      </c>
      <c r="P215" s="5">
        <v>4</v>
      </c>
      <c r="Q215" s="5">
        <v>0</v>
      </c>
      <c r="R215" s="9">
        <v>0</v>
      </c>
      <c r="S215" s="8">
        <v>1</v>
      </c>
      <c r="T215" s="9">
        <v>0</v>
      </c>
    </row>
    <row r="216" spans="1:20" x14ac:dyDescent="0.2">
      <c r="A216" s="5" t="s">
        <v>184</v>
      </c>
      <c r="B216" s="5" t="s">
        <v>162</v>
      </c>
      <c r="C216" s="17" t="s">
        <v>662</v>
      </c>
      <c r="D216" s="7">
        <f t="shared" si="0"/>
        <v>0.89999999999999991</v>
      </c>
      <c r="E216" s="8">
        <v>0</v>
      </c>
      <c r="F216" s="5">
        <v>0</v>
      </c>
      <c r="G216" s="5">
        <v>0</v>
      </c>
      <c r="H216" s="5">
        <v>0</v>
      </c>
      <c r="I216" s="5">
        <v>0</v>
      </c>
      <c r="J216" s="9">
        <v>0</v>
      </c>
      <c r="K216" s="8">
        <v>0</v>
      </c>
      <c r="L216" s="5">
        <v>0</v>
      </c>
      <c r="M216" s="5">
        <v>0</v>
      </c>
      <c r="N216" s="9">
        <v>0</v>
      </c>
      <c r="O216" s="8">
        <v>2</v>
      </c>
      <c r="P216" s="5">
        <v>9</v>
      </c>
      <c r="Q216" s="5">
        <v>0</v>
      </c>
      <c r="R216" s="9">
        <v>0</v>
      </c>
      <c r="S216" s="8">
        <v>1</v>
      </c>
      <c r="T216" s="9">
        <v>0</v>
      </c>
    </row>
    <row r="217" spans="1:20" x14ac:dyDescent="0.2">
      <c r="A217" s="5" t="s">
        <v>298</v>
      </c>
      <c r="B217" s="5" t="s">
        <v>69</v>
      </c>
      <c r="C217" s="10" t="s">
        <v>660</v>
      </c>
      <c r="D217" s="7">
        <f t="shared" si="0"/>
        <v>22.9</v>
      </c>
      <c r="E217" s="8">
        <v>0</v>
      </c>
      <c r="F217" s="5">
        <v>0</v>
      </c>
      <c r="G217" s="5">
        <v>0</v>
      </c>
      <c r="H217" s="5">
        <v>0</v>
      </c>
      <c r="I217" s="5">
        <v>0</v>
      </c>
      <c r="J217" s="9">
        <v>0</v>
      </c>
      <c r="K217" s="8">
        <v>0</v>
      </c>
      <c r="L217" s="5">
        <v>0</v>
      </c>
      <c r="M217" s="5">
        <v>0</v>
      </c>
      <c r="N217" s="9">
        <v>0</v>
      </c>
      <c r="O217" s="8">
        <v>8</v>
      </c>
      <c r="P217" s="5">
        <v>89</v>
      </c>
      <c r="Q217" s="5">
        <v>1</v>
      </c>
      <c r="R217" s="9">
        <v>0</v>
      </c>
      <c r="S217" s="8">
        <v>0</v>
      </c>
      <c r="T217" s="9">
        <v>0</v>
      </c>
    </row>
    <row r="218" spans="1:20" x14ac:dyDescent="0.2">
      <c r="A218" s="5" t="s">
        <v>366</v>
      </c>
      <c r="B218" s="5" t="s">
        <v>69</v>
      </c>
      <c r="C218" s="17" t="s">
        <v>661</v>
      </c>
      <c r="D218" s="7">
        <f t="shared" si="0"/>
        <v>12.100000000000001</v>
      </c>
      <c r="E218" s="8">
        <v>0</v>
      </c>
      <c r="F218" s="5">
        <v>0</v>
      </c>
      <c r="G218" s="5">
        <v>0</v>
      </c>
      <c r="H218" s="5">
        <v>0</v>
      </c>
      <c r="I218" s="5">
        <v>0</v>
      </c>
      <c r="J218" s="9">
        <v>0</v>
      </c>
      <c r="K218" s="8">
        <v>0</v>
      </c>
      <c r="L218" s="5">
        <v>0</v>
      </c>
      <c r="M218" s="5">
        <v>0</v>
      </c>
      <c r="N218" s="9">
        <v>0</v>
      </c>
      <c r="O218" s="8">
        <v>1</v>
      </c>
      <c r="P218" s="5">
        <v>51</v>
      </c>
      <c r="Q218" s="5">
        <v>1</v>
      </c>
      <c r="R218" s="9">
        <v>0</v>
      </c>
      <c r="S218" s="8">
        <v>0</v>
      </c>
      <c r="T218" s="9">
        <v>0</v>
      </c>
    </row>
    <row r="219" spans="1:20" x14ac:dyDescent="0.2">
      <c r="A219" s="5" t="s">
        <v>292</v>
      </c>
      <c r="B219" s="5" t="s">
        <v>69</v>
      </c>
      <c r="C219" s="17" t="s">
        <v>669</v>
      </c>
      <c r="D219" s="7">
        <f t="shared" si="0"/>
        <v>14.7</v>
      </c>
      <c r="E219" s="8">
        <v>0</v>
      </c>
      <c r="F219" s="5">
        <v>0</v>
      </c>
      <c r="G219" s="5">
        <v>0</v>
      </c>
      <c r="H219" s="5">
        <v>0</v>
      </c>
      <c r="I219" s="5">
        <v>0</v>
      </c>
      <c r="J219" s="9">
        <v>0</v>
      </c>
      <c r="K219" s="8">
        <v>0</v>
      </c>
      <c r="L219" s="5">
        <v>0</v>
      </c>
      <c r="M219" s="5">
        <v>0</v>
      </c>
      <c r="N219" s="9">
        <v>0</v>
      </c>
      <c r="O219" s="8">
        <v>4</v>
      </c>
      <c r="P219" s="5">
        <v>47</v>
      </c>
      <c r="Q219" s="5">
        <v>1</v>
      </c>
      <c r="R219" s="9">
        <v>0</v>
      </c>
      <c r="S219" s="8">
        <v>0</v>
      </c>
      <c r="T219" s="9">
        <v>0</v>
      </c>
    </row>
    <row r="220" spans="1:20" x14ac:dyDescent="0.2">
      <c r="A220" s="5" t="s">
        <v>343</v>
      </c>
      <c r="B220" s="5" t="s">
        <v>69</v>
      </c>
      <c r="C220" s="10" t="s">
        <v>668</v>
      </c>
      <c r="D220" s="7">
        <f t="shared" si="0"/>
        <v>15.399999999999999</v>
      </c>
      <c r="E220" s="8">
        <v>0</v>
      </c>
      <c r="F220" s="5">
        <v>0</v>
      </c>
      <c r="G220" s="5">
        <v>0</v>
      </c>
      <c r="H220" s="5">
        <v>0</v>
      </c>
      <c r="I220" s="5">
        <v>0</v>
      </c>
      <c r="J220" s="9">
        <v>0</v>
      </c>
      <c r="K220" s="8">
        <v>0</v>
      </c>
      <c r="L220" s="5">
        <v>0</v>
      </c>
      <c r="M220" s="5">
        <v>0</v>
      </c>
      <c r="N220" s="9">
        <v>0</v>
      </c>
      <c r="O220" s="8">
        <v>7</v>
      </c>
      <c r="P220" s="5">
        <v>44</v>
      </c>
      <c r="Q220" s="5">
        <v>1</v>
      </c>
      <c r="R220" s="9">
        <v>0</v>
      </c>
      <c r="S220" s="8">
        <v>1</v>
      </c>
      <c r="T220" s="9">
        <v>0</v>
      </c>
    </row>
    <row r="221" spans="1:20" x14ac:dyDescent="0.2">
      <c r="A221" s="5" t="s">
        <v>313</v>
      </c>
      <c r="B221" s="5" t="s">
        <v>69</v>
      </c>
      <c r="C221" s="10" t="s">
        <v>665</v>
      </c>
      <c r="D221" s="7">
        <f t="shared" si="0"/>
        <v>11.2</v>
      </c>
      <c r="E221" s="8">
        <v>0</v>
      </c>
      <c r="F221" s="5">
        <v>0</v>
      </c>
      <c r="G221" s="5">
        <v>0</v>
      </c>
      <c r="H221" s="5">
        <v>0</v>
      </c>
      <c r="I221" s="5">
        <v>0</v>
      </c>
      <c r="J221" s="9">
        <v>0</v>
      </c>
      <c r="K221" s="8">
        <v>0</v>
      </c>
      <c r="L221" s="5">
        <v>0</v>
      </c>
      <c r="M221" s="5">
        <v>0</v>
      </c>
      <c r="N221" s="9">
        <v>0</v>
      </c>
      <c r="O221" s="8">
        <v>2</v>
      </c>
      <c r="P221" s="5">
        <v>32</v>
      </c>
      <c r="Q221" s="5">
        <v>1</v>
      </c>
      <c r="R221" s="9">
        <v>0</v>
      </c>
      <c r="S221" s="8">
        <v>0</v>
      </c>
      <c r="T221" s="9">
        <v>0</v>
      </c>
    </row>
    <row r="222" spans="1:20" x14ac:dyDescent="0.2">
      <c r="A222" s="5" t="s">
        <v>354</v>
      </c>
      <c r="B222" s="5" t="s">
        <v>69</v>
      </c>
      <c r="C222" s="17" t="s">
        <v>670</v>
      </c>
      <c r="D222" s="7">
        <f t="shared" si="0"/>
        <v>10.3</v>
      </c>
      <c r="E222" s="8">
        <v>0</v>
      </c>
      <c r="F222" s="5">
        <v>0</v>
      </c>
      <c r="G222" s="5">
        <v>0</v>
      </c>
      <c r="H222" s="5">
        <v>0</v>
      </c>
      <c r="I222" s="5">
        <v>0</v>
      </c>
      <c r="J222" s="9">
        <v>0</v>
      </c>
      <c r="K222" s="8">
        <v>0</v>
      </c>
      <c r="L222" s="5">
        <v>0</v>
      </c>
      <c r="M222" s="5">
        <v>0</v>
      </c>
      <c r="N222" s="9">
        <v>0</v>
      </c>
      <c r="O222" s="8">
        <v>2</v>
      </c>
      <c r="P222" s="5">
        <v>23</v>
      </c>
      <c r="Q222" s="5">
        <v>1</v>
      </c>
      <c r="R222" s="9">
        <v>0</v>
      </c>
      <c r="S222" s="8">
        <v>0</v>
      </c>
      <c r="T222" s="9">
        <v>0</v>
      </c>
    </row>
    <row r="223" spans="1:20" x14ac:dyDescent="0.2">
      <c r="A223" s="5" t="s">
        <v>440</v>
      </c>
      <c r="B223" s="5" t="s">
        <v>69</v>
      </c>
      <c r="C223" s="10" t="s">
        <v>670</v>
      </c>
      <c r="D223" s="7">
        <f t="shared" si="0"/>
        <v>7.4</v>
      </c>
      <c r="E223" s="8">
        <v>0</v>
      </c>
      <c r="F223" s="5">
        <v>0</v>
      </c>
      <c r="G223" s="5">
        <v>0</v>
      </c>
      <c r="H223" s="5">
        <v>0</v>
      </c>
      <c r="I223" s="5">
        <v>0</v>
      </c>
      <c r="J223" s="9">
        <v>0</v>
      </c>
      <c r="K223" s="8">
        <v>0</v>
      </c>
      <c r="L223" s="5">
        <v>0</v>
      </c>
      <c r="M223" s="5">
        <v>0</v>
      </c>
      <c r="N223" s="9">
        <v>0</v>
      </c>
      <c r="O223" s="8">
        <v>1</v>
      </c>
      <c r="P223" s="5">
        <v>4</v>
      </c>
      <c r="Q223" s="5">
        <v>1</v>
      </c>
      <c r="R223" s="9">
        <v>0</v>
      </c>
      <c r="S223" s="8">
        <v>0</v>
      </c>
      <c r="T223" s="9">
        <v>0</v>
      </c>
    </row>
    <row r="224" spans="1:20" x14ac:dyDescent="0.2">
      <c r="A224" s="5" t="s">
        <v>273</v>
      </c>
      <c r="B224" s="5" t="s">
        <v>69</v>
      </c>
      <c r="C224" s="17" t="s">
        <v>669</v>
      </c>
      <c r="D224" s="7">
        <f t="shared" si="0"/>
        <v>9.5</v>
      </c>
      <c r="E224" s="8">
        <v>0</v>
      </c>
      <c r="F224" s="5">
        <v>0</v>
      </c>
      <c r="G224" s="5">
        <v>0</v>
      </c>
      <c r="H224" s="5">
        <v>0</v>
      </c>
      <c r="I224" s="5">
        <v>0</v>
      </c>
      <c r="J224" s="9">
        <v>0</v>
      </c>
      <c r="K224" s="8">
        <v>0</v>
      </c>
      <c r="L224" s="5">
        <v>0</v>
      </c>
      <c r="M224" s="5">
        <v>0</v>
      </c>
      <c r="N224" s="9">
        <v>0</v>
      </c>
      <c r="O224" s="8">
        <v>4</v>
      </c>
      <c r="P224" s="5">
        <v>55</v>
      </c>
      <c r="Q224" s="5">
        <v>0</v>
      </c>
      <c r="R224" s="9">
        <v>0</v>
      </c>
      <c r="S224" s="8">
        <v>0</v>
      </c>
      <c r="T224" s="9">
        <v>0</v>
      </c>
    </row>
    <row r="225" spans="1:20" x14ac:dyDescent="0.2">
      <c r="A225" s="5" t="s">
        <v>300</v>
      </c>
      <c r="B225" s="5" t="s">
        <v>69</v>
      </c>
      <c r="C225" s="10" t="s">
        <v>672</v>
      </c>
      <c r="D225" s="7">
        <f t="shared" si="0"/>
        <v>12.600000000000001</v>
      </c>
      <c r="E225" s="8">
        <v>0</v>
      </c>
      <c r="F225" s="5">
        <v>0</v>
      </c>
      <c r="G225" s="5">
        <v>0</v>
      </c>
      <c r="H225" s="5">
        <v>0</v>
      </c>
      <c r="I225" s="5">
        <v>0</v>
      </c>
      <c r="J225" s="9">
        <v>0</v>
      </c>
      <c r="K225" s="8">
        <v>0</v>
      </c>
      <c r="L225" s="5">
        <v>0</v>
      </c>
      <c r="M225" s="5">
        <v>0</v>
      </c>
      <c r="N225" s="9">
        <v>0</v>
      </c>
      <c r="O225" s="8">
        <v>7</v>
      </c>
      <c r="P225" s="5">
        <v>56</v>
      </c>
      <c r="Q225" s="5">
        <v>0</v>
      </c>
      <c r="R225" s="9">
        <v>0</v>
      </c>
      <c r="S225" s="8">
        <v>0</v>
      </c>
      <c r="T225" s="9">
        <v>0</v>
      </c>
    </row>
    <row r="226" spans="1:20" x14ac:dyDescent="0.2">
      <c r="A226" s="5" t="s">
        <v>274</v>
      </c>
      <c r="B226" s="5" t="s">
        <v>69</v>
      </c>
      <c r="C226" s="17" t="s">
        <v>661</v>
      </c>
      <c r="D226" s="7">
        <f t="shared" si="0"/>
        <v>9.6999999999999993</v>
      </c>
      <c r="E226" s="8">
        <v>0</v>
      </c>
      <c r="F226" s="5">
        <v>0</v>
      </c>
      <c r="G226" s="5">
        <v>0</v>
      </c>
      <c r="H226" s="5">
        <v>0</v>
      </c>
      <c r="I226" s="5">
        <v>0</v>
      </c>
      <c r="J226" s="9">
        <v>0</v>
      </c>
      <c r="K226" s="8">
        <v>0</v>
      </c>
      <c r="L226" s="5">
        <v>0</v>
      </c>
      <c r="M226" s="5">
        <v>0</v>
      </c>
      <c r="N226" s="9">
        <v>0</v>
      </c>
      <c r="O226" s="8">
        <v>4</v>
      </c>
      <c r="P226" s="5">
        <v>57</v>
      </c>
      <c r="Q226" s="5">
        <v>0</v>
      </c>
      <c r="R226" s="9">
        <v>0</v>
      </c>
      <c r="S226" s="8">
        <v>0</v>
      </c>
      <c r="T226" s="9">
        <v>0</v>
      </c>
    </row>
    <row r="227" spans="1:20" x14ac:dyDescent="0.2">
      <c r="A227" s="5" t="s">
        <v>429</v>
      </c>
      <c r="B227" s="5" t="s">
        <v>69</v>
      </c>
      <c r="C227" s="17" t="s">
        <v>664</v>
      </c>
      <c r="D227" s="7">
        <f t="shared" si="0"/>
        <v>8.9</v>
      </c>
      <c r="E227" s="8">
        <v>0</v>
      </c>
      <c r="F227" s="5">
        <v>0</v>
      </c>
      <c r="G227" s="5">
        <v>0</v>
      </c>
      <c r="H227" s="5">
        <v>0</v>
      </c>
      <c r="I227" s="5">
        <v>0</v>
      </c>
      <c r="J227" s="9">
        <v>0</v>
      </c>
      <c r="K227" s="8">
        <v>0</v>
      </c>
      <c r="L227" s="5">
        <v>0</v>
      </c>
      <c r="M227" s="5">
        <v>0</v>
      </c>
      <c r="N227" s="9">
        <v>0</v>
      </c>
      <c r="O227" s="8">
        <v>4</v>
      </c>
      <c r="P227" s="5">
        <v>49</v>
      </c>
      <c r="Q227" s="5">
        <v>0</v>
      </c>
      <c r="R227" s="9">
        <v>0</v>
      </c>
      <c r="S227" s="8">
        <v>0</v>
      </c>
      <c r="T227" s="9">
        <v>0</v>
      </c>
    </row>
    <row r="228" spans="1:20" x14ac:dyDescent="0.2">
      <c r="A228" s="5" t="s">
        <v>291</v>
      </c>
      <c r="B228" s="5" t="s">
        <v>69</v>
      </c>
      <c r="C228" s="10" t="s">
        <v>662</v>
      </c>
      <c r="D228" s="7">
        <f t="shared" si="0"/>
        <v>10.600000000000001</v>
      </c>
      <c r="E228" s="8">
        <v>0</v>
      </c>
      <c r="F228" s="5">
        <v>0</v>
      </c>
      <c r="G228" s="5">
        <v>0</v>
      </c>
      <c r="H228" s="5">
        <v>0</v>
      </c>
      <c r="I228" s="5">
        <v>0</v>
      </c>
      <c r="J228" s="9">
        <v>0</v>
      </c>
      <c r="K228" s="8">
        <v>0</v>
      </c>
      <c r="L228" s="5">
        <v>0</v>
      </c>
      <c r="M228" s="5">
        <v>0</v>
      </c>
      <c r="N228" s="9">
        <v>0</v>
      </c>
      <c r="O228" s="8">
        <v>6</v>
      </c>
      <c r="P228" s="5">
        <v>46</v>
      </c>
      <c r="Q228" s="5">
        <v>0</v>
      </c>
      <c r="R228" s="9">
        <v>0</v>
      </c>
      <c r="S228" s="8">
        <v>0</v>
      </c>
      <c r="T228" s="9">
        <v>0</v>
      </c>
    </row>
    <row r="229" spans="1:20" x14ac:dyDescent="0.2">
      <c r="A229" s="5" t="s">
        <v>389</v>
      </c>
      <c r="B229" s="5" t="s">
        <v>69</v>
      </c>
      <c r="C229" s="17" t="s">
        <v>667</v>
      </c>
      <c r="D229" s="7">
        <f t="shared" si="0"/>
        <v>8.6000000000000014</v>
      </c>
      <c r="E229" s="8">
        <v>0</v>
      </c>
      <c r="F229" s="5">
        <v>0</v>
      </c>
      <c r="G229" s="5">
        <v>0</v>
      </c>
      <c r="H229" s="5">
        <v>0</v>
      </c>
      <c r="I229" s="5">
        <v>0</v>
      </c>
      <c r="J229" s="9">
        <v>0</v>
      </c>
      <c r="K229" s="8">
        <v>0</v>
      </c>
      <c r="L229" s="5">
        <v>0</v>
      </c>
      <c r="M229" s="5">
        <v>0</v>
      </c>
      <c r="N229" s="9">
        <v>0</v>
      </c>
      <c r="O229" s="8">
        <v>4</v>
      </c>
      <c r="P229" s="5">
        <v>46</v>
      </c>
      <c r="Q229" s="5">
        <v>0</v>
      </c>
      <c r="R229" s="9">
        <v>0</v>
      </c>
      <c r="S229" s="8">
        <v>0</v>
      </c>
      <c r="T229" s="9">
        <v>0</v>
      </c>
    </row>
    <row r="230" spans="1:20" x14ac:dyDescent="0.2">
      <c r="A230" s="5" t="s">
        <v>299</v>
      </c>
      <c r="B230" s="5" t="s">
        <v>69</v>
      </c>
      <c r="C230" s="17" t="s">
        <v>665</v>
      </c>
      <c r="D230" s="7">
        <f t="shared" si="0"/>
        <v>9.3000000000000007</v>
      </c>
      <c r="E230" s="8">
        <v>0</v>
      </c>
      <c r="F230" s="5">
        <v>0</v>
      </c>
      <c r="G230" s="5">
        <v>0</v>
      </c>
      <c r="H230" s="5">
        <v>0</v>
      </c>
      <c r="I230" s="5">
        <v>0</v>
      </c>
      <c r="J230" s="9">
        <v>0</v>
      </c>
      <c r="K230" s="8">
        <v>0</v>
      </c>
      <c r="L230" s="5">
        <v>0</v>
      </c>
      <c r="M230" s="5">
        <v>0</v>
      </c>
      <c r="N230" s="9">
        <v>0</v>
      </c>
      <c r="O230" s="8">
        <v>5</v>
      </c>
      <c r="P230" s="5">
        <v>43</v>
      </c>
      <c r="Q230" s="5">
        <v>0</v>
      </c>
      <c r="R230" s="9">
        <v>0</v>
      </c>
      <c r="S230" s="8">
        <v>0</v>
      </c>
      <c r="T230" s="9">
        <v>0</v>
      </c>
    </row>
    <row r="231" spans="1:20" x14ac:dyDescent="0.2">
      <c r="A231" s="5" t="s">
        <v>309</v>
      </c>
      <c r="B231" s="5" t="s">
        <v>69</v>
      </c>
      <c r="C231" s="17" t="s">
        <v>660</v>
      </c>
      <c r="D231" s="7">
        <f t="shared" si="0"/>
        <v>8.9</v>
      </c>
      <c r="E231" s="8">
        <v>0</v>
      </c>
      <c r="F231" s="5">
        <v>0</v>
      </c>
      <c r="G231" s="5">
        <v>0</v>
      </c>
      <c r="H231" s="5">
        <v>0</v>
      </c>
      <c r="I231" s="5">
        <v>0</v>
      </c>
      <c r="J231" s="9">
        <v>0</v>
      </c>
      <c r="K231" s="8">
        <v>0</v>
      </c>
      <c r="L231" s="5">
        <v>0</v>
      </c>
      <c r="M231" s="5">
        <v>0</v>
      </c>
      <c r="N231" s="9">
        <v>0</v>
      </c>
      <c r="O231" s="8">
        <v>4</v>
      </c>
      <c r="P231" s="5">
        <v>49</v>
      </c>
      <c r="Q231" s="5">
        <v>0</v>
      </c>
      <c r="R231" s="9">
        <v>0</v>
      </c>
      <c r="S231" s="8">
        <v>0</v>
      </c>
      <c r="T231" s="9">
        <v>0</v>
      </c>
    </row>
    <row r="232" spans="1:20" x14ac:dyDescent="0.2">
      <c r="A232" s="5" t="s">
        <v>282</v>
      </c>
      <c r="B232" s="5" t="s">
        <v>69</v>
      </c>
      <c r="C232" s="10" t="s">
        <v>663</v>
      </c>
      <c r="D232" s="7">
        <f t="shared" si="0"/>
        <v>8.8000000000000007</v>
      </c>
      <c r="E232" s="8">
        <v>0</v>
      </c>
      <c r="F232" s="5">
        <v>0</v>
      </c>
      <c r="G232" s="5">
        <v>0</v>
      </c>
      <c r="H232" s="5">
        <v>0</v>
      </c>
      <c r="I232" s="5">
        <v>0</v>
      </c>
      <c r="J232" s="9">
        <v>0</v>
      </c>
      <c r="K232" s="8">
        <v>0</v>
      </c>
      <c r="L232" s="5">
        <v>0</v>
      </c>
      <c r="M232" s="5">
        <v>0</v>
      </c>
      <c r="N232" s="9">
        <v>0</v>
      </c>
      <c r="O232" s="8">
        <v>5</v>
      </c>
      <c r="P232" s="5">
        <v>58</v>
      </c>
      <c r="Q232" s="5">
        <v>0</v>
      </c>
      <c r="R232" s="9">
        <v>0</v>
      </c>
      <c r="S232" s="8">
        <v>1</v>
      </c>
      <c r="T232" s="9">
        <v>0</v>
      </c>
    </row>
    <row r="233" spans="1:20" x14ac:dyDescent="0.2">
      <c r="A233" s="5" t="s">
        <v>315</v>
      </c>
      <c r="B233" s="5" t="s">
        <v>69</v>
      </c>
      <c r="C233" s="17" t="s">
        <v>663</v>
      </c>
      <c r="D233" s="7">
        <f t="shared" si="0"/>
        <v>6.8000000000000007</v>
      </c>
      <c r="E233" s="8">
        <v>0</v>
      </c>
      <c r="F233" s="5">
        <v>0</v>
      </c>
      <c r="G233" s="5">
        <v>0</v>
      </c>
      <c r="H233" s="5">
        <v>0</v>
      </c>
      <c r="I233" s="5">
        <v>0</v>
      </c>
      <c r="J233" s="9">
        <v>0</v>
      </c>
      <c r="K233" s="8">
        <v>0</v>
      </c>
      <c r="L233" s="5">
        <v>0</v>
      </c>
      <c r="M233" s="5">
        <v>0</v>
      </c>
      <c r="N233" s="9">
        <v>0</v>
      </c>
      <c r="O233" s="8">
        <v>3</v>
      </c>
      <c r="P233" s="5">
        <v>38</v>
      </c>
      <c r="Q233" s="5">
        <v>0</v>
      </c>
      <c r="R233" s="9">
        <v>0</v>
      </c>
      <c r="S233" s="8">
        <v>0</v>
      </c>
      <c r="T233" s="9">
        <v>0</v>
      </c>
    </row>
    <row r="234" spans="1:20" x14ac:dyDescent="0.2">
      <c r="A234" s="5" t="s">
        <v>304</v>
      </c>
      <c r="B234" s="5" t="s">
        <v>69</v>
      </c>
      <c r="C234" s="17" t="s">
        <v>670</v>
      </c>
      <c r="D234" s="7">
        <f t="shared" si="0"/>
        <v>6.2</v>
      </c>
      <c r="E234" s="8">
        <v>0</v>
      </c>
      <c r="F234" s="5">
        <v>0</v>
      </c>
      <c r="G234" s="5">
        <v>0</v>
      </c>
      <c r="H234" s="5">
        <v>0</v>
      </c>
      <c r="I234" s="5">
        <v>0</v>
      </c>
      <c r="J234" s="9">
        <v>0</v>
      </c>
      <c r="K234" s="8">
        <v>0</v>
      </c>
      <c r="L234" s="5">
        <v>0</v>
      </c>
      <c r="M234" s="5">
        <v>0</v>
      </c>
      <c r="N234" s="9">
        <v>0</v>
      </c>
      <c r="O234" s="8">
        <v>3</v>
      </c>
      <c r="P234" s="5">
        <v>32</v>
      </c>
      <c r="Q234" s="5">
        <v>0</v>
      </c>
      <c r="R234" s="9">
        <v>0</v>
      </c>
      <c r="S234" s="8">
        <v>0</v>
      </c>
      <c r="T234" s="9">
        <v>0</v>
      </c>
    </row>
    <row r="235" spans="1:20" x14ac:dyDescent="0.2">
      <c r="A235" s="5" t="s">
        <v>486</v>
      </c>
      <c r="B235" s="5" t="s">
        <v>69</v>
      </c>
      <c r="C235" s="10" t="s">
        <v>661</v>
      </c>
      <c r="D235" s="7">
        <f t="shared" si="0"/>
        <v>5.2</v>
      </c>
      <c r="E235" s="8">
        <v>0</v>
      </c>
      <c r="F235" s="5">
        <v>0</v>
      </c>
      <c r="G235" s="5">
        <v>0</v>
      </c>
      <c r="H235" s="5">
        <v>0</v>
      </c>
      <c r="I235" s="5">
        <v>0</v>
      </c>
      <c r="J235" s="9">
        <v>0</v>
      </c>
      <c r="K235" s="8">
        <v>0</v>
      </c>
      <c r="L235" s="5">
        <v>0</v>
      </c>
      <c r="M235" s="5">
        <v>0</v>
      </c>
      <c r="N235" s="9">
        <v>0</v>
      </c>
      <c r="O235" s="8">
        <v>2</v>
      </c>
      <c r="P235" s="5">
        <v>32</v>
      </c>
      <c r="Q235" s="5">
        <v>0</v>
      </c>
      <c r="R235" s="9">
        <v>0</v>
      </c>
      <c r="S235" s="8">
        <v>0</v>
      </c>
      <c r="T235" s="9">
        <v>0</v>
      </c>
    </row>
    <row r="236" spans="1:20" x14ac:dyDescent="0.2">
      <c r="A236" s="5" t="s">
        <v>280</v>
      </c>
      <c r="B236" s="5" t="s">
        <v>69</v>
      </c>
      <c r="C236" s="10" t="s">
        <v>666</v>
      </c>
      <c r="D236" s="7">
        <f t="shared" si="0"/>
        <v>6.8</v>
      </c>
      <c r="E236" s="8">
        <v>0</v>
      </c>
      <c r="F236" s="5">
        <v>0</v>
      </c>
      <c r="G236" s="5">
        <v>0</v>
      </c>
      <c r="H236" s="5">
        <v>0</v>
      </c>
      <c r="I236" s="5">
        <v>0</v>
      </c>
      <c r="J236" s="9">
        <v>0</v>
      </c>
      <c r="K236" s="8">
        <v>0</v>
      </c>
      <c r="L236" s="5">
        <v>0</v>
      </c>
      <c r="M236" s="5">
        <v>0</v>
      </c>
      <c r="N236" s="9">
        <v>0</v>
      </c>
      <c r="O236" s="8">
        <v>3</v>
      </c>
      <c r="P236" s="5">
        <v>18</v>
      </c>
      <c r="Q236" s="5">
        <v>0</v>
      </c>
      <c r="R236" s="9">
        <v>1</v>
      </c>
      <c r="S236" s="8">
        <v>0</v>
      </c>
      <c r="T236" s="9">
        <v>0</v>
      </c>
    </row>
    <row r="237" spans="1:20" x14ac:dyDescent="0.2">
      <c r="A237" s="5" t="s">
        <v>283</v>
      </c>
      <c r="B237" s="5" t="s">
        <v>69</v>
      </c>
      <c r="C237" s="10" t="s">
        <v>669</v>
      </c>
      <c r="D237" s="7">
        <f t="shared" si="0"/>
        <v>5.3000000000000007</v>
      </c>
      <c r="E237" s="8">
        <v>0</v>
      </c>
      <c r="F237" s="5">
        <v>0</v>
      </c>
      <c r="G237" s="5">
        <v>0</v>
      </c>
      <c r="H237" s="5">
        <v>0</v>
      </c>
      <c r="I237" s="5">
        <v>0</v>
      </c>
      <c r="J237" s="9">
        <v>0</v>
      </c>
      <c r="K237" s="8">
        <v>0</v>
      </c>
      <c r="L237" s="5">
        <v>0</v>
      </c>
      <c r="M237" s="5">
        <v>0</v>
      </c>
      <c r="N237" s="9">
        <v>0</v>
      </c>
      <c r="O237" s="8">
        <v>2</v>
      </c>
      <c r="P237" s="5">
        <v>33</v>
      </c>
      <c r="Q237" s="5">
        <v>0</v>
      </c>
      <c r="R237" s="9">
        <v>0</v>
      </c>
      <c r="S237" s="8">
        <v>0</v>
      </c>
      <c r="T237" s="9">
        <v>0</v>
      </c>
    </row>
    <row r="238" spans="1:20" x14ac:dyDescent="0.2">
      <c r="A238" s="5" t="s">
        <v>341</v>
      </c>
      <c r="B238" s="5" t="s">
        <v>69</v>
      </c>
      <c r="C238" s="10" t="s">
        <v>664</v>
      </c>
      <c r="D238" s="7">
        <f t="shared" si="0"/>
        <v>4.3000000000000007</v>
      </c>
      <c r="E238" s="8">
        <v>0</v>
      </c>
      <c r="F238" s="5">
        <v>0</v>
      </c>
      <c r="G238" s="5">
        <v>0</v>
      </c>
      <c r="H238" s="5">
        <v>0</v>
      </c>
      <c r="I238" s="5">
        <v>0</v>
      </c>
      <c r="J238" s="9">
        <v>0</v>
      </c>
      <c r="K238" s="8">
        <v>0</v>
      </c>
      <c r="L238" s="5">
        <v>0</v>
      </c>
      <c r="M238" s="5">
        <v>0</v>
      </c>
      <c r="N238" s="9">
        <v>0</v>
      </c>
      <c r="O238" s="8">
        <v>2</v>
      </c>
      <c r="P238" s="5">
        <v>23</v>
      </c>
      <c r="Q238" s="5">
        <v>0</v>
      </c>
      <c r="R238" s="9">
        <v>0</v>
      </c>
      <c r="S238" s="8">
        <v>0</v>
      </c>
      <c r="T238" s="9">
        <v>0</v>
      </c>
    </row>
    <row r="239" spans="1:20" x14ac:dyDescent="0.2">
      <c r="A239" s="5" t="s">
        <v>276</v>
      </c>
      <c r="B239" s="5" t="s">
        <v>69</v>
      </c>
      <c r="C239" s="10" t="s">
        <v>659</v>
      </c>
      <c r="D239" s="7">
        <f t="shared" si="0"/>
        <v>6.9</v>
      </c>
      <c r="E239" s="8">
        <v>0</v>
      </c>
      <c r="F239" s="5">
        <v>0</v>
      </c>
      <c r="G239" s="5">
        <v>0</v>
      </c>
      <c r="H239" s="5">
        <v>0</v>
      </c>
      <c r="I239" s="5">
        <v>0</v>
      </c>
      <c r="J239" s="9">
        <v>0</v>
      </c>
      <c r="K239" s="8">
        <v>0</v>
      </c>
      <c r="L239" s="5">
        <v>0</v>
      </c>
      <c r="M239" s="5">
        <v>0</v>
      </c>
      <c r="N239" s="9">
        <v>0</v>
      </c>
      <c r="O239" s="8">
        <v>4</v>
      </c>
      <c r="P239" s="5">
        <v>29</v>
      </c>
      <c r="Q239" s="5">
        <v>0</v>
      </c>
      <c r="R239" s="9">
        <v>0</v>
      </c>
      <c r="S239" s="8">
        <v>0</v>
      </c>
      <c r="T239" s="9">
        <v>0</v>
      </c>
    </row>
    <row r="240" spans="1:20" x14ac:dyDescent="0.2">
      <c r="A240" s="5" t="s">
        <v>449</v>
      </c>
      <c r="B240" s="5" t="s">
        <v>69</v>
      </c>
      <c r="C240" s="10" t="s">
        <v>659</v>
      </c>
      <c r="D240" s="7">
        <f t="shared" si="0"/>
        <v>4.0999999999999996</v>
      </c>
      <c r="E240" s="8">
        <v>0</v>
      </c>
      <c r="F240" s="5">
        <v>0</v>
      </c>
      <c r="G240" s="5">
        <v>0</v>
      </c>
      <c r="H240" s="5">
        <v>0</v>
      </c>
      <c r="I240" s="5">
        <v>0</v>
      </c>
      <c r="J240" s="9">
        <v>0</v>
      </c>
      <c r="K240" s="8">
        <v>0</v>
      </c>
      <c r="L240" s="5">
        <v>0</v>
      </c>
      <c r="M240" s="5">
        <v>0</v>
      </c>
      <c r="N240" s="9">
        <v>0</v>
      </c>
      <c r="O240" s="8">
        <v>2</v>
      </c>
      <c r="P240" s="5">
        <v>21</v>
      </c>
      <c r="Q240" s="5">
        <v>0</v>
      </c>
      <c r="R240" s="9">
        <v>0</v>
      </c>
      <c r="S240" s="8">
        <v>0</v>
      </c>
      <c r="T240" s="9">
        <v>0</v>
      </c>
    </row>
    <row r="241" spans="1:20" x14ac:dyDescent="0.2">
      <c r="A241" s="5" t="s">
        <v>277</v>
      </c>
      <c r="B241" s="5" t="s">
        <v>69</v>
      </c>
      <c r="C241" s="17" t="s">
        <v>666</v>
      </c>
      <c r="D241" s="7">
        <f t="shared" si="0"/>
        <v>5</v>
      </c>
      <c r="E241" s="8">
        <v>0</v>
      </c>
      <c r="F241" s="5">
        <v>0</v>
      </c>
      <c r="G241" s="5">
        <v>0</v>
      </c>
      <c r="H241" s="5">
        <v>0</v>
      </c>
      <c r="I241" s="5">
        <v>0</v>
      </c>
      <c r="J241" s="9">
        <v>0</v>
      </c>
      <c r="K241" s="8">
        <v>0</v>
      </c>
      <c r="L241" s="5">
        <v>0</v>
      </c>
      <c r="M241" s="5">
        <v>0</v>
      </c>
      <c r="N241" s="9">
        <v>0</v>
      </c>
      <c r="O241" s="8">
        <v>3</v>
      </c>
      <c r="P241" s="5">
        <v>20</v>
      </c>
      <c r="Q241" s="5">
        <v>0</v>
      </c>
      <c r="R241" s="9">
        <v>0</v>
      </c>
      <c r="S241" s="8">
        <v>0</v>
      </c>
      <c r="T241" s="9">
        <v>0</v>
      </c>
    </row>
    <row r="242" spans="1:20" x14ac:dyDescent="0.2">
      <c r="A242" s="5" t="s">
        <v>281</v>
      </c>
      <c r="B242" s="5" t="s">
        <v>69</v>
      </c>
      <c r="C242" s="10" t="s">
        <v>661</v>
      </c>
      <c r="D242" s="7">
        <f t="shared" si="0"/>
        <v>6.8000000000000007</v>
      </c>
      <c r="E242" s="8">
        <v>0</v>
      </c>
      <c r="F242" s="5">
        <v>0</v>
      </c>
      <c r="G242" s="5">
        <v>0</v>
      </c>
      <c r="H242" s="5">
        <v>0</v>
      </c>
      <c r="I242" s="5">
        <v>0</v>
      </c>
      <c r="J242" s="9">
        <v>0</v>
      </c>
      <c r="K242" s="8">
        <v>0</v>
      </c>
      <c r="L242" s="5">
        <v>0</v>
      </c>
      <c r="M242" s="5">
        <v>0</v>
      </c>
      <c r="N242" s="9">
        <v>0</v>
      </c>
      <c r="O242" s="8">
        <v>4</v>
      </c>
      <c r="P242" s="5">
        <v>28</v>
      </c>
      <c r="Q242" s="5">
        <v>0</v>
      </c>
      <c r="R242" s="9">
        <v>0</v>
      </c>
      <c r="S242" s="8">
        <v>0</v>
      </c>
      <c r="T242" s="9">
        <v>0</v>
      </c>
    </row>
    <row r="243" spans="1:20" x14ac:dyDescent="0.2">
      <c r="A243" s="5" t="s">
        <v>477</v>
      </c>
      <c r="B243" s="5" t="s">
        <v>69</v>
      </c>
      <c r="C243" s="17" t="s">
        <v>662</v>
      </c>
      <c r="D243" s="7">
        <f t="shared" si="0"/>
        <v>5.5</v>
      </c>
      <c r="E243" s="8">
        <v>0</v>
      </c>
      <c r="F243" s="5">
        <v>0</v>
      </c>
      <c r="G243" s="5">
        <v>0</v>
      </c>
      <c r="H243" s="5">
        <v>0</v>
      </c>
      <c r="I243" s="5">
        <v>0</v>
      </c>
      <c r="J243" s="9">
        <v>0</v>
      </c>
      <c r="K243" s="8">
        <v>0</v>
      </c>
      <c r="L243" s="5">
        <v>0</v>
      </c>
      <c r="M243" s="5">
        <v>0</v>
      </c>
      <c r="N243" s="9">
        <v>0</v>
      </c>
      <c r="O243" s="8">
        <v>3</v>
      </c>
      <c r="P243" s="5">
        <v>25</v>
      </c>
      <c r="Q243" s="5">
        <v>0</v>
      </c>
      <c r="R243" s="9">
        <v>0</v>
      </c>
      <c r="S243" s="8">
        <v>0</v>
      </c>
      <c r="T243" s="9">
        <v>0</v>
      </c>
    </row>
    <row r="244" spans="1:20" x14ac:dyDescent="0.2">
      <c r="A244" s="5" t="s">
        <v>606</v>
      </c>
      <c r="B244" s="5" t="s">
        <v>69</v>
      </c>
      <c r="C244" s="10" t="s">
        <v>670</v>
      </c>
      <c r="D244" s="7">
        <f t="shared" si="0"/>
        <v>3</v>
      </c>
      <c r="E244" s="8">
        <v>0</v>
      </c>
      <c r="F244" s="5">
        <v>0</v>
      </c>
      <c r="G244" s="5">
        <v>0</v>
      </c>
      <c r="H244" s="5">
        <v>0</v>
      </c>
      <c r="I244" s="5">
        <v>0</v>
      </c>
      <c r="J244" s="9">
        <v>0</v>
      </c>
      <c r="K244" s="8">
        <v>0</v>
      </c>
      <c r="L244" s="5">
        <v>0</v>
      </c>
      <c r="M244" s="5">
        <v>0</v>
      </c>
      <c r="N244" s="9">
        <v>0</v>
      </c>
      <c r="O244" s="8">
        <v>1</v>
      </c>
      <c r="P244" s="5">
        <v>20</v>
      </c>
      <c r="Q244" s="5">
        <v>0</v>
      </c>
      <c r="R244" s="9">
        <v>0</v>
      </c>
      <c r="S244" s="8">
        <v>0</v>
      </c>
      <c r="T244" s="9">
        <v>0</v>
      </c>
    </row>
    <row r="245" spans="1:20" x14ac:dyDescent="0.2">
      <c r="A245" s="5" t="s">
        <v>351</v>
      </c>
      <c r="B245" s="5" t="s">
        <v>69</v>
      </c>
      <c r="C245" s="10" t="s">
        <v>663</v>
      </c>
      <c r="D245" s="7">
        <f t="shared" si="0"/>
        <v>3.5</v>
      </c>
      <c r="E245" s="8">
        <v>0</v>
      </c>
      <c r="F245" s="5">
        <v>0</v>
      </c>
      <c r="G245" s="5">
        <v>0</v>
      </c>
      <c r="H245" s="5">
        <v>0</v>
      </c>
      <c r="I245" s="5">
        <v>0</v>
      </c>
      <c r="J245" s="9">
        <v>0</v>
      </c>
      <c r="K245" s="8">
        <v>0</v>
      </c>
      <c r="L245" s="5">
        <v>0</v>
      </c>
      <c r="M245" s="5">
        <v>0</v>
      </c>
      <c r="N245" s="9">
        <v>0</v>
      </c>
      <c r="O245" s="8">
        <v>2</v>
      </c>
      <c r="P245" s="5">
        <v>15</v>
      </c>
      <c r="Q245" s="5">
        <v>0</v>
      </c>
      <c r="R245" s="9">
        <v>0</v>
      </c>
      <c r="S245" s="8">
        <v>0</v>
      </c>
      <c r="T245" s="9">
        <v>0</v>
      </c>
    </row>
    <row r="246" spans="1:20" x14ac:dyDescent="0.2">
      <c r="A246" s="5" t="s">
        <v>316</v>
      </c>
      <c r="B246" s="5" t="s">
        <v>69</v>
      </c>
      <c r="C246" s="17" t="s">
        <v>662</v>
      </c>
      <c r="D246" s="7">
        <f t="shared" si="0"/>
        <v>3.8</v>
      </c>
      <c r="E246" s="8">
        <v>0</v>
      </c>
      <c r="F246" s="5">
        <v>0</v>
      </c>
      <c r="G246" s="5">
        <v>0</v>
      </c>
      <c r="H246" s="5">
        <v>0</v>
      </c>
      <c r="I246" s="5">
        <v>0</v>
      </c>
      <c r="J246" s="9">
        <v>0</v>
      </c>
      <c r="K246" s="8">
        <v>0</v>
      </c>
      <c r="L246" s="5">
        <v>0</v>
      </c>
      <c r="M246" s="5">
        <v>0</v>
      </c>
      <c r="N246" s="9">
        <v>0</v>
      </c>
      <c r="O246" s="8">
        <v>2</v>
      </c>
      <c r="P246" s="5">
        <v>18</v>
      </c>
      <c r="Q246" s="5">
        <v>0</v>
      </c>
      <c r="R246" s="9">
        <v>0</v>
      </c>
      <c r="S246" s="8">
        <v>0</v>
      </c>
      <c r="T246" s="9">
        <v>0</v>
      </c>
    </row>
    <row r="247" spans="1:20" x14ac:dyDescent="0.2">
      <c r="A247" s="5" t="s">
        <v>556</v>
      </c>
      <c r="B247" s="5" t="s">
        <v>69</v>
      </c>
      <c r="C247" s="17" t="s">
        <v>660</v>
      </c>
      <c r="D247" s="7">
        <f t="shared" si="0"/>
        <v>3.3</v>
      </c>
      <c r="E247" s="8">
        <v>0</v>
      </c>
      <c r="F247" s="5">
        <v>0</v>
      </c>
      <c r="G247" s="5">
        <v>0</v>
      </c>
      <c r="H247" s="5">
        <v>0</v>
      </c>
      <c r="I247" s="5">
        <v>0</v>
      </c>
      <c r="J247" s="9">
        <v>0</v>
      </c>
      <c r="K247" s="8">
        <v>0</v>
      </c>
      <c r="L247" s="5">
        <v>0</v>
      </c>
      <c r="M247" s="5">
        <v>0</v>
      </c>
      <c r="N247" s="9">
        <v>0</v>
      </c>
      <c r="O247" s="8">
        <v>2</v>
      </c>
      <c r="P247" s="5">
        <v>13</v>
      </c>
      <c r="Q247" s="5">
        <v>0</v>
      </c>
      <c r="R247" s="9">
        <v>0</v>
      </c>
      <c r="S247" s="8">
        <v>0</v>
      </c>
      <c r="T247" s="9">
        <v>0</v>
      </c>
    </row>
    <row r="248" spans="1:20" x14ac:dyDescent="0.2">
      <c r="A248" s="5" t="s">
        <v>286</v>
      </c>
      <c r="B248" s="5" t="s">
        <v>69</v>
      </c>
      <c r="C248" s="10" t="s">
        <v>671</v>
      </c>
      <c r="D248" s="7">
        <f t="shared" si="0"/>
        <v>2.7</v>
      </c>
      <c r="E248" s="8">
        <v>0</v>
      </c>
      <c r="F248" s="5">
        <v>0</v>
      </c>
      <c r="G248" s="5">
        <v>0</v>
      </c>
      <c r="H248" s="5">
        <v>0</v>
      </c>
      <c r="I248" s="5">
        <v>0</v>
      </c>
      <c r="J248" s="9">
        <v>0</v>
      </c>
      <c r="K248" s="8">
        <v>0</v>
      </c>
      <c r="L248" s="5">
        <v>0</v>
      </c>
      <c r="M248" s="5">
        <v>0</v>
      </c>
      <c r="N248" s="9">
        <v>0</v>
      </c>
      <c r="O248" s="8">
        <v>1</v>
      </c>
      <c r="P248" s="5">
        <v>17</v>
      </c>
      <c r="Q248" s="5">
        <v>0</v>
      </c>
      <c r="R248" s="9">
        <v>0</v>
      </c>
      <c r="S248" s="8">
        <v>0</v>
      </c>
      <c r="T248" s="9">
        <v>0</v>
      </c>
    </row>
    <row r="249" spans="1:20" x14ac:dyDescent="0.2">
      <c r="A249" s="5" t="s">
        <v>680</v>
      </c>
      <c r="B249" s="5" t="s">
        <v>69</v>
      </c>
      <c r="C249" s="10" t="s">
        <v>664</v>
      </c>
      <c r="D249" s="7">
        <f t="shared" si="0"/>
        <v>2.2999999999999998</v>
      </c>
      <c r="E249" s="8">
        <v>0</v>
      </c>
      <c r="F249" s="5">
        <v>0</v>
      </c>
      <c r="G249" s="5">
        <v>0</v>
      </c>
      <c r="H249" s="5">
        <v>0</v>
      </c>
      <c r="I249" s="5">
        <v>0</v>
      </c>
      <c r="J249" s="9">
        <v>0</v>
      </c>
      <c r="K249" s="8">
        <v>0</v>
      </c>
      <c r="L249" s="5">
        <v>0</v>
      </c>
      <c r="M249" s="5">
        <v>0</v>
      </c>
      <c r="N249" s="9">
        <v>0</v>
      </c>
      <c r="O249" s="8">
        <v>1</v>
      </c>
      <c r="P249" s="5">
        <v>13</v>
      </c>
      <c r="Q249" s="5">
        <v>0</v>
      </c>
      <c r="R249" s="9">
        <v>0</v>
      </c>
      <c r="S249" s="8">
        <v>0</v>
      </c>
      <c r="T249" s="9">
        <v>0</v>
      </c>
    </row>
    <row r="250" spans="1:20" x14ac:dyDescent="0.2">
      <c r="A250" s="5" t="s">
        <v>547</v>
      </c>
      <c r="B250" s="5" t="s">
        <v>69</v>
      </c>
      <c r="C250" s="10" t="s">
        <v>662</v>
      </c>
      <c r="D250" s="7">
        <f t="shared" si="0"/>
        <v>2.1</v>
      </c>
      <c r="E250" s="8">
        <v>0</v>
      </c>
      <c r="F250" s="5">
        <v>0</v>
      </c>
      <c r="G250" s="5">
        <v>0</v>
      </c>
      <c r="H250" s="5">
        <v>0</v>
      </c>
      <c r="I250" s="5">
        <v>0</v>
      </c>
      <c r="J250" s="9">
        <v>0</v>
      </c>
      <c r="K250" s="8">
        <v>0</v>
      </c>
      <c r="L250" s="5">
        <v>0</v>
      </c>
      <c r="M250" s="5">
        <v>0</v>
      </c>
      <c r="N250" s="9">
        <v>0</v>
      </c>
      <c r="O250" s="8">
        <v>1</v>
      </c>
      <c r="P250" s="5">
        <v>11</v>
      </c>
      <c r="Q250" s="5">
        <v>0</v>
      </c>
      <c r="R250" s="9">
        <v>0</v>
      </c>
      <c r="S250" s="8">
        <v>0</v>
      </c>
      <c r="T250" s="9">
        <v>0</v>
      </c>
    </row>
    <row r="251" spans="1:20" x14ac:dyDescent="0.2">
      <c r="A251" s="5" t="s">
        <v>446</v>
      </c>
      <c r="B251" s="5" t="s">
        <v>69</v>
      </c>
      <c r="C251" s="17" t="s">
        <v>664</v>
      </c>
      <c r="D251" s="7">
        <f t="shared" si="0"/>
        <v>3.9000000000000004</v>
      </c>
      <c r="E251" s="8">
        <v>0</v>
      </c>
      <c r="F251" s="5">
        <v>0</v>
      </c>
      <c r="G251" s="5">
        <v>0</v>
      </c>
      <c r="H251" s="5">
        <v>0</v>
      </c>
      <c r="I251" s="5">
        <v>0</v>
      </c>
      <c r="J251" s="9">
        <v>0</v>
      </c>
      <c r="K251" s="8">
        <v>0</v>
      </c>
      <c r="L251" s="5">
        <v>0</v>
      </c>
      <c r="M251" s="5">
        <v>0</v>
      </c>
      <c r="N251" s="9">
        <v>0</v>
      </c>
      <c r="O251" s="8">
        <v>2</v>
      </c>
      <c r="P251" s="5">
        <v>19</v>
      </c>
      <c r="Q251" s="5">
        <v>0</v>
      </c>
      <c r="R251" s="9">
        <v>0</v>
      </c>
      <c r="S251" s="8">
        <v>0</v>
      </c>
      <c r="T251" s="9">
        <v>0</v>
      </c>
    </row>
    <row r="252" spans="1:20" x14ac:dyDescent="0.2">
      <c r="A252" s="5" t="s">
        <v>516</v>
      </c>
      <c r="B252" s="5" t="s">
        <v>69</v>
      </c>
      <c r="C252" s="17" t="s">
        <v>665</v>
      </c>
      <c r="D252" s="7">
        <f t="shared" si="0"/>
        <v>3.5</v>
      </c>
      <c r="E252" s="8">
        <v>0</v>
      </c>
      <c r="F252" s="5">
        <v>0</v>
      </c>
      <c r="G252" s="5">
        <v>0</v>
      </c>
      <c r="H252" s="5">
        <v>0</v>
      </c>
      <c r="I252" s="5">
        <v>0</v>
      </c>
      <c r="J252" s="9">
        <v>0</v>
      </c>
      <c r="K252" s="8">
        <v>0</v>
      </c>
      <c r="L252" s="5">
        <v>0</v>
      </c>
      <c r="M252" s="5">
        <v>0</v>
      </c>
      <c r="N252" s="9">
        <v>0</v>
      </c>
      <c r="O252" s="8">
        <v>2</v>
      </c>
      <c r="P252" s="5">
        <v>15</v>
      </c>
      <c r="Q252" s="5">
        <v>0</v>
      </c>
      <c r="R252" s="9">
        <v>0</v>
      </c>
      <c r="S252" s="8">
        <v>0</v>
      </c>
      <c r="T252" s="9">
        <v>0</v>
      </c>
    </row>
    <row r="253" spans="1:20" x14ac:dyDescent="0.2">
      <c r="A253" s="5" t="s">
        <v>303</v>
      </c>
      <c r="B253" s="5" t="s">
        <v>69</v>
      </c>
      <c r="C253" s="17" t="s">
        <v>671</v>
      </c>
      <c r="D253" s="7">
        <f t="shared" si="0"/>
        <v>1.9</v>
      </c>
      <c r="E253" s="8">
        <v>0</v>
      </c>
      <c r="F253" s="5">
        <v>0</v>
      </c>
      <c r="G253" s="5">
        <v>0</v>
      </c>
      <c r="H253" s="5">
        <v>0</v>
      </c>
      <c r="I253" s="5">
        <v>0</v>
      </c>
      <c r="J253" s="9">
        <v>0</v>
      </c>
      <c r="K253" s="8">
        <v>0</v>
      </c>
      <c r="L253" s="5">
        <v>0</v>
      </c>
      <c r="M253" s="5">
        <v>0</v>
      </c>
      <c r="N253" s="9">
        <v>0</v>
      </c>
      <c r="O253" s="8">
        <v>1</v>
      </c>
      <c r="P253" s="5">
        <v>9</v>
      </c>
      <c r="Q253" s="5">
        <v>0</v>
      </c>
      <c r="R253" s="9">
        <v>0</v>
      </c>
      <c r="S253" s="8">
        <v>0</v>
      </c>
      <c r="T253" s="9">
        <v>0</v>
      </c>
    </row>
    <row r="254" spans="1:20" x14ac:dyDescent="0.2">
      <c r="A254" s="5" t="s">
        <v>347</v>
      </c>
      <c r="B254" s="5" t="s">
        <v>69</v>
      </c>
      <c r="C254" s="17" t="s">
        <v>671</v>
      </c>
      <c r="D254" s="7">
        <f t="shared" si="0"/>
        <v>1.4</v>
      </c>
      <c r="E254" s="8">
        <v>0</v>
      </c>
      <c r="F254" s="5">
        <v>0</v>
      </c>
      <c r="G254" s="5">
        <v>0</v>
      </c>
      <c r="H254" s="5">
        <v>0</v>
      </c>
      <c r="I254" s="5">
        <v>0</v>
      </c>
      <c r="J254" s="9">
        <v>0</v>
      </c>
      <c r="K254" s="8">
        <v>0</v>
      </c>
      <c r="L254" s="5">
        <v>0</v>
      </c>
      <c r="M254" s="5">
        <v>0</v>
      </c>
      <c r="N254" s="9">
        <v>0</v>
      </c>
      <c r="O254" s="8">
        <v>1</v>
      </c>
      <c r="P254" s="5">
        <v>4</v>
      </c>
      <c r="Q254" s="5">
        <v>0</v>
      </c>
      <c r="R254" s="9">
        <v>0</v>
      </c>
      <c r="S254" s="8">
        <v>0</v>
      </c>
      <c r="T254" s="9">
        <v>0</v>
      </c>
    </row>
    <row r="255" spans="1:20" x14ac:dyDescent="0.2">
      <c r="A255" s="5" t="s">
        <v>284</v>
      </c>
      <c r="B255" s="5" t="s">
        <v>69</v>
      </c>
      <c r="C255" s="17" t="s">
        <v>672</v>
      </c>
      <c r="D255" s="7">
        <f t="shared" si="0"/>
        <v>1.7000000000000002</v>
      </c>
      <c r="E255" s="8">
        <v>0</v>
      </c>
      <c r="F255" s="5">
        <v>0</v>
      </c>
      <c r="G255" s="5">
        <v>0</v>
      </c>
      <c r="H255" s="5">
        <v>0</v>
      </c>
      <c r="I255" s="5">
        <v>0</v>
      </c>
      <c r="J255" s="9">
        <v>0</v>
      </c>
      <c r="K255" s="8">
        <v>0</v>
      </c>
      <c r="L255" s="5">
        <v>0</v>
      </c>
      <c r="M255" s="5">
        <v>0</v>
      </c>
      <c r="N255" s="9">
        <v>0</v>
      </c>
      <c r="O255" s="8">
        <v>1</v>
      </c>
      <c r="P255" s="5">
        <v>7</v>
      </c>
      <c r="Q255" s="5">
        <v>0</v>
      </c>
      <c r="R255" s="9">
        <v>0</v>
      </c>
      <c r="S255" s="8">
        <v>0</v>
      </c>
      <c r="T255" s="9">
        <v>0</v>
      </c>
    </row>
    <row r="256" spans="1:20" x14ac:dyDescent="0.2">
      <c r="A256" s="5" t="s">
        <v>583</v>
      </c>
      <c r="B256" s="5" t="s">
        <v>69</v>
      </c>
      <c r="C256" s="17" t="s">
        <v>665</v>
      </c>
      <c r="D256" s="7">
        <f t="shared" si="0"/>
        <v>1.2</v>
      </c>
      <c r="E256" s="8">
        <v>0</v>
      </c>
      <c r="F256" s="5">
        <v>0</v>
      </c>
      <c r="G256" s="5">
        <v>0</v>
      </c>
      <c r="H256" s="5">
        <v>0</v>
      </c>
      <c r="I256" s="5">
        <v>0</v>
      </c>
      <c r="J256" s="9">
        <v>0</v>
      </c>
      <c r="K256" s="8">
        <v>0</v>
      </c>
      <c r="L256" s="5">
        <v>0</v>
      </c>
      <c r="M256" s="5">
        <v>0</v>
      </c>
      <c r="N256" s="9">
        <v>0</v>
      </c>
      <c r="O256" s="8">
        <v>1</v>
      </c>
      <c r="P256" s="5">
        <v>2</v>
      </c>
      <c r="Q256" s="5">
        <v>0</v>
      </c>
      <c r="R256" s="9">
        <v>0</v>
      </c>
      <c r="S256" s="8">
        <v>0</v>
      </c>
      <c r="T256" s="9">
        <v>0</v>
      </c>
    </row>
    <row r="257" spans="1:20" x14ac:dyDescent="0.2">
      <c r="A257" s="5" t="s">
        <v>608</v>
      </c>
      <c r="B257" s="5" t="s">
        <v>69</v>
      </c>
      <c r="C257" s="10" t="s">
        <v>667</v>
      </c>
      <c r="D257" s="7">
        <f t="shared" si="0"/>
        <v>0</v>
      </c>
      <c r="E257" s="8">
        <v>0</v>
      </c>
      <c r="F257" s="5">
        <v>0</v>
      </c>
      <c r="G257" s="5">
        <v>0</v>
      </c>
      <c r="H257" s="5">
        <v>0</v>
      </c>
      <c r="I257" s="5">
        <v>0</v>
      </c>
      <c r="J257" s="9">
        <v>0</v>
      </c>
      <c r="K257" s="8">
        <v>0</v>
      </c>
      <c r="L257" s="5">
        <v>0</v>
      </c>
      <c r="M257" s="5">
        <v>0</v>
      </c>
      <c r="N257" s="9">
        <v>0</v>
      </c>
      <c r="O257" s="8">
        <v>1</v>
      </c>
      <c r="P257" s="5">
        <v>10</v>
      </c>
      <c r="Q257" s="5">
        <v>0</v>
      </c>
      <c r="R257" s="9">
        <v>0</v>
      </c>
      <c r="S257" s="8">
        <v>1</v>
      </c>
      <c r="T257" s="9">
        <v>0</v>
      </c>
    </row>
    <row r="258" spans="1:20" x14ac:dyDescent="0.2">
      <c r="A258" s="5" t="s">
        <v>352</v>
      </c>
      <c r="B258" s="5" t="s">
        <v>69</v>
      </c>
      <c r="C258" s="17" t="s">
        <v>659</v>
      </c>
      <c r="D258" s="7">
        <f t="shared" ref="D258:D262" si="1">0.04*G258+4*H258-2*I258+2*J258+0.1*L258+6*M258+2*N258+1*O258+0.1*P258+6*Q258+2*R258-2*S258</f>
        <v>1.6</v>
      </c>
      <c r="E258" s="8">
        <v>0</v>
      </c>
      <c r="F258" s="5">
        <v>0</v>
      </c>
      <c r="G258" s="5">
        <v>0</v>
      </c>
      <c r="H258" s="5">
        <v>0</v>
      </c>
      <c r="I258" s="5">
        <v>0</v>
      </c>
      <c r="J258" s="9">
        <v>0</v>
      </c>
      <c r="K258" s="8">
        <v>0</v>
      </c>
      <c r="L258" s="5">
        <v>0</v>
      </c>
      <c r="M258" s="5">
        <v>0</v>
      </c>
      <c r="N258" s="9">
        <v>0</v>
      </c>
      <c r="O258" s="8">
        <v>1</v>
      </c>
      <c r="P258" s="5">
        <v>6</v>
      </c>
      <c r="Q258" s="5">
        <v>0</v>
      </c>
      <c r="R258" s="9">
        <v>0</v>
      </c>
      <c r="S258" s="8">
        <v>0</v>
      </c>
      <c r="T258" s="9">
        <v>0</v>
      </c>
    </row>
    <row r="259" spans="1:20" x14ac:dyDescent="0.2">
      <c r="A259" s="5" t="s">
        <v>448</v>
      </c>
      <c r="B259" s="5" t="s">
        <v>69</v>
      </c>
      <c r="C259" s="17" t="s">
        <v>668</v>
      </c>
      <c r="D259" s="7">
        <f t="shared" si="1"/>
        <v>1.3</v>
      </c>
      <c r="E259" s="8">
        <v>0</v>
      </c>
      <c r="F259" s="5">
        <v>0</v>
      </c>
      <c r="G259" s="5">
        <v>0</v>
      </c>
      <c r="H259" s="5">
        <v>0</v>
      </c>
      <c r="I259" s="5">
        <v>0</v>
      </c>
      <c r="J259" s="9">
        <v>0</v>
      </c>
      <c r="K259" s="8">
        <v>0</v>
      </c>
      <c r="L259" s="5">
        <v>0</v>
      </c>
      <c r="M259" s="5">
        <v>0</v>
      </c>
      <c r="N259" s="9">
        <v>0</v>
      </c>
      <c r="O259" s="8">
        <v>1</v>
      </c>
      <c r="P259" s="5">
        <v>3</v>
      </c>
      <c r="Q259" s="5">
        <v>0</v>
      </c>
      <c r="R259" s="9">
        <v>0</v>
      </c>
      <c r="S259" s="8">
        <v>0</v>
      </c>
      <c r="T259" s="9">
        <v>0</v>
      </c>
    </row>
    <row r="260" spans="1:20" x14ac:dyDescent="0.2">
      <c r="A260" s="5" t="s">
        <v>314</v>
      </c>
      <c r="B260" s="5" t="s">
        <v>69</v>
      </c>
      <c r="C260" s="10" t="s">
        <v>663</v>
      </c>
      <c r="D260" s="7">
        <f t="shared" si="1"/>
        <v>1.7000000000000002</v>
      </c>
      <c r="E260" s="8">
        <v>0</v>
      </c>
      <c r="F260" s="5">
        <v>0</v>
      </c>
      <c r="G260" s="5">
        <v>0</v>
      </c>
      <c r="H260" s="5">
        <v>0</v>
      </c>
      <c r="I260" s="5">
        <v>0</v>
      </c>
      <c r="J260" s="9">
        <v>0</v>
      </c>
      <c r="K260" s="8">
        <v>0</v>
      </c>
      <c r="L260" s="5">
        <v>0</v>
      </c>
      <c r="M260" s="5">
        <v>0</v>
      </c>
      <c r="N260" s="9">
        <v>0</v>
      </c>
      <c r="O260" s="8">
        <v>1</v>
      </c>
      <c r="P260" s="5">
        <v>7</v>
      </c>
      <c r="Q260" s="5">
        <v>0</v>
      </c>
      <c r="R260" s="9">
        <v>0</v>
      </c>
      <c r="S260" s="8">
        <v>0</v>
      </c>
      <c r="T260" s="9">
        <v>0</v>
      </c>
    </row>
    <row r="261" spans="1:20" x14ac:dyDescent="0.2">
      <c r="A261" s="5" t="s">
        <v>492</v>
      </c>
      <c r="B261" s="5" t="s">
        <v>69</v>
      </c>
      <c r="C261" s="17" t="s">
        <v>672</v>
      </c>
      <c r="D261" s="7">
        <f t="shared" si="1"/>
        <v>1.8</v>
      </c>
      <c r="E261" s="8">
        <v>0</v>
      </c>
      <c r="F261" s="5">
        <v>0</v>
      </c>
      <c r="G261" s="5">
        <v>0</v>
      </c>
      <c r="H261" s="5">
        <v>0</v>
      </c>
      <c r="I261" s="5">
        <v>0</v>
      </c>
      <c r="J261" s="9">
        <v>0</v>
      </c>
      <c r="K261" s="8">
        <v>0</v>
      </c>
      <c r="L261" s="5">
        <v>0</v>
      </c>
      <c r="M261" s="5">
        <v>0</v>
      </c>
      <c r="N261" s="9">
        <v>0</v>
      </c>
      <c r="O261" s="8">
        <v>1</v>
      </c>
      <c r="P261" s="5">
        <v>8</v>
      </c>
      <c r="Q261" s="5">
        <v>0</v>
      </c>
      <c r="R261" s="9">
        <v>0</v>
      </c>
      <c r="S261" s="8">
        <v>0</v>
      </c>
      <c r="T261" s="9">
        <v>0</v>
      </c>
    </row>
    <row r="262" spans="1:20" x14ac:dyDescent="0.2">
      <c r="A262" s="5" t="s">
        <v>474</v>
      </c>
      <c r="B262" s="5" t="s">
        <v>69</v>
      </c>
      <c r="C262" s="17" t="s">
        <v>659</v>
      </c>
      <c r="D262" s="7">
        <f t="shared" si="1"/>
        <v>1.7000000000000002</v>
      </c>
      <c r="E262" s="8">
        <v>0</v>
      </c>
      <c r="F262" s="5">
        <v>0</v>
      </c>
      <c r="G262" s="5">
        <v>0</v>
      </c>
      <c r="H262" s="5">
        <v>0</v>
      </c>
      <c r="I262" s="5">
        <v>0</v>
      </c>
      <c r="J262" s="9">
        <v>0</v>
      </c>
      <c r="K262" s="8">
        <v>0</v>
      </c>
      <c r="L262" s="5">
        <v>0</v>
      </c>
      <c r="M262" s="5">
        <v>0</v>
      </c>
      <c r="N262" s="9">
        <v>0</v>
      </c>
      <c r="O262" s="8">
        <v>1</v>
      </c>
      <c r="P262" s="5">
        <v>7</v>
      </c>
      <c r="Q262" s="5">
        <v>0</v>
      </c>
      <c r="R262" s="9">
        <v>0</v>
      </c>
      <c r="S262" s="8">
        <v>0</v>
      </c>
      <c r="T262" s="9">
        <v>0</v>
      </c>
    </row>
    <row r="263" spans="1:20" x14ac:dyDescent="0.2">
      <c r="A263" s="5" t="s">
        <v>320</v>
      </c>
      <c r="B263" s="5"/>
      <c r="C263" s="10"/>
      <c r="D263" s="10">
        <v>0</v>
      </c>
      <c r="E263" s="8"/>
      <c r="F263" s="5"/>
      <c r="G263" s="5"/>
      <c r="H263" s="5"/>
      <c r="I263" s="5"/>
      <c r="J263" s="9"/>
      <c r="K263" s="8"/>
      <c r="L263" s="5"/>
      <c r="M263" s="5"/>
      <c r="N263" s="9"/>
      <c r="O263" s="8"/>
      <c r="P263" s="5"/>
      <c r="Q263" s="5"/>
      <c r="R263" s="9"/>
      <c r="S263" s="8"/>
      <c r="T263" s="9"/>
    </row>
    <row r="264" spans="1:20" x14ac:dyDescent="0.2">
      <c r="A264" s="5"/>
      <c r="B264" s="18"/>
      <c r="C264" s="10"/>
      <c r="D264" s="10"/>
      <c r="E264" s="8"/>
      <c r="F264" s="5"/>
      <c r="G264" s="5"/>
      <c r="H264" s="5"/>
      <c r="I264" s="5"/>
      <c r="J264" s="9"/>
      <c r="K264" s="8"/>
      <c r="L264" s="5"/>
      <c r="M264" s="5"/>
      <c r="N264" s="9"/>
      <c r="O264" s="8"/>
      <c r="P264" s="5"/>
      <c r="Q264" s="5"/>
      <c r="R264" s="9"/>
      <c r="S264" s="8"/>
      <c r="T264" s="9"/>
    </row>
    <row r="265" spans="1:20" x14ac:dyDescent="0.2">
      <c r="A265" s="5"/>
      <c r="B265" s="18"/>
      <c r="C265" s="10"/>
      <c r="D265" s="10"/>
      <c r="E265" s="8"/>
      <c r="F265" s="5"/>
      <c r="G265" s="5"/>
      <c r="H265" s="5"/>
      <c r="I265" s="5"/>
      <c r="J265" s="9"/>
      <c r="K265" s="8"/>
      <c r="L265" s="5"/>
      <c r="M265" s="5"/>
      <c r="N265" s="9"/>
      <c r="O265" s="8"/>
      <c r="P265" s="5"/>
      <c r="Q265" s="5"/>
      <c r="R265" s="9"/>
      <c r="S265" s="8"/>
      <c r="T265" s="9"/>
    </row>
    <row r="266" spans="1:20" x14ac:dyDescent="0.2">
      <c r="A266" s="5"/>
      <c r="B266" s="18"/>
      <c r="C266" s="10"/>
      <c r="D266" s="10"/>
      <c r="E266" s="8"/>
      <c r="F266" s="5"/>
      <c r="G266" s="5"/>
      <c r="H266" s="5"/>
      <c r="I266" s="5"/>
      <c r="J266" s="9"/>
      <c r="K266" s="8"/>
      <c r="L266" s="5"/>
      <c r="M266" s="5"/>
      <c r="N266" s="9"/>
      <c r="O266" s="8"/>
      <c r="P266" s="5"/>
      <c r="Q266" s="5"/>
      <c r="R266" s="9"/>
      <c r="S266" s="8"/>
      <c r="T266" s="9"/>
    </row>
    <row r="267" spans="1:20" x14ac:dyDescent="0.2">
      <c r="A267" s="5"/>
      <c r="B267" s="18"/>
      <c r="C267" s="10"/>
      <c r="D267" s="10"/>
      <c r="E267" s="8"/>
      <c r="F267" s="5"/>
      <c r="G267" s="5"/>
      <c r="H267" s="5"/>
      <c r="I267" s="5"/>
      <c r="J267" s="9"/>
      <c r="K267" s="8"/>
      <c r="L267" s="5"/>
      <c r="M267" s="5"/>
      <c r="N267" s="9"/>
      <c r="O267" s="8"/>
      <c r="P267" s="5"/>
      <c r="Q267" s="5"/>
      <c r="R267" s="9"/>
      <c r="S267" s="8"/>
      <c r="T267" s="9"/>
    </row>
    <row r="268" spans="1:20" x14ac:dyDescent="0.2">
      <c r="A268" s="5"/>
      <c r="B268" s="18"/>
      <c r="C268" s="10"/>
      <c r="D268" s="10"/>
      <c r="E268" s="8"/>
      <c r="F268" s="5"/>
      <c r="G268" s="5"/>
      <c r="H268" s="5"/>
      <c r="I268" s="5"/>
      <c r="J268" s="9"/>
      <c r="K268" s="8"/>
      <c r="L268" s="5"/>
      <c r="M268" s="5"/>
      <c r="N268" s="9"/>
      <c r="O268" s="8"/>
      <c r="P268" s="5"/>
      <c r="Q268" s="5"/>
      <c r="R268" s="9"/>
      <c r="S268" s="8"/>
      <c r="T268" s="9"/>
    </row>
    <row r="269" spans="1:20" x14ac:dyDescent="0.2">
      <c r="A269" s="5"/>
      <c r="B269" s="18"/>
      <c r="C269" s="10"/>
      <c r="D269" s="10"/>
      <c r="E269" s="8"/>
      <c r="F269" s="5"/>
      <c r="G269" s="5"/>
      <c r="H269" s="5"/>
      <c r="I269" s="5"/>
      <c r="J269" s="9"/>
      <c r="K269" s="8"/>
      <c r="L269" s="5"/>
      <c r="M269" s="5"/>
      <c r="N269" s="9"/>
      <c r="O269" s="8"/>
      <c r="P269" s="5"/>
      <c r="Q269" s="5"/>
      <c r="R269" s="9"/>
      <c r="S269" s="8"/>
      <c r="T269" s="9"/>
    </row>
    <row r="270" spans="1:20" x14ac:dyDescent="0.2">
      <c r="A270" s="5"/>
      <c r="B270" s="18"/>
      <c r="C270" s="10"/>
      <c r="D270" s="10"/>
      <c r="E270" s="8"/>
      <c r="F270" s="5"/>
      <c r="G270" s="5"/>
      <c r="H270" s="5"/>
      <c r="I270" s="5"/>
      <c r="J270" s="9"/>
      <c r="K270" s="8"/>
      <c r="L270" s="5"/>
      <c r="M270" s="5"/>
      <c r="N270" s="9"/>
      <c r="O270" s="8"/>
      <c r="P270" s="5"/>
      <c r="Q270" s="5"/>
      <c r="R270" s="9"/>
      <c r="S270" s="8"/>
      <c r="T270" s="9"/>
    </row>
  </sheetData>
  <autoFilter ref="A2:T263" xr:uid="{00000000-0009-0000-0000-00000A000000}">
    <sortState xmlns:xlrd2="http://schemas.microsoft.com/office/spreadsheetml/2017/richdata2" ref="A2:T263">
      <sortCondition descending="1" ref="D2:D263"/>
    </sortState>
  </autoFilter>
  <mergeCells count="4">
    <mergeCell ref="E1:J1"/>
    <mergeCell ref="K1:N1"/>
    <mergeCell ref="O1:R1"/>
    <mergeCell ref="S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5703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
      <c r="B1" s="21"/>
      <c r="C1" s="21"/>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2"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48</v>
      </c>
      <c r="B3" s="9" t="s">
        <v>17</v>
      </c>
      <c r="C3" s="9" t="s">
        <v>681</v>
      </c>
      <c r="D3" s="7">
        <f t="shared" ref="D3:D257" si="0">0.04*G3+4*H3-2*I3+2*J3+0.1*L3+6*M3+2*N3+1*O3+0.1*P3+6*Q3+2*R3-2*S3</f>
        <v>39.660000000000004</v>
      </c>
      <c r="E3" s="8">
        <v>51</v>
      </c>
      <c r="F3" s="5">
        <v>29</v>
      </c>
      <c r="G3" s="5">
        <v>339</v>
      </c>
      <c r="H3" s="5">
        <v>2</v>
      </c>
      <c r="I3" s="5">
        <v>1</v>
      </c>
      <c r="J3" s="9">
        <v>0</v>
      </c>
      <c r="K3" s="8">
        <v>9</v>
      </c>
      <c r="L3" s="5">
        <v>81</v>
      </c>
      <c r="M3" s="5">
        <v>2</v>
      </c>
      <c r="N3" s="9">
        <v>0</v>
      </c>
      <c r="O3" s="8">
        <v>0</v>
      </c>
      <c r="P3" s="5">
        <v>0</v>
      </c>
      <c r="Q3" s="5">
        <v>0</v>
      </c>
      <c r="R3" s="9">
        <v>0</v>
      </c>
      <c r="S3" s="8">
        <v>0</v>
      </c>
      <c r="T3" s="9">
        <v>0</v>
      </c>
    </row>
    <row r="4" spans="1:20" x14ac:dyDescent="0.2">
      <c r="A4" s="5" t="s">
        <v>45</v>
      </c>
      <c r="B4" s="9" t="s">
        <v>17</v>
      </c>
      <c r="C4" s="9" t="s">
        <v>681</v>
      </c>
      <c r="D4" s="7">
        <f t="shared" si="0"/>
        <v>34.5</v>
      </c>
      <c r="E4" s="8">
        <v>31</v>
      </c>
      <c r="F4" s="5">
        <v>18</v>
      </c>
      <c r="G4" s="5">
        <v>200</v>
      </c>
      <c r="H4" s="5">
        <v>3</v>
      </c>
      <c r="I4" s="5">
        <v>1</v>
      </c>
      <c r="J4" s="9">
        <v>0</v>
      </c>
      <c r="K4" s="8">
        <v>14</v>
      </c>
      <c r="L4" s="5">
        <v>65</v>
      </c>
      <c r="M4" s="5">
        <v>2</v>
      </c>
      <c r="N4" s="9">
        <v>0</v>
      </c>
      <c r="O4" s="8">
        <v>0</v>
      </c>
      <c r="P4" s="5">
        <v>0</v>
      </c>
      <c r="Q4" s="5">
        <v>0</v>
      </c>
      <c r="R4" s="9">
        <v>0</v>
      </c>
      <c r="S4" s="8">
        <v>1</v>
      </c>
      <c r="T4" s="9">
        <v>0</v>
      </c>
    </row>
    <row r="5" spans="1:20" x14ac:dyDescent="0.2">
      <c r="A5" s="5" t="s">
        <v>59</v>
      </c>
      <c r="B5" s="9" t="s">
        <v>17</v>
      </c>
      <c r="C5" s="9" t="s">
        <v>682</v>
      </c>
      <c r="D5" s="7">
        <f t="shared" si="0"/>
        <v>32.24</v>
      </c>
      <c r="E5" s="8">
        <v>32</v>
      </c>
      <c r="F5" s="5">
        <v>22</v>
      </c>
      <c r="G5" s="5">
        <v>331</v>
      </c>
      <c r="H5" s="5">
        <v>4</v>
      </c>
      <c r="I5" s="5">
        <v>0</v>
      </c>
      <c r="J5" s="9">
        <v>1</v>
      </c>
      <c r="K5" s="8">
        <v>1</v>
      </c>
      <c r="L5" s="5">
        <v>10</v>
      </c>
      <c r="M5" s="5">
        <v>0</v>
      </c>
      <c r="N5" s="9">
        <v>0</v>
      </c>
      <c r="O5" s="8">
        <v>0</v>
      </c>
      <c r="P5" s="5">
        <v>0</v>
      </c>
      <c r="Q5" s="5">
        <v>0</v>
      </c>
      <c r="R5" s="9">
        <v>0</v>
      </c>
      <c r="S5" s="8">
        <v>0</v>
      </c>
      <c r="T5" s="9">
        <v>0</v>
      </c>
    </row>
    <row r="6" spans="1:20" x14ac:dyDescent="0.2">
      <c r="A6" s="5" t="s">
        <v>53</v>
      </c>
      <c r="B6" s="9" t="s">
        <v>17</v>
      </c>
      <c r="C6" s="9" t="s">
        <v>683</v>
      </c>
      <c r="D6" s="7">
        <f t="shared" si="0"/>
        <v>30.86</v>
      </c>
      <c r="E6" s="8">
        <v>36</v>
      </c>
      <c r="F6" s="5">
        <v>26</v>
      </c>
      <c r="G6" s="5">
        <v>304</v>
      </c>
      <c r="H6" s="5">
        <v>2</v>
      </c>
      <c r="I6" s="5">
        <v>0</v>
      </c>
      <c r="J6" s="9">
        <v>0</v>
      </c>
      <c r="K6" s="8">
        <v>6</v>
      </c>
      <c r="L6" s="5">
        <v>47</v>
      </c>
      <c r="M6" s="5">
        <v>1</v>
      </c>
      <c r="N6" s="9">
        <v>0</v>
      </c>
      <c r="O6" s="8">
        <v>0</v>
      </c>
      <c r="P6" s="5">
        <v>0</v>
      </c>
      <c r="Q6" s="5">
        <v>0</v>
      </c>
      <c r="R6" s="9">
        <v>0</v>
      </c>
      <c r="S6" s="8">
        <v>0</v>
      </c>
      <c r="T6" s="9">
        <v>0</v>
      </c>
    </row>
    <row r="7" spans="1:20" x14ac:dyDescent="0.2">
      <c r="A7" s="5" t="s">
        <v>21</v>
      </c>
      <c r="B7" s="9" t="s">
        <v>17</v>
      </c>
      <c r="C7" s="9" t="s">
        <v>684</v>
      </c>
      <c r="D7" s="7">
        <f t="shared" si="0"/>
        <v>26.619999999999997</v>
      </c>
      <c r="E7" s="8">
        <v>32</v>
      </c>
      <c r="F7" s="5">
        <v>22</v>
      </c>
      <c r="G7" s="5">
        <v>268</v>
      </c>
      <c r="H7" s="5">
        <v>3</v>
      </c>
      <c r="I7" s="5">
        <v>0</v>
      </c>
      <c r="J7" s="9">
        <v>0</v>
      </c>
      <c r="K7" s="8">
        <v>3</v>
      </c>
      <c r="L7" s="5">
        <v>39</v>
      </c>
      <c r="M7" s="5">
        <v>0</v>
      </c>
      <c r="N7" s="9">
        <v>0</v>
      </c>
      <c r="O7" s="8">
        <v>0</v>
      </c>
      <c r="P7" s="5">
        <v>0</v>
      </c>
      <c r="Q7" s="5">
        <v>0</v>
      </c>
      <c r="R7" s="9">
        <v>0</v>
      </c>
      <c r="S7" s="8">
        <v>0</v>
      </c>
      <c r="T7" s="9">
        <v>0</v>
      </c>
    </row>
    <row r="8" spans="1:20" x14ac:dyDescent="0.2">
      <c r="A8" s="5" t="s">
        <v>46</v>
      </c>
      <c r="B8" s="9" t="s">
        <v>17</v>
      </c>
      <c r="C8" s="9" t="s">
        <v>685</v>
      </c>
      <c r="D8" s="7">
        <f t="shared" si="0"/>
        <v>23.36</v>
      </c>
      <c r="E8" s="8">
        <v>33</v>
      </c>
      <c r="F8" s="5">
        <v>25</v>
      </c>
      <c r="G8" s="5">
        <v>229</v>
      </c>
      <c r="H8" s="5">
        <v>4</v>
      </c>
      <c r="I8" s="5">
        <v>1</v>
      </c>
      <c r="J8" s="9">
        <v>0</v>
      </c>
      <c r="K8" s="8">
        <v>1</v>
      </c>
      <c r="L8" s="5">
        <v>2</v>
      </c>
      <c r="M8" s="5">
        <v>0</v>
      </c>
      <c r="N8" s="9">
        <v>0</v>
      </c>
      <c r="O8" s="8">
        <v>0</v>
      </c>
      <c r="P8" s="5">
        <v>0</v>
      </c>
      <c r="Q8" s="5">
        <v>0</v>
      </c>
      <c r="R8" s="9">
        <v>0</v>
      </c>
      <c r="S8" s="8">
        <v>0</v>
      </c>
      <c r="T8" s="9">
        <v>0</v>
      </c>
    </row>
    <row r="9" spans="1:20" x14ac:dyDescent="0.2">
      <c r="A9" s="5" t="s">
        <v>32</v>
      </c>
      <c r="B9" s="9" t="s">
        <v>17</v>
      </c>
      <c r="C9" s="9" t="s">
        <v>683</v>
      </c>
      <c r="D9" s="7">
        <f t="shared" si="0"/>
        <v>24.560000000000002</v>
      </c>
      <c r="E9" s="8">
        <v>38</v>
      </c>
      <c r="F9" s="5">
        <v>23</v>
      </c>
      <c r="G9" s="5">
        <v>364</v>
      </c>
      <c r="H9" s="5">
        <v>1</v>
      </c>
      <c r="I9" s="5">
        <v>1</v>
      </c>
      <c r="J9" s="9">
        <v>1</v>
      </c>
      <c r="K9" s="8">
        <v>2</v>
      </c>
      <c r="L9" s="5">
        <v>0</v>
      </c>
      <c r="M9" s="5">
        <v>1</v>
      </c>
      <c r="N9" s="9">
        <v>0</v>
      </c>
      <c r="O9" s="8">
        <v>0</v>
      </c>
      <c r="P9" s="5">
        <v>0</v>
      </c>
      <c r="Q9" s="5">
        <v>0</v>
      </c>
      <c r="R9" s="9">
        <v>0</v>
      </c>
      <c r="S9" s="8">
        <v>0</v>
      </c>
      <c r="T9" s="9">
        <v>0</v>
      </c>
    </row>
    <row r="10" spans="1:20" x14ac:dyDescent="0.2">
      <c r="A10" s="5" t="s">
        <v>44</v>
      </c>
      <c r="B10" s="9" t="s">
        <v>17</v>
      </c>
      <c r="C10" s="9" t="s">
        <v>684</v>
      </c>
      <c r="D10" s="7">
        <f t="shared" si="0"/>
        <v>18.18</v>
      </c>
      <c r="E10" s="8">
        <v>44</v>
      </c>
      <c r="F10" s="5">
        <v>29</v>
      </c>
      <c r="G10" s="5">
        <v>332</v>
      </c>
      <c r="H10" s="5">
        <v>2</v>
      </c>
      <c r="I10" s="5">
        <v>0</v>
      </c>
      <c r="J10" s="9">
        <v>1</v>
      </c>
      <c r="K10" s="8">
        <v>3</v>
      </c>
      <c r="L10" s="5">
        <v>9</v>
      </c>
      <c r="M10" s="5">
        <v>0</v>
      </c>
      <c r="N10" s="9">
        <v>0</v>
      </c>
      <c r="O10" s="8">
        <v>0</v>
      </c>
      <c r="P10" s="5">
        <v>0</v>
      </c>
      <c r="Q10" s="5">
        <v>0</v>
      </c>
      <c r="R10" s="9">
        <v>0</v>
      </c>
      <c r="S10" s="8">
        <v>3</v>
      </c>
      <c r="T10" s="9">
        <v>0</v>
      </c>
    </row>
    <row r="11" spans="1:20" x14ac:dyDescent="0.2">
      <c r="A11" s="5" t="s">
        <v>23</v>
      </c>
      <c r="B11" s="9" t="s">
        <v>17</v>
      </c>
      <c r="C11" s="9" t="s">
        <v>686</v>
      </c>
      <c r="D11" s="7">
        <f t="shared" si="0"/>
        <v>20.82</v>
      </c>
      <c r="E11" s="8">
        <v>34</v>
      </c>
      <c r="F11" s="5">
        <v>27</v>
      </c>
      <c r="G11" s="5">
        <v>298</v>
      </c>
      <c r="H11" s="5">
        <v>2</v>
      </c>
      <c r="I11" s="5">
        <v>0</v>
      </c>
      <c r="J11" s="9">
        <v>0</v>
      </c>
      <c r="K11" s="8">
        <v>5</v>
      </c>
      <c r="L11" s="5">
        <v>9</v>
      </c>
      <c r="M11" s="5">
        <v>0</v>
      </c>
      <c r="N11" s="9">
        <v>0</v>
      </c>
      <c r="O11" s="8">
        <v>0</v>
      </c>
      <c r="P11" s="5">
        <v>0</v>
      </c>
      <c r="Q11" s="5">
        <v>0</v>
      </c>
      <c r="R11" s="9">
        <v>0</v>
      </c>
      <c r="S11" s="8">
        <v>0</v>
      </c>
      <c r="T11" s="9">
        <v>0</v>
      </c>
    </row>
    <row r="12" spans="1:20" x14ac:dyDescent="0.2">
      <c r="A12" s="5" t="s">
        <v>642</v>
      </c>
      <c r="B12" s="9" t="s">
        <v>17</v>
      </c>
      <c r="C12" s="9" t="s">
        <v>685</v>
      </c>
      <c r="D12" s="7">
        <f t="shared" si="0"/>
        <v>20.439999999999998</v>
      </c>
      <c r="E12" s="8">
        <v>45</v>
      </c>
      <c r="F12" s="5">
        <v>27</v>
      </c>
      <c r="G12" s="5">
        <v>256</v>
      </c>
      <c r="H12" s="5">
        <v>1</v>
      </c>
      <c r="I12" s="5">
        <v>0</v>
      </c>
      <c r="J12" s="9">
        <v>0</v>
      </c>
      <c r="K12" s="8">
        <v>1</v>
      </c>
      <c r="L12" s="5">
        <v>2</v>
      </c>
      <c r="M12" s="5">
        <v>1</v>
      </c>
      <c r="N12" s="9">
        <v>0</v>
      </c>
      <c r="O12" s="8">
        <v>0</v>
      </c>
      <c r="P12" s="5">
        <v>0</v>
      </c>
      <c r="Q12" s="5">
        <v>0</v>
      </c>
      <c r="R12" s="9">
        <v>0</v>
      </c>
      <c r="S12" s="8">
        <v>0</v>
      </c>
      <c r="T12" s="9">
        <v>0</v>
      </c>
    </row>
    <row r="13" spans="1:20" x14ac:dyDescent="0.2">
      <c r="A13" s="5" t="s">
        <v>38</v>
      </c>
      <c r="B13" s="9" t="s">
        <v>17</v>
      </c>
      <c r="C13" s="9" t="s">
        <v>687</v>
      </c>
      <c r="D13" s="7">
        <f t="shared" si="0"/>
        <v>16.759999999999998</v>
      </c>
      <c r="E13" s="8">
        <v>22</v>
      </c>
      <c r="F13" s="5">
        <v>13</v>
      </c>
      <c r="G13" s="5">
        <v>134</v>
      </c>
      <c r="H13" s="5">
        <v>1</v>
      </c>
      <c r="I13" s="5">
        <v>0</v>
      </c>
      <c r="J13" s="9">
        <v>0</v>
      </c>
      <c r="K13" s="8">
        <v>11</v>
      </c>
      <c r="L13" s="5">
        <v>34</v>
      </c>
      <c r="M13" s="5">
        <v>1</v>
      </c>
      <c r="N13" s="9">
        <v>0</v>
      </c>
      <c r="O13" s="8">
        <v>0</v>
      </c>
      <c r="P13" s="5">
        <v>0</v>
      </c>
      <c r="Q13" s="5">
        <v>0</v>
      </c>
      <c r="R13" s="9">
        <v>0</v>
      </c>
      <c r="S13" s="8">
        <v>1</v>
      </c>
      <c r="T13" s="9">
        <v>0</v>
      </c>
    </row>
    <row r="14" spans="1:20" x14ac:dyDescent="0.2">
      <c r="A14" s="5" t="s">
        <v>39</v>
      </c>
      <c r="B14" s="9" t="s">
        <v>17</v>
      </c>
      <c r="C14" s="9" t="s">
        <v>682</v>
      </c>
      <c r="D14" s="7">
        <f t="shared" si="0"/>
        <v>17.3</v>
      </c>
      <c r="E14" s="8">
        <v>44</v>
      </c>
      <c r="F14" s="5">
        <v>28</v>
      </c>
      <c r="G14" s="5">
        <v>300</v>
      </c>
      <c r="H14" s="5">
        <v>0</v>
      </c>
      <c r="I14" s="5">
        <v>1</v>
      </c>
      <c r="J14" s="9">
        <v>0</v>
      </c>
      <c r="K14" s="8">
        <v>2</v>
      </c>
      <c r="L14" s="5">
        <v>13</v>
      </c>
      <c r="M14" s="5">
        <v>1</v>
      </c>
      <c r="N14" s="9">
        <v>0</v>
      </c>
      <c r="O14" s="8">
        <v>0</v>
      </c>
      <c r="P14" s="5">
        <v>0</v>
      </c>
      <c r="Q14" s="5">
        <v>0</v>
      </c>
      <c r="R14" s="9">
        <v>0</v>
      </c>
      <c r="S14" s="8">
        <v>0</v>
      </c>
      <c r="T14" s="9">
        <v>0</v>
      </c>
    </row>
    <row r="15" spans="1:20" x14ac:dyDescent="0.2">
      <c r="A15" s="5" t="s">
        <v>37</v>
      </c>
      <c r="B15" s="9" t="s">
        <v>17</v>
      </c>
      <c r="C15" s="9" t="s">
        <v>688</v>
      </c>
      <c r="D15" s="7">
        <f t="shared" si="0"/>
        <v>13.360000000000001</v>
      </c>
      <c r="E15" s="8">
        <v>30</v>
      </c>
      <c r="F15" s="5">
        <v>20</v>
      </c>
      <c r="G15" s="5">
        <v>199</v>
      </c>
      <c r="H15" s="5">
        <v>2</v>
      </c>
      <c r="I15" s="5">
        <v>1</v>
      </c>
      <c r="J15" s="9">
        <v>0</v>
      </c>
      <c r="K15" s="8">
        <v>3</v>
      </c>
      <c r="L15" s="5">
        <v>14</v>
      </c>
      <c r="M15" s="5">
        <v>0</v>
      </c>
      <c r="N15" s="9">
        <v>0</v>
      </c>
      <c r="O15" s="8">
        <v>0</v>
      </c>
      <c r="P15" s="5">
        <v>0</v>
      </c>
      <c r="Q15" s="5">
        <v>0</v>
      </c>
      <c r="R15" s="9">
        <v>0</v>
      </c>
      <c r="S15" s="8">
        <v>1</v>
      </c>
      <c r="T15" s="9">
        <v>0</v>
      </c>
    </row>
    <row r="16" spans="1:20" x14ac:dyDescent="0.2">
      <c r="A16" s="5" t="s">
        <v>58</v>
      </c>
      <c r="B16" s="9" t="s">
        <v>17</v>
      </c>
      <c r="C16" s="9" t="s">
        <v>689</v>
      </c>
      <c r="D16" s="7">
        <f t="shared" si="0"/>
        <v>14.98</v>
      </c>
      <c r="E16" s="8">
        <v>32</v>
      </c>
      <c r="F16" s="5">
        <v>18</v>
      </c>
      <c r="G16" s="5">
        <v>177</v>
      </c>
      <c r="H16" s="5">
        <v>1</v>
      </c>
      <c r="I16" s="5">
        <v>0</v>
      </c>
      <c r="J16" s="9">
        <v>0</v>
      </c>
      <c r="K16" s="8">
        <v>11</v>
      </c>
      <c r="L16" s="5">
        <v>39</v>
      </c>
      <c r="M16" s="5">
        <v>0</v>
      </c>
      <c r="N16" s="9">
        <v>0</v>
      </c>
      <c r="O16" s="8">
        <v>0</v>
      </c>
      <c r="P16" s="5">
        <v>0</v>
      </c>
      <c r="Q16" s="5">
        <v>0</v>
      </c>
      <c r="R16" s="9">
        <v>0</v>
      </c>
      <c r="S16" s="8">
        <v>0</v>
      </c>
      <c r="T16" s="9">
        <v>0</v>
      </c>
    </row>
    <row r="17" spans="1:20" x14ac:dyDescent="0.2">
      <c r="A17" s="5" t="s">
        <v>25</v>
      </c>
      <c r="B17" s="9" t="s">
        <v>17</v>
      </c>
      <c r="C17" s="9" t="s">
        <v>689</v>
      </c>
      <c r="D17" s="7">
        <f t="shared" si="0"/>
        <v>13.379999999999999</v>
      </c>
      <c r="E17" s="8">
        <v>44</v>
      </c>
      <c r="F17" s="5">
        <v>29</v>
      </c>
      <c r="G17" s="5">
        <v>217</v>
      </c>
      <c r="H17" s="5">
        <v>1</v>
      </c>
      <c r="I17" s="5">
        <v>1</v>
      </c>
      <c r="J17" s="9">
        <v>0</v>
      </c>
      <c r="K17" s="8">
        <v>4</v>
      </c>
      <c r="L17" s="5">
        <v>47</v>
      </c>
      <c r="M17" s="5">
        <v>0</v>
      </c>
      <c r="N17" s="9">
        <v>0</v>
      </c>
      <c r="O17" s="8">
        <v>0</v>
      </c>
      <c r="P17" s="5">
        <v>0</v>
      </c>
      <c r="Q17" s="5">
        <v>0</v>
      </c>
      <c r="R17" s="9">
        <v>0</v>
      </c>
      <c r="S17" s="8">
        <v>1</v>
      </c>
      <c r="T17" s="9">
        <v>0</v>
      </c>
    </row>
    <row r="18" spans="1:20" x14ac:dyDescent="0.2">
      <c r="A18" s="5" t="s">
        <v>476</v>
      </c>
      <c r="B18" s="9" t="s">
        <v>17</v>
      </c>
      <c r="C18" s="9" t="s">
        <v>686</v>
      </c>
      <c r="D18" s="7">
        <f t="shared" si="0"/>
        <v>13.92</v>
      </c>
      <c r="E18" s="8">
        <v>33</v>
      </c>
      <c r="F18" s="5">
        <v>23</v>
      </c>
      <c r="G18" s="5">
        <v>248</v>
      </c>
      <c r="H18" s="5">
        <v>1</v>
      </c>
      <c r="I18" s="5">
        <v>0</v>
      </c>
      <c r="J18" s="9">
        <v>0</v>
      </c>
      <c r="K18" s="8">
        <v>0</v>
      </c>
      <c r="L18" s="5">
        <v>0</v>
      </c>
      <c r="M18" s="5">
        <v>0</v>
      </c>
      <c r="N18" s="9">
        <v>0</v>
      </c>
      <c r="O18" s="8">
        <v>0</v>
      </c>
      <c r="P18" s="5">
        <v>0</v>
      </c>
      <c r="Q18" s="5">
        <v>0</v>
      </c>
      <c r="R18" s="9">
        <v>0</v>
      </c>
      <c r="S18" s="8">
        <v>0</v>
      </c>
      <c r="T18" s="9">
        <v>0</v>
      </c>
    </row>
    <row r="19" spans="1:20" x14ac:dyDescent="0.2">
      <c r="A19" s="5" t="s">
        <v>70</v>
      </c>
      <c r="B19" s="9" t="s">
        <v>17</v>
      </c>
      <c r="C19" s="9" t="s">
        <v>688</v>
      </c>
      <c r="D19" s="7">
        <f t="shared" si="0"/>
        <v>14.64</v>
      </c>
      <c r="E19" s="8">
        <v>41</v>
      </c>
      <c r="F19" s="5">
        <v>24</v>
      </c>
      <c r="G19" s="5">
        <v>251</v>
      </c>
      <c r="H19" s="5">
        <v>0</v>
      </c>
      <c r="I19" s="5">
        <v>1</v>
      </c>
      <c r="J19" s="9">
        <v>0</v>
      </c>
      <c r="K19" s="8">
        <v>3</v>
      </c>
      <c r="L19" s="5">
        <v>6</v>
      </c>
      <c r="M19" s="5">
        <v>1</v>
      </c>
      <c r="N19" s="9">
        <v>0</v>
      </c>
      <c r="O19" s="8">
        <v>0</v>
      </c>
      <c r="P19" s="5">
        <v>0</v>
      </c>
      <c r="Q19" s="5">
        <v>0</v>
      </c>
      <c r="R19" s="9">
        <v>0</v>
      </c>
      <c r="S19" s="8">
        <v>0</v>
      </c>
      <c r="T19" s="9">
        <v>0</v>
      </c>
    </row>
    <row r="20" spans="1:20" x14ac:dyDescent="0.2">
      <c r="A20" s="5" t="s">
        <v>65</v>
      </c>
      <c r="B20" s="9" t="s">
        <v>17</v>
      </c>
      <c r="C20" s="9" t="s">
        <v>690</v>
      </c>
      <c r="D20" s="7">
        <f t="shared" si="0"/>
        <v>11.98</v>
      </c>
      <c r="E20" s="8">
        <v>26</v>
      </c>
      <c r="F20" s="5">
        <v>19</v>
      </c>
      <c r="G20" s="5">
        <v>227</v>
      </c>
      <c r="H20" s="5">
        <v>1</v>
      </c>
      <c r="I20" s="5">
        <v>1</v>
      </c>
      <c r="J20" s="9">
        <v>0</v>
      </c>
      <c r="K20" s="8">
        <v>3</v>
      </c>
      <c r="L20" s="5">
        <v>9</v>
      </c>
      <c r="M20" s="5">
        <v>0</v>
      </c>
      <c r="N20" s="9">
        <v>0</v>
      </c>
      <c r="O20" s="8">
        <v>0</v>
      </c>
      <c r="P20" s="5">
        <v>0</v>
      </c>
      <c r="Q20" s="5">
        <v>0</v>
      </c>
      <c r="R20" s="9">
        <v>0</v>
      </c>
      <c r="S20" s="8">
        <v>0</v>
      </c>
      <c r="T20" s="9">
        <v>0</v>
      </c>
    </row>
    <row r="21" spans="1:20" x14ac:dyDescent="0.2">
      <c r="A21" s="5" t="s">
        <v>496</v>
      </c>
      <c r="B21" s="9" t="s">
        <v>17</v>
      </c>
      <c r="C21" s="9" t="s">
        <v>687</v>
      </c>
      <c r="D21" s="7">
        <f t="shared" si="0"/>
        <v>11.459999999999999</v>
      </c>
      <c r="E21" s="8">
        <v>29</v>
      </c>
      <c r="F21" s="5">
        <v>14</v>
      </c>
      <c r="G21" s="5">
        <v>134</v>
      </c>
      <c r="H21" s="5">
        <v>1</v>
      </c>
      <c r="I21" s="5">
        <v>0</v>
      </c>
      <c r="J21" s="9">
        <v>0</v>
      </c>
      <c r="K21" s="8">
        <v>5</v>
      </c>
      <c r="L21" s="5">
        <v>21</v>
      </c>
      <c r="M21" s="5">
        <v>0</v>
      </c>
      <c r="N21" s="9">
        <v>0</v>
      </c>
      <c r="O21" s="8">
        <v>0</v>
      </c>
      <c r="P21" s="5">
        <v>0</v>
      </c>
      <c r="Q21" s="5">
        <v>0</v>
      </c>
      <c r="R21" s="9">
        <v>0</v>
      </c>
      <c r="S21" s="8">
        <v>0</v>
      </c>
      <c r="T21" s="9">
        <v>0</v>
      </c>
    </row>
    <row r="22" spans="1:20" x14ac:dyDescent="0.2">
      <c r="A22" s="5" t="s">
        <v>605</v>
      </c>
      <c r="B22" s="9" t="s">
        <v>17</v>
      </c>
      <c r="C22" s="9" t="s">
        <v>691</v>
      </c>
      <c r="D22" s="7">
        <f t="shared" si="0"/>
        <v>10.24</v>
      </c>
      <c r="E22" s="8">
        <v>25</v>
      </c>
      <c r="F22" s="5">
        <v>17</v>
      </c>
      <c r="G22" s="5">
        <v>191</v>
      </c>
      <c r="H22" s="5">
        <v>1</v>
      </c>
      <c r="I22" s="5">
        <v>0</v>
      </c>
      <c r="J22" s="9">
        <v>0</v>
      </c>
      <c r="K22" s="8">
        <v>5</v>
      </c>
      <c r="L22" s="5">
        <v>6</v>
      </c>
      <c r="M22" s="5">
        <v>0</v>
      </c>
      <c r="N22" s="9">
        <v>0</v>
      </c>
      <c r="O22" s="8">
        <v>0</v>
      </c>
      <c r="P22" s="5">
        <v>0</v>
      </c>
      <c r="Q22" s="5">
        <v>0</v>
      </c>
      <c r="R22" s="9">
        <v>0</v>
      </c>
      <c r="S22" s="8">
        <v>1</v>
      </c>
      <c r="T22" s="9">
        <v>0</v>
      </c>
    </row>
    <row r="23" spans="1:20" x14ac:dyDescent="0.2">
      <c r="A23" s="5" t="s">
        <v>33</v>
      </c>
      <c r="B23" s="9" t="s">
        <v>17</v>
      </c>
      <c r="C23" s="9" t="s">
        <v>692</v>
      </c>
      <c r="D23" s="7">
        <f t="shared" si="0"/>
        <v>10.459999999999999</v>
      </c>
      <c r="E23" s="8">
        <v>30</v>
      </c>
      <c r="F23" s="5">
        <v>21</v>
      </c>
      <c r="G23" s="5">
        <v>209</v>
      </c>
      <c r="H23" s="5">
        <v>1</v>
      </c>
      <c r="I23" s="5">
        <v>1</v>
      </c>
      <c r="J23" s="9">
        <v>0</v>
      </c>
      <c r="K23" s="8">
        <v>3</v>
      </c>
      <c r="L23" s="5">
        <v>1</v>
      </c>
      <c r="M23" s="5">
        <v>0</v>
      </c>
      <c r="N23" s="9">
        <v>0</v>
      </c>
      <c r="O23" s="8">
        <v>0</v>
      </c>
      <c r="P23" s="5">
        <v>0</v>
      </c>
      <c r="Q23" s="5">
        <v>0</v>
      </c>
      <c r="R23" s="9">
        <v>0</v>
      </c>
      <c r="S23" s="8">
        <v>0</v>
      </c>
      <c r="T23" s="9">
        <v>0</v>
      </c>
    </row>
    <row r="24" spans="1:20" x14ac:dyDescent="0.2">
      <c r="A24" s="5" t="s">
        <v>43</v>
      </c>
      <c r="B24" s="9" t="s">
        <v>17</v>
      </c>
      <c r="C24" s="9" t="s">
        <v>693</v>
      </c>
      <c r="D24" s="7">
        <f t="shared" si="0"/>
        <v>10.58</v>
      </c>
      <c r="E24" s="8">
        <v>37</v>
      </c>
      <c r="F24" s="5">
        <v>27</v>
      </c>
      <c r="G24" s="5">
        <v>217</v>
      </c>
      <c r="H24" s="5">
        <v>0</v>
      </c>
      <c r="I24" s="5">
        <v>0</v>
      </c>
      <c r="J24" s="9">
        <v>0</v>
      </c>
      <c r="K24" s="8">
        <v>12</v>
      </c>
      <c r="L24" s="5">
        <v>59</v>
      </c>
      <c r="M24" s="5">
        <v>0</v>
      </c>
      <c r="N24" s="9">
        <v>0</v>
      </c>
      <c r="O24" s="8">
        <v>0</v>
      </c>
      <c r="P24" s="5">
        <v>0</v>
      </c>
      <c r="Q24" s="5">
        <v>0</v>
      </c>
      <c r="R24" s="9">
        <v>0</v>
      </c>
      <c r="S24" s="8">
        <v>2</v>
      </c>
      <c r="T24" s="9">
        <v>0</v>
      </c>
    </row>
    <row r="25" spans="1:20" x14ac:dyDescent="0.2">
      <c r="A25" s="5" t="s">
        <v>50</v>
      </c>
      <c r="B25" s="9" t="s">
        <v>17</v>
      </c>
      <c r="C25" s="9" t="s">
        <v>690</v>
      </c>
      <c r="D25" s="7">
        <f t="shared" si="0"/>
        <v>11.620000000000001</v>
      </c>
      <c r="E25" s="8">
        <v>33</v>
      </c>
      <c r="F25" s="5">
        <v>24</v>
      </c>
      <c r="G25" s="5">
        <v>278</v>
      </c>
      <c r="H25" s="5">
        <v>0</v>
      </c>
      <c r="I25" s="5">
        <v>0</v>
      </c>
      <c r="J25" s="9">
        <v>0</v>
      </c>
      <c r="K25" s="8">
        <v>5</v>
      </c>
      <c r="L25" s="5">
        <v>5</v>
      </c>
      <c r="M25" s="5">
        <v>0</v>
      </c>
      <c r="N25" s="9">
        <v>0</v>
      </c>
      <c r="O25" s="8">
        <v>0</v>
      </c>
      <c r="P25" s="5">
        <v>0</v>
      </c>
      <c r="Q25" s="5">
        <v>0</v>
      </c>
      <c r="R25" s="9">
        <v>0</v>
      </c>
      <c r="S25" s="8">
        <v>0</v>
      </c>
      <c r="T25" s="9">
        <v>0</v>
      </c>
    </row>
    <row r="26" spans="1:20" x14ac:dyDescent="0.2">
      <c r="A26" s="5" t="s">
        <v>51</v>
      </c>
      <c r="B26" s="9" t="s">
        <v>17</v>
      </c>
      <c r="C26" s="9" t="s">
        <v>694</v>
      </c>
      <c r="D26" s="7">
        <f t="shared" si="0"/>
        <v>9.7199999999999989</v>
      </c>
      <c r="E26" s="8">
        <v>21</v>
      </c>
      <c r="F26" s="5">
        <v>13</v>
      </c>
      <c r="G26" s="5">
        <v>168</v>
      </c>
      <c r="H26" s="5">
        <v>1</v>
      </c>
      <c r="I26" s="5">
        <v>2</v>
      </c>
      <c r="J26" s="9">
        <v>0</v>
      </c>
      <c r="K26" s="8">
        <v>7</v>
      </c>
      <c r="L26" s="5">
        <v>30</v>
      </c>
      <c r="M26" s="5">
        <v>0</v>
      </c>
      <c r="N26" s="9">
        <v>0</v>
      </c>
      <c r="O26" s="8">
        <v>0</v>
      </c>
      <c r="P26" s="5">
        <v>0</v>
      </c>
      <c r="Q26" s="5">
        <v>0</v>
      </c>
      <c r="R26" s="9">
        <v>0</v>
      </c>
      <c r="S26" s="8">
        <v>0</v>
      </c>
      <c r="T26" s="9">
        <v>0</v>
      </c>
    </row>
    <row r="27" spans="1:20" x14ac:dyDescent="0.2">
      <c r="A27" s="5" t="s">
        <v>41</v>
      </c>
      <c r="B27" s="9" t="s">
        <v>17</v>
      </c>
      <c r="C27" s="9" t="s">
        <v>694</v>
      </c>
      <c r="D27" s="7">
        <f t="shared" si="0"/>
        <v>10.86</v>
      </c>
      <c r="E27" s="8">
        <v>38</v>
      </c>
      <c r="F27" s="5">
        <v>24</v>
      </c>
      <c r="G27" s="5">
        <v>304</v>
      </c>
      <c r="H27" s="5">
        <v>0</v>
      </c>
      <c r="I27" s="5">
        <v>1</v>
      </c>
      <c r="J27" s="9">
        <v>0</v>
      </c>
      <c r="K27" s="8">
        <v>2</v>
      </c>
      <c r="L27" s="5">
        <v>7</v>
      </c>
      <c r="M27" s="5">
        <v>0</v>
      </c>
      <c r="N27" s="9">
        <v>0</v>
      </c>
      <c r="O27" s="8">
        <v>0</v>
      </c>
      <c r="P27" s="5">
        <v>0</v>
      </c>
      <c r="Q27" s="5">
        <v>0</v>
      </c>
      <c r="R27" s="9">
        <v>0</v>
      </c>
      <c r="S27" s="8">
        <v>0</v>
      </c>
      <c r="T27" s="9">
        <v>0</v>
      </c>
    </row>
    <row r="28" spans="1:20" x14ac:dyDescent="0.2">
      <c r="A28" s="5" t="s">
        <v>16</v>
      </c>
      <c r="B28" s="9" t="s">
        <v>17</v>
      </c>
      <c r="C28" s="9" t="s">
        <v>695</v>
      </c>
      <c r="D28" s="7">
        <f t="shared" si="0"/>
        <v>7.82</v>
      </c>
      <c r="E28" s="8">
        <v>30</v>
      </c>
      <c r="F28" s="5">
        <v>21</v>
      </c>
      <c r="G28" s="5">
        <v>243</v>
      </c>
      <c r="H28" s="5">
        <v>1</v>
      </c>
      <c r="I28" s="5">
        <v>2</v>
      </c>
      <c r="J28" s="9">
        <v>0</v>
      </c>
      <c r="K28" s="8">
        <v>2</v>
      </c>
      <c r="L28" s="5">
        <v>1</v>
      </c>
      <c r="M28" s="5">
        <v>0</v>
      </c>
      <c r="N28" s="9">
        <v>0</v>
      </c>
      <c r="O28" s="8">
        <v>0</v>
      </c>
      <c r="P28" s="5">
        <v>0</v>
      </c>
      <c r="Q28" s="5">
        <v>0</v>
      </c>
      <c r="R28" s="9">
        <v>0</v>
      </c>
      <c r="S28" s="8">
        <v>1</v>
      </c>
      <c r="T28" s="9">
        <v>0</v>
      </c>
    </row>
    <row r="29" spans="1:20" x14ac:dyDescent="0.2">
      <c r="A29" s="5" t="s">
        <v>674</v>
      </c>
      <c r="B29" s="9" t="s">
        <v>17</v>
      </c>
      <c r="C29" s="9" t="s">
        <v>695</v>
      </c>
      <c r="D29" s="7">
        <f t="shared" si="0"/>
        <v>7.36</v>
      </c>
      <c r="E29" s="8">
        <v>38</v>
      </c>
      <c r="F29" s="5">
        <v>27</v>
      </c>
      <c r="G29" s="5">
        <v>179</v>
      </c>
      <c r="H29" s="5">
        <v>1</v>
      </c>
      <c r="I29" s="5">
        <v>2</v>
      </c>
      <c r="J29" s="9">
        <v>0</v>
      </c>
      <c r="K29" s="8">
        <v>2</v>
      </c>
      <c r="L29" s="5">
        <v>2</v>
      </c>
      <c r="M29" s="5">
        <v>0</v>
      </c>
      <c r="N29" s="9">
        <v>0</v>
      </c>
      <c r="O29" s="8">
        <v>0</v>
      </c>
      <c r="P29" s="5">
        <v>0</v>
      </c>
      <c r="Q29" s="5">
        <v>0</v>
      </c>
      <c r="R29" s="9">
        <v>0</v>
      </c>
      <c r="S29" s="8">
        <v>0</v>
      </c>
      <c r="T29" s="9">
        <v>0</v>
      </c>
    </row>
    <row r="30" spans="1:20" x14ac:dyDescent="0.2">
      <c r="A30" s="5" t="s">
        <v>57</v>
      </c>
      <c r="B30" s="9" t="s">
        <v>17</v>
      </c>
      <c r="C30" s="9" t="s">
        <v>696</v>
      </c>
      <c r="D30" s="7">
        <f t="shared" si="0"/>
        <v>8.06</v>
      </c>
      <c r="E30" s="8">
        <v>31</v>
      </c>
      <c r="F30" s="5">
        <v>18</v>
      </c>
      <c r="G30" s="5">
        <v>194</v>
      </c>
      <c r="H30" s="5">
        <v>0</v>
      </c>
      <c r="I30" s="5">
        <v>0</v>
      </c>
      <c r="J30" s="9">
        <v>0</v>
      </c>
      <c r="K30" s="8">
        <v>3</v>
      </c>
      <c r="L30" s="5">
        <v>23</v>
      </c>
      <c r="M30" s="5">
        <v>0</v>
      </c>
      <c r="N30" s="9">
        <v>0</v>
      </c>
      <c r="O30" s="8">
        <v>0</v>
      </c>
      <c r="P30" s="5">
        <v>0</v>
      </c>
      <c r="Q30" s="5">
        <v>0</v>
      </c>
      <c r="R30" s="9">
        <v>0</v>
      </c>
      <c r="S30" s="8">
        <v>1</v>
      </c>
      <c r="T30" s="9">
        <v>0</v>
      </c>
    </row>
    <row r="31" spans="1:20" x14ac:dyDescent="0.2">
      <c r="A31" s="5" t="s">
        <v>594</v>
      </c>
      <c r="B31" s="9" t="s">
        <v>17</v>
      </c>
      <c r="C31" s="9" t="s">
        <v>696</v>
      </c>
      <c r="D31" s="7">
        <f t="shared" si="0"/>
        <v>7.1000000000000005</v>
      </c>
      <c r="E31" s="8">
        <v>28</v>
      </c>
      <c r="F31" s="5">
        <v>18</v>
      </c>
      <c r="G31" s="5">
        <v>185</v>
      </c>
      <c r="H31" s="5">
        <v>0</v>
      </c>
      <c r="I31" s="5">
        <v>0</v>
      </c>
      <c r="J31" s="9">
        <v>0</v>
      </c>
      <c r="K31" s="8">
        <v>3</v>
      </c>
      <c r="L31" s="5">
        <v>-3</v>
      </c>
      <c r="M31" s="5">
        <v>0</v>
      </c>
      <c r="N31" s="9">
        <v>0</v>
      </c>
      <c r="O31" s="8">
        <v>0</v>
      </c>
      <c r="P31" s="5">
        <v>0</v>
      </c>
      <c r="Q31" s="5">
        <v>0</v>
      </c>
      <c r="R31" s="9">
        <v>0</v>
      </c>
      <c r="S31" s="8">
        <v>0</v>
      </c>
      <c r="T31" s="9">
        <v>0</v>
      </c>
    </row>
    <row r="32" spans="1:20" x14ac:dyDescent="0.2">
      <c r="A32" s="5" t="s">
        <v>55</v>
      </c>
      <c r="B32" s="9" t="s">
        <v>17</v>
      </c>
      <c r="C32" s="9" t="s">
        <v>692</v>
      </c>
      <c r="D32" s="7">
        <f t="shared" si="0"/>
        <v>7.3000000000000007</v>
      </c>
      <c r="E32" s="8">
        <v>27</v>
      </c>
      <c r="F32" s="5">
        <v>18</v>
      </c>
      <c r="G32" s="5">
        <v>180</v>
      </c>
      <c r="H32" s="5">
        <v>0</v>
      </c>
      <c r="I32" s="5">
        <v>1</v>
      </c>
      <c r="J32" s="9">
        <v>0</v>
      </c>
      <c r="K32" s="8">
        <v>4</v>
      </c>
      <c r="L32" s="5">
        <v>21</v>
      </c>
      <c r="M32" s="5">
        <v>0</v>
      </c>
      <c r="N32" s="9">
        <v>0</v>
      </c>
      <c r="O32" s="8">
        <v>0</v>
      </c>
      <c r="P32" s="5">
        <v>0</v>
      </c>
      <c r="Q32" s="5">
        <v>0</v>
      </c>
      <c r="R32" s="9">
        <v>0</v>
      </c>
      <c r="S32" s="8">
        <v>0</v>
      </c>
      <c r="T32" s="9">
        <v>0</v>
      </c>
    </row>
    <row r="33" spans="1:20" x14ac:dyDescent="0.2">
      <c r="A33" s="5" t="s">
        <v>63</v>
      </c>
      <c r="B33" s="9" t="s">
        <v>17</v>
      </c>
      <c r="C33" s="9" t="s">
        <v>693</v>
      </c>
      <c r="D33" s="7">
        <f t="shared" si="0"/>
        <v>4.5</v>
      </c>
      <c r="E33" s="8">
        <v>32</v>
      </c>
      <c r="F33" s="5">
        <v>22</v>
      </c>
      <c r="G33" s="5">
        <v>185</v>
      </c>
      <c r="H33" s="5">
        <v>1</v>
      </c>
      <c r="I33" s="5">
        <v>4</v>
      </c>
      <c r="J33" s="9">
        <v>0</v>
      </c>
      <c r="K33" s="8">
        <v>2</v>
      </c>
      <c r="L33" s="5">
        <v>11</v>
      </c>
      <c r="M33" s="5">
        <v>0</v>
      </c>
      <c r="N33" s="9">
        <v>0</v>
      </c>
      <c r="O33" s="8">
        <v>0</v>
      </c>
      <c r="P33" s="5">
        <v>0</v>
      </c>
      <c r="Q33" s="5">
        <v>0</v>
      </c>
      <c r="R33" s="9">
        <v>0</v>
      </c>
      <c r="S33" s="8">
        <v>0</v>
      </c>
      <c r="T33" s="9">
        <v>0</v>
      </c>
    </row>
    <row r="34" spans="1:20" x14ac:dyDescent="0.2">
      <c r="A34" s="5" t="s">
        <v>68</v>
      </c>
      <c r="B34" s="9" t="s">
        <v>69</v>
      </c>
      <c r="C34" s="9" t="s">
        <v>694</v>
      </c>
      <c r="D34" s="7">
        <f t="shared" si="0"/>
        <v>8.1</v>
      </c>
      <c r="E34" s="8">
        <v>0</v>
      </c>
      <c r="F34" s="5">
        <v>0</v>
      </c>
      <c r="G34" s="5">
        <v>0</v>
      </c>
      <c r="H34" s="5">
        <v>0</v>
      </c>
      <c r="I34" s="5">
        <v>0</v>
      </c>
      <c r="J34" s="9">
        <v>0</v>
      </c>
      <c r="K34" s="8">
        <v>7</v>
      </c>
      <c r="L34" s="5">
        <v>26</v>
      </c>
      <c r="M34" s="5">
        <v>0</v>
      </c>
      <c r="N34" s="9">
        <v>0</v>
      </c>
      <c r="O34" s="8">
        <v>2</v>
      </c>
      <c r="P34" s="5">
        <v>55</v>
      </c>
      <c r="Q34" s="5">
        <v>0</v>
      </c>
      <c r="R34" s="9">
        <v>0</v>
      </c>
      <c r="S34" s="8">
        <v>1</v>
      </c>
      <c r="T34" s="9">
        <v>0</v>
      </c>
    </row>
    <row r="35" spans="1:20" x14ac:dyDescent="0.2">
      <c r="A35" s="5" t="s">
        <v>584</v>
      </c>
      <c r="B35" s="9" t="s">
        <v>17</v>
      </c>
      <c r="C35" s="9" t="s">
        <v>685</v>
      </c>
      <c r="D35" s="7">
        <f t="shared" si="0"/>
        <v>2</v>
      </c>
      <c r="E35" s="8">
        <v>0</v>
      </c>
      <c r="F35" s="5">
        <v>0</v>
      </c>
      <c r="G35" s="5">
        <v>0</v>
      </c>
      <c r="H35" s="5">
        <v>0</v>
      </c>
      <c r="I35" s="5">
        <v>0</v>
      </c>
      <c r="J35" s="9">
        <v>0</v>
      </c>
      <c r="K35" s="8">
        <v>0</v>
      </c>
      <c r="L35" s="5">
        <v>0</v>
      </c>
      <c r="M35" s="5">
        <v>0</v>
      </c>
      <c r="N35" s="9">
        <v>1</v>
      </c>
      <c r="O35" s="8">
        <v>0</v>
      </c>
      <c r="P35" s="5">
        <v>0</v>
      </c>
      <c r="Q35" s="5">
        <v>0</v>
      </c>
      <c r="R35" s="9">
        <v>0</v>
      </c>
      <c r="S35" s="8">
        <v>0</v>
      </c>
      <c r="T35" s="9">
        <v>0</v>
      </c>
    </row>
    <row r="36" spans="1:20" x14ac:dyDescent="0.2">
      <c r="A36" s="5" t="s">
        <v>553</v>
      </c>
      <c r="B36" s="9" t="s">
        <v>17</v>
      </c>
      <c r="C36" s="9" t="s">
        <v>687</v>
      </c>
      <c r="D36" s="7">
        <f t="shared" si="0"/>
        <v>0.14000000000000012</v>
      </c>
      <c r="E36" s="8">
        <v>13</v>
      </c>
      <c r="F36" s="5">
        <v>6</v>
      </c>
      <c r="G36" s="5">
        <v>56</v>
      </c>
      <c r="H36" s="5">
        <v>0</v>
      </c>
      <c r="I36" s="5">
        <v>0</v>
      </c>
      <c r="J36" s="9">
        <v>0</v>
      </c>
      <c r="K36" s="8">
        <v>1</v>
      </c>
      <c r="L36" s="5">
        <v>-1</v>
      </c>
      <c r="M36" s="5">
        <v>0</v>
      </c>
      <c r="N36" s="9">
        <v>0</v>
      </c>
      <c r="O36" s="8">
        <v>0</v>
      </c>
      <c r="P36" s="5">
        <v>0</v>
      </c>
      <c r="Q36" s="5">
        <v>0</v>
      </c>
      <c r="R36" s="9">
        <v>0</v>
      </c>
      <c r="S36" s="8">
        <v>1</v>
      </c>
      <c r="T36" s="9">
        <v>0</v>
      </c>
    </row>
    <row r="37" spans="1:20" x14ac:dyDescent="0.2">
      <c r="A37" s="5" t="s">
        <v>656</v>
      </c>
      <c r="B37" s="9" t="s">
        <v>17</v>
      </c>
      <c r="C37" s="9" t="s">
        <v>688</v>
      </c>
      <c r="D37" s="7">
        <f t="shared" si="0"/>
        <v>0</v>
      </c>
      <c r="E37" s="8">
        <v>1</v>
      </c>
      <c r="F37" s="5">
        <v>0</v>
      </c>
      <c r="G37" s="5">
        <v>0</v>
      </c>
      <c r="H37" s="5">
        <v>0</v>
      </c>
      <c r="I37" s="5">
        <v>0</v>
      </c>
      <c r="J37" s="9">
        <v>0</v>
      </c>
      <c r="K37" s="8">
        <v>0</v>
      </c>
      <c r="L37" s="5">
        <v>0</v>
      </c>
      <c r="M37" s="5">
        <v>0</v>
      </c>
      <c r="N37" s="9">
        <v>0</v>
      </c>
      <c r="O37" s="8">
        <v>0</v>
      </c>
      <c r="P37" s="5">
        <v>0</v>
      </c>
      <c r="Q37" s="5">
        <v>0</v>
      </c>
      <c r="R37" s="9">
        <v>0</v>
      </c>
      <c r="S37" s="8">
        <v>0</v>
      </c>
      <c r="T37" s="9">
        <v>0</v>
      </c>
    </row>
    <row r="38" spans="1:20" x14ac:dyDescent="0.2">
      <c r="A38" s="5" t="s">
        <v>425</v>
      </c>
      <c r="B38" s="9" t="s">
        <v>17</v>
      </c>
      <c r="C38" s="9" t="s">
        <v>695</v>
      </c>
      <c r="D38" s="7">
        <f t="shared" si="0"/>
        <v>-0.2</v>
      </c>
      <c r="E38" s="8">
        <v>0</v>
      </c>
      <c r="F38" s="5">
        <v>0</v>
      </c>
      <c r="G38" s="5">
        <v>0</v>
      </c>
      <c r="H38" s="5">
        <v>0</v>
      </c>
      <c r="I38" s="5">
        <v>0</v>
      </c>
      <c r="J38" s="9">
        <v>0</v>
      </c>
      <c r="K38" s="8">
        <v>1</v>
      </c>
      <c r="L38" s="5">
        <v>-2</v>
      </c>
      <c r="M38" s="5">
        <v>0</v>
      </c>
      <c r="N38" s="9">
        <v>0</v>
      </c>
      <c r="O38" s="8">
        <v>0</v>
      </c>
      <c r="P38" s="5">
        <v>0</v>
      </c>
      <c r="Q38" s="5">
        <v>0</v>
      </c>
      <c r="R38" s="9">
        <v>0</v>
      </c>
      <c r="S38" s="8">
        <v>0</v>
      </c>
      <c r="T38" s="9">
        <v>0</v>
      </c>
    </row>
    <row r="39" spans="1:20" x14ac:dyDescent="0.2">
      <c r="A39" s="5" t="s">
        <v>488</v>
      </c>
      <c r="B39" s="9" t="s">
        <v>17</v>
      </c>
      <c r="C39" s="9" t="s">
        <v>691</v>
      </c>
      <c r="D39" s="7">
        <f t="shared" si="0"/>
        <v>0.16000000000000014</v>
      </c>
      <c r="E39" s="8">
        <v>14</v>
      </c>
      <c r="F39" s="5">
        <v>9</v>
      </c>
      <c r="G39" s="5">
        <v>54</v>
      </c>
      <c r="H39" s="5">
        <v>0</v>
      </c>
      <c r="I39" s="5">
        <v>1</v>
      </c>
      <c r="J39" s="9">
        <v>0</v>
      </c>
      <c r="K39" s="8">
        <v>0</v>
      </c>
      <c r="L39" s="5">
        <v>0</v>
      </c>
      <c r="M39" s="5">
        <v>0</v>
      </c>
      <c r="N39" s="9">
        <v>0</v>
      </c>
      <c r="O39" s="8">
        <v>0</v>
      </c>
      <c r="P39" s="5">
        <v>0</v>
      </c>
      <c r="Q39" s="5">
        <v>0</v>
      </c>
      <c r="R39" s="9">
        <v>0</v>
      </c>
      <c r="S39" s="8">
        <v>0</v>
      </c>
      <c r="T39" s="9">
        <v>0</v>
      </c>
    </row>
    <row r="40" spans="1:20" x14ac:dyDescent="0.2">
      <c r="A40" s="5" t="s">
        <v>19</v>
      </c>
      <c r="B40" s="9" t="s">
        <v>17</v>
      </c>
      <c r="C40" s="9" t="s">
        <v>691</v>
      </c>
      <c r="D40" s="7">
        <f t="shared" si="0"/>
        <v>-0.43999999999999995</v>
      </c>
      <c r="E40" s="8">
        <v>21</v>
      </c>
      <c r="F40" s="5">
        <v>12</v>
      </c>
      <c r="G40" s="5">
        <v>89</v>
      </c>
      <c r="H40" s="5">
        <v>0</v>
      </c>
      <c r="I40" s="5">
        <v>2</v>
      </c>
      <c r="J40" s="9">
        <v>0</v>
      </c>
      <c r="K40" s="8">
        <v>0</v>
      </c>
      <c r="L40" s="5">
        <v>0</v>
      </c>
      <c r="M40" s="5">
        <v>0</v>
      </c>
      <c r="N40" s="9">
        <v>0</v>
      </c>
      <c r="O40" s="8">
        <v>0</v>
      </c>
      <c r="P40" s="5">
        <v>0</v>
      </c>
      <c r="Q40" s="5">
        <v>0</v>
      </c>
      <c r="R40" s="9">
        <v>0</v>
      </c>
      <c r="S40" s="8">
        <v>0</v>
      </c>
      <c r="T40" s="9">
        <v>0</v>
      </c>
    </row>
    <row r="41" spans="1:20" x14ac:dyDescent="0.2">
      <c r="A41" s="5" t="s">
        <v>83</v>
      </c>
      <c r="B41" s="9" t="s">
        <v>75</v>
      </c>
      <c r="C41" s="9" t="s">
        <v>685</v>
      </c>
      <c r="D41" s="7">
        <f t="shared" si="0"/>
        <v>38.400000000000006</v>
      </c>
      <c r="E41" s="8">
        <v>0</v>
      </c>
      <c r="F41" s="5">
        <v>0</v>
      </c>
      <c r="G41" s="5">
        <v>0</v>
      </c>
      <c r="H41" s="5">
        <v>0</v>
      </c>
      <c r="I41" s="5">
        <v>0</v>
      </c>
      <c r="J41" s="9">
        <v>0</v>
      </c>
      <c r="K41" s="8">
        <v>16</v>
      </c>
      <c r="L41" s="5">
        <v>143</v>
      </c>
      <c r="M41" s="5">
        <v>0</v>
      </c>
      <c r="N41" s="9">
        <v>0</v>
      </c>
      <c r="O41" s="8">
        <v>6</v>
      </c>
      <c r="P41" s="5">
        <v>61</v>
      </c>
      <c r="Q41" s="5">
        <v>2</v>
      </c>
      <c r="R41" s="9">
        <v>0</v>
      </c>
      <c r="S41" s="8">
        <v>0</v>
      </c>
      <c r="T41" s="9">
        <v>0</v>
      </c>
    </row>
    <row r="42" spans="1:20" x14ac:dyDescent="0.2">
      <c r="A42" s="5" t="s">
        <v>77</v>
      </c>
      <c r="B42" s="9" t="s">
        <v>75</v>
      </c>
      <c r="C42" s="9" t="s">
        <v>692</v>
      </c>
      <c r="D42" s="7">
        <f t="shared" si="0"/>
        <v>30.9</v>
      </c>
      <c r="E42" s="8">
        <v>0</v>
      </c>
      <c r="F42" s="5">
        <v>0</v>
      </c>
      <c r="G42" s="5">
        <v>0</v>
      </c>
      <c r="H42" s="5">
        <v>0</v>
      </c>
      <c r="I42" s="5">
        <v>0</v>
      </c>
      <c r="J42" s="9">
        <v>0</v>
      </c>
      <c r="K42" s="8">
        <v>19</v>
      </c>
      <c r="L42" s="5">
        <v>114</v>
      </c>
      <c r="M42" s="5">
        <v>2</v>
      </c>
      <c r="N42" s="9">
        <v>0</v>
      </c>
      <c r="O42" s="8">
        <v>5</v>
      </c>
      <c r="P42" s="5">
        <v>25</v>
      </c>
      <c r="Q42" s="5">
        <v>0</v>
      </c>
      <c r="R42" s="9">
        <v>0</v>
      </c>
      <c r="S42" s="8">
        <v>0</v>
      </c>
      <c r="T42" s="9">
        <v>0</v>
      </c>
    </row>
    <row r="43" spans="1:20" x14ac:dyDescent="0.2">
      <c r="A43" s="5" t="s">
        <v>81</v>
      </c>
      <c r="B43" s="9" t="s">
        <v>75</v>
      </c>
      <c r="C43" s="9" t="s">
        <v>694</v>
      </c>
      <c r="D43" s="7">
        <f t="shared" si="0"/>
        <v>27.3</v>
      </c>
      <c r="E43" s="8">
        <v>0</v>
      </c>
      <c r="F43" s="5">
        <v>0</v>
      </c>
      <c r="G43" s="5">
        <v>0</v>
      </c>
      <c r="H43" s="5">
        <v>0</v>
      </c>
      <c r="I43" s="5">
        <v>0</v>
      </c>
      <c r="J43" s="9">
        <v>0</v>
      </c>
      <c r="K43" s="8">
        <v>16</v>
      </c>
      <c r="L43" s="5">
        <v>91</v>
      </c>
      <c r="M43" s="5">
        <v>1</v>
      </c>
      <c r="N43" s="9">
        <v>0</v>
      </c>
      <c r="O43" s="8">
        <v>3</v>
      </c>
      <c r="P43" s="5">
        <v>32</v>
      </c>
      <c r="Q43" s="5">
        <v>1</v>
      </c>
      <c r="R43" s="9">
        <v>0</v>
      </c>
      <c r="S43" s="8">
        <v>0</v>
      </c>
      <c r="T43" s="9">
        <v>0</v>
      </c>
    </row>
    <row r="44" spans="1:20" x14ac:dyDescent="0.2">
      <c r="A44" s="5" t="s">
        <v>92</v>
      </c>
      <c r="B44" s="9" t="s">
        <v>75</v>
      </c>
      <c r="C44" s="9" t="s">
        <v>695</v>
      </c>
      <c r="D44" s="7">
        <f t="shared" si="0"/>
        <v>21.4</v>
      </c>
      <c r="E44" s="8">
        <v>0</v>
      </c>
      <c r="F44" s="5">
        <v>0</v>
      </c>
      <c r="G44" s="5">
        <v>0</v>
      </c>
      <c r="H44" s="5">
        <v>0</v>
      </c>
      <c r="I44" s="5">
        <v>0</v>
      </c>
      <c r="J44" s="9">
        <v>0</v>
      </c>
      <c r="K44" s="8">
        <v>20</v>
      </c>
      <c r="L44" s="5">
        <v>94</v>
      </c>
      <c r="M44" s="5">
        <v>2</v>
      </c>
      <c r="N44" s="9">
        <v>0</v>
      </c>
      <c r="O44" s="8">
        <v>0</v>
      </c>
      <c r="P44" s="5">
        <v>0</v>
      </c>
      <c r="Q44" s="5">
        <v>0</v>
      </c>
      <c r="R44" s="9">
        <v>0</v>
      </c>
      <c r="S44" s="8">
        <v>0</v>
      </c>
      <c r="T44" s="9">
        <v>0</v>
      </c>
    </row>
    <row r="45" spans="1:20" x14ac:dyDescent="0.2">
      <c r="A45" s="5" t="s">
        <v>515</v>
      </c>
      <c r="B45" s="9" t="s">
        <v>75</v>
      </c>
      <c r="C45" s="9" t="s">
        <v>688</v>
      </c>
      <c r="D45" s="7">
        <f t="shared" si="0"/>
        <v>21.1</v>
      </c>
      <c r="E45" s="8">
        <v>0</v>
      </c>
      <c r="F45" s="5">
        <v>0</v>
      </c>
      <c r="G45" s="5">
        <v>0</v>
      </c>
      <c r="H45" s="5">
        <v>0</v>
      </c>
      <c r="I45" s="5">
        <v>0</v>
      </c>
      <c r="J45" s="9">
        <v>0</v>
      </c>
      <c r="K45" s="8">
        <v>15</v>
      </c>
      <c r="L45" s="5">
        <v>91</v>
      </c>
      <c r="M45" s="5">
        <v>2</v>
      </c>
      <c r="N45" s="9">
        <v>0</v>
      </c>
      <c r="O45" s="8">
        <v>0</v>
      </c>
      <c r="P45" s="5">
        <v>0</v>
      </c>
      <c r="Q45" s="5">
        <v>0</v>
      </c>
      <c r="R45" s="9">
        <v>0</v>
      </c>
      <c r="S45" s="8">
        <v>0</v>
      </c>
      <c r="T45" s="9">
        <v>0</v>
      </c>
    </row>
    <row r="46" spans="1:20" x14ac:dyDescent="0.2">
      <c r="A46" s="5" t="s">
        <v>104</v>
      </c>
      <c r="B46" s="9" t="s">
        <v>75</v>
      </c>
      <c r="C46" s="9" t="s">
        <v>686</v>
      </c>
      <c r="D46" s="7">
        <f t="shared" si="0"/>
        <v>25.9</v>
      </c>
      <c r="E46" s="8">
        <v>0</v>
      </c>
      <c r="F46" s="5">
        <v>0</v>
      </c>
      <c r="G46" s="5">
        <v>0</v>
      </c>
      <c r="H46" s="5">
        <v>0</v>
      </c>
      <c r="I46" s="5">
        <v>0</v>
      </c>
      <c r="J46" s="9">
        <v>0</v>
      </c>
      <c r="K46" s="8">
        <v>15</v>
      </c>
      <c r="L46" s="5">
        <v>55</v>
      </c>
      <c r="M46" s="5">
        <v>2</v>
      </c>
      <c r="N46" s="9">
        <v>0</v>
      </c>
      <c r="O46" s="8">
        <v>5</v>
      </c>
      <c r="P46" s="5">
        <v>34</v>
      </c>
      <c r="Q46" s="5">
        <v>0</v>
      </c>
      <c r="R46" s="9">
        <v>0</v>
      </c>
      <c r="S46" s="8">
        <v>0</v>
      </c>
      <c r="T46" s="9">
        <v>0</v>
      </c>
    </row>
    <row r="47" spans="1:20" x14ac:dyDescent="0.2">
      <c r="A47" s="5" t="s">
        <v>88</v>
      </c>
      <c r="B47" s="9" t="s">
        <v>75</v>
      </c>
      <c r="C47" s="9" t="s">
        <v>696</v>
      </c>
      <c r="D47" s="7">
        <f t="shared" si="0"/>
        <v>20.6</v>
      </c>
      <c r="E47" s="8">
        <v>0</v>
      </c>
      <c r="F47" s="5">
        <v>0</v>
      </c>
      <c r="G47" s="5">
        <v>0</v>
      </c>
      <c r="H47" s="5">
        <v>0</v>
      </c>
      <c r="I47" s="5">
        <v>0</v>
      </c>
      <c r="J47" s="9">
        <v>0</v>
      </c>
      <c r="K47" s="8">
        <v>18</v>
      </c>
      <c r="L47" s="5">
        <v>76</v>
      </c>
      <c r="M47" s="5">
        <v>2</v>
      </c>
      <c r="N47" s="9">
        <v>0</v>
      </c>
      <c r="O47" s="8">
        <v>1</v>
      </c>
      <c r="P47" s="5">
        <v>0</v>
      </c>
      <c r="Q47" s="5">
        <v>0</v>
      </c>
      <c r="R47" s="9">
        <v>0</v>
      </c>
      <c r="S47" s="8">
        <v>0</v>
      </c>
      <c r="T47" s="9">
        <v>0</v>
      </c>
    </row>
    <row r="48" spans="1:20" x14ac:dyDescent="0.2">
      <c r="A48" s="5" t="s">
        <v>109</v>
      </c>
      <c r="B48" s="9" t="s">
        <v>75</v>
      </c>
      <c r="C48" s="9" t="s">
        <v>686</v>
      </c>
      <c r="D48" s="7">
        <f t="shared" si="0"/>
        <v>22.5</v>
      </c>
      <c r="E48" s="8">
        <v>0</v>
      </c>
      <c r="F48" s="5">
        <v>0</v>
      </c>
      <c r="G48" s="5">
        <v>0</v>
      </c>
      <c r="H48" s="5">
        <v>0</v>
      </c>
      <c r="I48" s="5">
        <v>0</v>
      </c>
      <c r="J48" s="9">
        <v>0</v>
      </c>
      <c r="K48" s="8">
        <v>20</v>
      </c>
      <c r="L48" s="5">
        <v>110</v>
      </c>
      <c r="M48" s="5">
        <v>1</v>
      </c>
      <c r="N48" s="9">
        <v>0</v>
      </c>
      <c r="O48" s="8">
        <v>4</v>
      </c>
      <c r="P48" s="5">
        <v>15</v>
      </c>
      <c r="Q48" s="5">
        <v>0</v>
      </c>
      <c r="R48" s="9">
        <v>0</v>
      </c>
      <c r="S48" s="8">
        <v>0</v>
      </c>
      <c r="T48" s="9">
        <v>0</v>
      </c>
    </row>
    <row r="49" spans="1:20" x14ac:dyDescent="0.2">
      <c r="A49" s="5" t="s">
        <v>117</v>
      </c>
      <c r="B49" s="9" t="s">
        <v>75</v>
      </c>
      <c r="C49" s="9" t="s">
        <v>690</v>
      </c>
      <c r="D49" s="7">
        <f t="shared" si="0"/>
        <v>15.9</v>
      </c>
      <c r="E49" s="8">
        <v>0</v>
      </c>
      <c r="F49" s="5">
        <v>0</v>
      </c>
      <c r="G49" s="5">
        <v>0</v>
      </c>
      <c r="H49" s="5">
        <v>0</v>
      </c>
      <c r="I49" s="5">
        <v>0</v>
      </c>
      <c r="J49" s="9">
        <v>0</v>
      </c>
      <c r="K49" s="8">
        <v>15</v>
      </c>
      <c r="L49" s="5">
        <v>99</v>
      </c>
      <c r="M49" s="5">
        <v>1</v>
      </c>
      <c r="N49" s="9">
        <v>0</v>
      </c>
      <c r="O49" s="8">
        <v>0</v>
      </c>
      <c r="P49" s="5">
        <v>0</v>
      </c>
      <c r="Q49" s="5">
        <v>0</v>
      </c>
      <c r="R49" s="9">
        <v>0</v>
      </c>
      <c r="S49" s="8">
        <v>0</v>
      </c>
      <c r="T49" s="9">
        <v>0</v>
      </c>
    </row>
    <row r="50" spans="1:20" x14ac:dyDescent="0.2">
      <c r="A50" s="5" t="s">
        <v>90</v>
      </c>
      <c r="B50" s="9" t="s">
        <v>75</v>
      </c>
      <c r="C50" s="9" t="s">
        <v>684</v>
      </c>
      <c r="D50" s="7">
        <f t="shared" si="0"/>
        <v>15.100000000000001</v>
      </c>
      <c r="E50" s="8">
        <v>0</v>
      </c>
      <c r="F50" s="5">
        <v>0</v>
      </c>
      <c r="G50" s="5">
        <v>0</v>
      </c>
      <c r="H50" s="5">
        <v>0</v>
      </c>
      <c r="I50" s="5">
        <v>0</v>
      </c>
      <c r="J50" s="9">
        <v>0</v>
      </c>
      <c r="K50" s="8">
        <v>15</v>
      </c>
      <c r="L50" s="5">
        <v>71</v>
      </c>
      <c r="M50" s="5">
        <v>1</v>
      </c>
      <c r="N50" s="9">
        <v>1</v>
      </c>
      <c r="O50" s="8">
        <v>0</v>
      </c>
      <c r="P50" s="5">
        <v>0</v>
      </c>
      <c r="Q50" s="5">
        <v>0</v>
      </c>
      <c r="R50" s="9">
        <v>0</v>
      </c>
      <c r="S50" s="8">
        <v>0</v>
      </c>
      <c r="T50" s="9">
        <v>0</v>
      </c>
    </row>
    <row r="51" spans="1:20" x14ac:dyDescent="0.2">
      <c r="A51" s="5" t="s">
        <v>79</v>
      </c>
      <c r="B51" s="9" t="s">
        <v>75</v>
      </c>
      <c r="C51" s="9" t="s">
        <v>682</v>
      </c>
      <c r="D51" s="7">
        <f t="shared" si="0"/>
        <v>22.299999999999997</v>
      </c>
      <c r="E51" s="8">
        <v>0</v>
      </c>
      <c r="F51" s="5">
        <v>0</v>
      </c>
      <c r="G51" s="5">
        <v>0</v>
      </c>
      <c r="H51" s="5">
        <v>0</v>
      </c>
      <c r="I51" s="5">
        <v>0</v>
      </c>
      <c r="J51" s="9">
        <v>0</v>
      </c>
      <c r="K51" s="8">
        <v>13</v>
      </c>
      <c r="L51" s="5">
        <v>79</v>
      </c>
      <c r="M51" s="5">
        <v>1</v>
      </c>
      <c r="N51" s="9">
        <v>0</v>
      </c>
      <c r="O51" s="8">
        <v>6</v>
      </c>
      <c r="P51" s="5">
        <v>24</v>
      </c>
      <c r="Q51" s="5">
        <v>0</v>
      </c>
      <c r="R51" s="9">
        <v>0</v>
      </c>
      <c r="S51" s="8">
        <v>0</v>
      </c>
      <c r="T51" s="9">
        <v>0</v>
      </c>
    </row>
    <row r="52" spans="1:20" x14ac:dyDescent="0.2">
      <c r="A52" s="5" t="s">
        <v>87</v>
      </c>
      <c r="B52" s="9" t="s">
        <v>75</v>
      </c>
      <c r="C52" s="9" t="s">
        <v>691</v>
      </c>
      <c r="D52" s="7">
        <f t="shared" si="0"/>
        <v>21.7</v>
      </c>
      <c r="E52" s="8">
        <v>0</v>
      </c>
      <c r="F52" s="5">
        <v>0</v>
      </c>
      <c r="G52" s="5">
        <v>0</v>
      </c>
      <c r="H52" s="5">
        <v>0</v>
      </c>
      <c r="I52" s="5">
        <v>0</v>
      </c>
      <c r="J52" s="9">
        <v>0</v>
      </c>
      <c r="K52" s="8">
        <v>21</v>
      </c>
      <c r="L52" s="5">
        <v>98</v>
      </c>
      <c r="M52" s="5">
        <v>1</v>
      </c>
      <c r="N52" s="9">
        <v>0</v>
      </c>
      <c r="O52" s="8">
        <v>5</v>
      </c>
      <c r="P52" s="5">
        <v>9</v>
      </c>
      <c r="Q52" s="5">
        <v>0</v>
      </c>
      <c r="R52" s="9">
        <v>0</v>
      </c>
      <c r="S52" s="8">
        <v>0</v>
      </c>
      <c r="T52" s="9">
        <v>0</v>
      </c>
    </row>
    <row r="53" spans="1:20" x14ac:dyDescent="0.2">
      <c r="A53" s="5" t="s">
        <v>108</v>
      </c>
      <c r="B53" s="9" t="s">
        <v>75</v>
      </c>
      <c r="C53" s="9" t="s">
        <v>696</v>
      </c>
      <c r="D53" s="7">
        <f t="shared" si="0"/>
        <v>20.2</v>
      </c>
      <c r="E53" s="8">
        <v>0</v>
      </c>
      <c r="F53" s="5">
        <v>0</v>
      </c>
      <c r="G53" s="5">
        <v>0</v>
      </c>
      <c r="H53" s="5">
        <v>0</v>
      </c>
      <c r="I53" s="5">
        <v>0</v>
      </c>
      <c r="J53" s="9">
        <v>0</v>
      </c>
      <c r="K53" s="8">
        <v>14</v>
      </c>
      <c r="L53" s="5">
        <v>45</v>
      </c>
      <c r="M53" s="5">
        <v>1</v>
      </c>
      <c r="N53" s="9">
        <v>0</v>
      </c>
      <c r="O53" s="8">
        <v>5</v>
      </c>
      <c r="P53" s="5">
        <v>47</v>
      </c>
      <c r="Q53" s="5">
        <v>0</v>
      </c>
      <c r="R53" s="9">
        <v>0</v>
      </c>
      <c r="S53" s="8">
        <v>0</v>
      </c>
      <c r="T53" s="9">
        <v>0</v>
      </c>
    </row>
    <row r="54" spans="1:20" x14ac:dyDescent="0.2">
      <c r="A54" s="5" t="s">
        <v>575</v>
      </c>
      <c r="B54" s="9" t="s">
        <v>75</v>
      </c>
      <c r="C54" s="9" t="s">
        <v>685</v>
      </c>
      <c r="D54" s="7">
        <f t="shared" si="0"/>
        <v>13.7</v>
      </c>
      <c r="E54" s="8">
        <v>0</v>
      </c>
      <c r="F54" s="5">
        <v>0</v>
      </c>
      <c r="G54" s="5">
        <v>0</v>
      </c>
      <c r="H54" s="5">
        <v>0</v>
      </c>
      <c r="I54" s="5">
        <v>0</v>
      </c>
      <c r="J54" s="9">
        <v>0</v>
      </c>
      <c r="K54" s="8">
        <v>13</v>
      </c>
      <c r="L54" s="5">
        <v>77</v>
      </c>
      <c r="M54" s="5">
        <v>1</v>
      </c>
      <c r="N54" s="9">
        <v>0</v>
      </c>
      <c r="O54" s="8">
        <v>0</v>
      </c>
      <c r="P54" s="5">
        <v>0</v>
      </c>
      <c r="Q54" s="5">
        <v>0</v>
      </c>
      <c r="R54" s="9">
        <v>0</v>
      </c>
      <c r="S54" s="8">
        <v>0</v>
      </c>
      <c r="T54" s="9">
        <v>0</v>
      </c>
    </row>
    <row r="55" spans="1:20" x14ac:dyDescent="0.2">
      <c r="A55" s="5" t="s">
        <v>98</v>
      </c>
      <c r="B55" s="9" t="s">
        <v>75</v>
      </c>
      <c r="C55" s="9" t="s">
        <v>687</v>
      </c>
      <c r="D55" s="7">
        <f t="shared" si="0"/>
        <v>13.6</v>
      </c>
      <c r="E55" s="8">
        <v>0</v>
      </c>
      <c r="F55" s="5">
        <v>0</v>
      </c>
      <c r="G55" s="5">
        <v>0</v>
      </c>
      <c r="H55" s="5">
        <v>0</v>
      </c>
      <c r="I55" s="5">
        <v>0</v>
      </c>
      <c r="J55" s="9">
        <v>0</v>
      </c>
      <c r="K55" s="8">
        <v>7</v>
      </c>
      <c r="L55" s="5">
        <v>55</v>
      </c>
      <c r="M55" s="5">
        <v>1</v>
      </c>
      <c r="N55" s="9">
        <v>0</v>
      </c>
      <c r="O55" s="8">
        <v>1</v>
      </c>
      <c r="P55" s="5">
        <v>11</v>
      </c>
      <c r="Q55" s="5">
        <v>0</v>
      </c>
      <c r="R55" s="9">
        <v>0</v>
      </c>
      <c r="S55" s="8">
        <v>0</v>
      </c>
      <c r="T55" s="9">
        <v>0</v>
      </c>
    </row>
    <row r="56" spans="1:20" x14ac:dyDescent="0.2">
      <c r="A56" s="5" t="s">
        <v>470</v>
      </c>
      <c r="B56" s="9" t="s">
        <v>75</v>
      </c>
      <c r="C56" s="9" t="s">
        <v>694</v>
      </c>
      <c r="D56" s="7">
        <f t="shared" si="0"/>
        <v>15.9</v>
      </c>
      <c r="E56" s="8">
        <v>0</v>
      </c>
      <c r="F56" s="5">
        <v>0</v>
      </c>
      <c r="G56" s="5">
        <v>0</v>
      </c>
      <c r="H56" s="5">
        <v>0</v>
      </c>
      <c r="I56" s="5">
        <v>0</v>
      </c>
      <c r="J56" s="9">
        <v>0</v>
      </c>
      <c r="K56" s="8">
        <v>15</v>
      </c>
      <c r="L56" s="5">
        <v>69</v>
      </c>
      <c r="M56" s="5">
        <v>0</v>
      </c>
      <c r="N56" s="9">
        <v>0</v>
      </c>
      <c r="O56" s="8">
        <v>4</v>
      </c>
      <c r="P56" s="5">
        <v>50</v>
      </c>
      <c r="Q56" s="5">
        <v>0</v>
      </c>
      <c r="R56" s="9">
        <v>0</v>
      </c>
      <c r="S56" s="8">
        <v>0</v>
      </c>
      <c r="T56" s="9">
        <v>0</v>
      </c>
    </row>
    <row r="57" spans="1:20" x14ac:dyDescent="0.2">
      <c r="A57" s="5" t="s">
        <v>114</v>
      </c>
      <c r="B57" s="9" t="s">
        <v>75</v>
      </c>
      <c r="C57" s="9" t="s">
        <v>688</v>
      </c>
      <c r="D57" s="7">
        <f t="shared" si="0"/>
        <v>13</v>
      </c>
      <c r="E57" s="8">
        <v>0</v>
      </c>
      <c r="F57" s="5">
        <v>0</v>
      </c>
      <c r="G57" s="5">
        <v>0</v>
      </c>
      <c r="H57" s="5">
        <v>0</v>
      </c>
      <c r="I57" s="5">
        <v>0</v>
      </c>
      <c r="J57" s="9">
        <v>0</v>
      </c>
      <c r="K57" s="8">
        <v>15</v>
      </c>
      <c r="L57" s="5">
        <v>100</v>
      </c>
      <c r="M57" s="5">
        <v>0</v>
      </c>
      <c r="N57" s="9">
        <v>0</v>
      </c>
      <c r="O57" s="8">
        <v>2</v>
      </c>
      <c r="P57" s="5">
        <v>10</v>
      </c>
      <c r="Q57" s="5">
        <v>0</v>
      </c>
      <c r="R57" s="9">
        <v>0</v>
      </c>
      <c r="S57" s="8">
        <v>0</v>
      </c>
      <c r="T57" s="9">
        <v>0</v>
      </c>
    </row>
    <row r="58" spans="1:20" x14ac:dyDescent="0.2">
      <c r="A58" s="5" t="s">
        <v>102</v>
      </c>
      <c r="B58" s="9" t="s">
        <v>75</v>
      </c>
      <c r="C58" s="9" t="s">
        <v>681</v>
      </c>
      <c r="D58" s="7">
        <f t="shared" si="0"/>
        <v>16</v>
      </c>
      <c r="E58" s="8">
        <v>0</v>
      </c>
      <c r="F58" s="5">
        <v>0</v>
      </c>
      <c r="G58" s="5">
        <v>0</v>
      </c>
      <c r="H58" s="5">
        <v>0</v>
      </c>
      <c r="I58" s="5">
        <v>0</v>
      </c>
      <c r="J58" s="9">
        <v>0</v>
      </c>
      <c r="K58" s="8">
        <v>16</v>
      </c>
      <c r="L58" s="5">
        <v>43</v>
      </c>
      <c r="M58" s="5">
        <v>0</v>
      </c>
      <c r="N58" s="9">
        <v>0</v>
      </c>
      <c r="O58" s="8">
        <v>6</v>
      </c>
      <c r="P58" s="5">
        <v>57</v>
      </c>
      <c r="Q58" s="5">
        <v>0</v>
      </c>
      <c r="R58" s="9">
        <v>0</v>
      </c>
      <c r="S58" s="8">
        <v>0</v>
      </c>
      <c r="T58" s="9">
        <v>0</v>
      </c>
    </row>
    <row r="59" spans="1:20" x14ac:dyDescent="0.2">
      <c r="A59" s="5" t="s">
        <v>134</v>
      </c>
      <c r="B59" s="9" t="s">
        <v>75</v>
      </c>
      <c r="C59" s="9" t="s">
        <v>682</v>
      </c>
      <c r="D59" s="7">
        <f t="shared" si="0"/>
        <v>9.6</v>
      </c>
      <c r="E59" s="8">
        <v>0</v>
      </c>
      <c r="F59" s="5">
        <v>0</v>
      </c>
      <c r="G59" s="5">
        <v>0</v>
      </c>
      <c r="H59" s="5">
        <v>0</v>
      </c>
      <c r="I59" s="5">
        <v>0</v>
      </c>
      <c r="J59" s="9">
        <v>0</v>
      </c>
      <c r="K59" s="8">
        <v>3</v>
      </c>
      <c r="L59" s="5">
        <v>11</v>
      </c>
      <c r="M59" s="5">
        <v>0</v>
      </c>
      <c r="N59" s="9">
        <v>0</v>
      </c>
      <c r="O59" s="8">
        <v>1</v>
      </c>
      <c r="P59" s="5">
        <v>15</v>
      </c>
      <c r="Q59" s="5">
        <v>1</v>
      </c>
      <c r="R59" s="9">
        <v>0</v>
      </c>
      <c r="S59" s="8">
        <v>0</v>
      </c>
      <c r="T59" s="9">
        <v>0</v>
      </c>
    </row>
    <row r="60" spans="1:20" x14ac:dyDescent="0.2">
      <c r="A60" s="5" t="s">
        <v>80</v>
      </c>
      <c r="B60" s="9" t="s">
        <v>75</v>
      </c>
      <c r="C60" s="9" t="s">
        <v>683</v>
      </c>
      <c r="D60" s="7">
        <f t="shared" si="0"/>
        <v>12.600000000000001</v>
      </c>
      <c r="E60" s="8">
        <v>0</v>
      </c>
      <c r="F60" s="5">
        <v>0</v>
      </c>
      <c r="G60" s="5">
        <v>0</v>
      </c>
      <c r="H60" s="5">
        <v>0</v>
      </c>
      <c r="I60" s="5">
        <v>0</v>
      </c>
      <c r="J60" s="9">
        <v>0</v>
      </c>
      <c r="K60" s="8">
        <v>20</v>
      </c>
      <c r="L60" s="5">
        <v>56</v>
      </c>
      <c r="M60" s="5">
        <v>0</v>
      </c>
      <c r="N60" s="9">
        <v>0</v>
      </c>
      <c r="O60" s="8">
        <v>4</v>
      </c>
      <c r="P60" s="5">
        <v>30</v>
      </c>
      <c r="Q60" s="5">
        <v>0</v>
      </c>
      <c r="R60" s="9">
        <v>0</v>
      </c>
      <c r="S60" s="8">
        <v>0</v>
      </c>
      <c r="T60" s="9">
        <v>0</v>
      </c>
    </row>
    <row r="61" spans="1:20" x14ac:dyDescent="0.2">
      <c r="A61" s="5" t="s">
        <v>578</v>
      </c>
      <c r="B61" s="9" t="s">
        <v>75</v>
      </c>
      <c r="C61" s="9" t="s">
        <v>689</v>
      </c>
      <c r="D61" s="7">
        <f t="shared" si="0"/>
        <v>10.9</v>
      </c>
      <c r="E61" s="8">
        <v>0</v>
      </c>
      <c r="F61" s="5">
        <v>0</v>
      </c>
      <c r="G61" s="5">
        <v>0</v>
      </c>
      <c r="H61" s="5">
        <v>0</v>
      </c>
      <c r="I61" s="5">
        <v>0</v>
      </c>
      <c r="J61" s="9">
        <v>0</v>
      </c>
      <c r="K61" s="8">
        <v>9</v>
      </c>
      <c r="L61" s="5">
        <v>64</v>
      </c>
      <c r="M61" s="5">
        <v>0</v>
      </c>
      <c r="N61" s="9">
        <v>0</v>
      </c>
      <c r="O61" s="8">
        <v>2</v>
      </c>
      <c r="P61" s="5">
        <v>25</v>
      </c>
      <c r="Q61" s="5">
        <v>0</v>
      </c>
      <c r="R61" s="9">
        <v>0</v>
      </c>
      <c r="S61" s="8">
        <v>0</v>
      </c>
      <c r="T61" s="9">
        <v>0</v>
      </c>
    </row>
    <row r="62" spans="1:20" x14ac:dyDescent="0.2">
      <c r="A62" s="5" t="s">
        <v>152</v>
      </c>
      <c r="B62" s="9" t="s">
        <v>75</v>
      </c>
      <c r="C62" s="9" t="s">
        <v>681</v>
      </c>
      <c r="D62" s="7">
        <f t="shared" si="0"/>
        <v>9.4</v>
      </c>
      <c r="E62" s="8">
        <v>0</v>
      </c>
      <c r="F62" s="5">
        <v>0</v>
      </c>
      <c r="G62" s="5">
        <v>0</v>
      </c>
      <c r="H62" s="5">
        <v>0</v>
      </c>
      <c r="I62" s="5">
        <v>0</v>
      </c>
      <c r="J62" s="9">
        <v>0</v>
      </c>
      <c r="K62" s="8">
        <v>14</v>
      </c>
      <c r="L62" s="5">
        <v>80</v>
      </c>
      <c r="M62" s="5">
        <v>0</v>
      </c>
      <c r="N62" s="9">
        <v>0</v>
      </c>
      <c r="O62" s="8">
        <v>1</v>
      </c>
      <c r="P62" s="5">
        <v>4</v>
      </c>
      <c r="Q62" s="5">
        <v>0</v>
      </c>
      <c r="R62" s="9">
        <v>0</v>
      </c>
      <c r="S62" s="8">
        <v>0</v>
      </c>
      <c r="T62" s="9">
        <v>0</v>
      </c>
    </row>
    <row r="63" spans="1:20" x14ac:dyDescent="0.2">
      <c r="A63" s="5" t="s">
        <v>122</v>
      </c>
      <c r="B63" s="9" t="s">
        <v>75</v>
      </c>
      <c r="C63" s="9" t="s">
        <v>684</v>
      </c>
      <c r="D63" s="7">
        <f t="shared" si="0"/>
        <v>11.1</v>
      </c>
      <c r="E63" s="8">
        <v>0</v>
      </c>
      <c r="F63" s="5">
        <v>0</v>
      </c>
      <c r="G63" s="5">
        <v>0</v>
      </c>
      <c r="H63" s="5">
        <v>0</v>
      </c>
      <c r="I63" s="5">
        <v>0</v>
      </c>
      <c r="J63" s="9">
        <v>0</v>
      </c>
      <c r="K63" s="8">
        <v>14</v>
      </c>
      <c r="L63" s="5">
        <v>43</v>
      </c>
      <c r="M63" s="5">
        <v>0</v>
      </c>
      <c r="N63" s="9">
        <v>0</v>
      </c>
      <c r="O63" s="8">
        <v>3</v>
      </c>
      <c r="P63" s="5">
        <v>38</v>
      </c>
      <c r="Q63" s="5">
        <v>0</v>
      </c>
      <c r="R63" s="9">
        <v>0</v>
      </c>
      <c r="S63" s="8">
        <v>0</v>
      </c>
      <c r="T63" s="9">
        <v>0</v>
      </c>
    </row>
    <row r="64" spans="1:20" x14ac:dyDescent="0.2">
      <c r="A64" s="5" t="s">
        <v>136</v>
      </c>
      <c r="B64" s="9" t="s">
        <v>75</v>
      </c>
      <c r="C64" s="9" t="s">
        <v>687</v>
      </c>
      <c r="D64" s="7">
        <f t="shared" si="0"/>
        <v>11.9</v>
      </c>
      <c r="E64" s="8">
        <v>0</v>
      </c>
      <c r="F64" s="5">
        <v>0</v>
      </c>
      <c r="G64" s="5">
        <v>0</v>
      </c>
      <c r="H64" s="5">
        <v>0</v>
      </c>
      <c r="I64" s="5">
        <v>0</v>
      </c>
      <c r="J64" s="9">
        <v>0</v>
      </c>
      <c r="K64" s="8">
        <v>9</v>
      </c>
      <c r="L64" s="5">
        <v>65</v>
      </c>
      <c r="M64" s="5">
        <v>0</v>
      </c>
      <c r="N64" s="9">
        <v>0</v>
      </c>
      <c r="O64" s="8">
        <v>4</v>
      </c>
      <c r="P64" s="5">
        <v>14</v>
      </c>
      <c r="Q64" s="5">
        <v>0</v>
      </c>
      <c r="R64" s="9">
        <v>0</v>
      </c>
      <c r="S64" s="8">
        <v>0</v>
      </c>
      <c r="T64" s="9">
        <v>0</v>
      </c>
    </row>
    <row r="65" spans="1:20" x14ac:dyDescent="0.2">
      <c r="A65" s="5" t="s">
        <v>82</v>
      </c>
      <c r="B65" s="9" t="s">
        <v>75</v>
      </c>
      <c r="C65" s="9" t="s">
        <v>693</v>
      </c>
      <c r="D65" s="7">
        <f t="shared" si="0"/>
        <v>12.5</v>
      </c>
      <c r="E65" s="8">
        <v>0</v>
      </c>
      <c r="F65" s="5">
        <v>0</v>
      </c>
      <c r="G65" s="5">
        <v>0</v>
      </c>
      <c r="H65" s="5">
        <v>0</v>
      </c>
      <c r="I65" s="5">
        <v>0</v>
      </c>
      <c r="J65" s="9">
        <v>0</v>
      </c>
      <c r="K65" s="8">
        <v>10</v>
      </c>
      <c r="L65" s="5">
        <v>35</v>
      </c>
      <c r="M65" s="5">
        <v>0</v>
      </c>
      <c r="N65" s="9">
        <v>0</v>
      </c>
      <c r="O65" s="8">
        <v>5</v>
      </c>
      <c r="P65" s="5">
        <v>40</v>
      </c>
      <c r="Q65" s="5">
        <v>0</v>
      </c>
      <c r="R65" s="9">
        <v>0</v>
      </c>
      <c r="S65" s="8">
        <v>0</v>
      </c>
      <c r="T65" s="9">
        <v>0</v>
      </c>
    </row>
    <row r="66" spans="1:20" x14ac:dyDescent="0.2">
      <c r="A66" s="5" t="s">
        <v>78</v>
      </c>
      <c r="B66" s="9" t="s">
        <v>75</v>
      </c>
      <c r="C66" s="9" t="s">
        <v>694</v>
      </c>
      <c r="D66" s="7">
        <f t="shared" si="0"/>
        <v>6.4</v>
      </c>
      <c r="E66" s="8">
        <v>0</v>
      </c>
      <c r="F66" s="5">
        <v>0</v>
      </c>
      <c r="G66" s="5">
        <v>0</v>
      </c>
      <c r="H66" s="5">
        <v>0</v>
      </c>
      <c r="I66" s="5">
        <v>0</v>
      </c>
      <c r="J66" s="9">
        <v>0</v>
      </c>
      <c r="K66" s="8">
        <v>10</v>
      </c>
      <c r="L66" s="5">
        <v>64</v>
      </c>
      <c r="M66" s="5">
        <v>0</v>
      </c>
      <c r="N66" s="9">
        <v>0</v>
      </c>
      <c r="O66" s="8">
        <v>0</v>
      </c>
      <c r="P66" s="5">
        <v>0</v>
      </c>
      <c r="Q66" s="5">
        <v>0</v>
      </c>
      <c r="R66" s="9">
        <v>0</v>
      </c>
      <c r="S66" s="8">
        <v>0</v>
      </c>
      <c r="T66" s="9">
        <v>0</v>
      </c>
    </row>
    <row r="67" spans="1:20" x14ac:dyDescent="0.2">
      <c r="A67" s="5" t="s">
        <v>111</v>
      </c>
      <c r="B67" s="9" t="s">
        <v>75</v>
      </c>
      <c r="C67" s="9" t="s">
        <v>684</v>
      </c>
      <c r="D67" s="7">
        <f t="shared" si="0"/>
        <v>11.3</v>
      </c>
      <c r="E67" s="8">
        <v>0</v>
      </c>
      <c r="F67" s="5">
        <v>0</v>
      </c>
      <c r="G67" s="5">
        <v>0</v>
      </c>
      <c r="H67" s="5">
        <v>0</v>
      </c>
      <c r="I67" s="5">
        <v>0</v>
      </c>
      <c r="J67" s="9">
        <v>0</v>
      </c>
      <c r="K67" s="8">
        <v>11</v>
      </c>
      <c r="L67" s="5">
        <v>54</v>
      </c>
      <c r="M67" s="5">
        <v>0</v>
      </c>
      <c r="N67" s="9">
        <v>0</v>
      </c>
      <c r="O67" s="8">
        <v>4</v>
      </c>
      <c r="P67" s="5">
        <v>19</v>
      </c>
      <c r="Q67" s="5">
        <v>0</v>
      </c>
      <c r="R67" s="9">
        <v>0</v>
      </c>
      <c r="S67" s="8">
        <v>0</v>
      </c>
      <c r="T67" s="9">
        <v>0</v>
      </c>
    </row>
    <row r="68" spans="1:20" x14ac:dyDescent="0.2">
      <c r="A68" s="5" t="s">
        <v>89</v>
      </c>
      <c r="B68" s="9" t="s">
        <v>75</v>
      </c>
      <c r="C68" s="9" t="s">
        <v>693</v>
      </c>
      <c r="D68" s="7">
        <f t="shared" si="0"/>
        <v>8.3000000000000007</v>
      </c>
      <c r="E68" s="8">
        <v>0</v>
      </c>
      <c r="F68" s="5">
        <v>0</v>
      </c>
      <c r="G68" s="5">
        <v>0</v>
      </c>
      <c r="H68" s="5">
        <v>0</v>
      </c>
      <c r="I68" s="5">
        <v>0</v>
      </c>
      <c r="J68" s="9">
        <v>0</v>
      </c>
      <c r="K68" s="8">
        <v>10</v>
      </c>
      <c r="L68" s="5">
        <v>52</v>
      </c>
      <c r="M68" s="5">
        <v>0</v>
      </c>
      <c r="N68" s="9">
        <v>0</v>
      </c>
      <c r="O68" s="8">
        <v>2</v>
      </c>
      <c r="P68" s="5">
        <v>11</v>
      </c>
      <c r="Q68" s="5">
        <v>0</v>
      </c>
      <c r="R68" s="9">
        <v>0</v>
      </c>
      <c r="S68" s="8">
        <v>0</v>
      </c>
      <c r="T68" s="9">
        <v>0</v>
      </c>
    </row>
    <row r="69" spans="1:20" x14ac:dyDescent="0.2">
      <c r="A69" s="5" t="s">
        <v>337</v>
      </c>
      <c r="B69" s="9" t="s">
        <v>75</v>
      </c>
      <c r="C69" s="9" t="s">
        <v>688</v>
      </c>
      <c r="D69" s="7">
        <f t="shared" si="0"/>
        <v>9</v>
      </c>
      <c r="E69" s="8">
        <v>0</v>
      </c>
      <c r="F69" s="5">
        <v>0</v>
      </c>
      <c r="G69" s="5">
        <v>0</v>
      </c>
      <c r="H69" s="5">
        <v>0</v>
      </c>
      <c r="I69" s="5">
        <v>0</v>
      </c>
      <c r="J69" s="9">
        <v>0</v>
      </c>
      <c r="K69" s="8">
        <v>8</v>
      </c>
      <c r="L69" s="5">
        <v>55</v>
      </c>
      <c r="M69" s="5">
        <v>0</v>
      </c>
      <c r="N69" s="9">
        <v>0</v>
      </c>
      <c r="O69" s="8">
        <v>2</v>
      </c>
      <c r="P69" s="5">
        <v>15</v>
      </c>
      <c r="Q69" s="5">
        <v>0</v>
      </c>
      <c r="R69" s="9">
        <v>0</v>
      </c>
      <c r="S69" s="8">
        <v>0</v>
      </c>
      <c r="T69" s="9">
        <v>0</v>
      </c>
    </row>
    <row r="70" spans="1:20" x14ac:dyDescent="0.2">
      <c r="A70" s="5" t="s">
        <v>93</v>
      </c>
      <c r="B70" s="9" t="s">
        <v>75</v>
      </c>
      <c r="C70" s="9" t="s">
        <v>682</v>
      </c>
      <c r="D70" s="7">
        <f t="shared" si="0"/>
        <v>8.4</v>
      </c>
      <c r="E70" s="8">
        <v>0</v>
      </c>
      <c r="F70" s="5">
        <v>0</v>
      </c>
      <c r="G70" s="5">
        <v>0</v>
      </c>
      <c r="H70" s="5">
        <v>0</v>
      </c>
      <c r="I70" s="5">
        <v>0</v>
      </c>
      <c r="J70" s="9">
        <v>0</v>
      </c>
      <c r="K70" s="8">
        <v>15</v>
      </c>
      <c r="L70" s="5">
        <v>53</v>
      </c>
      <c r="M70" s="5">
        <v>0</v>
      </c>
      <c r="N70" s="9">
        <v>0</v>
      </c>
      <c r="O70" s="8">
        <v>2</v>
      </c>
      <c r="P70" s="5">
        <v>11</v>
      </c>
      <c r="Q70" s="5">
        <v>0</v>
      </c>
      <c r="R70" s="9">
        <v>0</v>
      </c>
      <c r="S70" s="8">
        <v>0</v>
      </c>
      <c r="T70" s="9">
        <v>0</v>
      </c>
    </row>
    <row r="71" spans="1:20" x14ac:dyDescent="0.2">
      <c r="A71" s="5" t="s">
        <v>151</v>
      </c>
      <c r="B71" s="9" t="s">
        <v>75</v>
      </c>
      <c r="C71" s="9" t="s">
        <v>683</v>
      </c>
      <c r="D71" s="7">
        <f t="shared" si="0"/>
        <v>13.2</v>
      </c>
      <c r="E71" s="8">
        <v>0</v>
      </c>
      <c r="F71" s="5">
        <v>0</v>
      </c>
      <c r="G71" s="5">
        <v>0</v>
      </c>
      <c r="H71" s="5">
        <v>0</v>
      </c>
      <c r="I71" s="5">
        <v>0</v>
      </c>
      <c r="J71" s="9">
        <v>0</v>
      </c>
      <c r="K71" s="8">
        <v>6</v>
      </c>
      <c r="L71" s="5">
        <v>18</v>
      </c>
      <c r="M71" s="5">
        <v>0</v>
      </c>
      <c r="N71" s="9">
        <v>0</v>
      </c>
      <c r="O71" s="8">
        <v>6</v>
      </c>
      <c r="P71" s="5">
        <v>54</v>
      </c>
      <c r="Q71" s="5">
        <v>0</v>
      </c>
      <c r="R71" s="9">
        <v>0</v>
      </c>
      <c r="S71" s="8">
        <v>0</v>
      </c>
      <c r="T71" s="9">
        <v>0</v>
      </c>
    </row>
    <row r="72" spans="1:20" x14ac:dyDescent="0.2">
      <c r="A72" s="5" t="s">
        <v>105</v>
      </c>
      <c r="B72" s="9" t="s">
        <v>75</v>
      </c>
      <c r="C72" s="9" t="s">
        <v>687</v>
      </c>
      <c r="D72" s="7">
        <f t="shared" si="0"/>
        <v>10.1</v>
      </c>
      <c r="E72" s="8">
        <v>0</v>
      </c>
      <c r="F72" s="5">
        <v>0</v>
      </c>
      <c r="G72" s="5">
        <v>0</v>
      </c>
      <c r="H72" s="5">
        <v>0</v>
      </c>
      <c r="I72" s="5">
        <v>0</v>
      </c>
      <c r="J72" s="9">
        <v>0</v>
      </c>
      <c r="K72" s="8">
        <v>18</v>
      </c>
      <c r="L72" s="5">
        <v>65</v>
      </c>
      <c r="M72" s="5">
        <v>0</v>
      </c>
      <c r="N72" s="9">
        <v>0</v>
      </c>
      <c r="O72" s="8">
        <v>3</v>
      </c>
      <c r="P72" s="5">
        <v>6</v>
      </c>
      <c r="Q72" s="5">
        <v>0</v>
      </c>
      <c r="R72" s="9">
        <v>0</v>
      </c>
      <c r="S72" s="8">
        <v>0</v>
      </c>
      <c r="T72" s="9">
        <v>0</v>
      </c>
    </row>
    <row r="73" spans="1:20" x14ac:dyDescent="0.2">
      <c r="A73" s="5" t="s">
        <v>580</v>
      </c>
      <c r="B73" s="9" t="s">
        <v>75</v>
      </c>
      <c r="C73" s="9" t="s">
        <v>695</v>
      </c>
      <c r="D73" s="7">
        <f t="shared" si="0"/>
        <v>10.3</v>
      </c>
      <c r="E73" s="8">
        <v>0</v>
      </c>
      <c r="F73" s="5">
        <v>0</v>
      </c>
      <c r="G73" s="5">
        <v>0</v>
      </c>
      <c r="H73" s="5">
        <v>0</v>
      </c>
      <c r="I73" s="5">
        <v>0</v>
      </c>
      <c r="J73" s="9">
        <v>0</v>
      </c>
      <c r="K73" s="8">
        <v>11</v>
      </c>
      <c r="L73" s="5">
        <v>56</v>
      </c>
      <c r="M73" s="5">
        <v>0</v>
      </c>
      <c r="N73" s="9">
        <v>0</v>
      </c>
      <c r="O73" s="8">
        <v>3</v>
      </c>
      <c r="P73" s="5">
        <v>17</v>
      </c>
      <c r="Q73" s="5">
        <v>0</v>
      </c>
      <c r="R73" s="9">
        <v>0</v>
      </c>
      <c r="S73" s="8">
        <v>0</v>
      </c>
      <c r="T73" s="9">
        <v>0</v>
      </c>
    </row>
    <row r="74" spans="1:20" x14ac:dyDescent="0.2">
      <c r="A74" s="5" t="s">
        <v>144</v>
      </c>
      <c r="B74" s="9" t="s">
        <v>75</v>
      </c>
      <c r="C74" s="9" t="s">
        <v>692</v>
      </c>
      <c r="D74" s="7">
        <f t="shared" si="0"/>
        <v>9.7999999999999989</v>
      </c>
      <c r="E74" s="8">
        <v>0</v>
      </c>
      <c r="F74" s="5">
        <v>0</v>
      </c>
      <c r="G74" s="5">
        <v>0</v>
      </c>
      <c r="H74" s="5">
        <v>0</v>
      </c>
      <c r="I74" s="5">
        <v>0</v>
      </c>
      <c r="J74" s="9">
        <v>0</v>
      </c>
      <c r="K74" s="8">
        <v>14</v>
      </c>
      <c r="L74" s="5">
        <v>47</v>
      </c>
      <c r="M74" s="5">
        <v>0</v>
      </c>
      <c r="N74" s="9">
        <v>0</v>
      </c>
      <c r="O74" s="8">
        <v>4</v>
      </c>
      <c r="P74" s="5">
        <v>11</v>
      </c>
      <c r="Q74" s="5">
        <v>0</v>
      </c>
      <c r="R74" s="9">
        <v>0</v>
      </c>
      <c r="S74" s="8">
        <v>0</v>
      </c>
      <c r="T74" s="9">
        <v>0</v>
      </c>
    </row>
    <row r="75" spans="1:20" x14ac:dyDescent="0.2">
      <c r="A75" s="5" t="s">
        <v>76</v>
      </c>
      <c r="B75" s="9" t="s">
        <v>75</v>
      </c>
      <c r="C75" s="9" t="s">
        <v>689</v>
      </c>
      <c r="D75" s="7">
        <f t="shared" si="0"/>
        <v>9.3999999999999986</v>
      </c>
      <c r="E75" s="8">
        <v>0</v>
      </c>
      <c r="F75" s="5">
        <v>0</v>
      </c>
      <c r="G75" s="5">
        <v>0</v>
      </c>
      <c r="H75" s="5">
        <v>0</v>
      </c>
      <c r="I75" s="5">
        <v>0</v>
      </c>
      <c r="J75" s="9">
        <v>0</v>
      </c>
      <c r="K75" s="8">
        <v>10</v>
      </c>
      <c r="L75" s="5">
        <v>32</v>
      </c>
      <c r="M75" s="5">
        <v>0</v>
      </c>
      <c r="N75" s="9">
        <v>0</v>
      </c>
      <c r="O75" s="8">
        <v>5</v>
      </c>
      <c r="P75" s="5">
        <v>32</v>
      </c>
      <c r="Q75" s="5">
        <v>0</v>
      </c>
      <c r="R75" s="9">
        <v>0</v>
      </c>
      <c r="S75" s="8">
        <v>1</v>
      </c>
      <c r="T75" s="9">
        <v>0</v>
      </c>
    </row>
    <row r="76" spans="1:20" x14ac:dyDescent="0.2">
      <c r="A76" s="5" t="s">
        <v>156</v>
      </c>
      <c r="B76" s="9" t="s">
        <v>75</v>
      </c>
      <c r="C76" s="9" t="s">
        <v>683</v>
      </c>
      <c r="D76" s="7">
        <f t="shared" si="0"/>
        <v>7.1000000000000005</v>
      </c>
      <c r="E76" s="8">
        <v>0</v>
      </c>
      <c r="F76" s="5">
        <v>0</v>
      </c>
      <c r="G76" s="5">
        <v>0</v>
      </c>
      <c r="H76" s="5">
        <v>0</v>
      </c>
      <c r="I76" s="5">
        <v>0</v>
      </c>
      <c r="J76" s="9">
        <v>0</v>
      </c>
      <c r="K76" s="8">
        <v>7</v>
      </c>
      <c r="L76" s="5">
        <v>19</v>
      </c>
      <c r="M76" s="5">
        <v>0</v>
      </c>
      <c r="N76" s="9">
        <v>0</v>
      </c>
      <c r="O76" s="8">
        <v>1</v>
      </c>
      <c r="P76" s="5">
        <v>42</v>
      </c>
      <c r="Q76" s="5">
        <v>0</v>
      </c>
      <c r="R76" s="9">
        <v>0</v>
      </c>
      <c r="S76" s="8">
        <v>0</v>
      </c>
      <c r="T76" s="9">
        <v>0</v>
      </c>
    </row>
    <row r="77" spans="1:20" x14ac:dyDescent="0.2">
      <c r="A77" s="5" t="s">
        <v>103</v>
      </c>
      <c r="B77" s="9" t="s">
        <v>75</v>
      </c>
      <c r="C77" s="9" t="s">
        <v>690</v>
      </c>
      <c r="D77" s="7">
        <f t="shared" si="0"/>
        <v>8</v>
      </c>
      <c r="E77" s="8">
        <v>0</v>
      </c>
      <c r="F77" s="5">
        <v>0</v>
      </c>
      <c r="G77" s="5">
        <v>0</v>
      </c>
      <c r="H77" s="5">
        <v>0</v>
      </c>
      <c r="I77" s="5">
        <v>0</v>
      </c>
      <c r="J77" s="9">
        <v>0</v>
      </c>
      <c r="K77" s="8">
        <v>8</v>
      </c>
      <c r="L77" s="5">
        <v>16</v>
      </c>
      <c r="M77" s="5">
        <v>0</v>
      </c>
      <c r="N77" s="9">
        <v>0</v>
      </c>
      <c r="O77" s="8">
        <v>2</v>
      </c>
      <c r="P77" s="5">
        <v>44</v>
      </c>
      <c r="Q77" s="5">
        <v>0</v>
      </c>
      <c r="R77" s="9">
        <v>0</v>
      </c>
      <c r="S77" s="8">
        <v>0</v>
      </c>
      <c r="T77" s="9">
        <v>0</v>
      </c>
    </row>
    <row r="78" spans="1:20" x14ac:dyDescent="0.2">
      <c r="A78" s="5" t="s">
        <v>101</v>
      </c>
      <c r="B78" s="9" t="s">
        <v>75</v>
      </c>
      <c r="C78" s="9" t="s">
        <v>691</v>
      </c>
      <c r="D78" s="7">
        <f t="shared" si="0"/>
        <v>6.2000000000000011</v>
      </c>
      <c r="E78" s="8">
        <v>0</v>
      </c>
      <c r="F78" s="5">
        <v>0</v>
      </c>
      <c r="G78" s="5">
        <v>0</v>
      </c>
      <c r="H78" s="5">
        <v>0</v>
      </c>
      <c r="I78" s="5">
        <v>0</v>
      </c>
      <c r="J78" s="9">
        <v>0</v>
      </c>
      <c r="K78" s="8">
        <v>12</v>
      </c>
      <c r="L78" s="5">
        <v>46</v>
      </c>
      <c r="M78" s="5">
        <v>0</v>
      </c>
      <c r="N78" s="9">
        <v>0</v>
      </c>
      <c r="O78" s="8">
        <v>1</v>
      </c>
      <c r="P78" s="5">
        <v>6</v>
      </c>
      <c r="Q78" s="5">
        <v>0</v>
      </c>
      <c r="R78" s="9">
        <v>0</v>
      </c>
      <c r="S78" s="8">
        <v>0</v>
      </c>
      <c r="T78" s="9">
        <v>0</v>
      </c>
    </row>
    <row r="79" spans="1:20" x14ac:dyDescent="0.2">
      <c r="A79" s="5" t="s">
        <v>110</v>
      </c>
      <c r="B79" s="9" t="s">
        <v>75</v>
      </c>
      <c r="C79" s="9" t="s">
        <v>691</v>
      </c>
      <c r="D79" s="7">
        <f t="shared" si="0"/>
        <v>7.2000000000000011</v>
      </c>
      <c r="E79" s="8">
        <v>0</v>
      </c>
      <c r="F79" s="5">
        <v>0</v>
      </c>
      <c r="G79" s="5">
        <v>0</v>
      </c>
      <c r="H79" s="5">
        <v>0</v>
      </c>
      <c r="I79" s="5">
        <v>0</v>
      </c>
      <c r="J79" s="9">
        <v>0</v>
      </c>
      <c r="K79" s="8">
        <v>9</v>
      </c>
      <c r="L79" s="5">
        <v>46</v>
      </c>
      <c r="M79" s="5">
        <v>0</v>
      </c>
      <c r="N79" s="9">
        <v>0</v>
      </c>
      <c r="O79" s="8">
        <v>2</v>
      </c>
      <c r="P79" s="5">
        <v>6</v>
      </c>
      <c r="Q79" s="5">
        <v>0</v>
      </c>
      <c r="R79" s="9">
        <v>0</v>
      </c>
      <c r="S79" s="8">
        <v>0</v>
      </c>
      <c r="T79" s="9">
        <v>0</v>
      </c>
    </row>
    <row r="80" spans="1:20" x14ac:dyDescent="0.2">
      <c r="A80" s="5" t="s">
        <v>85</v>
      </c>
      <c r="B80" s="9" t="s">
        <v>75</v>
      </c>
      <c r="C80" s="9" t="s">
        <v>695</v>
      </c>
      <c r="D80" s="7">
        <f t="shared" si="0"/>
        <v>11.9</v>
      </c>
      <c r="E80" s="8">
        <v>0</v>
      </c>
      <c r="F80" s="5">
        <v>0</v>
      </c>
      <c r="G80" s="5">
        <v>0</v>
      </c>
      <c r="H80" s="5">
        <v>0</v>
      </c>
      <c r="I80" s="5">
        <v>0</v>
      </c>
      <c r="J80" s="9">
        <v>0</v>
      </c>
      <c r="K80" s="8">
        <v>7</v>
      </c>
      <c r="L80" s="5">
        <v>25</v>
      </c>
      <c r="M80" s="5">
        <v>0</v>
      </c>
      <c r="N80" s="9">
        <v>0</v>
      </c>
      <c r="O80" s="8">
        <v>7</v>
      </c>
      <c r="P80" s="5">
        <v>24</v>
      </c>
      <c r="Q80" s="5">
        <v>0</v>
      </c>
      <c r="R80" s="9">
        <v>0</v>
      </c>
      <c r="S80" s="8">
        <v>0</v>
      </c>
      <c r="T80" s="9">
        <v>0</v>
      </c>
    </row>
    <row r="81" spans="1:20" x14ac:dyDescent="0.2">
      <c r="A81" s="5" t="s">
        <v>149</v>
      </c>
      <c r="B81" s="9" t="s">
        <v>75</v>
      </c>
      <c r="C81" s="9" t="s">
        <v>681</v>
      </c>
      <c r="D81" s="7">
        <f t="shared" si="0"/>
        <v>7.8</v>
      </c>
      <c r="E81" s="8">
        <v>0</v>
      </c>
      <c r="F81" s="5">
        <v>0</v>
      </c>
      <c r="G81" s="5">
        <v>0</v>
      </c>
      <c r="H81" s="5">
        <v>0</v>
      </c>
      <c r="I81" s="5">
        <v>0</v>
      </c>
      <c r="J81" s="9">
        <v>0</v>
      </c>
      <c r="K81" s="8">
        <v>9</v>
      </c>
      <c r="L81" s="5">
        <v>30</v>
      </c>
      <c r="M81" s="5">
        <v>0</v>
      </c>
      <c r="N81" s="9">
        <v>0</v>
      </c>
      <c r="O81" s="8">
        <v>3</v>
      </c>
      <c r="P81" s="5">
        <v>18</v>
      </c>
      <c r="Q81" s="5">
        <v>0</v>
      </c>
      <c r="R81" s="9">
        <v>0</v>
      </c>
      <c r="S81" s="8">
        <v>0</v>
      </c>
      <c r="T81" s="9">
        <v>0</v>
      </c>
    </row>
    <row r="82" spans="1:20" x14ac:dyDescent="0.2">
      <c r="A82" s="5" t="s">
        <v>528</v>
      </c>
      <c r="B82" s="9" t="s">
        <v>75</v>
      </c>
      <c r="C82" s="9" t="s">
        <v>694</v>
      </c>
      <c r="D82" s="7">
        <f t="shared" si="0"/>
        <v>4.3</v>
      </c>
      <c r="E82" s="8">
        <v>0</v>
      </c>
      <c r="F82" s="5">
        <v>0</v>
      </c>
      <c r="G82" s="5">
        <v>0</v>
      </c>
      <c r="H82" s="5">
        <v>0</v>
      </c>
      <c r="I82" s="5">
        <v>0</v>
      </c>
      <c r="J82" s="9">
        <v>0</v>
      </c>
      <c r="K82" s="8">
        <v>8</v>
      </c>
      <c r="L82" s="5">
        <v>43</v>
      </c>
      <c r="M82" s="5">
        <v>0</v>
      </c>
      <c r="N82" s="9">
        <v>0</v>
      </c>
      <c r="O82" s="8">
        <v>0</v>
      </c>
      <c r="P82" s="5">
        <v>0</v>
      </c>
      <c r="Q82" s="5">
        <v>0</v>
      </c>
      <c r="R82" s="9">
        <v>0</v>
      </c>
      <c r="S82" s="8">
        <v>0</v>
      </c>
      <c r="T82" s="9">
        <v>0</v>
      </c>
    </row>
    <row r="83" spans="1:20" x14ac:dyDescent="0.2">
      <c r="A83" s="5" t="s">
        <v>113</v>
      </c>
      <c r="B83" s="9" t="s">
        <v>75</v>
      </c>
      <c r="C83" s="9" t="s">
        <v>690</v>
      </c>
      <c r="D83" s="7">
        <f t="shared" si="0"/>
        <v>7.2000000000000011</v>
      </c>
      <c r="E83" s="8">
        <v>0</v>
      </c>
      <c r="F83" s="5">
        <v>0</v>
      </c>
      <c r="G83" s="5">
        <v>0</v>
      </c>
      <c r="H83" s="5">
        <v>0</v>
      </c>
      <c r="I83" s="5">
        <v>0</v>
      </c>
      <c r="J83" s="9">
        <v>0</v>
      </c>
      <c r="K83" s="8">
        <v>13</v>
      </c>
      <c r="L83" s="5">
        <v>49</v>
      </c>
      <c r="M83" s="5">
        <v>0</v>
      </c>
      <c r="N83" s="9">
        <v>0</v>
      </c>
      <c r="O83" s="8">
        <v>3</v>
      </c>
      <c r="P83" s="5">
        <v>13</v>
      </c>
      <c r="Q83" s="5">
        <v>0</v>
      </c>
      <c r="R83" s="9">
        <v>0</v>
      </c>
      <c r="S83" s="8">
        <v>1</v>
      </c>
      <c r="T83" s="9">
        <v>0</v>
      </c>
    </row>
    <row r="84" spans="1:20" x14ac:dyDescent="0.2">
      <c r="A84" s="5" t="s">
        <v>116</v>
      </c>
      <c r="B84" s="9" t="s">
        <v>75</v>
      </c>
      <c r="C84" s="9" t="s">
        <v>689</v>
      </c>
      <c r="D84" s="7">
        <f t="shared" si="0"/>
        <v>4.7</v>
      </c>
      <c r="E84" s="8">
        <v>0</v>
      </c>
      <c r="F84" s="5">
        <v>0</v>
      </c>
      <c r="G84" s="5">
        <v>0</v>
      </c>
      <c r="H84" s="5">
        <v>0</v>
      </c>
      <c r="I84" s="5">
        <v>0</v>
      </c>
      <c r="J84" s="9">
        <v>0</v>
      </c>
      <c r="K84" s="8">
        <v>8</v>
      </c>
      <c r="L84" s="5">
        <v>26</v>
      </c>
      <c r="M84" s="5">
        <v>0</v>
      </c>
      <c r="N84" s="9">
        <v>0</v>
      </c>
      <c r="O84" s="8">
        <v>1</v>
      </c>
      <c r="P84" s="5">
        <v>11</v>
      </c>
      <c r="Q84" s="5">
        <v>0</v>
      </c>
      <c r="R84" s="9">
        <v>0</v>
      </c>
      <c r="S84" s="8">
        <v>0</v>
      </c>
      <c r="T84" s="9">
        <v>0</v>
      </c>
    </row>
    <row r="85" spans="1:20" x14ac:dyDescent="0.2">
      <c r="A85" s="5" t="s">
        <v>97</v>
      </c>
      <c r="B85" s="9" t="s">
        <v>75</v>
      </c>
      <c r="C85" s="9" t="s">
        <v>681</v>
      </c>
      <c r="D85" s="7">
        <f t="shared" si="0"/>
        <v>5.6</v>
      </c>
      <c r="E85" s="8">
        <v>0</v>
      </c>
      <c r="F85" s="5">
        <v>0</v>
      </c>
      <c r="G85" s="5">
        <v>0</v>
      </c>
      <c r="H85" s="5">
        <v>0</v>
      </c>
      <c r="I85" s="5">
        <v>0</v>
      </c>
      <c r="J85" s="9">
        <v>0</v>
      </c>
      <c r="K85" s="8">
        <v>2</v>
      </c>
      <c r="L85" s="5">
        <v>26</v>
      </c>
      <c r="M85" s="5">
        <v>0</v>
      </c>
      <c r="N85" s="9">
        <v>0</v>
      </c>
      <c r="O85" s="8">
        <v>2</v>
      </c>
      <c r="P85" s="5">
        <v>10</v>
      </c>
      <c r="Q85" s="5">
        <v>0</v>
      </c>
      <c r="R85" s="9">
        <v>0</v>
      </c>
      <c r="S85" s="8">
        <v>0</v>
      </c>
      <c r="T85" s="9">
        <v>0</v>
      </c>
    </row>
    <row r="86" spans="1:20" x14ac:dyDescent="0.2">
      <c r="A86" s="5" t="s">
        <v>145</v>
      </c>
      <c r="B86" s="9" t="s">
        <v>75</v>
      </c>
      <c r="C86" s="9" t="s">
        <v>682</v>
      </c>
      <c r="D86" s="7">
        <f t="shared" si="0"/>
        <v>6.6999999999999993</v>
      </c>
      <c r="E86" s="8">
        <v>0</v>
      </c>
      <c r="F86" s="5">
        <v>0</v>
      </c>
      <c r="G86" s="5">
        <v>0</v>
      </c>
      <c r="H86" s="5">
        <v>0</v>
      </c>
      <c r="I86" s="5">
        <v>0</v>
      </c>
      <c r="J86" s="9">
        <v>0</v>
      </c>
      <c r="K86" s="8">
        <v>6</v>
      </c>
      <c r="L86" s="5">
        <v>21</v>
      </c>
      <c r="M86" s="5">
        <v>0</v>
      </c>
      <c r="N86" s="9">
        <v>0</v>
      </c>
      <c r="O86" s="8">
        <v>3</v>
      </c>
      <c r="P86" s="5">
        <v>16</v>
      </c>
      <c r="Q86" s="5">
        <v>0</v>
      </c>
      <c r="R86" s="9">
        <v>0</v>
      </c>
      <c r="S86" s="8">
        <v>0</v>
      </c>
      <c r="T86" s="9">
        <v>0</v>
      </c>
    </row>
    <row r="87" spans="1:20" x14ac:dyDescent="0.2">
      <c r="A87" s="5" t="s">
        <v>99</v>
      </c>
      <c r="B87" s="9" t="s">
        <v>75</v>
      </c>
      <c r="C87" s="9" t="s">
        <v>693</v>
      </c>
      <c r="D87" s="7">
        <f t="shared" si="0"/>
        <v>5.8000000000000007</v>
      </c>
      <c r="E87" s="8">
        <v>0</v>
      </c>
      <c r="F87" s="5">
        <v>0</v>
      </c>
      <c r="G87" s="5">
        <v>0</v>
      </c>
      <c r="H87" s="5">
        <v>0</v>
      </c>
      <c r="I87" s="5">
        <v>0</v>
      </c>
      <c r="J87" s="9">
        <v>0</v>
      </c>
      <c r="K87" s="8">
        <v>6</v>
      </c>
      <c r="L87" s="5">
        <v>24</v>
      </c>
      <c r="M87" s="5">
        <v>0</v>
      </c>
      <c r="N87" s="9">
        <v>0</v>
      </c>
      <c r="O87" s="8">
        <v>2</v>
      </c>
      <c r="P87" s="5">
        <v>14</v>
      </c>
      <c r="Q87" s="5">
        <v>0</v>
      </c>
      <c r="R87" s="9">
        <v>0</v>
      </c>
      <c r="S87" s="8">
        <v>0</v>
      </c>
      <c r="T87" s="9">
        <v>0</v>
      </c>
    </row>
    <row r="88" spans="1:20" x14ac:dyDescent="0.2">
      <c r="A88" s="5" t="s">
        <v>91</v>
      </c>
      <c r="B88" s="9" t="s">
        <v>75</v>
      </c>
      <c r="C88" s="9" t="s">
        <v>689</v>
      </c>
      <c r="D88" s="7">
        <f t="shared" si="0"/>
        <v>3.1</v>
      </c>
      <c r="E88" s="8">
        <v>0</v>
      </c>
      <c r="F88" s="5">
        <v>0</v>
      </c>
      <c r="G88" s="5">
        <v>0</v>
      </c>
      <c r="H88" s="5">
        <v>0</v>
      </c>
      <c r="I88" s="5">
        <v>0</v>
      </c>
      <c r="J88" s="9">
        <v>0</v>
      </c>
      <c r="K88" s="8">
        <v>5</v>
      </c>
      <c r="L88" s="5">
        <v>31</v>
      </c>
      <c r="M88" s="5">
        <v>0</v>
      </c>
      <c r="N88" s="9">
        <v>0</v>
      </c>
      <c r="O88" s="8">
        <v>0</v>
      </c>
      <c r="P88" s="5">
        <v>0</v>
      </c>
      <c r="Q88" s="5">
        <v>0</v>
      </c>
      <c r="R88" s="9">
        <v>0</v>
      </c>
      <c r="S88" s="8">
        <v>0</v>
      </c>
      <c r="T88" s="9">
        <v>0</v>
      </c>
    </row>
    <row r="89" spans="1:20" x14ac:dyDescent="0.2">
      <c r="A89" s="5" t="s">
        <v>148</v>
      </c>
      <c r="B89" s="9" t="s">
        <v>75</v>
      </c>
      <c r="C89" s="9" t="s">
        <v>692</v>
      </c>
      <c r="D89" s="7">
        <f t="shared" si="0"/>
        <v>4.6000000000000005</v>
      </c>
      <c r="E89" s="8">
        <v>0</v>
      </c>
      <c r="F89" s="5">
        <v>0</v>
      </c>
      <c r="G89" s="5">
        <v>0</v>
      </c>
      <c r="H89" s="5">
        <v>0</v>
      </c>
      <c r="I89" s="5">
        <v>0</v>
      </c>
      <c r="J89" s="9">
        <v>0</v>
      </c>
      <c r="K89" s="8">
        <v>7</v>
      </c>
      <c r="L89" s="5">
        <v>39</v>
      </c>
      <c r="M89" s="5">
        <v>0</v>
      </c>
      <c r="N89" s="9">
        <v>0</v>
      </c>
      <c r="O89" s="8">
        <v>1</v>
      </c>
      <c r="P89" s="5">
        <v>-3</v>
      </c>
      <c r="Q89" s="5">
        <v>0</v>
      </c>
      <c r="R89" s="9">
        <v>0</v>
      </c>
      <c r="S89" s="8">
        <v>0</v>
      </c>
      <c r="T89" s="9">
        <v>0</v>
      </c>
    </row>
    <row r="90" spans="1:20" x14ac:dyDescent="0.2">
      <c r="A90" s="5" t="s">
        <v>123</v>
      </c>
      <c r="B90" s="9" t="s">
        <v>75</v>
      </c>
      <c r="C90" s="9" t="s">
        <v>685</v>
      </c>
      <c r="D90" s="7">
        <f t="shared" si="0"/>
        <v>7.4</v>
      </c>
      <c r="E90" s="8">
        <v>0</v>
      </c>
      <c r="F90" s="5">
        <v>0</v>
      </c>
      <c r="G90" s="5">
        <v>0</v>
      </c>
      <c r="H90" s="5">
        <v>0</v>
      </c>
      <c r="I90" s="5">
        <v>0</v>
      </c>
      <c r="J90" s="9">
        <v>0</v>
      </c>
      <c r="K90" s="8">
        <v>4</v>
      </c>
      <c r="L90" s="5">
        <v>19</v>
      </c>
      <c r="M90" s="5">
        <v>0</v>
      </c>
      <c r="N90" s="9">
        <v>0</v>
      </c>
      <c r="O90" s="8">
        <v>4</v>
      </c>
      <c r="P90" s="5">
        <v>15</v>
      </c>
      <c r="Q90" s="5">
        <v>0</v>
      </c>
      <c r="R90" s="9">
        <v>0</v>
      </c>
      <c r="S90" s="8">
        <v>0</v>
      </c>
      <c r="T90" s="9">
        <v>0</v>
      </c>
    </row>
    <row r="91" spans="1:20" x14ac:dyDescent="0.2">
      <c r="A91" s="5" t="s">
        <v>95</v>
      </c>
      <c r="B91" s="9" t="s">
        <v>75</v>
      </c>
      <c r="C91" s="9" t="s">
        <v>685</v>
      </c>
      <c r="D91" s="7">
        <f t="shared" si="0"/>
        <v>7.2</v>
      </c>
      <c r="E91" s="8">
        <v>0</v>
      </c>
      <c r="F91" s="5">
        <v>0</v>
      </c>
      <c r="G91" s="5">
        <v>0</v>
      </c>
      <c r="H91" s="5">
        <v>0</v>
      </c>
      <c r="I91" s="5">
        <v>0</v>
      </c>
      <c r="J91" s="9">
        <v>0</v>
      </c>
      <c r="K91" s="8">
        <v>6</v>
      </c>
      <c r="L91" s="5">
        <v>27</v>
      </c>
      <c r="M91" s="5">
        <v>0</v>
      </c>
      <c r="N91" s="9">
        <v>0</v>
      </c>
      <c r="O91" s="8">
        <v>4</v>
      </c>
      <c r="P91" s="5">
        <v>5</v>
      </c>
      <c r="Q91" s="5">
        <v>0</v>
      </c>
      <c r="R91" s="9">
        <v>0</v>
      </c>
      <c r="S91" s="8">
        <v>0</v>
      </c>
      <c r="T91" s="9">
        <v>0</v>
      </c>
    </row>
    <row r="92" spans="1:20" x14ac:dyDescent="0.2">
      <c r="A92" s="5" t="s">
        <v>428</v>
      </c>
      <c r="B92" s="9" t="s">
        <v>75</v>
      </c>
      <c r="C92" s="9" t="s">
        <v>687</v>
      </c>
      <c r="D92" s="7">
        <f t="shared" si="0"/>
        <v>2.2000000000000002</v>
      </c>
      <c r="E92" s="8">
        <v>0</v>
      </c>
      <c r="F92" s="5">
        <v>0</v>
      </c>
      <c r="G92" s="5">
        <v>0</v>
      </c>
      <c r="H92" s="5">
        <v>0</v>
      </c>
      <c r="I92" s="5">
        <v>0</v>
      </c>
      <c r="J92" s="9">
        <v>0</v>
      </c>
      <c r="K92" s="8">
        <v>7</v>
      </c>
      <c r="L92" s="5">
        <v>22</v>
      </c>
      <c r="M92" s="5">
        <v>0</v>
      </c>
      <c r="N92" s="9">
        <v>0</v>
      </c>
      <c r="O92" s="8">
        <v>0</v>
      </c>
      <c r="P92" s="5">
        <v>0</v>
      </c>
      <c r="Q92" s="5">
        <v>0</v>
      </c>
      <c r="R92" s="9">
        <v>0</v>
      </c>
      <c r="S92" s="8">
        <v>0</v>
      </c>
      <c r="T92" s="9">
        <v>0</v>
      </c>
    </row>
    <row r="93" spans="1:20" x14ac:dyDescent="0.2">
      <c r="A93" s="5" t="s">
        <v>158</v>
      </c>
      <c r="B93" s="9" t="s">
        <v>75</v>
      </c>
      <c r="C93" s="9" t="s">
        <v>682</v>
      </c>
      <c r="D93" s="7">
        <f t="shared" si="0"/>
        <v>2.1</v>
      </c>
      <c r="E93" s="8">
        <v>0</v>
      </c>
      <c r="F93" s="5">
        <v>0</v>
      </c>
      <c r="G93" s="5">
        <v>0</v>
      </c>
      <c r="H93" s="5">
        <v>0</v>
      </c>
      <c r="I93" s="5">
        <v>0</v>
      </c>
      <c r="J93" s="9">
        <v>0</v>
      </c>
      <c r="K93" s="8">
        <v>4</v>
      </c>
      <c r="L93" s="5">
        <v>21</v>
      </c>
      <c r="M93" s="5">
        <v>0</v>
      </c>
      <c r="N93" s="9">
        <v>0</v>
      </c>
      <c r="O93" s="8">
        <v>0</v>
      </c>
      <c r="P93" s="5">
        <v>0</v>
      </c>
      <c r="Q93" s="5">
        <v>0</v>
      </c>
      <c r="R93" s="9">
        <v>0</v>
      </c>
      <c r="S93" s="8">
        <v>0</v>
      </c>
      <c r="T93" s="9">
        <v>0</v>
      </c>
    </row>
    <row r="94" spans="1:20" x14ac:dyDescent="0.2">
      <c r="A94" s="5" t="s">
        <v>94</v>
      </c>
      <c r="B94" s="9" t="s">
        <v>75</v>
      </c>
      <c r="C94" s="9" t="s">
        <v>696</v>
      </c>
      <c r="D94" s="7">
        <f t="shared" si="0"/>
        <v>2.8000000000000003</v>
      </c>
      <c r="E94" s="8">
        <v>0</v>
      </c>
      <c r="F94" s="5">
        <v>0</v>
      </c>
      <c r="G94" s="5">
        <v>0</v>
      </c>
      <c r="H94" s="5">
        <v>0</v>
      </c>
      <c r="I94" s="5">
        <v>0</v>
      </c>
      <c r="J94" s="9">
        <v>0</v>
      </c>
      <c r="K94" s="8">
        <v>15</v>
      </c>
      <c r="L94" s="5">
        <v>28</v>
      </c>
      <c r="M94" s="5">
        <v>0</v>
      </c>
      <c r="N94" s="9">
        <v>0</v>
      </c>
      <c r="O94" s="8">
        <v>0</v>
      </c>
      <c r="P94" s="5">
        <v>0</v>
      </c>
      <c r="Q94" s="5">
        <v>0</v>
      </c>
      <c r="R94" s="9">
        <v>0</v>
      </c>
      <c r="S94" s="8">
        <v>0</v>
      </c>
      <c r="T94" s="9">
        <v>0</v>
      </c>
    </row>
    <row r="95" spans="1:20" x14ac:dyDescent="0.2">
      <c r="A95" s="5" t="s">
        <v>380</v>
      </c>
      <c r="B95" s="9" t="s">
        <v>75</v>
      </c>
      <c r="C95" s="9" t="s">
        <v>686</v>
      </c>
      <c r="D95" s="7">
        <f t="shared" si="0"/>
        <v>2.3000000000000003</v>
      </c>
      <c r="E95" s="8">
        <v>0</v>
      </c>
      <c r="F95" s="5">
        <v>0</v>
      </c>
      <c r="G95" s="5">
        <v>0</v>
      </c>
      <c r="H95" s="5">
        <v>0</v>
      </c>
      <c r="I95" s="5">
        <v>0</v>
      </c>
      <c r="J95" s="9">
        <v>0</v>
      </c>
      <c r="K95" s="8">
        <v>1</v>
      </c>
      <c r="L95" s="5">
        <v>11</v>
      </c>
      <c r="M95" s="5">
        <v>0</v>
      </c>
      <c r="N95" s="9">
        <v>0</v>
      </c>
      <c r="O95" s="8">
        <v>1</v>
      </c>
      <c r="P95" s="5">
        <v>2</v>
      </c>
      <c r="Q95" s="5">
        <v>0</v>
      </c>
      <c r="R95" s="9">
        <v>0</v>
      </c>
      <c r="S95" s="8">
        <v>0</v>
      </c>
      <c r="T95" s="9">
        <v>0</v>
      </c>
    </row>
    <row r="96" spans="1:20" x14ac:dyDescent="0.2">
      <c r="A96" s="5" t="s">
        <v>142</v>
      </c>
      <c r="B96" s="9" t="s">
        <v>75</v>
      </c>
      <c r="C96" s="9" t="s">
        <v>691</v>
      </c>
      <c r="D96" s="7">
        <f t="shared" si="0"/>
        <v>2.6</v>
      </c>
      <c r="E96" s="8">
        <v>0</v>
      </c>
      <c r="F96" s="5">
        <v>0</v>
      </c>
      <c r="G96" s="5">
        <v>0</v>
      </c>
      <c r="H96" s="5">
        <v>0</v>
      </c>
      <c r="I96" s="5">
        <v>0</v>
      </c>
      <c r="J96" s="9">
        <v>0</v>
      </c>
      <c r="K96" s="8">
        <v>2</v>
      </c>
      <c r="L96" s="5">
        <v>6</v>
      </c>
      <c r="M96" s="5">
        <v>0</v>
      </c>
      <c r="N96" s="9">
        <v>0</v>
      </c>
      <c r="O96" s="8">
        <v>1</v>
      </c>
      <c r="P96" s="5">
        <v>10</v>
      </c>
      <c r="Q96" s="5">
        <v>0</v>
      </c>
      <c r="R96" s="9">
        <v>0</v>
      </c>
      <c r="S96" s="8">
        <v>0</v>
      </c>
      <c r="T96" s="9">
        <v>0</v>
      </c>
    </row>
    <row r="97" spans="1:20" x14ac:dyDescent="0.2">
      <c r="A97" s="5" t="s">
        <v>107</v>
      </c>
      <c r="B97" s="9" t="s">
        <v>75</v>
      </c>
      <c r="C97" s="9" t="s">
        <v>695</v>
      </c>
      <c r="D97" s="7">
        <f t="shared" si="0"/>
        <v>4.1000000000000005</v>
      </c>
      <c r="E97" s="8">
        <v>0</v>
      </c>
      <c r="F97" s="5">
        <v>0</v>
      </c>
      <c r="G97" s="5">
        <v>0</v>
      </c>
      <c r="H97" s="5">
        <v>0</v>
      </c>
      <c r="I97" s="5">
        <v>0</v>
      </c>
      <c r="J97" s="9">
        <v>0</v>
      </c>
      <c r="K97" s="8">
        <v>1</v>
      </c>
      <c r="L97" s="5">
        <v>2</v>
      </c>
      <c r="M97" s="5">
        <v>0</v>
      </c>
      <c r="N97" s="9">
        <v>0</v>
      </c>
      <c r="O97" s="8">
        <v>2</v>
      </c>
      <c r="P97" s="5">
        <v>19</v>
      </c>
      <c r="Q97" s="5">
        <v>0</v>
      </c>
      <c r="R97" s="9">
        <v>0</v>
      </c>
      <c r="S97" s="8">
        <v>0</v>
      </c>
      <c r="T97" s="9">
        <v>0</v>
      </c>
    </row>
    <row r="98" spans="1:20" x14ac:dyDescent="0.2">
      <c r="A98" s="5" t="s">
        <v>370</v>
      </c>
      <c r="B98" s="9" t="s">
        <v>75</v>
      </c>
      <c r="C98" s="9" t="s">
        <v>685</v>
      </c>
      <c r="D98" s="7">
        <f t="shared" si="0"/>
        <v>1.5</v>
      </c>
      <c r="E98" s="8">
        <v>0</v>
      </c>
      <c r="F98" s="5">
        <v>0</v>
      </c>
      <c r="G98" s="5">
        <v>0</v>
      </c>
      <c r="H98" s="5">
        <v>0</v>
      </c>
      <c r="I98" s="5">
        <v>0</v>
      </c>
      <c r="J98" s="9">
        <v>0</v>
      </c>
      <c r="K98" s="8">
        <v>3</v>
      </c>
      <c r="L98" s="5">
        <v>15</v>
      </c>
      <c r="M98" s="5">
        <v>0</v>
      </c>
      <c r="N98" s="9">
        <v>0</v>
      </c>
      <c r="O98" s="8">
        <v>0</v>
      </c>
      <c r="P98" s="5">
        <v>0</v>
      </c>
      <c r="Q98" s="5">
        <v>0</v>
      </c>
      <c r="R98" s="9">
        <v>0</v>
      </c>
      <c r="S98" s="8">
        <v>0</v>
      </c>
      <c r="T98" s="9">
        <v>0</v>
      </c>
    </row>
    <row r="99" spans="1:20" x14ac:dyDescent="0.2">
      <c r="A99" s="5" t="s">
        <v>154</v>
      </c>
      <c r="B99" s="9" t="s">
        <v>75</v>
      </c>
      <c r="C99" s="9" t="s">
        <v>688</v>
      </c>
      <c r="D99" s="7">
        <f t="shared" si="0"/>
        <v>1.1000000000000001</v>
      </c>
      <c r="E99" s="8">
        <v>0</v>
      </c>
      <c r="F99" s="5">
        <v>0</v>
      </c>
      <c r="G99" s="5">
        <v>0</v>
      </c>
      <c r="H99" s="5">
        <v>0</v>
      </c>
      <c r="I99" s="5">
        <v>0</v>
      </c>
      <c r="J99" s="9">
        <v>0</v>
      </c>
      <c r="K99" s="8">
        <v>1</v>
      </c>
      <c r="L99" s="5">
        <v>11</v>
      </c>
      <c r="M99" s="5">
        <v>0</v>
      </c>
      <c r="N99" s="9">
        <v>0</v>
      </c>
      <c r="O99" s="8">
        <v>0</v>
      </c>
      <c r="P99" s="5">
        <v>0</v>
      </c>
      <c r="Q99" s="5">
        <v>0</v>
      </c>
      <c r="R99" s="9">
        <v>0</v>
      </c>
      <c r="S99" s="8">
        <v>0</v>
      </c>
      <c r="T99" s="9">
        <v>0</v>
      </c>
    </row>
    <row r="100" spans="1:20" x14ac:dyDescent="0.2">
      <c r="A100" s="5" t="s">
        <v>551</v>
      </c>
      <c r="B100" s="9" t="s">
        <v>75</v>
      </c>
      <c r="C100" s="9" t="s">
        <v>695</v>
      </c>
      <c r="D100" s="7">
        <f t="shared" si="0"/>
        <v>1.6</v>
      </c>
      <c r="E100" s="8">
        <v>0</v>
      </c>
      <c r="F100" s="5">
        <v>0</v>
      </c>
      <c r="G100" s="5">
        <v>0</v>
      </c>
      <c r="H100" s="5">
        <v>0</v>
      </c>
      <c r="I100" s="5">
        <v>0</v>
      </c>
      <c r="J100" s="9">
        <v>0</v>
      </c>
      <c r="K100" s="8">
        <v>2</v>
      </c>
      <c r="L100" s="5">
        <v>16</v>
      </c>
      <c r="M100" s="5">
        <v>0</v>
      </c>
      <c r="N100" s="9">
        <v>0</v>
      </c>
      <c r="O100" s="8">
        <v>0</v>
      </c>
      <c r="P100" s="5">
        <v>0</v>
      </c>
      <c r="Q100" s="5">
        <v>0</v>
      </c>
      <c r="R100" s="9">
        <v>0</v>
      </c>
      <c r="S100" s="8">
        <v>0</v>
      </c>
      <c r="T100" s="9">
        <v>0</v>
      </c>
    </row>
    <row r="101" spans="1:20" x14ac:dyDescent="0.2">
      <c r="A101" s="5" t="s">
        <v>655</v>
      </c>
      <c r="B101" s="9" t="s">
        <v>75</v>
      </c>
      <c r="C101" s="9" t="s">
        <v>681</v>
      </c>
      <c r="D101" s="7">
        <f t="shared" si="0"/>
        <v>1.9000000000000001</v>
      </c>
      <c r="E101" s="8">
        <v>0</v>
      </c>
      <c r="F101" s="5">
        <v>0</v>
      </c>
      <c r="G101" s="5">
        <v>0</v>
      </c>
      <c r="H101" s="5">
        <v>0</v>
      </c>
      <c r="I101" s="5">
        <v>0</v>
      </c>
      <c r="J101" s="9">
        <v>0</v>
      </c>
      <c r="K101" s="8">
        <v>6</v>
      </c>
      <c r="L101" s="5">
        <v>19</v>
      </c>
      <c r="M101" s="5">
        <v>0</v>
      </c>
      <c r="N101" s="9">
        <v>0</v>
      </c>
      <c r="O101" s="8">
        <v>0</v>
      </c>
      <c r="P101" s="5">
        <v>0</v>
      </c>
      <c r="Q101" s="5">
        <v>0</v>
      </c>
      <c r="R101" s="9">
        <v>0</v>
      </c>
      <c r="S101" s="8">
        <v>0</v>
      </c>
      <c r="T101" s="9">
        <v>0</v>
      </c>
    </row>
    <row r="102" spans="1:20" x14ac:dyDescent="0.2">
      <c r="A102" s="5" t="s">
        <v>120</v>
      </c>
      <c r="B102" s="9" t="s">
        <v>75</v>
      </c>
      <c r="C102" s="9" t="s">
        <v>683</v>
      </c>
      <c r="D102" s="7">
        <f t="shared" si="0"/>
        <v>2.8000000000000003</v>
      </c>
      <c r="E102" s="8">
        <v>0</v>
      </c>
      <c r="F102" s="5">
        <v>0</v>
      </c>
      <c r="G102" s="5">
        <v>0</v>
      </c>
      <c r="H102" s="5">
        <v>0</v>
      </c>
      <c r="I102" s="5">
        <v>0</v>
      </c>
      <c r="J102" s="9">
        <v>0</v>
      </c>
      <c r="K102" s="8">
        <v>5</v>
      </c>
      <c r="L102" s="5">
        <v>14</v>
      </c>
      <c r="M102" s="5">
        <v>0</v>
      </c>
      <c r="N102" s="9">
        <v>0</v>
      </c>
      <c r="O102" s="8">
        <v>1</v>
      </c>
      <c r="P102" s="5">
        <v>4</v>
      </c>
      <c r="Q102" s="5">
        <v>0</v>
      </c>
      <c r="R102" s="9">
        <v>0</v>
      </c>
      <c r="S102" s="8">
        <v>0</v>
      </c>
      <c r="T102" s="9">
        <v>0</v>
      </c>
    </row>
    <row r="103" spans="1:20" x14ac:dyDescent="0.2">
      <c r="A103" s="5" t="s">
        <v>150</v>
      </c>
      <c r="B103" s="9" t="s">
        <v>75</v>
      </c>
      <c r="C103" s="9" t="s">
        <v>681</v>
      </c>
      <c r="D103" s="7">
        <f t="shared" si="0"/>
        <v>1.4000000000000001</v>
      </c>
      <c r="E103" s="8">
        <v>0</v>
      </c>
      <c r="F103" s="5">
        <v>0</v>
      </c>
      <c r="G103" s="5">
        <v>0</v>
      </c>
      <c r="H103" s="5">
        <v>0</v>
      </c>
      <c r="I103" s="5">
        <v>0</v>
      </c>
      <c r="J103" s="9">
        <v>0</v>
      </c>
      <c r="K103" s="8">
        <v>2</v>
      </c>
      <c r="L103" s="5">
        <v>14</v>
      </c>
      <c r="M103" s="5">
        <v>0</v>
      </c>
      <c r="N103" s="9">
        <v>0</v>
      </c>
      <c r="O103" s="8">
        <v>0</v>
      </c>
      <c r="P103" s="5">
        <v>0</v>
      </c>
      <c r="Q103" s="5">
        <v>0</v>
      </c>
      <c r="R103" s="9">
        <v>0</v>
      </c>
      <c r="S103" s="8">
        <v>0</v>
      </c>
      <c r="T103" s="9">
        <v>0</v>
      </c>
    </row>
    <row r="104" spans="1:20" x14ac:dyDescent="0.2">
      <c r="A104" s="5" t="s">
        <v>140</v>
      </c>
      <c r="B104" s="9" t="s">
        <v>75</v>
      </c>
      <c r="C104" s="9" t="s">
        <v>684</v>
      </c>
      <c r="D104" s="7">
        <f t="shared" si="0"/>
        <v>2.5</v>
      </c>
      <c r="E104" s="8">
        <v>0</v>
      </c>
      <c r="F104" s="5">
        <v>0</v>
      </c>
      <c r="G104" s="5">
        <v>0</v>
      </c>
      <c r="H104" s="5">
        <v>0</v>
      </c>
      <c r="I104" s="5">
        <v>0</v>
      </c>
      <c r="J104" s="9">
        <v>0</v>
      </c>
      <c r="K104" s="8">
        <v>3</v>
      </c>
      <c r="L104" s="5">
        <v>11</v>
      </c>
      <c r="M104" s="5">
        <v>0</v>
      </c>
      <c r="N104" s="9">
        <v>0</v>
      </c>
      <c r="O104" s="8">
        <v>1</v>
      </c>
      <c r="P104" s="5">
        <v>4</v>
      </c>
      <c r="Q104" s="5">
        <v>0</v>
      </c>
      <c r="R104" s="9">
        <v>0</v>
      </c>
      <c r="S104" s="8">
        <v>0</v>
      </c>
      <c r="T104" s="9">
        <v>0</v>
      </c>
    </row>
    <row r="105" spans="1:20" x14ac:dyDescent="0.2">
      <c r="A105" s="5" t="s">
        <v>426</v>
      </c>
      <c r="B105" s="9" t="s">
        <v>75</v>
      </c>
      <c r="C105" s="9" t="s">
        <v>695</v>
      </c>
      <c r="D105" s="7">
        <f t="shared" si="0"/>
        <v>1.6</v>
      </c>
      <c r="E105" s="8">
        <v>0</v>
      </c>
      <c r="F105" s="5">
        <v>0</v>
      </c>
      <c r="G105" s="5">
        <v>0</v>
      </c>
      <c r="H105" s="5">
        <v>0</v>
      </c>
      <c r="I105" s="5">
        <v>0</v>
      </c>
      <c r="J105" s="9">
        <v>0</v>
      </c>
      <c r="K105" s="8">
        <v>0</v>
      </c>
      <c r="L105" s="5">
        <v>0</v>
      </c>
      <c r="M105" s="5">
        <v>0</v>
      </c>
      <c r="N105" s="9">
        <v>0</v>
      </c>
      <c r="O105" s="8">
        <v>1</v>
      </c>
      <c r="P105" s="5">
        <v>6</v>
      </c>
      <c r="Q105" s="5">
        <v>0</v>
      </c>
      <c r="R105" s="9">
        <v>0</v>
      </c>
      <c r="S105" s="8">
        <v>0</v>
      </c>
      <c r="T105" s="9">
        <v>0</v>
      </c>
    </row>
    <row r="106" spans="1:20" x14ac:dyDescent="0.2">
      <c r="A106" s="5" t="s">
        <v>394</v>
      </c>
      <c r="B106" s="9" t="s">
        <v>75</v>
      </c>
      <c r="C106" s="9" t="s">
        <v>683</v>
      </c>
      <c r="D106" s="7">
        <f t="shared" si="0"/>
        <v>1.1000000000000001</v>
      </c>
      <c r="E106" s="8">
        <v>0</v>
      </c>
      <c r="F106" s="5">
        <v>0</v>
      </c>
      <c r="G106" s="5">
        <v>0</v>
      </c>
      <c r="H106" s="5">
        <v>0</v>
      </c>
      <c r="I106" s="5">
        <v>0</v>
      </c>
      <c r="J106" s="9">
        <v>0</v>
      </c>
      <c r="K106" s="8">
        <v>0</v>
      </c>
      <c r="L106" s="5">
        <v>0</v>
      </c>
      <c r="M106" s="5">
        <v>0</v>
      </c>
      <c r="N106" s="9">
        <v>0</v>
      </c>
      <c r="O106" s="8">
        <v>1</v>
      </c>
      <c r="P106" s="5">
        <v>1</v>
      </c>
      <c r="Q106" s="5">
        <v>0</v>
      </c>
      <c r="R106" s="9">
        <v>0</v>
      </c>
      <c r="S106" s="8">
        <v>0</v>
      </c>
      <c r="T106" s="9">
        <v>0</v>
      </c>
    </row>
    <row r="107" spans="1:20" x14ac:dyDescent="0.2">
      <c r="A107" s="5" t="s">
        <v>112</v>
      </c>
      <c r="B107" s="9" t="s">
        <v>75</v>
      </c>
      <c r="C107" s="9" t="s">
        <v>683</v>
      </c>
      <c r="D107" s="7">
        <f t="shared" si="0"/>
        <v>0.60000000000000009</v>
      </c>
      <c r="E107" s="8">
        <v>0</v>
      </c>
      <c r="F107" s="5">
        <v>0</v>
      </c>
      <c r="G107" s="5">
        <v>0</v>
      </c>
      <c r="H107" s="5">
        <v>0</v>
      </c>
      <c r="I107" s="5">
        <v>0</v>
      </c>
      <c r="J107" s="9">
        <v>0</v>
      </c>
      <c r="K107" s="8">
        <v>1</v>
      </c>
      <c r="L107" s="5">
        <v>6</v>
      </c>
      <c r="M107" s="5">
        <v>0</v>
      </c>
      <c r="N107" s="9">
        <v>0</v>
      </c>
      <c r="O107" s="8">
        <v>0</v>
      </c>
      <c r="P107" s="5">
        <v>0</v>
      </c>
      <c r="Q107" s="5">
        <v>0</v>
      </c>
      <c r="R107" s="9">
        <v>0</v>
      </c>
      <c r="S107" s="8">
        <v>0</v>
      </c>
      <c r="T107" s="9">
        <v>0</v>
      </c>
    </row>
    <row r="108" spans="1:20" x14ac:dyDescent="0.2">
      <c r="A108" s="5" t="s">
        <v>132</v>
      </c>
      <c r="B108" s="9" t="s">
        <v>75</v>
      </c>
      <c r="C108" s="9" t="s">
        <v>693</v>
      </c>
      <c r="D108" s="7">
        <f t="shared" si="0"/>
        <v>2.1</v>
      </c>
      <c r="E108" s="8">
        <v>0</v>
      </c>
      <c r="F108" s="5">
        <v>0</v>
      </c>
      <c r="G108" s="5">
        <v>0</v>
      </c>
      <c r="H108" s="5">
        <v>0</v>
      </c>
      <c r="I108" s="5">
        <v>0</v>
      </c>
      <c r="J108" s="9">
        <v>0</v>
      </c>
      <c r="K108" s="8">
        <v>4</v>
      </c>
      <c r="L108" s="5">
        <v>8</v>
      </c>
      <c r="M108" s="5">
        <v>0</v>
      </c>
      <c r="N108" s="9">
        <v>0</v>
      </c>
      <c r="O108" s="8">
        <v>1</v>
      </c>
      <c r="P108" s="5">
        <v>3</v>
      </c>
      <c r="Q108" s="5">
        <v>0</v>
      </c>
      <c r="R108" s="9">
        <v>0</v>
      </c>
      <c r="S108" s="8">
        <v>0</v>
      </c>
      <c r="T108" s="9">
        <v>0</v>
      </c>
    </row>
    <row r="109" spans="1:20" x14ac:dyDescent="0.2">
      <c r="A109" s="5" t="s">
        <v>133</v>
      </c>
      <c r="B109" s="9" t="s">
        <v>75</v>
      </c>
      <c r="C109" s="9" t="s">
        <v>692</v>
      </c>
      <c r="D109" s="7">
        <f t="shared" si="0"/>
        <v>0.5</v>
      </c>
      <c r="E109" s="8">
        <v>0</v>
      </c>
      <c r="F109" s="5">
        <v>0</v>
      </c>
      <c r="G109" s="5">
        <v>0</v>
      </c>
      <c r="H109" s="5">
        <v>0</v>
      </c>
      <c r="I109" s="5">
        <v>0</v>
      </c>
      <c r="J109" s="9">
        <v>0</v>
      </c>
      <c r="K109" s="8">
        <v>2</v>
      </c>
      <c r="L109" s="5">
        <v>10</v>
      </c>
      <c r="M109" s="5">
        <v>0</v>
      </c>
      <c r="N109" s="9">
        <v>0</v>
      </c>
      <c r="O109" s="8">
        <v>1</v>
      </c>
      <c r="P109" s="5">
        <v>5</v>
      </c>
      <c r="Q109" s="5">
        <v>0</v>
      </c>
      <c r="R109" s="9">
        <v>0</v>
      </c>
      <c r="S109" s="8">
        <v>1</v>
      </c>
      <c r="T109" s="9">
        <v>0</v>
      </c>
    </row>
    <row r="110" spans="1:20" x14ac:dyDescent="0.2">
      <c r="A110" s="5" t="s">
        <v>124</v>
      </c>
      <c r="B110" s="9" t="s">
        <v>75</v>
      </c>
      <c r="C110" s="9" t="s">
        <v>686</v>
      </c>
      <c r="D110" s="7">
        <f t="shared" si="0"/>
        <v>0.5</v>
      </c>
      <c r="E110" s="8">
        <v>0</v>
      </c>
      <c r="F110" s="5">
        <v>0</v>
      </c>
      <c r="G110" s="5">
        <v>0</v>
      </c>
      <c r="H110" s="5">
        <v>0</v>
      </c>
      <c r="I110" s="5">
        <v>0</v>
      </c>
      <c r="J110" s="9">
        <v>0</v>
      </c>
      <c r="K110" s="8">
        <v>3</v>
      </c>
      <c r="L110" s="5">
        <v>5</v>
      </c>
      <c r="M110" s="5">
        <v>0</v>
      </c>
      <c r="N110" s="9">
        <v>0</v>
      </c>
      <c r="O110" s="8">
        <v>0</v>
      </c>
      <c r="P110" s="5">
        <v>0</v>
      </c>
      <c r="Q110" s="5">
        <v>0</v>
      </c>
      <c r="R110" s="9">
        <v>0</v>
      </c>
      <c r="S110" s="8">
        <v>0</v>
      </c>
      <c r="T110" s="9">
        <v>0</v>
      </c>
    </row>
    <row r="111" spans="1:20" x14ac:dyDescent="0.2">
      <c r="A111" s="5" t="s">
        <v>558</v>
      </c>
      <c r="B111" s="9" t="s">
        <v>75</v>
      </c>
      <c r="C111" s="9" t="s">
        <v>685</v>
      </c>
      <c r="D111" s="7">
        <f t="shared" si="0"/>
        <v>0.60000000000000009</v>
      </c>
      <c r="E111" s="8">
        <v>0</v>
      </c>
      <c r="F111" s="5">
        <v>0</v>
      </c>
      <c r="G111" s="5">
        <v>0</v>
      </c>
      <c r="H111" s="5">
        <v>0</v>
      </c>
      <c r="I111" s="5">
        <v>0</v>
      </c>
      <c r="J111" s="9">
        <v>0</v>
      </c>
      <c r="K111" s="8">
        <v>3</v>
      </c>
      <c r="L111" s="5">
        <v>6</v>
      </c>
      <c r="M111" s="5">
        <v>0</v>
      </c>
      <c r="N111" s="9">
        <v>0</v>
      </c>
      <c r="O111" s="8">
        <v>0</v>
      </c>
      <c r="P111" s="5">
        <v>0</v>
      </c>
      <c r="Q111" s="5">
        <v>0</v>
      </c>
      <c r="R111" s="9">
        <v>0</v>
      </c>
      <c r="S111" s="8">
        <v>0</v>
      </c>
      <c r="T111" s="9">
        <v>0</v>
      </c>
    </row>
    <row r="112" spans="1:20" x14ac:dyDescent="0.2">
      <c r="A112" s="5" t="s">
        <v>137</v>
      </c>
      <c r="B112" s="9" t="s">
        <v>75</v>
      </c>
      <c r="C112" s="9" t="s">
        <v>693</v>
      </c>
      <c r="D112" s="7">
        <f t="shared" si="0"/>
        <v>2.2999999999999998</v>
      </c>
      <c r="E112" s="8">
        <v>0</v>
      </c>
      <c r="F112" s="5">
        <v>0</v>
      </c>
      <c r="G112" s="5">
        <v>0</v>
      </c>
      <c r="H112" s="5">
        <v>0</v>
      </c>
      <c r="I112" s="5">
        <v>0</v>
      </c>
      <c r="J112" s="9">
        <v>0</v>
      </c>
      <c r="K112" s="8">
        <v>0</v>
      </c>
      <c r="L112" s="5">
        <v>0</v>
      </c>
      <c r="M112" s="5">
        <v>0</v>
      </c>
      <c r="N112" s="9">
        <v>0</v>
      </c>
      <c r="O112" s="8">
        <v>2</v>
      </c>
      <c r="P112" s="5">
        <v>3</v>
      </c>
      <c r="Q112" s="5">
        <v>0</v>
      </c>
      <c r="R112" s="9">
        <v>0</v>
      </c>
      <c r="S112" s="8">
        <v>0</v>
      </c>
      <c r="T112" s="9">
        <v>0</v>
      </c>
    </row>
    <row r="113" spans="1:20" x14ac:dyDescent="0.2">
      <c r="A113" s="5" t="s">
        <v>86</v>
      </c>
      <c r="B113" s="9" t="s">
        <v>75</v>
      </c>
      <c r="C113" s="9" t="s">
        <v>689</v>
      </c>
      <c r="D113" s="7">
        <f t="shared" si="0"/>
        <v>3.4</v>
      </c>
      <c r="E113" s="8">
        <v>0</v>
      </c>
      <c r="F113" s="5">
        <v>0</v>
      </c>
      <c r="G113" s="5">
        <v>0</v>
      </c>
      <c r="H113" s="5">
        <v>0</v>
      </c>
      <c r="I113" s="5">
        <v>0</v>
      </c>
      <c r="J113" s="9">
        <v>0</v>
      </c>
      <c r="K113" s="8">
        <v>3</v>
      </c>
      <c r="L113" s="5">
        <v>8</v>
      </c>
      <c r="M113" s="5">
        <v>0</v>
      </c>
      <c r="N113" s="9">
        <v>0</v>
      </c>
      <c r="O113" s="8">
        <v>2</v>
      </c>
      <c r="P113" s="5">
        <v>6</v>
      </c>
      <c r="Q113" s="5">
        <v>0</v>
      </c>
      <c r="R113" s="9">
        <v>0</v>
      </c>
      <c r="S113" s="8">
        <v>0</v>
      </c>
      <c r="T113" s="9">
        <v>0</v>
      </c>
    </row>
    <row r="114" spans="1:20" x14ac:dyDescent="0.2">
      <c r="A114" s="5" t="s">
        <v>147</v>
      </c>
      <c r="B114" s="9" t="s">
        <v>75</v>
      </c>
      <c r="C114" s="9" t="s">
        <v>687</v>
      </c>
      <c r="D114" s="7">
        <f t="shared" si="0"/>
        <v>0.4</v>
      </c>
      <c r="E114" s="8">
        <v>0</v>
      </c>
      <c r="F114" s="5">
        <v>0</v>
      </c>
      <c r="G114" s="5">
        <v>0</v>
      </c>
      <c r="H114" s="5">
        <v>0</v>
      </c>
      <c r="I114" s="5">
        <v>0</v>
      </c>
      <c r="J114" s="9">
        <v>0</v>
      </c>
      <c r="K114" s="8">
        <v>2</v>
      </c>
      <c r="L114" s="5">
        <v>4</v>
      </c>
      <c r="M114" s="5">
        <v>0</v>
      </c>
      <c r="N114" s="9">
        <v>0</v>
      </c>
      <c r="O114" s="8">
        <v>0</v>
      </c>
      <c r="P114" s="5">
        <v>0</v>
      </c>
      <c r="Q114" s="5">
        <v>0</v>
      </c>
      <c r="R114" s="9">
        <v>0</v>
      </c>
      <c r="S114" s="8">
        <v>0</v>
      </c>
      <c r="T114" s="9">
        <v>0</v>
      </c>
    </row>
    <row r="115" spans="1:20" x14ac:dyDescent="0.2">
      <c r="A115" s="5" t="s">
        <v>518</v>
      </c>
      <c r="B115" s="9" t="s">
        <v>75</v>
      </c>
      <c r="C115" s="9" t="s">
        <v>694</v>
      </c>
      <c r="D115" s="7">
        <f t="shared" si="0"/>
        <v>1.6</v>
      </c>
      <c r="E115" s="8">
        <v>0</v>
      </c>
      <c r="F115" s="5">
        <v>0</v>
      </c>
      <c r="G115" s="5">
        <v>0</v>
      </c>
      <c r="H115" s="5">
        <v>0</v>
      </c>
      <c r="I115" s="5">
        <v>0</v>
      </c>
      <c r="J115" s="9">
        <v>0</v>
      </c>
      <c r="K115" s="8">
        <v>0</v>
      </c>
      <c r="L115" s="5">
        <v>0</v>
      </c>
      <c r="M115" s="5">
        <v>0</v>
      </c>
      <c r="N115" s="9">
        <v>0</v>
      </c>
      <c r="O115" s="8">
        <v>1</v>
      </c>
      <c r="P115" s="5">
        <v>6</v>
      </c>
      <c r="Q115" s="5">
        <v>0</v>
      </c>
      <c r="R115" s="9">
        <v>0</v>
      </c>
      <c r="S115" s="8">
        <v>0</v>
      </c>
      <c r="T115" s="9">
        <v>0</v>
      </c>
    </row>
    <row r="116" spans="1:20" x14ac:dyDescent="0.2">
      <c r="A116" s="5" t="s">
        <v>129</v>
      </c>
      <c r="B116" s="9" t="s">
        <v>75</v>
      </c>
      <c r="C116" s="9" t="s">
        <v>696</v>
      </c>
      <c r="D116" s="7">
        <f t="shared" si="0"/>
        <v>1.7000000000000002</v>
      </c>
      <c r="E116" s="8">
        <v>0</v>
      </c>
      <c r="F116" s="5">
        <v>0</v>
      </c>
      <c r="G116" s="5">
        <v>0</v>
      </c>
      <c r="H116" s="5">
        <v>0</v>
      </c>
      <c r="I116" s="5">
        <v>0</v>
      </c>
      <c r="J116" s="9">
        <v>0</v>
      </c>
      <c r="K116" s="8">
        <v>2</v>
      </c>
      <c r="L116" s="5">
        <v>6</v>
      </c>
      <c r="M116" s="5">
        <v>0</v>
      </c>
      <c r="N116" s="9">
        <v>0</v>
      </c>
      <c r="O116" s="8">
        <v>1</v>
      </c>
      <c r="P116" s="5">
        <v>1</v>
      </c>
      <c r="Q116" s="5">
        <v>0</v>
      </c>
      <c r="R116" s="9">
        <v>0</v>
      </c>
      <c r="S116" s="8">
        <v>0</v>
      </c>
      <c r="T116" s="9">
        <v>0</v>
      </c>
    </row>
    <row r="117" spans="1:20" x14ac:dyDescent="0.2">
      <c r="A117" s="5" t="s">
        <v>153</v>
      </c>
      <c r="B117" s="9" t="s">
        <v>75</v>
      </c>
      <c r="C117" s="9" t="s">
        <v>686</v>
      </c>
      <c r="D117" s="7">
        <f t="shared" si="0"/>
        <v>0</v>
      </c>
      <c r="E117" s="8">
        <v>0</v>
      </c>
      <c r="F117" s="5">
        <v>0</v>
      </c>
      <c r="G117" s="5">
        <v>0</v>
      </c>
      <c r="H117" s="5">
        <v>0</v>
      </c>
      <c r="I117" s="5">
        <v>0</v>
      </c>
      <c r="J117" s="9">
        <v>0</v>
      </c>
      <c r="K117" s="8">
        <v>1</v>
      </c>
      <c r="L117" s="5">
        <v>0</v>
      </c>
      <c r="M117" s="5">
        <v>0</v>
      </c>
      <c r="N117" s="9">
        <v>0</v>
      </c>
      <c r="O117" s="8">
        <v>0</v>
      </c>
      <c r="P117" s="5">
        <v>0</v>
      </c>
      <c r="Q117" s="5">
        <v>0</v>
      </c>
      <c r="R117" s="9">
        <v>0</v>
      </c>
      <c r="S117" s="8">
        <v>0</v>
      </c>
      <c r="T117" s="9">
        <v>0</v>
      </c>
    </row>
    <row r="118" spans="1:20" x14ac:dyDescent="0.2">
      <c r="A118" s="5" t="s">
        <v>115</v>
      </c>
      <c r="B118" s="9" t="s">
        <v>75</v>
      </c>
      <c r="C118" s="9" t="s">
        <v>694</v>
      </c>
      <c r="D118" s="7">
        <f t="shared" si="0"/>
        <v>3</v>
      </c>
      <c r="E118" s="8">
        <v>0</v>
      </c>
      <c r="F118" s="5">
        <v>0</v>
      </c>
      <c r="G118" s="5">
        <v>0</v>
      </c>
      <c r="H118" s="5">
        <v>0</v>
      </c>
      <c r="I118" s="5">
        <v>0</v>
      </c>
      <c r="J118" s="9">
        <v>0</v>
      </c>
      <c r="K118" s="8">
        <v>2</v>
      </c>
      <c r="L118" s="5">
        <v>6</v>
      </c>
      <c r="M118" s="5">
        <v>0</v>
      </c>
      <c r="N118" s="9">
        <v>0</v>
      </c>
      <c r="O118" s="8">
        <v>2</v>
      </c>
      <c r="P118" s="5">
        <v>4</v>
      </c>
      <c r="Q118" s="5">
        <v>0</v>
      </c>
      <c r="R118" s="9">
        <v>0</v>
      </c>
      <c r="S118" s="8">
        <v>0</v>
      </c>
      <c r="T118" s="9">
        <v>0</v>
      </c>
    </row>
    <row r="119" spans="1:20" x14ac:dyDescent="0.2">
      <c r="A119" s="5" t="s">
        <v>175</v>
      </c>
      <c r="B119" s="9" t="s">
        <v>162</v>
      </c>
      <c r="C119" s="9" t="s">
        <v>688</v>
      </c>
      <c r="D119" s="7">
        <f t="shared" si="0"/>
        <v>25</v>
      </c>
      <c r="E119" s="8">
        <v>0</v>
      </c>
      <c r="F119" s="5">
        <v>0</v>
      </c>
      <c r="G119" s="5">
        <v>0</v>
      </c>
      <c r="H119" s="5">
        <v>0</v>
      </c>
      <c r="I119" s="5">
        <v>0</v>
      </c>
      <c r="J119" s="9">
        <v>0</v>
      </c>
      <c r="K119" s="8">
        <v>0</v>
      </c>
      <c r="L119" s="5">
        <v>0</v>
      </c>
      <c r="M119" s="5">
        <v>0</v>
      </c>
      <c r="N119" s="9">
        <v>0</v>
      </c>
      <c r="O119" s="8">
        <v>6</v>
      </c>
      <c r="P119" s="5">
        <v>70</v>
      </c>
      <c r="Q119" s="5">
        <v>2</v>
      </c>
      <c r="R119" s="9">
        <v>0</v>
      </c>
      <c r="S119" s="8">
        <v>0</v>
      </c>
      <c r="T119" s="9">
        <v>0</v>
      </c>
    </row>
    <row r="120" spans="1:20" x14ac:dyDescent="0.2">
      <c r="A120" s="5" t="s">
        <v>179</v>
      </c>
      <c r="B120" s="9" t="s">
        <v>162</v>
      </c>
      <c r="C120" s="9" t="s">
        <v>689</v>
      </c>
      <c r="D120" s="7">
        <f t="shared" si="0"/>
        <v>23.2</v>
      </c>
      <c r="E120" s="8">
        <v>0</v>
      </c>
      <c r="F120" s="5">
        <v>0</v>
      </c>
      <c r="G120" s="5">
        <v>0</v>
      </c>
      <c r="H120" s="5">
        <v>0</v>
      </c>
      <c r="I120" s="5">
        <v>0</v>
      </c>
      <c r="J120" s="9">
        <v>0</v>
      </c>
      <c r="K120" s="8">
        <v>1</v>
      </c>
      <c r="L120" s="5">
        <v>37</v>
      </c>
      <c r="M120" s="5">
        <v>1</v>
      </c>
      <c r="N120" s="9">
        <v>0</v>
      </c>
      <c r="O120" s="8">
        <v>5</v>
      </c>
      <c r="P120" s="5">
        <v>25</v>
      </c>
      <c r="Q120" s="5">
        <v>1</v>
      </c>
      <c r="R120" s="9">
        <v>0</v>
      </c>
      <c r="S120" s="8">
        <v>0</v>
      </c>
      <c r="T120" s="9">
        <v>0</v>
      </c>
    </row>
    <row r="121" spans="1:20" x14ac:dyDescent="0.2">
      <c r="A121" s="5" t="s">
        <v>183</v>
      </c>
      <c r="B121" s="9" t="s">
        <v>162</v>
      </c>
      <c r="C121" s="9" t="s">
        <v>683</v>
      </c>
      <c r="D121" s="7">
        <f t="shared" si="0"/>
        <v>23.4</v>
      </c>
      <c r="E121" s="8">
        <v>0</v>
      </c>
      <c r="F121" s="5">
        <v>0</v>
      </c>
      <c r="G121" s="5">
        <v>0</v>
      </c>
      <c r="H121" s="5">
        <v>0</v>
      </c>
      <c r="I121" s="5">
        <v>0</v>
      </c>
      <c r="J121" s="9">
        <v>0</v>
      </c>
      <c r="K121" s="8">
        <v>0</v>
      </c>
      <c r="L121" s="5">
        <v>0</v>
      </c>
      <c r="M121" s="5">
        <v>0</v>
      </c>
      <c r="N121" s="9">
        <v>0</v>
      </c>
      <c r="O121" s="8">
        <v>7</v>
      </c>
      <c r="P121" s="5">
        <v>104</v>
      </c>
      <c r="Q121" s="5">
        <v>1</v>
      </c>
      <c r="R121" s="9">
        <v>0</v>
      </c>
      <c r="S121" s="8">
        <v>0</v>
      </c>
      <c r="T121" s="9">
        <v>0</v>
      </c>
    </row>
    <row r="122" spans="1:20" x14ac:dyDescent="0.2">
      <c r="A122" s="5" t="s">
        <v>230</v>
      </c>
      <c r="B122" s="9" t="s">
        <v>162</v>
      </c>
      <c r="C122" s="9" t="s">
        <v>681</v>
      </c>
      <c r="D122" s="7">
        <f t="shared" si="0"/>
        <v>22.5</v>
      </c>
      <c r="E122" s="8">
        <v>0</v>
      </c>
      <c r="F122" s="5">
        <v>0</v>
      </c>
      <c r="G122" s="5">
        <v>0</v>
      </c>
      <c r="H122" s="5">
        <v>0</v>
      </c>
      <c r="I122" s="5">
        <v>0</v>
      </c>
      <c r="J122" s="9">
        <v>0</v>
      </c>
      <c r="K122" s="8">
        <v>0</v>
      </c>
      <c r="L122" s="5">
        <v>0</v>
      </c>
      <c r="M122" s="5">
        <v>0</v>
      </c>
      <c r="N122" s="9">
        <v>0</v>
      </c>
      <c r="O122" s="8">
        <v>6</v>
      </c>
      <c r="P122" s="5">
        <v>105</v>
      </c>
      <c r="Q122" s="5">
        <v>1</v>
      </c>
      <c r="R122" s="9">
        <v>0</v>
      </c>
      <c r="S122" s="8">
        <v>0</v>
      </c>
      <c r="T122" s="9">
        <v>0</v>
      </c>
    </row>
    <row r="123" spans="1:20" x14ac:dyDescent="0.2">
      <c r="A123" s="5" t="s">
        <v>161</v>
      </c>
      <c r="B123" s="9" t="s">
        <v>162</v>
      </c>
      <c r="C123" s="9" t="s">
        <v>695</v>
      </c>
      <c r="D123" s="7">
        <f t="shared" si="0"/>
        <v>25.4</v>
      </c>
      <c r="E123" s="8">
        <v>0</v>
      </c>
      <c r="F123" s="5">
        <v>0</v>
      </c>
      <c r="G123" s="5">
        <v>0</v>
      </c>
      <c r="H123" s="5">
        <v>0</v>
      </c>
      <c r="I123" s="5">
        <v>0</v>
      </c>
      <c r="J123" s="9">
        <v>0</v>
      </c>
      <c r="K123" s="8">
        <v>1</v>
      </c>
      <c r="L123" s="5">
        <v>2</v>
      </c>
      <c r="M123" s="5">
        <v>0</v>
      </c>
      <c r="N123" s="9">
        <v>0</v>
      </c>
      <c r="O123" s="8">
        <v>9</v>
      </c>
      <c r="P123" s="5">
        <v>102</v>
      </c>
      <c r="Q123" s="5">
        <v>1</v>
      </c>
      <c r="R123" s="9">
        <v>0</v>
      </c>
      <c r="S123" s="8">
        <v>0</v>
      </c>
      <c r="T123" s="9">
        <v>0</v>
      </c>
    </row>
    <row r="124" spans="1:20" x14ac:dyDescent="0.2">
      <c r="A124" s="5" t="s">
        <v>193</v>
      </c>
      <c r="B124" s="9" t="s">
        <v>162</v>
      </c>
      <c r="C124" s="9" t="s">
        <v>686</v>
      </c>
      <c r="D124" s="7">
        <f t="shared" si="0"/>
        <v>24.700000000000003</v>
      </c>
      <c r="E124" s="8">
        <v>0</v>
      </c>
      <c r="F124" s="5">
        <v>0</v>
      </c>
      <c r="G124" s="5">
        <v>0</v>
      </c>
      <c r="H124" s="5">
        <v>0</v>
      </c>
      <c r="I124" s="5">
        <v>0</v>
      </c>
      <c r="J124" s="9">
        <v>0</v>
      </c>
      <c r="K124" s="8">
        <v>0</v>
      </c>
      <c r="L124" s="5">
        <v>0</v>
      </c>
      <c r="M124" s="5">
        <v>0</v>
      </c>
      <c r="N124" s="9">
        <v>0</v>
      </c>
      <c r="O124" s="8">
        <v>8</v>
      </c>
      <c r="P124" s="5">
        <v>107</v>
      </c>
      <c r="Q124" s="5">
        <v>1</v>
      </c>
      <c r="R124" s="9">
        <v>0</v>
      </c>
      <c r="S124" s="8">
        <v>0</v>
      </c>
      <c r="T124" s="9">
        <v>0</v>
      </c>
    </row>
    <row r="125" spans="1:20" x14ac:dyDescent="0.2">
      <c r="A125" s="5" t="s">
        <v>168</v>
      </c>
      <c r="B125" s="9" t="s">
        <v>162</v>
      </c>
      <c r="C125" s="9" t="s">
        <v>683</v>
      </c>
      <c r="D125" s="7">
        <f t="shared" si="0"/>
        <v>21.9</v>
      </c>
      <c r="E125" s="8">
        <v>0</v>
      </c>
      <c r="F125" s="5">
        <v>0</v>
      </c>
      <c r="G125" s="5">
        <v>0</v>
      </c>
      <c r="H125" s="5">
        <v>0</v>
      </c>
      <c r="I125" s="5">
        <v>0</v>
      </c>
      <c r="J125" s="9">
        <v>0</v>
      </c>
      <c r="K125" s="8">
        <v>0</v>
      </c>
      <c r="L125" s="5">
        <v>0</v>
      </c>
      <c r="M125" s="5">
        <v>0</v>
      </c>
      <c r="N125" s="9">
        <v>0</v>
      </c>
      <c r="O125" s="8">
        <v>5</v>
      </c>
      <c r="P125" s="5">
        <v>89</v>
      </c>
      <c r="Q125" s="5">
        <v>1</v>
      </c>
      <c r="R125" s="9">
        <v>1</v>
      </c>
      <c r="S125" s="8">
        <v>0</v>
      </c>
      <c r="T125" s="9">
        <v>0</v>
      </c>
    </row>
    <row r="126" spans="1:20" x14ac:dyDescent="0.2">
      <c r="A126" s="5" t="s">
        <v>177</v>
      </c>
      <c r="B126" s="9" t="s">
        <v>162</v>
      </c>
      <c r="C126" s="9" t="s">
        <v>681</v>
      </c>
      <c r="D126" s="7">
        <f t="shared" si="0"/>
        <v>23.6</v>
      </c>
      <c r="E126" s="8">
        <v>0</v>
      </c>
      <c r="F126" s="5">
        <v>0</v>
      </c>
      <c r="G126" s="5">
        <v>0</v>
      </c>
      <c r="H126" s="5">
        <v>0</v>
      </c>
      <c r="I126" s="5">
        <v>0</v>
      </c>
      <c r="J126" s="9">
        <v>0</v>
      </c>
      <c r="K126" s="8">
        <v>0</v>
      </c>
      <c r="L126" s="5">
        <v>0</v>
      </c>
      <c r="M126" s="5">
        <v>0</v>
      </c>
      <c r="N126" s="9">
        <v>0</v>
      </c>
      <c r="O126" s="8">
        <v>7</v>
      </c>
      <c r="P126" s="5">
        <v>106</v>
      </c>
      <c r="Q126" s="5">
        <v>1</v>
      </c>
      <c r="R126" s="9">
        <v>0</v>
      </c>
      <c r="S126" s="8">
        <v>0</v>
      </c>
      <c r="T126" s="9">
        <v>0</v>
      </c>
    </row>
    <row r="127" spans="1:20" x14ac:dyDescent="0.2">
      <c r="A127" s="5" t="s">
        <v>475</v>
      </c>
      <c r="B127" s="9" t="s">
        <v>162</v>
      </c>
      <c r="C127" s="9" t="s">
        <v>684</v>
      </c>
      <c r="D127" s="7">
        <f t="shared" si="0"/>
        <v>20.399999999999999</v>
      </c>
      <c r="E127" s="8">
        <v>0</v>
      </c>
      <c r="F127" s="5">
        <v>0</v>
      </c>
      <c r="G127" s="5">
        <v>0</v>
      </c>
      <c r="H127" s="5">
        <v>0</v>
      </c>
      <c r="I127" s="5">
        <v>0</v>
      </c>
      <c r="J127" s="9">
        <v>0</v>
      </c>
      <c r="K127" s="8">
        <v>0</v>
      </c>
      <c r="L127" s="5">
        <v>0</v>
      </c>
      <c r="M127" s="5">
        <v>0</v>
      </c>
      <c r="N127" s="9">
        <v>0</v>
      </c>
      <c r="O127" s="8">
        <v>5</v>
      </c>
      <c r="P127" s="5">
        <v>94</v>
      </c>
      <c r="Q127" s="5">
        <v>1</v>
      </c>
      <c r="R127" s="9">
        <v>0</v>
      </c>
      <c r="S127" s="8">
        <v>0</v>
      </c>
      <c r="T127" s="9">
        <v>0</v>
      </c>
    </row>
    <row r="128" spans="1:20" x14ac:dyDescent="0.2">
      <c r="A128" s="5" t="s">
        <v>200</v>
      </c>
      <c r="B128" s="9" t="s">
        <v>162</v>
      </c>
      <c r="C128" s="9" t="s">
        <v>692</v>
      </c>
      <c r="D128" s="7">
        <f t="shared" si="0"/>
        <v>22.4</v>
      </c>
      <c r="E128" s="8">
        <v>1</v>
      </c>
      <c r="F128" s="5">
        <v>0</v>
      </c>
      <c r="G128" s="5">
        <v>0</v>
      </c>
      <c r="H128" s="5">
        <v>0</v>
      </c>
      <c r="I128" s="5">
        <v>0</v>
      </c>
      <c r="J128" s="9">
        <v>0</v>
      </c>
      <c r="K128" s="8">
        <v>4</v>
      </c>
      <c r="L128" s="5">
        <v>15</v>
      </c>
      <c r="M128" s="5">
        <v>1</v>
      </c>
      <c r="N128" s="9">
        <v>0</v>
      </c>
      <c r="O128" s="8">
        <v>7</v>
      </c>
      <c r="P128" s="5">
        <v>79</v>
      </c>
      <c r="Q128" s="5">
        <v>0</v>
      </c>
      <c r="R128" s="9">
        <v>0</v>
      </c>
      <c r="S128" s="8">
        <v>0</v>
      </c>
      <c r="T128" s="9">
        <v>0</v>
      </c>
    </row>
    <row r="129" spans="1:20" x14ac:dyDescent="0.2">
      <c r="A129" s="5" t="s">
        <v>233</v>
      </c>
      <c r="B129" s="9" t="s">
        <v>162</v>
      </c>
      <c r="C129" s="9" t="s">
        <v>682</v>
      </c>
      <c r="D129" s="7">
        <f t="shared" si="0"/>
        <v>17.2</v>
      </c>
      <c r="E129" s="8">
        <v>0</v>
      </c>
      <c r="F129" s="5">
        <v>0</v>
      </c>
      <c r="G129" s="5">
        <v>0</v>
      </c>
      <c r="H129" s="5">
        <v>0</v>
      </c>
      <c r="I129" s="5">
        <v>0</v>
      </c>
      <c r="J129" s="9">
        <v>0</v>
      </c>
      <c r="K129" s="8">
        <v>0</v>
      </c>
      <c r="L129" s="5">
        <v>0</v>
      </c>
      <c r="M129" s="5">
        <v>0</v>
      </c>
      <c r="N129" s="9">
        <v>0</v>
      </c>
      <c r="O129" s="8">
        <v>4</v>
      </c>
      <c r="P129" s="5">
        <v>72</v>
      </c>
      <c r="Q129" s="5">
        <v>1</v>
      </c>
      <c r="R129" s="9">
        <v>0</v>
      </c>
      <c r="S129" s="8">
        <v>0</v>
      </c>
      <c r="T129" s="9">
        <v>0</v>
      </c>
    </row>
    <row r="130" spans="1:20" x14ac:dyDescent="0.2">
      <c r="A130" s="5" t="s">
        <v>165</v>
      </c>
      <c r="B130" s="9" t="s">
        <v>162</v>
      </c>
      <c r="C130" s="9" t="s">
        <v>681</v>
      </c>
      <c r="D130" s="7">
        <f t="shared" si="0"/>
        <v>19.399999999999999</v>
      </c>
      <c r="E130" s="8">
        <v>0</v>
      </c>
      <c r="F130" s="5">
        <v>0</v>
      </c>
      <c r="G130" s="5">
        <v>0</v>
      </c>
      <c r="H130" s="5">
        <v>0</v>
      </c>
      <c r="I130" s="5">
        <v>0</v>
      </c>
      <c r="J130" s="9">
        <v>0</v>
      </c>
      <c r="K130" s="8">
        <v>0</v>
      </c>
      <c r="L130" s="5">
        <v>0</v>
      </c>
      <c r="M130" s="5">
        <v>0</v>
      </c>
      <c r="N130" s="9">
        <v>0</v>
      </c>
      <c r="O130" s="8">
        <v>6</v>
      </c>
      <c r="P130" s="5">
        <v>74</v>
      </c>
      <c r="Q130" s="5">
        <v>1</v>
      </c>
      <c r="R130" s="9">
        <v>0</v>
      </c>
      <c r="S130" s="8">
        <v>0</v>
      </c>
      <c r="T130" s="9">
        <v>0</v>
      </c>
    </row>
    <row r="131" spans="1:20" x14ac:dyDescent="0.2">
      <c r="A131" s="5" t="s">
        <v>192</v>
      </c>
      <c r="B131" s="9" t="s">
        <v>162</v>
      </c>
      <c r="C131" s="9" t="s">
        <v>682</v>
      </c>
      <c r="D131" s="7">
        <f t="shared" si="0"/>
        <v>17.3</v>
      </c>
      <c r="E131" s="8">
        <v>0</v>
      </c>
      <c r="F131" s="5">
        <v>0</v>
      </c>
      <c r="G131" s="5">
        <v>0</v>
      </c>
      <c r="H131" s="5">
        <v>0</v>
      </c>
      <c r="I131" s="5">
        <v>0</v>
      </c>
      <c r="J131" s="9">
        <v>0</v>
      </c>
      <c r="K131" s="8">
        <v>1</v>
      </c>
      <c r="L131" s="5">
        <v>0</v>
      </c>
      <c r="M131" s="5">
        <v>0</v>
      </c>
      <c r="N131" s="9">
        <v>0</v>
      </c>
      <c r="O131" s="8">
        <v>4</v>
      </c>
      <c r="P131" s="5">
        <v>53</v>
      </c>
      <c r="Q131" s="5">
        <v>1</v>
      </c>
      <c r="R131" s="9">
        <v>1</v>
      </c>
      <c r="S131" s="8">
        <v>0</v>
      </c>
      <c r="T131" s="9">
        <v>0</v>
      </c>
    </row>
    <row r="132" spans="1:20" x14ac:dyDescent="0.2">
      <c r="A132" s="5" t="s">
        <v>164</v>
      </c>
      <c r="B132" s="9" t="s">
        <v>162</v>
      </c>
      <c r="C132" s="9" t="s">
        <v>686</v>
      </c>
      <c r="D132" s="7">
        <f t="shared" si="0"/>
        <v>20.100000000000001</v>
      </c>
      <c r="E132" s="8">
        <v>1</v>
      </c>
      <c r="F132" s="5">
        <v>0</v>
      </c>
      <c r="G132" s="5">
        <v>0</v>
      </c>
      <c r="H132" s="5">
        <v>0</v>
      </c>
      <c r="I132" s="5">
        <v>0</v>
      </c>
      <c r="J132" s="9">
        <v>0</v>
      </c>
      <c r="K132" s="8">
        <v>1</v>
      </c>
      <c r="L132" s="5">
        <v>2</v>
      </c>
      <c r="M132" s="5">
        <v>0</v>
      </c>
      <c r="N132" s="9">
        <v>0</v>
      </c>
      <c r="O132" s="8">
        <v>6</v>
      </c>
      <c r="P132" s="5">
        <v>79</v>
      </c>
      <c r="Q132" s="5">
        <v>1</v>
      </c>
      <c r="R132" s="9">
        <v>0</v>
      </c>
      <c r="S132" s="8">
        <v>0</v>
      </c>
      <c r="T132" s="9">
        <v>0</v>
      </c>
    </row>
    <row r="133" spans="1:20" x14ac:dyDescent="0.2">
      <c r="A133" s="5" t="s">
        <v>219</v>
      </c>
      <c r="B133" s="9" t="s">
        <v>162</v>
      </c>
      <c r="C133" s="9" t="s">
        <v>683</v>
      </c>
      <c r="D133" s="7">
        <f t="shared" si="0"/>
        <v>17.2</v>
      </c>
      <c r="E133" s="8">
        <v>0</v>
      </c>
      <c r="F133" s="5">
        <v>0</v>
      </c>
      <c r="G133" s="5">
        <v>0</v>
      </c>
      <c r="H133" s="5">
        <v>0</v>
      </c>
      <c r="I133" s="5">
        <v>0</v>
      </c>
      <c r="J133" s="9">
        <v>0</v>
      </c>
      <c r="K133" s="8">
        <v>1</v>
      </c>
      <c r="L133" s="5">
        <v>12</v>
      </c>
      <c r="M133" s="5">
        <v>0</v>
      </c>
      <c r="N133" s="9">
        <v>0</v>
      </c>
      <c r="O133" s="8">
        <v>5</v>
      </c>
      <c r="P133" s="5">
        <v>50</v>
      </c>
      <c r="Q133" s="5">
        <v>1</v>
      </c>
      <c r="R133" s="9">
        <v>0</v>
      </c>
      <c r="S133" s="8">
        <v>0</v>
      </c>
      <c r="T133" s="9">
        <v>0</v>
      </c>
    </row>
    <row r="134" spans="1:20" x14ac:dyDescent="0.2">
      <c r="A134" s="5" t="s">
        <v>163</v>
      </c>
      <c r="B134" s="9" t="s">
        <v>162</v>
      </c>
      <c r="C134" s="9" t="s">
        <v>692</v>
      </c>
      <c r="D134" s="7">
        <f t="shared" si="0"/>
        <v>13</v>
      </c>
      <c r="E134" s="8">
        <v>0</v>
      </c>
      <c r="F134" s="5">
        <v>0</v>
      </c>
      <c r="G134" s="5">
        <v>0</v>
      </c>
      <c r="H134" s="5">
        <v>0</v>
      </c>
      <c r="I134" s="5">
        <v>0</v>
      </c>
      <c r="J134" s="9">
        <v>0</v>
      </c>
      <c r="K134" s="8">
        <v>0</v>
      </c>
      <c r="L134" s="5">
        <v>0</v>
      </c>
      <c r="M134" s="5">
        <v>0</v>
      </c>
      <c r="N134" s="9">
        <v>0</v>
      </c>
      <c r="O134" s="8">
        <v>2</v>
      </c>
      <c r="P134" s="5">
        <v>50</v>
      </c>
      <c r="Q134" s="5">
        <v>1</v>
      </c>
      <c r="R134" s="9">
        <v>0</v>
      </c>
      <c r="S134" s="8">
        <v>0</v>
      </c>
      <c r="T134" s="9">
        <v>0</v>
      </c>
    </row>
    <row r="135" spans="1:20" x14ac:dyDescent="0.2">
      <c r="A135" s="5" t="s">
        <v>235</v>
      </c>
      <c r="B135" s="9" t="s">
        <v>162</v>
      </c>
      <c r="C135" s="9" t="s">
        <v>693</v>
      </c>
      <c r="D135" s="7">
        <f t="shared" si="0"/>
        <v>22.4</v>
      </c>
      <c r="E135" s="8">
        <v>0</v>
      </c>
      <c r="F135" s="5">
        <v>0</v>
      </c>
      <c r="G135" s="5">
        <v>0</v>
      </c>
      <c r="H135" s="5">
        <v>0</v>
      </c>
      <c r="I135" s="5">
        <v>0</v>
      </c>
      <c r="J135" s="9">
        <v>0</v>
      </c>
      <c r="K135" s="8">
        <v>0</v>
      </c>
      <c r="L135" s="5">
        <v>0</v>
      </c>
      <c r="M135" s="5">
        <v>0</v>
      </c>
      <c r="N135" s="9">
        <v>0</v>
      </c>
      <c r="O135" s="8">
        <v>11</v>
      </c>
      <c r="P135" s="5">
        <v>114</v>
      </c>
      <c r="Q135" s="5">
        <v>0</v>
      </c>
      <c r="R135" s="9">
        <v>0</v>
      </c>
      <c r="S135" s="8">
        <v>0</v>
      </c>
      <c r="T135" s="9">
        <v>0</v>
      </c>
    </row>
    <row r="136" spans="1:20" x14ac:dyDescent="0.2">
      <c r="A136" s="5" t="s">
        <v>171</v>
      </c>
      <c r="B136" s="9" t="s">
        <v>162</v>
      </c>
      <c r="C136" s="9" t="s">
        <v>694</v>
      </c>
      <c r="D136" s="7">
        <f t="shared" si="0"/>
        <v>18.399999999999999</v>
      </c>
      <c r="E136" s="8">
        <v>0</v>
      </c>
      <c r="F136" s="5">
        <v>0</v>
      </c>
      <c r="G136" s="5">
        <v>0</v>
      </c>
      <c r="H136" s="5">
        <v>0</v>
      </c>
      <c r="I136" s="5">
        <v>0</v>
      </c>
      <c r="J136" s="9">
        <v>0</v>
      </c>
      <c r="K136" s="8">
        <v>0</v>
      </c>
      <c r="L136" s="5">
        <v>0</v>
      </c>
      <c r="M136" s="5">
        <v>0</v>
      </c>
      <c r="N136" s="9">
        <v>0</v>
      </c>
      <c r="O136" s="8">
        <v>7</v>
      </c>
      <c r="P136" s="5">
        <v>114</v>
      </c>
      <c r="Q136" s="5">
        <v>0</v>
      </c>
      <c r="R136" s="9">
        <v>0</v>
      </c>
      <c r="S136" s="8">
        <v>0</v>
      </c>
      <c r="T136" s="9">
        <v>0</v>
      </c>
    </row>
    <row r="137" spans="1:20" x14ac:dyDescent="0.2">
      <c r="A137" s="5" t="s">
        <v>196</v>
      </c>
      <c r="B137" s="9" t="s">
        <v>162</v>
      </c>
      <c r="C137" s="9" t="s">
        <v>695</v>
      </c>
      <c r="D137" s="7">
        <f t="shared" si="0"/>
        <v>19.399999999999999</v>
      </c>
      <c r="E137" s="8">
        <v>0</v>
      </c>
      <c r="F137" s="5">
        <v>0</v>
      </c>
      <c r="G137" s="5">
        <v>0</v>
      </c>
      <c r="H137" s="5">
        <v>0</v>
      </c>
      <c r="I137" s="5">
        <v>0</v>
      </c>
      <c r="J137" s="9">
        <v>0</v>
      </c>
      <c r="K137" s="8">
        <v>0</v>
      </c>
      <c r="L137" s="5">
        <v>0</v>
      </c>
      <c r="M137" s="5">
        <v>0</v>
      </c>
      <c r="N137" s="9">
        <v>0</v>
      </c>
      <c r="O137" s="8">
        <v>8</v>
      </c>
      <c r="P137" s="5">
        <v>114</v>
      </c>
      <c r="Q137" s="5">
        <v>0</v>
      </c>
      <c r="R137" s="9">
        <v>0</v>
      </c>
      <c r="S137" s="8">
        <v>0</v>
      </c>
      <c r="T137" s="9">
        <v>0</v>
      </c>
    </row>
    <row r="138" spans="1:20" x14ac:dyDescent="0.2">
      <c r="A138" s="5" t="s">
        <v>346</v>
      </c>
      <c r="B138" s="9" t="s">
        <v>162</v>
      </c>
      <c r="C138" s="9" t="s">
        <v>691</v>
      </c>
      <c r="D138" s="7">
        <f t="shared" si="0"/>
        <v>15.9</v>
      </c>
      <c r="E138" s="8">
        <v>0</v>
      </c>
      <c r="F138" s="5">
        <v>0</v>
      </c>
      <c r="G138" s="5">
        <v>0</v>
      </c>
      <c r="H138" s="5">
        <v>0</v>
      </c>
      <c r="I138" s="5">
        <v>0</v>
      </c>
      <c r="J138" s="9">
        <v>0</v>
      </c>
      <c r="K138" s="8">
        <v>0</v>
      </c>
      <c r="L138" s="5">
        <v>0</v>
      </c>
      <c r="M138" s="5">
        <v>0</v>
      </c>
      <c r="N138" s="9">
        <v>0</v>
      </c>
      <c r="O138" s="8">
        <v>5</v>
      </c>
      <c r="P138" s="5">
        <v>109</v>
      </c>
      <c r="Q138" s="5">
        <v>0</v>
      </c>
      <c r="R138" s="9">
        <v>0</v>
      </c>
      <c r="S138" s="8">
        <v>0</v>
      </c>
      <c r="T138" s="9">
        <v>0</v>
      </c>
    </row>
    <row r="139" spans="1:20" x14ac:dyDescent="0.2">
      <c r="A139" s="5" t="s">
        <v>169</v>
      </c>
      <c r="B139" s="9" t="s">
        <v>162</v>
      </c>
      <c r="C139" s="9" t="s">
        <v>688</v>
      </c>
      <c r="D139" s="7">
        <f t="shared" si="0"/>
        <v>20.700000000000003</v>
      </c>
      <c r="E139" s="8">
        <v>0</v>
      </c>
      <c r="F139" s="5">
        <v>0</v>
      </c>
      <c r="G139" s="5">
        <v>0</v>
      </c>
      <c r="H139" s="5">
        <v>0</v>
      </c>
      <c r="I139" s="5">
        <v>0</v>
      </c>
      <c r="J139" s="9">
        <v>0</v>
      </c>
      <c r="K139" s="8">
        <v>0</v>
      </c>
      <c r="L139" s="5">
        <v>0</v>
      </c>
      <c r="M139" s="5">
        <v>0</v>
      </c>
      <c r="N139" s="9">
        <v>0</v>
      </c>
      <c r="O139" s="8">
        <v>10</v>
      </c>
      <c r="P139" s="5">
        <v>107</v>
      </c>
      <c r="Q139" s="5">
        <v>0</v>
      </c>
      <c r="R139" s="9">
        <v>0</v>
      </c>
      <c r="S139" s="8">
        <v>0</v>
      </c>
      <c r="T139" s="9">
        <v>0</v>
      </c>
    </row>
    <row r="140" spans="1:20" x14ac:dyDescent="0.2">
      <c r="A140" s="5" t="s">
        <v>225</v>
      </c>
      <c r="B140" s="9" t="s">
        <v>162</v>
      </c>
      <c r="C140" s="9" t="s">
        <v>684</v>
      </c>
      <c r="D140" s="7">
        <f t="shared" si="0"/>
        <v>15</v>
      </c>
      <c r="E140" s="8">
        <v>0</v>
      </c>
      <c r="F140" s="5">
        <v>0</v>
      </c>
      <c r="G140" s="5">
        <v>0</v>
      </c>
      <c r="H140" s="5">
        <v>0</v>
      </c>
      <c r="I140" s="5">
        <v>0</v>
      </c>
      <c r="J140" s="9">
        <v>0</v>
      </c>
      <c r="K140" s="8">
        <v>2</v>
      </c>
      <c r="L140" s="5">
        <v>16</v>
      </c>
      <c r="M140" s="5">
        <v>0</v>
      </c>
      <c r="N140" s="9">
        <v>0</v>
      </c>
      <c r="O140" s="8">
        <v>4</v>
      </c>
      <c r="P140" s="5">
        <v>34</v>
      </c>
      <c r="Q140" s="5">
        <v>1</v>
      </c>
      <c r="R140" s="9">
        <v>0</v>
      </c>
      <c r="S140" s="8">
        <v>0</v>
      </c>
      <c r="T140" s="9">
        <v>0</v>
      </c>
    </row>
    <row r="141" spans="1:20" x14ac:dyDescent="0.2">
      <c r="A141" s="5" t="s">
        <v>199</v>
      </c>
      <c r="B141" s="9" t="s">
        <v>162</v>
      </c>
      <c r="C141" s="9" t="s">
        <v>682</v>
      </c>
      <c r="D141" s="7">
        <f t="shared" si="0"/>
        <v>19</v>
      </c>
      <c r="E141" s="8">
        <v>0</v>
      </c>
      <c r="F141" s="5">
        <v>0</v>
      </c>
      <c r="G141" s="5">
        <v>0</v>
      </c>
      <c r="H141" s="5">
        <v>0</v>
      </c>
      <c r="I141" s="5">
        <v>0</v>
      </c>
      <c r="J141" s="9">
        <v>0</v>
      </c>
      <c r="K141" s="8">
        <v>0</v>
      </c>
      <c r="L141" s="5">
        <v>0</v>
      </c>
      <c r="M141" s="5">
        <v>0</v>
      </c>
      <c r="N141" s="9">
        <v>0</v>
      </c>
      <c r="O141" s="8">
        <v>9</v>
      </c>
      <c r="P141" s="5">
        <v>100</v>
      </c>
      <c r="Q141" s="5">
        <v>0</v>
      </c>
      <c r="R141" s="9">
        <v>0</v>
      </c>
      <c r="S141" s="8">
        <v>0</v>
      </c>
      <c r="T141" s="9">
        <v>0</v>
      </c>
    </row>
    <row r="142" spans="1:20" x14ac:dyDescent="0.2">
      <c r="A142" s="5" t="s">
        <v>184</v>
      </c>
      <c r="B142" s="9" t="s">
        <v>162</v>
      </c>
      <c r="C142" s="9" t="s">
        <v>695</v>
      </c>
      <c r="D142" s="7">
        <f t="shared" si="0"/>
        <v>17.399999999999999</v>
      </c>
      <c r="E142" s="8">
        <v>0</v>
      </c>
      <c r="F142" s="5">
        <v>0</v>
      </c>
      <c r="G142" s="5">
        <v>0</v>
      </c>
      <c r="H142" s="5">
        <v>0</v>
      </c>
      <c r="I142" s="5">
        <v>0</v>
      </c>
      <c r="J142" s="9">
        <v>0</v>
      </c>
      <c r="K142" s="8">
        <v>0</v>
      </c>
      <c r="L142" s="5">
        <v>0</v>
      </c>
      <c r="M142" s="5">
        <v>0</v>
      </c>
      <c r="N142" s="9">
        <v>0</v>
      </c>
      <c r="O142" s="8">
        <v>7</v>
      </c>
      <c r="P142" s="5">
        <v>44</v>
      </c>
      <c r="Q142" s="5">
        <v>1</v>
      </c>
      <c r="R142" s="9">
        <v>0</v>
      </c>
      <c r="S142" s="8">
        <v>0</v>
      </c>
      <c r="T142" s="9">
        <v>0</v>
      </c>
    </row>
    <row r="143" spans="1:20" x14ac:dyDescent="0.2">
      <c r="A143" s="5" t="s">
        <v>185</v>
      </c>
      <c r="B143" s="9" t="s">
        <v>162</v>
      </c>
      <c r="C143" s="9" t="s">
        <v>689</v>
      </c>
      <c r="D143" s="7">
        <f t="shared" si="0"/>
        <v>22.6</v>
      </c>
      <c r="E143" s="8">
        <v>0</v>
      </c>
      <c r="F143" s="5">
        <v>0</v>
      </c>
      <c r="G143" s="5">
        <v>0</v>
      </c>
      <c r="H143" s="5">
        <v>0</v>
      </c>
      <c r="I143" s="5">
        <v>0</v>
      </c>
      <c r="J143" s="9">
        <v>0</v>
      </c>
      <c r="K143" s="8">
        <v>0</v>
      </c>
      <c r="L143" s="5">
        <v>0</v>
      </c>
      <c r="M143" s="5">
        <v>0</v>
      </c>
      <c r="N143" s="9">
        <v>0</v>
      </c>
      <c r="O143" s="8">
        <v>14</v>
      </c>
      <c r="P143" s="5">
        <v>106</v>
      </c>
      <c r="Q143" s="5">
        <v>0</v>
      </c>
      <c r="R143" s="9">
        <v>0</v>
      </c>
      <c r="S143" s="8">
        <v>1</v>
      </c>
      <c r="T143" s="9">
        <v>0</v>
      </c>
    </row>
    <row r="144" spans="1:20" x14ac:dyDescent="0.2">
      <c r="A144" s="5" t="s">
        <v>182</v>
      </c>
      <c r="B144" s="9" t="s">
        <v>162</v>
      </c>
      <c r="C144" s="9" t="s">
        <v>681</v>
      </c>
      <c r="D144" s="7">
        <f t="shared" si="0"/>
        <v>14.7</v>
      </c>
      <c r="E144" s="8">
        <v>0</v>
      </c>
      <c r="F144" s="5">
        <v>0</v>
      </c>
      <c r="G144" s="5">
        <v>0</v>
      </c>
      <c r="H144" s="5">
        <v>0</v>
      </c>
      <c r="I144" s="5">
        <v>0</v>
      </c>
      <c r="J144" s="9">
        <v>0</v>
      </c>
      <c r="K144" s="8">
        <v>0</v>
      </c>
      <c r="L144" s="5">
        <v>0</v>
      </c>
      <c r="M144" s="5">
        <v>0</v>
      </c>
      <c r="N144" s="9">
        <v>0</v>
      </c>
      <c r="O144" s="8">
        <v>5</v>
      </c>
      <c r="P144" s="5">
        <v>37</v>
      </c>
      <c r="Q144" s="5">
        <v>1</v>
      </c>
      <c r="R144" s="9">
        <v>0</v>
      </c>
      <c r="S144" s="8">
        <v>0</v>
      </c>
      <c r="T144" s="9">
        <v>0</v>
      </c>
    </row>
    <row r="145" spans="1:20" x14ac:dyDescent="0.2">
      <c r="A145" s="5" t="s">
        <v>339</v>
      </c>
      <c r="B145" s="9" t="s">
        <v>162</v>
      </c>
      <c r="C145" s="9" t="s">
        <v>694</v>
      </c>
      <c r="D145" s="7">
        <f t="shared" si="0"/>
        <v>14.1</v>
      </c>
      <c r="E145" s="8">
        <v>0</v>
      </c>
      <c r="F145" s="5">
        <v>0</v>
      </c>
      <c r="G145" s="5">
        <v>0</v>
      </c>
      <c r="H145" s="5">
        <v>0</v>
      </c>
      <c r="I145" s="5">
        <v>0</v>
      </c>
      <c r="J145" s="9">
        <v>0</v>
      </c>
      <c r="K145" s="8">
        <v>0</v>
      </c>
      <c r="L145" s="5">
        <v>0</v>
      </c>
      <c r="M145" s="5">
        <v>0</v>
      </c>
      <c r="N145" s="9">
        <v>0</v>
      </c>
      <c r="O145" s="8">
        <v>5</v>
      </c>
      <c r="P145" s="5">
        <v>91</v>
      </c>
      <c r="Q145" s="5">
        <v>0</v>
      </c>
      <c r="R145" s="9">
        <v>0</v>
      </c>
      <c r="S145" s="8">
        <v>0</v>
      </c>
      <c r="T145" s="9">
        <v>0</v>
      </c>
    </row>
    <row r="146" spans="1:20" x14ac:dyDescent="0.2">
      <c r="A146" s="5" t="s">
        <v>243</v>
      </c>
      <c r="B146" s="9" t="s">
        <v>162</v>
      </c>
      <c r="C146" s="9" t="s">
        <v>684</v>
      </c>
      <c r="D146" s="7">
        <f t="shared" si="0"/>
        <v>14.6</v>
      </c>
      <c r="E146" s="8">
        <v>0</v>
      </c>
      <c r="F146" s="5">
        <v>0</v>
      </c>
      <c r="G146" s="5">
        <v>0</v>
      </c>
      <c r="H146" s="5">
        <v>0</v>
      </c>
      <c r="I146" s="5">
        <v>0</v>
      </c>
      <c r="J146" s="9">
        <v>0</v>
      </c>
      <c r="K146" s="8">
        <v>1</v>
      </c>
      <c r="L146" s="5">
        <v>6</v>
      </c>
      <c r="M146" s="5">
        <v>0</v>
      </c>
      <c r="N146" s="9">
        <v>0</v>
      </c>
      <c r="O146" s="8">
        <v>5</v>
      </c>
      <c r="P146" s="5">
        <v>90</v>
      </c>
      <c r="Q146" s="5">
        <v>0</v>
      </c>
      <c r="R146" s="9">
        <v>0</v>
      </c>
      <c r="S146" s="8">
        <v>0</v>
      </c>
      <c r="T146" s="9">
        <v>0</v>
      </c>
    </row>
    <row r="147" spans="1:20" x14ac:dyDescent="0.2">
      <c r="A147" s="5" t="s">
        <v>173</v>
      </c>
      <c r="B147" s="9" t="s">
        <v>162</v>
      </c>
      <c r="C147" s="9" t="s">
        <v>684</v>
      </c>
      <c r="D147" s="7">
        <f t="shared" si="0"/>
        <v>18.5</v>
      </c>
      <c r="E147" s="8">
        <v>0</v>
      </c>
      <c r="F147" s="5">
        <v>0</v>
      </c>
      <c r="G147" s="5">
        <v>0</v>
      </c>
      <c r="H147" s="5">
        <v>0</v>
      </c>
      <c r="I147" s="5">
        <v>0</v>
      </c>
      <c r="J147" s="9">
        <v>0</v>
      </c>
      <c r="K147" s="8">
        <v>0</v>
      </c>
      <c r="L147" s="5">
        <v>0</v>
      </c>
      <c r="M147" s="5">
        <v>0</v>
      </c>
      <c r="N147" s="9">
        <v>0</v>
      </c>
      <c r="O147" s="8">
        <v>9</v>
      </c>
      <c r="P147" s="5">
        <v>95</v>
      </c>
      <c r="Q147" s="5">
        <v>0</v>
      </c>
      <c r="R147" s="9">
        <v>0</v>
      </c>
      <c r="S147" s="8">
        <v>0</v>
      </c>
      <c r="T147" s="9">
        <v>0</v>
      </c>
    </row>
    <row r="148" spans="1:20" x14ac:dyDescent="0.2">
      <c r="A148" s="5" t="s">
        <v>201</v>
      </c>
      <c r="B148" s="9" t="s">
        <v>162</v>
      </c>
      <c r="C148" s="9" t="s">
        <v>682</v>
      </c>
      <c r="D148" s="7">
        <f t="shared" si="0"/>
        <v>10.4</v>
      </c>
      <c r="E148" s="8">
        <v>0</v>
      </c>
      <c r="F148" s="5">
        <v>0</v>
      </c>
      <c r="G148" s="5">
        <v>0</v>
      </c>
      <c r="H148" s="5">
        <v>0</v>
      </c>
      <c r="I148" s="5">
        <v>0</v>
      </c>
      <c r="J148" s="9">
        <v>0</v>
      </c>
      <c r="K148" s="8">
        <v>0</v>
      </c>
      <c r="L148" s="5">
        <v>0</v>
      </c>
      <c r="M148" s="5">
        <v>0</v>
      </c>
      <c r="N148" s="9">
        <v>0</v>
      </c>
      <c r="O148" s="8">
        <v>1</v>
      </c>
      <c r="P148" s="5">
        <v>34</v>
      </c>
      <c r="Q148" s="5">
        <v>1</v>
      </c>
      <c r="R148" s="9">
        <v>0</v>
      </c>
      <c r="S148" s="8">
        <v>0</v>
      </c>
      <c r="T148" s="9">
        <v>0</v>
      </c>
    </row>
    <row r="149" spans="1:20" x14ac:dyDescent="0.2">
      <c r="A149" s="5" t="s">
        <v>213</v>
      </c>
      <c r="B149" s="9" t="s">
        <v>162</v>
      </c>
      <c r="C149" s="9" t="s">
        <v>685</v>
      </c>
      <c r="D149" s="7">
        <f t="shared" si="0"/>
        <v>14.8</v>
      </c>
      <c r="E149" s="8">
        <v>0</v>
      </c>
      <c r="F149" s="5">
        <v>0</v>
      </c>
      <c r="G149" s="5">
        <v>0</v>
      </c>
      <c r="H149" s="5">
        <v>0</v>
      </c>
      <c r="I149" s="5">
        <v>0</v>
      </c>
      <c r="J149" s="9">
        <v>0</v>
      </c>
      <c r="K149" s="8">
        <v>0</v>
      </c>
      <c r="L149" s="5">
        <v>0</v>
      </c>
      <c r="M149" s="5">
        <v>0</v>
      </c>
      <c r="N149" s="9">
        <v>0</v>
      </c>
      <c r="O149" s="8">
        <v>6</v>
      </c>
      <c r="P149" s="5">
        <v>88</v>
      </c>
      <c r="Q149" s="5">
        <v>0</v>
      </c>
      <c r="R149" s="9">
        <v>0</v>
      </c>
      <c r="S149" s="8">
        <v>0</v>
      </c>
      <c r="T149" s="9">
        <v>0</v>
      </c>
    </row>
    <row r="150" spans="1:20" x14ac:dyDescent="0.2">
      <c r="A150" s="5" t="s">
        <v>206</v>
      </c>
      <c r="B150" s="9" t="s">
        <v>162</v>
      </c>
      <c r="C150" s="9" t="s">
        <v>690</v>
      </c>
      <c r="D150" s="7">
        <f t="shared" si="0"/>
        <v>12.1</v>
      </c>
      <c r="E150" s="8">
        <v>0</v>
      </c>
      <c r="F150" s="5">
        <v>0</v>
      </c>
      <c r="G150" s="5">
        <v>0</v>
      </c>
      <c r="H150" s="5">
        <v>0</v>
      </c>
      <c r="I150" s="5">
        <v>0</v>
      </c>
      <c r="J150" s="9">
        <v>0</v>
      </c>
      <c r="K150" s="8">
        <v>0</v>
      </c>
      <c r="L150" s="5">
        <v>0</v>
      </c>
      <c r="M150" s="5">
        <v>0</v>
      </c>
      <c r="N150" s="9">
        <v>0</v>
      </c>
      <c r="O150" s="8">
        <v>4</v>
      </c>
      <c r="P150" s="5">
        <v>81</v>
      </c>
      <c r="Q150" s="5">
        <v>0</v>
      </c>
      <c r="R150" s="9">
        <v>0</v>
      </c>
      <c r="S150" s="8">
        <v>0</v>
      </c>
      <c r="T150" s="9">
        <v>0</v>
      </c>
    </row>
    <row r="151" spans="1:20" x14ac:dyDescent="0.2">
      <c r="A151" s="5" t="s">
        <v>629</v>
      </c>
      <c r="B151" s="9" t="s">
        <v>162</v>
      </c>
      <c r="C151" s="9" t="s">
        <v>685</v>
      </c>
      <c r="D151" s="7">
        <f t="shared" si="0"/>
        <v>11.7</v>
      </c>
      <c r="E151" s="8">
        <v>0</v>
      </c>
      <c r="F151" s="5">
        <v>0</v>
      </c>
      <c r="G151" s="5">
        <v>0</v>
      </c>
      <c r="H151" s="5">
        <v>0</v>
      </c>
      <c r="I151" s="5">
        <v>0</v>
      </c>
      <c r="J151" s="9">
        <v>0</v>
      </c>
      <c r="K151" s="8">
        <v>0</v>
      </c>
      <c r="L151" s="5">
        <v>0</v>
      </c>
      <c r="M151" s="5">
        <v>0</v>
      </c>
      <c r="N151" s="9">
        <v>0</v>
      </c>
      <c r="O151" s="8">
        <v>3</v>
      </c>
      <c r="P151" s="5">
        <v>27</v>
      </c>
      <c r="Q151" s="5">
        <v>1</v>
      </c>
      <c r="R151" s="9">
        <v>0</v>
      </c>
      <c r="S151" s="8">
        <v>0</v>
      </c>
      <c r="T151" s="9">
        <v>0</v>
      </c>
    </row>
    <row r="152" spans="1:20" x14ac:dyDescent="0.2">
      <c r="A152" s="5" t="s">
        <v>263</v>
      </c>
      <c r="B152" s="9" t="s">
        <v>162</v>
      </c>
      <c r="C152" s="9" t="s">
        <v>683</v>
      </c>
      <c r="D152" s="7">
        <f t="shared" si="0"/>
        <v>12.9</v>
      </c>
      <c r="E152" s="8">
        <v>0</v>
      </c>
      <c r="F152" s="5">
        <v>0</v>
      </c>
      <c r="G152" s="5">
        <v>0</v>
      </c>
      <c r="H152" s="5">
        <v>0</v>
      </c>
      <c r="I152" s="5">
        <v>0</v>
      </c>
      <c r="J152" s="9">
        <v>0</v>
      </c>
      <c r="K152" s="8">
        <v>0</v>
      </c>
      <c r="L152" s="5">
        <v>0</v>
      </c>
      <c r="M152" s="5">
        <v>0</v>
      </c>
      <c r="N152" s="9">
        <v>0</v>
      </c>
      <c r="O152" s="8">
        <v>4</v>
      </c>
      <c r="P152" s="5">
        <v>89</v>
      </c>
      <c r="Q152" s="5">
        <v>0</v>
      </c>
      <c r="R152" s="9">
        <v>0</v>
      </c>
      <c r="S152" s="8">
        <v>0</v>
      </c>
      <c r="T152" s="9">
        <v>0</v>
      </c>
    </row>
    <row r="153" spans="1:20" x14ac:dyDescent="0.2">
      <c r="A153" s="5" t="s">
        <v>420</v>
      </c>
      <c r="B153" s="9" t="s">
        <v>162</v>
      </c>
      <c r="C153" s="9" t="s">
        <v>681</v>
      </c>
      <c r="D153" s="7">
        <f t="shared" si="0"/>
        <v>9.9</v>
      </c>
      <c r="E153" s="8">
        <v>0</v>
      </c>
      <c r="F153" s="5">
        <v>0</v>
      </c>
      <c r="G153" s="5">
        <v>0</v>
      </c>
      <c r="H153" s="5">
        <v>0</v>
      </c>
      <c r="I153" s="5">
        <v>0</v>
      </c>
      <c r="J153" s="9">
        <v>0</v>
      </c>
      <c r="K153" s="8">
        <v>0</v>
      </c>
      <c r="L153" s="5">
        <v>0</v>
      </c>
      <c r="M153" s="5">
        <v>0</v>
      </c>
      <c r="N153" s="9">
        <v>0</v>
      </c>
      <c r="O153" s="8">
        <v>1</v>
      </c>
      <c r="P153" s="5">
        <v>29</v>
      </c>
      <c r="Q153" s="5">
        <v>1</v>
      </c>
      <c r="R153" s="9">
        <v>0</v>
      </c>
      <c r="S153" s="8">
        <v>0</v>
      </c>
      <c r="T153" s="9">
        <v>0</v>
      </c>
    </row>
    <row r="154" spans="1:20" x14ac:dyDescent="0.2">
      <c r="A154" s="5" t="s">
        <v>190</v>
      </c>
      <c r="B154" s="9" t="s">
        <v>162</v>
      </c>
      <c r="C154" s="9" t="s">
        <v>686</v>
      </c>
      <c r="D154" s="7">
        <f t="shared" si="0"/>
        <v>12.3</v>
      </c>
      <c r="E154" s="8">
        <v>0</v>
      </c>
      <c r="F154" s="5">
        <v>0</v>
      </c>
      <c r="G154" s="5">
        <v>0</v>
      </c>
      <c r="H154" s="5">
        <v>0</v>
      </c>
      <c r="I154" s="5">
        <v>0</v>
      </c>
      <c r="J154" s="9">
        <v>0</v>
      </c>
      <c r="K154" s="8">
        <v>0</v>
      </c>
      <c r="L154" s="5">
        <v>0</v>
      </c>
      <c r="M154" s="5">
        <v>0</v>
      </c>
      <c r="N154" s="9">
        <v>0</v>
      </c>
      <c r="O154" s="8">
        <v>5</v>
      </c>
      <c r="P154" s="5">
        <v>73</v>
      </c>
      <c r="Q154" s="5">
        <v>0</v>
      </c>
      <c r="R154" s="9">
        <v>0</v>
      </c>
      <c r="S154" s="8">
        <v>0</v>
      </c>
      <c r="T154" s="9">
        <v>0</v>
      </c>
    </row>
    <row r="155" spans="1:20" x14ac:dyDescent="0.2">
      <c r="A155" s="5" t="s">
        <v>176</v>
      </c>
      <c r="B155" s="9" t="s">
        <v>162</v>
      </c>
      <c r="C155" s="9" t="s">
        <v>685</v>
      </c>
      <c r="D155" s="7">
        <f t="shared" si="0"/>
        <v>10.600000000000001</v>
      </c>
      <c r="E155" s="8">
        <v>0</v>
      </c>
      <c r="F155" s="5">
        <v>0</v>
      </c>
      <c r="G155" s="5">
        <v>0</v>
      </c>
      <c r="H155" s="5">
        <v>0</v>
      </c>
      <c r="I155" s="5">
        <v>0</v>
      </c>
      <c r="J155" s="9">
        <v>0</v>
      </c>
      <c r="K155" s="8">
        <v>0</v>
      </c>
      <c r="L155" s="5">
        <v>0</v>
      </c>
      <c r="M155" s="5">
        <v>0</v>
      </c>
      <c r="N155" s="9">
        <v>0</v>
      </c>
      <c r="O155" s="8">
        <v>3</v>
      </c>
      <c r="P155" s="5">
        <v>76</v>
      </c>
      <c r="Q155" s="5">
        <v>0</v>
      </c>
      <c r="R155" s="9">
        <v>0</v>
      </c>
      <c r="S155" s="8">
        <v>0</v>
      </c>
      <c r="T155" s="9">
        <v>0</v>
      </c>
    </row>
    <row r="156" spans="1:20" x14ac:dyDescent="0.2">
      <c r="A156" s="5" t="s">
        <v>252</v>
      </c>
      <c r="B156" s="9" t="s">
        <v>162</v>
      </c>
      <c r="C156" s="9" t="s">
        <v>691</v>
      </c>
      <c r="D156" s="7">
        <f t="shared" si="0"/>
        <v>8.1999999999999993</v>
      </c>
      <c r="E156" s="8">
        <v>0</v>
      </c>
      <c r="F156" s="5">
        <v>0</v>
      </c>
      <c r="G156" s="5">
        <v>0</v>
      </c>
      <c r="H156" s="5">
        <v>0</v>
      </c>
      <c r="I156" s="5">
        <v>0</v>
      </c>
      <c r="J156" s="9">
        <v>0</v>
      </c>
      <c r="K156" s="8">
        <v>0</v>
      </c>
      <c r="L156" s="5">
        <v>0</v>
      </c>
      <c r="M156" s="5">
        <v>0</v>
      </c>
      <c r="N156" s="9">
        <v>0</v>
      </c>
      <c r="O156" s="8">
        <v>1</v>
      </c>
      <c r="P156" s="5">
        <v>12</v>
      </c>
      <c r="Q156" s="5">
        <v>1</v>
      </c>
      <c r="R156" s="9">
        <v>0</v>
      </c>
      <c r="S156" s="8">
        <v>0</v>
      </c>
      <c r="T156" s="9">
        <v>0</v>
      </c>
    </row>
    <row r="157" spans="1:20" x14ac:dyDescent="0.2">
      <c r="A157" s="5" t="s">
        <v>191</v>
      </c>
      <c r="B157" s="9" t="s">
        <v>162</v>
      </c>
      <c r="C157" s="9" t="s">
        <v>684</v>
      </c>
      <c r="D157" s="7">
        <f t="shared" si="0"/>
        <v>9.5</v>
      </c>
      <c r="E157" s="8">
        <v>0</v>
      </c>
      <c r="F157" s="5">
        <v>0</v>
      </c>
      <c r="G157" s="5">
        <v>0</v>
      </c>
      <c r="H157" s="5">
        <v>0</v>
      </c>
      <c r="I157" s="5">
        <v>0</v>
      </c>
      <c r="J157" s="9">
        <v>0</v>
      </c>
      <c r="K157" s="8">
        <v>0</v>
      </c>
      <c r="L157" s="5">
        <v>0</v>
      </c>
      <c r="M157" s="5">
        <v>0</v>
      </c>
      <c r="N157" s="9">
        <v>0</v>
      </c>
      <c r="O157" s="8">
        <v>2</v>
      </c>
      <c r="P157" s="5">
        <v>15</v>
      </c>
      <c r="Q157" s="5">
        <v>1</v>
      </c>
      <c r="R157" s="9">
        <v>0</v>
      </c>
      <c r="S157" s="8">
        <v>0</v>
      </c>
      <c r="T157" s="9">
        <v>0</v>
      </c>
    </row>
    <row r="158" spans="1:20" x14ac:dyDescent="0.2">
      <c r="A158" s="5" t="s">
        <v>242</v>
      </c>
      <c r="B158" s="9" t="s">
        <v>162</v>
      </c>
      <c r="C158" s="9" t="s">
        <v>696</v>
      </c>
      <c r="D158" s="7">
        <f t="shared" si="0"/>
        <v>10</v>
      </c>
      <c r="E158" s="8">
        <v>0</v>
      </c>
      <c r="F158" s="5">
        <v>0</v>
      </c>
      <c r="G158" s="5">
        <v>0</v>
      </c>
      <c r="H158" s="5">
        <v>0</v>
      </c>
      <c r="I158" s="5">
        <v>0</v>
      </c>
      <c r="J158" s="9">
        <v>0</v>
      </c>
      <c r="K158" s="8">
        <v>0</v>
      </c>
      <c r="L158" s="5">
        <v>0</v>
      </c>
      <c r="M158" s="5">
        <v>0</v>
      </c>
      <c r="N158" s="9">
        <v>0</v>
      </c>
      <c r="O158" s="8">
        <v>4</v>
      </c>
      <c r="P158" s="5">
        <v>60</v>
      </c>
      <c r="Q158" s="5">
        <v>0</v>
      </c>
      <c r="R158" s="9">
        <v>0</v>
      </c>
      <c r="S158" s="8">
        <v>0</v>
      </c>
      <c r="T158" s="9">
        <v>0</v>
      </c>
    </row>
    <row r="159" spans="1:20" x14ac:dyDescent="0.2">
      <c r="A159" s="5" t="s">
        <v>189</v>
      </c>
      <c r="B159" s="9" t="s">
        <v>162</v>
      </c>
      <c r="C159" s="9" t="s">
        <v>687</v>
      </c>
      <c r="D159" s="7">
        <f t="shared" si="0"/>
        <v>9.1000000000000014</v>
      </c>
      <c r="E159" s="8">
        <v>0</v>
      </c>
      <c r="F159" s="5">
        <v>0</v>
      </c>
      <c r="G159" s="5">
        <v>0</v>
      </c>
      <c r="H159" s="5">
        <v>0</v>
      </c>
      <c r="I159" s="5">
        <v>0</v>
      </c>
      <c r="J159" s="9">
        <v>0</v>
      </c>
      <c r="K159" s="8">
        <v>0</v>
      </c>
      <c r="L159" s="5">
        <v>0</v>
      </c>
      <c r="M159" s="5">
        <v>0</v>
      </c>
      <c r="N159" s="9">
        <v>0</v>
      </c>
      <c r="O159" s="8">
        <v>3</v>
      </c>
      <c r="P159" s="5">
        <v>61</v>
      </c>
      <c r="Q159" s="5">
        <v>0</v>
      </c>
      <c r="R159" s="9">
        <v>0</v>
      </c>
      <c r="S159" s="8">
        <v>0</v>
      </c>
      <c r="T159" s="9">
        <v>0</v>
      </c>
    </row>
    <row r="160" spans="1:20" x14ac:dyDescent="0.2">
      <c r="A160" s="5" t="s">
        <v>227</v>
      </c>
      <c r="B160" s="9" t="s">
        <v>162</v>
      </c>
      <c r="C160" s="9" t="s">
        <v>686</v>
      </c>
      <c r="D160" s="7">
        <f t="shared" si="0"/>
        <v>7.3</v>
      </c>
      <c r="E160" s="8">
        <v>0</v>
      </c>
      <c r="F160" s="5">
        <v>0</v>
      </c>
      <c r="G160" s="5">
        <v>0</v>
      </c>
      <c r="H160" s="5">
        <v>0</v>
      </c>
      <c r="I160" s="5">
        <v>0</v>
      </c>
      <c r="J160" s="9">
        <v>0</v>
      </c>
      <c r="K160" s="8">
        <v>0</v>
      </c>
      <c r="L160" s="5">
        <v>0</v>
      </c>
      <c r="M160" s="5">
        <v>0</v>
      </c>
      <c r="N160" s="9">
        <v>0</v>
      </c>
      <c r="O160" s="8">
        <v>1</v>
      </c>
      <c r="P160" s="5">
        <v>3</v>
      </c>
      <c r="Q160" s="5">
        <v>1</v>
      </c>
      <c r="R160" s="9">
        <v>0</v>
      </c>
      <c r="S160" s="8">
        <v>0</v>
      </c>
      <c r="T160" s="9">
        <v>0</v>
      </c>
    </row>
    <row r="161" spans="1:20" x14ac:dyDescent="0.2">
      <c r="A161" s="5" t="s">
        <v>203</v>
      </c>
      <c r="B161" s="9" t="s">
        <v>162</v>
      </c>
      <c r="C161" s="9" t="s">
        <v>682</v>
      </c>
      <c r="D161" s="7">
        <f t="shared" si="0"/>
        <v>10.199999999999999</v>
      </c>
      <c r="E161" s="8">
        <v>0</v>
      </c>
      <c r="F161" s="5">
        <v>0</v>
      </c>
      <c r="G161" s="5">
        <v>0</v>
      </c>
      <c r="H161" s="5">
        <v>0</v>
      </c>
      <c r="I161" s="5">
        <v>0</v>
      </c>
      <c r="J161" s="9">
        <v>0</v>
      </c>
      <c r="K161" s="8">
        <v>0</v>
      </c>
      <c r="L161" s="5">
        <v>0</v>
      </c>
      <c r="M161" s="5">
        <v>0</v>
      </c>
      <c r="N161" s="9">
        <v>0</v>
      </c>
      <c r="O161" s="8">
        <v>5</v>
      </c>
      <c r="P161" s="5">
        <v>52</v>
      </c>
      <c r="Q161" s="5">
        <v>0</v>
      </c>
      <c r="R161" s="9">
        <v>0</v>
      </c>
      <c r="S161" s="8">
        <v>0</v>
      </c>
      <c r="T161" s="9">
        <v>0</v>
      </c>
    </row>
    <row r="162" spans="1:20" x14ac:dyDescent="0.2">
      <c r="A162" s="5" t="s">
        <v>214</v>
      </c>
      <c r="B162" s="9" t="s">
        <v>162</v>
      </c>
      <c r="C162" s="9" t="s">
        <v>690</v>
      </c>
      <c r="D162" s="7">
        <f t="shared" si="0"/>
        <v>9</v>
      </c>
      <c r="E162" s="8">
        <v>0</v>
      </c>
      <c r="F162" s="5">
        <v>0</v>
      </c>
      <c r="G162" s="5">
        <v>0</v>
      </c>
      <c r="H162" s="5">
        <v>0</v>
      </c>
      <c r="I162" s="5">
        <v>0</v>
      </c>
      <c r="J162" s="9">
        <v>0</v>
      </c>
      <c r="K162" s="8">
        <v>0</v>
      </c>
      <c r="L162" s="5">
        <v>0</v>
      </c>
      <c r="M162" s="5">
        <v>0</v>
      </c>
      <c r="N162" s="9">
        <v>0</v>
      </c>
      <c r="O162" s="8">
        <v>4</v>
      </c>
      <c r="P162" s="5">
        <v>50</v>
      </c>
      <c r="Q162" s="5">
        <v>0</v>
      </c>
      <c r="R162" s="9">
        <v>0</v>
      </c>
      <c r="S162" s="8">
        <v>0</v>
      </c>
      <c r="T162" s="9">
        <v>0</v>
      </c>
    </row>
    <row r="163" spans="1:20" x14ac:dyDescent="0.2">
      <c r="A163" s="5" t="s">
        <v>232</v>
      </c>
      <c r="B163" s="9" t="s">
        <v>162</v>
      </c>
      <c r="C163" s="9" t="s">
        <v>682</v>
      </c>
      <c r="D163" s="7">
        <f t="shared" si="0"/>
        <v>9</v>
      </c>
      <c r="E163" s="8">
        <v>0</v>
      </c>
      <c r="F163" s="5">
        <v>0</v>
      </c>
      <c r="G163" s="5">
        <v>0</v>
      </c>
      <c r="H163" s="5">
        <v>0</v>
      </c>
      <c r="I163" s="5">
        <v>0</v>
      </c>
      <c r="J163" s="9">
        <v>0</v>
      </c>
      <c r="K163" s="8">
        <v>0</v>
      </c>
      <c r="L163" s="5">
        <v>0</v>
      </c>
      <c r="M163" s="5">
        <v>0</v>
      </c>
      <c r="N163" s="9">
        <v>0</v>
      </c>
      <c r="O163" s="8">
        <v>4</v>
      </c>
      <c r="P163" s="5">
        <v>50</v>
      </c>
      <c r="Q163" s="5">
        <v>0</v>
      </c>
      <c r="R163" s="9">
        <v>0</v>
      </c>
      <c r="S163" s="8">
        <v>0</v>
      </c>
      <c r="T163" s="9">
        <v>0</v>
      </c>
    </row>
    <row r="164" spans="1:20" x14ac:dyDescent="0.2">
      <c r="A164" s="5" t="s">
        <v>210</v>
      </c>
      <c r="B164" s="9" t="s">
        <v>162</v>
      </c>
      <c r="C164" s="9" t="s">
        <v>690</v>
      </c>
      <c r="D164" s="7">
        <f t="shared" si="0"/>
        <v>8.8000000000000007</v>
      </c>
      <c r="E164" s="8">
        <v>0</v>
      </c>
      <c r="F164" s="5">
        <v>0</v>
      </c>
      <c r="G164" s="5">
        <v>0</v>
      </c>
      <c r="H164" s="5">
        <v>0</v>
      </c>
      <c r="I164" s="5">
        <v>0</v>
      </c>
      <c r="J164" s="9">
        <v>0</v>
      </c>
      <c r="K164" s="8">
        <v>0</v>
      </c>
      <c r="L164" s="5">
        <v>0</v>
      </c>
      <c r="M164" s="5">
        <v>0</v>
      </c>
      <c r="N164" s="9">
        <v>0</v>
      </c>
      <c r="O164" s="8">
        <v>3</v>
      </c>
      <c r="P164" s="5">
        <v>58</v>
      </c>
      <c r="Q164" s="5">
        <v>0</v>
      </c>
      <c r="R164" s="9">
        <v>0</v>
      </c>
      <c r="S164" s="8">
        <v>0</v>
      </c>
      <c r="T164" s="9">
        <v>0</v>
      </c>
    </row>
    <row r="165" spans="1:20" x14ac:dyDescent="0.2">
      <c r="A165" s="5" t="s">
        <v>495</v>
      </c>
      <c r="B165" s="9" t="s">
        <v>162</v>
      </c>
      <c r="C165" s="9" t="s">
        <v>687</v>
      </c>
      <c r="D165" s="7">
        <f t="shared" si="0"/>
        <v>9.5</v>
      </c>
      <c r="E165" s="8">
        <v>0</v>
      </c>
      <c r="F165" s="5">
        <v>0</v>
      </c>
      <c r="G165" s="5">
        <v>0</v>
      </c>
      <c r="H165" s="5">
        <v>0</v>
      </c>
      <c r="I165" s="5">
        <v>0</v>
      </c>
      <c r="J165" s="9">
        <v>0</v>
      </c>
      <c r="K165" s="8">
        <v>0</v>
      </c>
      <c r="L165" s="5">
        <v>0</v>
      </c>
      <c r="M165" s="5">
        <v>0</v>
      </c>
      <c r="N165" s="9">
        <v>0</v>
      </c>
      <c r="O165" s="8">
        <v>4</v>
      </c>
      <c r="P165" s="5">
        <v>55</v>
      </c>
      <c r="Q165" s="5">
        <v>0</v>
      </c>
      <c r="R165" s="9">
        <v>0</v>
      </c>
      <c r="S165" s="8">
        <v>0</v>
      </c>
      <c r="T165" s="9">
        <v>0</v>
      </c>
    </row>
    <row r="166" spans="1:20" x14ac:dyDescent="0.2">
      <c r="A166" s="5" t="s">
        <v>523</v>
      </c>
      <c r="B166" s="9" t="s">
        <v>162</v>
      </c>
      <c r="C166" s="9" t="s">
        <v>684</v>
      </c>
      <c r="D166" s="7">
        <f t="shared" si="0"/>
        <v>7.1000000000000005</v>
      </c>
      <c r="E166" s="8">
        <v>0</v>
      </c>
      <c r="F166" s="5">
        <v>0</v>
      </c>
      <c r="G166" s="5">
        <v>0</v>
      </c>
      <c r="H166" s="5">
        <v>0</v>
      </c>
      <c r="I166" s="5">
        <v>0</v>
      </c>
      <c r="J166" s="9">
        <v>0</v>
      </c>
      <c r="K166" s="8">
        <v>0</v>
      </c>
      <c r="L166" s="5">
        <v>0</v>
      </c>
      <c r="M166" s="5">
        <v>0</v>
      </c>
      <c r="N166" s="9">
        <v>0</v>
      </c>
      <c r="O166" s="8">
        <v>2</v>
      </c>
      <c r="P166" s="5">
        <v>51</v>
      </c>
      <c r="Q166" s="5">
        <v>0</v>
      </c>
      <c r="R166" s="9">
        <v>0</v>
      </c>
      <c r="S166" s="8">
        <v>0</v>
      </c>
      <c r="T166" s="9">
        <v>0</v>
      </c>
    </row>
    <row r="167" spans="1:20" x14ac:dyDescent="0.2">
      <c r="A167" s="5" t="s">
        <v>652</v>
      </c>
      <c r="B167" s="9" t="s">
        <v>162</v>
      </c>
      <c r="C167" s="9" t="s">
        <v>694</v>
      </c>
      <c r="D167" s="7">
        <f t="shared" si="0"/>
        <v>4</v>
      </c>
      <c r="E167" s="8">
        <v>0</v>
      </c>
      <c r="F167" s="5">
        <v>0</v>
      </c>
      <c r="G167" s="5">
        <v>0</v>
      </c>
      <c r="H167" s="5">
        <v>0</v>
      </c>
      <c r="I167" s="5">
        <v>0</v>
      </c>
      <c r="J167" s="9">
        <v>0</v>
      </c>
      <c r="K167" s="8">
        <v>2</v>
      </c>
      <c r="L167" s="5">
        <v>40</v>
      </c>
      <c r="M167" s="5">
        <v>0</v>
      </c>
      <c r="N167" s="9">
        <v>0</v>
      </c>
      <c r="O167" s="8">
        <v>0</v>
      </c>
      <c r="P167" s="5">
        <v>0</v>
      </c>
      <c r="Q167" s="5">
        <v>0</v>
      </c>
      <c r="R167" s="9">
        <v>0</v>
      </c>
      <c r="S167" s="8">
        <v>0</v>
      </c>
      <c r="T167" s="9">
        <v>0</v>
      </c>
    </row>
    <row r="168" spans="1:20" x14ac:dyDescent="0.2">
      <c r="A168" s="5" t="s">
        <v>207</v>
      </c>
      <c r="B168" s="9" t="s">
        <v>162</v>
      </c>
      <c r="C168" s="9" t="s">
        <v>691</v>
      </c>
      <c r="D168" s="7">
        <f t="shared" si="0"/>
        <v>10.9</v>
      </c>
      <c r="E168" s="8">
        <v>0</v>
      </c>
      <c r="F168" s="5">
        <v>0</v>
      </c>
      <c r="G168" s="5">
        <v>0</v>
      </c>
      <c r="H168" s="5">
        <v>0</v>
      </c>
      <c r="I168" s="5">
        <v>0</v>
      </c>
      <c r="J168" s="9">
        <v>0</v>
      </c>
      <c r="K168" s="8">
        <v>0</v>
      </c>
      <c r="L168" s="5">
        <v>0</v>
      </c>
      <c r="M168" s="5">
        <v>0</v>
      </c>
      <c r="N168" s="9">
        <v>0</v>
      </c>
      <c r="O168" s="8">
        <v>6</v>
      </c>
      <c r="P168" s="5">
        <v>49</v>
      </c>
      <c r="Q168" s="5">
        <v>0</v>
      </c>
      <c r="R168" s="9">
        <v>0</v>
      </c>
      <c r="S168" s="8">
        <v>0</v>
      </c>
      <c r="T168" s="9">
        <v>0</v>
      </c>
    </row>
    <row r="169" spans="1:20" x14ac:dyDescent="0.2">
      <c r="A169" s="5" t="s">
        <v>220</v>
      </c>
      <c r="B169" s="9" t="s">
        <v>162</v>
      </c>
      <c r="C169" s="9" t="s">
        <v>688</v>
      </c>
      <c r="D169" s="7">
        <f t="shared" si="0"/>
        <v>9.3000000000000007</v>
      </c>
      <c r="E169" s="8">
        <v>0</v>
      </c>
      <c r="F169" s="5">
        <v>0</v>
      </c>
      <c r="G169" s="5">
        <v>0</v>
      </c>
      <c r="H169" s="5">
        <v>0</v>
      </c>
      <c r="I169" s="5">
        <v>0</v>
      </c>
      <c r="J169" s="9">
        <v>0</v>
      </c>
      <c r="K169" s="8">
        <v>0</v>
      </c>
      <c r="L169" s="5">
        <v>0</v>
      </c>
      <c r="M169" s="5">
        <v>0</v>
      </c>
      <c r="N169" s="9">
        <v>0</v>
      </c>
      <c r="O169" s="8">
        <v>5</v>
      </c>
      <c r="P169" s="5">
        <v>43</v>
      </c>
      <c r="Q169" s="5">
        <v>0</v>
      </c>
      <c r="R169" s="9">
        <v>0</v>
      </c>
      <c r="S169" s="8">
        <v>0</v>
      </c>
      <c r="T169" s="9">
        <v>0</v>
      </c>
    </row>
    <row r="170" spans="1:20" x14ac:dyDescent="0.2">
      <c r="A170" s="5" t="s">
        <v>198</v>
      </c>
      <c r="B170" s="9" t="s">
        <v>162</v>
      </c>
      <c r="C170" s="9" t="s">
        <v>688</v>
      </c>
      <c r="D170" s="7">
        <f t="shared" si="0"/>
        <v>7.5</v>
      </c>
      <c r="E170" s="8">
        <v>0</v>
      </c>
      <c r="F170" s="5">
        <v>0</v>
      </c>
      <c r="G170" s="5">
        <v>0</v>
      </c>
      <c r="H170" s="5">
        <v>0</v>
      </c>
      <c r="I170" s="5">
        <v>0</v>
      </c>
      <c r="J170" s="9">
        <v>0</v>
      </c>
      <c r="K170" s="8">
        <v>0</v>
      </c>
      <c r="L170" s="5">
        <v>0</v>
      </c>
      <c r="M170" s="5">
        <v>0</v>
      </c>
      <c r="N170" s="9">
        <v>0</v>
      </c>
      <c r="O170" s="8">
        <v>3</v>
      </c>
      <c r="P170" s="5">
        <v>45</v>
      </c>
      <c r="Q170" s="5">
        <v>0</v>
      </c>
      <c r="R170" s="9">
        <v>0</v>
      </c>
      <c r="S170" s="8">
        <v>0</v>
      </c>
      <c r="T170" s="9">
        <v>0</v>
      </c>
    </row>
    <row r="171" spans="1:20" x14ac:dyDescent="0.2">
      <c r="A171" s="5" t="s">
        <v>679</v>
      </c>
      <c r="B171" s="9" t="s">
        <v>162</v>
      </c>
      <c r="C171" s="9" t="s">
        <v>684</v>
      </c>
      <c r="D171" s="7">
        <f t="shared" si="0"/>
        <v>8.6000000000000014</v>
      </c>
      <c r="E171" s="8">
        <v>0</v>
      </c>
      <c r="F171" s="5">
        <v>0</v>
      </c>
      <c r="G171" s="5">
        <v>0</v>
      </c>
      <c r="H171" s="5">
        <v>0</v>
      </c>
      <c r="I171" s="5">
        <v>0</v>
      </c>
      <c r="J171" s="9">
        <v>0</v>
      </c>
      <c r="K171" s="8">
        <v>0</v>
      </c>
      <c r="L171" s="5">
        <v>0</v>
      </c>
      <c r="M171" s="5">
        <v>0</v>
      </c>
      <c r="N171" s="9">
        <v>0</v>
      </c>
      <c r="O171" s="8">
        <v>4</v>
      </c>
      <c r="P171" s="5">
        <v>46</v>
      </c>
      <c r="Q171" s="5">
        <v>0</v>
      </c>
      <c r="R171" s="9">
        <v>0</v>
      </c>
      <c r="S171" s="8">
        <v>0</v>
      </c>
      <c r="T171" s="9">
        <v>0</v>
      </c>
    </row>
    <row r="172" spans="1:20" x14ac:dyDescent="0.2">
      <c r="A172" s="5" t="s">
        <v>187</v>
      </c>
      <c r="B172" s="9" t="s">
        <v>162</v>
      </c>
      <c r="C172" s="9" t="s">
        <v>696</v>
      </c>
      <c r="D172" s="7">
        <f t="shared" si="0"/>
        <v>7.9</v>
      </c>
      <c r="E172" s="8">
        <v>0</v>
      </c>
      <c r="F172" s="5">
        <v>0</v>
      </c>
      <c r="G172" s="5">
        <v>0</v>
      </c>
      <c r="H172" s="5">
        <v>0</v>
      </c>
      <c r="I172" s="5">
        <v>0</v>
      </c>
      <c r="J172" s="9">
        <v>0</v>
      </c>
      <c r="K172" s="8">
        <v>0</v>
      </c>
      <c r="L172" s="5">
        <v>0</v>
      </c>
      <c r="M172" s="5">
        <v>0</v>
      </c>
      <c r="N172" s="9">
        <v>0</v>
      </c>
      <c r="O172" s="8">
        <v>3</v>
      </c>
      <c r="P172" s="5">
        <v>49</v>
      </c>
      <c r="Q172" s="5">
        <v>0</v>
      </c>
      <c r="R172" s="9">
        <v>0</v>
      </c>
      <c r="S172" s="8">
        <v>0</v>
      </c>
      <c r="T172" s="9">
        <v>0</v>
      </c>
    </row>
    <row r="173" spans="1:20" x14ac:dyDescent="0.2">
      <c r="A173" s="5" t="s">
        <v>357</v>
      </c>
      <c r="B173" s="9" t="s">
        <v>162</v>
      </c>
      <c r="C173" s="9" t="s">
        <v>696</v>
      </c>
      <c r="D173" s="7">
        <f t="shared" si="0"/>
        <v>7.2000000000000011</v>
      </c>
      <c r="E173" s="8">
        <v>0</v>
      </c>
      <c r="F173" s="5">
        <v>0</v>
      </c>
      <c r="G173" s="5">
        <v>0</v>
      </c>
      <c r="H173" s="5">
        <v>0</v>
      </c>
      <c r="I173" s="5">
        <v>0</v>
      </c>
      <c r="J173" s="9">
        <v>0</v>
      </c>
      <c r="K173" s="8">
        <v>1</v>
      </c>
      <c r="L173" s="5">
        <v>1</v>
      </c>
      <c r="M173" s="5">
        <v>0</v>
      </c>
      <c r="N173" s="9">
        <v>0</v>
      </c>
      <c r="O173" s="8">
        <v>3</v>
      </c>
      <c r="P173" s="5">
        <v>41</v>
      </c>
      <c r="Q173" s="5">
        <v>0</v>
      </c>
      <c r="R173" s="9">
        <v>0</v>
      </c>
      <c r="S173" s="8">
        <v>0</v>
      </c>
      <c r="T173" s="9">
        <v>0</v>
      </c>
    </row>
    <row r="174" spans="1:20" x14ac:dyDescent="0.2">
      <c r="A174" s="5" t="s">
        <v>345</v>
      </c>
      <c r="B174" s="9" t="s">
        <v>162</v>
      </c>
      <c r="C174" s="9" t="s">
        <v>691</v>
      </c>
      <c r="D174" s="7">
        <f t="shared" si="0"/>
        <v>7.2</v>
      </c>
      <c r="E174" s="8">
        <v>0</v>
      </c>
      <c r="F174" s="5">
        <v>0</v>
      </c>
      <c r="G174" s="5">
        <v>0</v>
      </c>
      <c r="H174" s="5">
        <v>0</v>
      </c>
      <c r="I174" s="5">
        <v>0</v>
      </c>
      <c r="J174" s="9">
        <v>0</v>
      </c>
      <c r="K174" s="8">
        <v>0</v>
      </c>
      <c r="L174" s="5">
        <v>0</v>
      </c>
      <c r="M174" s="5">
        <v>0</v>
      </c>
      <c r="N174" s="9">
        <v>0</v>
      </c>
      <c r="O174" s="8">
        <v>3</v>
      </c>
      <c r="P174" s="5">
        <v>42</v>
      </c>
      <c r="Q174" s="5">
        <v>0</v>
      </c>
      <c r="R174" s="9">
        <v>0</v>
      </c>
      <c r="S174" s="8">
        <v>0</v>
      </c>
      <c r="T174" s="9">
        <v>0</v>
      </c>
    </row>
    <row r="175" spans="1:20" x14ac:dyDescent="0.2">
      <c r="A175" s="5" t="s">
        <v>400</v>
      </c>
      <c r="B175" s="9" t="s">
        <v>162</v>
      </c>
      <c r="C175" s="9" t="s">
        <v>693</v>
      </c>
      <c r="D175" s="7">
        <f t="shared" si="0"/>
        <v>7.7</v>
      </c>
      <c r="E175" s="8">
        <v>0</v>
      </c>
      <c r="F175" s="5">
        <v>0</v>
      </c>
      <c r="G175" s="5">
        <v>0</v>
      </c>
      <c r="H175" s="5">
        <v>0</v>
      </c>
      <c r="I175" s="5">
        <v>0</v>
      </c>
      <c r="J175" s="9">
        <v>0</v>
      </c>
      <c r="K175" s="8">
        <v>1</v>
      </c>
      <c r="L175" s="5">
        <v>2</v>
      </c>
      <c r="M175" s="5">
        <v>0</v>
      </c>
      <c r="N175" s="9">
        <v>0</v>
      </c>
      <c r="O175" s="8">
        <v>3</v>
      </c>
      <c r="P175" s="5">
        <v>45</v>
      </c>
      <c r="Q175" s="5">
        <v>0</v>
      </c>
      <c r="R175" s="9">
        <v>0</v>
      </c>
      <c r="S175" s="8">
        <v>0</v>
      </c>
      <c r="T175" s="9">
        <v>0</v>
      </c>
    </row>
    <row r="176" spans="1:20" x14ac:dyDescent="0.2">
      <c r="A176" s="5" t="s">
        <v>350</v>
      </c>
      <c r="B176" s="9" t="s">
        <v>162</v>
      </c>
      <c r="C176" s="9" t="s">
        <v>681</v>
      </c>
      <c r="D176" s="7">
        <f t="shared" si="0"/>
        <v>7.7</v>
      </c>
      <c r="E176" s="8">
        <v>0</v>
      </c>
      <c r="F176" s="5">
        <v>0</v>
      </c>
      <c r="G176" s="5">
        <v>0</v>
      </c>
      <c r="H176" s="5">
        <v>0</v>
      </c>
      <c r="I176" s="5">
        <v>0</v>
      </c>
      <c r="J176" s="9">
        <v>0</v>
      </c>
      <c r="K176" s="8">
        <v>0</v>
      </c>
      <c r="L176" s="5">
        <v>0</v>
      </c>
      <c r="M176" s="5">
        <v>0</v>
      </c>
      <c r="N176" s="9">
        <v>0</v>
      </c>
      <c r="O176" s="8">
        <v>3</v>
      </c>
      <c r="P176" s="5">
        <v>47</v>
      </c>
      <c r="Q176" s="5">
        <v>0</v>
      </c>
      <c r="R176" s="9">
        <v>0</v>
      </c>
      <c r="S176" s="8">
        <v>0</v>
      </c>
      <c r="T176" s="9">
        <v>0</v>
      </c>
    </row>
    <row r="177" spans="1:20" x14ac:dyDescent="0.2">
      <c r="A177" s="5" t="s">
        <v>237</v>
      </c>
      <c r="B177" s="9" t="s">
        <v>162</v>
      </c>
      <c r="C177" s="9" t="s">
        <v>692</v>
      </c>
      <c r="D177" s="7">
        <f t="shared" si="0"/>
        <v>6.1000000000000005</v>
      </c>
      <c r="E177" s="8">
        <v>0</v>
      </c>
      <c r="F177" s="5">
        <v>0</v>
      </c>
      <c r="G177" s="5">
        <v>0</v>
      </c>
      <c r="H177" s="5">
        <v>0</v>
      </c>
      <c r="I177" s="5">
        <v>0</v>
      </c>
      <c r="J177" s="9">
        <v>0</v>
      </c>
      <c r="K177" s="8">
        <v>0</v>
      </c>
      <c r="L177" s="5">
        <v>0</v>
      </c>
      <c r="M177" s="5">
        <v>0</v>
      </c>
      <c r="N177" s="9">
        <v>0</v>
      </c>
      <c r="O177" s="8">
        <v>2</v>
      </c>
      <c r="P177" s="5">
        <v>41</v>
      </c>
      <c r="Q177" s="5">
        <v>0</v>
      </c>
      <c r="R177" s="9">
        <v>0</v>
      </c>
      <c r="S177" s="8">
        <v>0</v>
      </c>
      <c r="T177" s="9">
        <v>0</v>
      </c>
    </row>
    <row r="178" spans="1:20" x14ac:dyDescent="0.2">
      <c r="A178" s="5" t="s">
        <v>361</v>
      </c>
      <c r="B178" s="9" t="s">
        <v>162</v>
      </c>
      <c r="C178" s="9" t="s">
        <v>682</v>
      </c>
      <c r="D178" s="7">
        <f t="shared" si="0"/>
        <v>6.9</v>
      </c>
      <c r="E178" s="8">
        <v>0</v>
      </c>
      <c r="F178" s="5">
        <v>0</v>
      </c>
      <c r="G178" s="5">
        <v>0</v>
      </c>
      <c r="H178" s="5">
        <v>0</v>
      </c>
      <c r="I178" s="5">
        <v>0</v>
      </c>
      <c r="J178" s="9">
        <v>0</v>
      </c>
      <c r="K178" s="8">
        <v>0</v>
      </c>
      <c r="L178" s="5">
        <v>0</v>
      </c>
      <c r="M178" s="5">
        <v>0</v>
      </c>
      <c r="N178" s="9">
        <v>0</v>
      </c>
      <c r="O178" s="8">
        <v>2</v>
      </c>
      <c r="P178" s="5">
        <v>49</v>
      </c>
      <c r="Q178" s="5">
        <v>0</v>
      </c>
      <c r="R178" s="9">
        <v>0</v>
      </c>
      <c r="S178" s="8">
        <v>0</v>
      </c>
      <c r="T178" s="9">
        <v>0</v>
      </c>
    </row>
    <row r="179" spans="1:20" x14ac:dyDescent="0.2">
      <c r="A179" s="5" t="s">
        <v>205</v>
      </c>
      <c r="B179" s="9" t="s">
        <v>162</v>
      </c>
      <c r="C179" s="9" t="s">
        <v>696</v>
      </c>
      <c r="D179" s="7">
        <f t="shared" si="0"/>
        <v>8.1000000000000014</v>
      </c>
      <c r="E179" s="8">
        <v>0</v>
      </c>
      <c r="F179" s="5">
        <v>0</v>
      </c>
      <c r="G179" s="5">
        <v>0</v>
      </c>
      <c r="H179" s="5">
        <v>0</v>
      </c>
      <c r="I179" s="5">
        <v>0</v>
      </c>
      <c r="J179" s="9">
        <v>0</v>
      </c>
      <c r="K179" s="8">
        <v>0</v>
      </c>
      <c r="L179" s="5">
        <v>0</v>
      </c>
      <c r="M179" s="5">
        <v>0</v>
      </c>
      <c r="N179" s="9">
        <v>0</v>
      </c>
      <c r="O179" s="8">
        <v>4</v>
      </c>
      <c r="P179" s="5">
        <v>41</v>
      </c>
      <c r="Q179" s="5">
        <v>0</v>
      </c>
      <c r="R179" s="9">
        <v>0</v>
      </c>
      <c r="S179" s="8">
        <v>0</v>
      </c>
      <c r="T179" s="9">
        <v>0</v>
      </c>
    </row>
    <row r="180" spans="1:20" x14ac:dyDescent="0.2">
      <c r="A180" s="5" t="s">
        <v>197</v>
      </c>
      <c r="B180" s="9" t="s">
        <v>162</v>
      </c>
      <c r="C180" s="9" t="s">
        <v>683</v>
      </c>
      <c r="D180" s="7">
        <f t="shared" si="0"/>
        <v>6</v>
      </c>
      <c r="E180" s="8">
        <v>0</v>
      </c>
      <c r="F180" s="5">
        <v>0</v>
      </c>
      <c r="G180" s="5">
        <v>0</v>
      </c>
      <c r="H180" s="5">
        <v>0</v>
      </c>
      <c r="I180" s="5">
        <v>0</v>
      </c>
      <c r="J180" s="9">
        <v>0</v>
      </c>
      <c r="K180" s="8">
        <v>0</v>
      </c>
      <c r="L180" s="5">
        <v>0</v>
      </c>
      <c r="M180" s="5">
        <v>0</v>
      </c>
      <c r="N180" s="9">
        <v>0</v>
      </c>
      <c r="O180" s="8">
        <v>2</v>
      </c>
      <c r="P180" s="5">
        <v>40</v>
      </c>
      <c r="Q180" s="5">
        <v>0</v>
      </c>
      <c r="R180" s="9">
        <v>0</v>
      </c>
      <c r="S180" s="8">
        <v>0</v>
      </c>
      <c r="T180" s="9">
        <v>0</v>
      </c>
    </row>
    <row r="181" spans="1:20" x14ac:dyDescent="0.2">
      <c r="A181" s="5" t="s">
        <v>178</v>
      </c>
      <c r="B181" s="9" t="s">
        <v>162</v>
      </c>
      <c r="C181" s="9" t="s">
        <v>693</v>
      </c>
      <c r="D181" s="7">
        <f t="shared" si="0"/>
        <v>9.9</v>
      </c>
      <c r="E181" s="8">
        <v>0</v>
      </c>
      <c r="F181" s="5">
        <v>0</v>
      </c>
      <c r="G181" s="5">
        <v>0</v>
      </c>
      <c r="H181" s="5">
        <v>0</v>
      </c>
      <c r="I181" s="5">
        <v>0</v>
      </c>
      <c r="J181" s="9">
        <v>0</v>
      </c>
      <c r="K181" s="8">
        <v>0</v>
      </c>
      <c r="L181" s="5">
        <v>0</v>
      </c>
      <c r="M181" s="5">
        <v>0</v>
      </c>
      <c r="N181" s="9">
        <v>0</v>
      </c>
      <c r="O181" s="8">
        <v>6</v>
      </c>
      <c r="P181" s="5">
        <v>39</v>
      </c>
      <c r="Q181" s="5">
        <v>0</v>
      </c>
      <c r="R181" s="9">
        <v>0</v>
      </c>
      <c r="S181" s="8">
        <v>0</v>
      </c>
      <c r="T181" s="9">
        <v>0</v>
      </c>
    </row>
    <row r="182" spans="1:20" x14ac:dyDescent="0.2">
      <c r="A182" s="5" t="s">
        <v>228</v>
      </c>
      <c r="B182" s="9" t="s">
        <v>162</v>
      </c>
      <c r="C182" s="9" t="s">
        <v>689</v>
      </c>
      <c r="D182" s="7">
        <f t="shared" si="0"/>
        <v>6.4</v>
      </c>
      <c r="E182" s="8">
        <v>0</v>
      </c>
      <c r="F182" s="5">
        <v>0</v>
      </c>
      <c r="G182" s="5">
        <v>0</v>
      </c>
      <c r="H182" s="5">
        <v>0</v>
      </c>
      <c r="I182" s="5">
        <v>0</v>
      </c>
      <c r="J182" s="9">
        <v>0</v>
      </c>
      <c r="K182" s="8">
        <v>0</v>
      </c>
      <c r="L182" s="5">
        <v>0</v>
      </c>
      <c r="M182" s="5">
        <v>0</v>
      </c>
      <c r="N182" s="9">
        <v>0</v>
      </c>
      <c r="O182" s="8">
        <v>3</v>
      </c>
      <c r="P182" s="5">
        <v>34</v>
      </c>
      <c r="Q182" s="5">
        <v>0</v>
      </c>
      <c r="R182" s="9">
        <v>0</v>
      </c>
      <c r="S182" s="8">
        <v>0</v>
      </c>
      <c r="T182" s="9">
        <v>0</v>
      </c>
    </row>
    <row r="183" spans="1:20" x14ac:dyDescent="0.2">
      <c r="A183" s="5" t="s">
        <v>371</v>
      </c>
      <c r="B183" s="9" t="s">
        <v>162</v>
      </c>
      <c r="C183" s="9" t="s">
        <v>696</v>
      </c>
      <c r="D183" s="7">
        <f t="shared" si="0"/>
        <v>6.4</v>
      </c>
      <c r="E183" s="8">
        <v>0</v>
      </c>
      <c r="F183" s="5">
        <v>0</v>
      </c>
      <c r="G183" s="5">
        <v>0</v>
      </c>
      <c r="H183" s="5">
        <v>0</v>
      </c>
      <c r="I183" s="5">
        <v>0</v>
      </c>
      <c r="J183" s="9">
        <v>0</v>
      </c>
      <c r="K183" s="8">
        <v>0</v>
      </c>
      <c r="L183" s="5">
        <v>0</v>
      </c>
      <c r="M183" s="5">
        <v>0</v>
      </c>
      <c r="N183" s="9">
        <v>0</v>
      </c>
      <c r="O183" s="8">
        <v>3</v>
      </c>
      <c r="P183" s="5">
        <v>34</v>
      </c>
      <c r="Q183" s="5">
        <v>0</v>
      </c>
      <c r="R183" s="9">
        <v>0</v>
      </c>
      <c r="S183" s="8">
        <v>0</v>
      </c>
      <c r="T183" s="9">
        <v>0</v>
      </c>
    </row>
    <row r="184" spans="1:20" x14ac:dyDescent="0.2">
      <c r="A184" s="5" t="s">
        <v>174</v>
      </c>
      <c r="B184" s="9" t="s">
        <v>162</v>
      </c>
      <c r="C184" s="9" t="s">
        <v>684</v>
      </c>
      <c r="D184" s="7">
        <f t="shared" si="0"/>
        <v>6.7</v>
      </c>
      <c r="E184" s="8">
        <v>0</v>
      </c>
      <c r="F184" s="5">
        <v>0</v>
      </c>
      <c r="G184" s="5">
        <v>0</v>
      </c>
      <c r="H184" s="5">
        <v>0</v>
      </c>
      <c r="I184" s="5">
        <v>0</v>
      </c>
      <c r="J184" s="9">
        <v>0</v>
      </c>
      <c r="K184" s="8">
        <v>0</v>
      </c>
      <c r="L184" s="5">
        <v>0</v>
      </c>
      <c r="M184" s="5">
        <v>0</v>
      </c>
      <c r="N184" s="9">
        <v>0</v>
      </c>
      <c r="O184" s="8">
        <v>3</v>
      </c>
      <c r="P184" s="5">
        <v>37</v>
      </c>
      <c r="Q184" s="5">
        <v>0</v>
      </c>
      <c r="R184" s="9">
        <v>0</v>
      </c>
      <c r="S184" s="8">
        <v>0</v>
      </c>
      <c r="T184" s="9">
        <v>0</v>
      </c>
    </row>
    <row r="185" spans="1:20" x14ac:dyDescent="0.2">
      <c r="A185" s="5" t="s">
        <v>260</v>
      </c>
      <c r="B185" s="9" t="s">
        <v>162</v>
      </c>
      <c r="C185" s="9" t="s">
        <v>683</v>
      </c>
      <c r="D185" s="7">
        <f t="shared" si="0"/>
        <v>4.4000000000000004</v>
      </c>
      <c r="E185" s="8">
        <v>0</v>
      </c>
      <c r="F185" s="5">
        <v>0</v>
      </c>
      <c r="G185" s="5">
        <v>0</v>
      </c>
      <c r="H185" s="5">
        <v>0</v>
      </c>
      <c r="I185" s="5">
        <v>0</v>
      </c>
      <c r="J185" s="9">
        <v>0</v>
      </c>
      <c r="K185" s="8">
        <v>0</v>
      </c>
      <c r="L185" s="5">
        <v>0</v>
      </c>
      <c r="M185" s="5">
        <v>0</v>
      </c>
      <c r="N185" s="9">
        <v>0</v>
      </c>
      <c r="O185" s="8">
        <v>1</v>
      </c>
      <c r="P185" s="5">
        <v>34</v>
      </c>
      <c r="Q185" s="5">
        <v>0</v>
      </c>
      <c r="R185" s="9">
        <v>0</v>
      </c>
      <c r="S185" s="8">
        <v>0</v>
      </c>
      <c r="T185" s="9">
        <v>0</v>
      </c>
    </row>
    <row r="186" spans="1:20" x14ac:dyDescent="0.2">
      <c r="A186" s="5" t="s">
        <v>241</v>
      </c>
      <c r="B186" s="9" t="s">
        <v>162</v>
      </c>
      <c r="C186" s="9" t="s">
        <v>692</v>
      </c>
      <c r="D186" s="7">
        <f t="shared" si="0"/>
        <v>6</v>
      </c>
      <c r="E186" s="8">
        <v>0</v>
      </c>
      <c r="F186" s="5">
        <v>0</v>
      </c>
      <c r="G186" s="5">
        <v>0</v>
      </c>
      <c r="H186" s="5">
        <v>0</v>
      </c>
      <c r="I186" s="5">
        <v>0</v>
      </c>
      <c r="J186" s="9">
        <v>0</v>
      </c>
      <c r="K186" s="8">
        <v>0</v>
      </c>
      <c r="L186" s="5">
        <v>0</v>
      </c>
      <c r="M186" s="5">
        <v>0</v>
      </c>
      <c r="N186" s="9">
        <v>0</v>
      </c>
      <c r="O186" s="8">
        <v>3</v>
      </c>
      <c r="P186" s="5">
        <v>30</v>
      </c>
      <c r="Q186" s="5">
        <v>0</v>
      </c>
      <c r="R186" s="9">
        <v>0</v>
      </c>
      <c r="S186" s="8">
        <v>0</v>
      </c>
      <c r="T186" s="9">
        <v>0</v>
      </c>
    </row>
    <row r="187" spans="1:20" x14ac:dyDescent="0.2">
      <c r="A187" s="5" t="s">
        <v>188</v>
      </c>
      <c r="B187" s="9" t="s">
        <v>162</v>
      </c>
      <c r="C187" s="9" t="s">
        <v>692</v>
      </c>
      <c r="D187" s="7">
        <f t="shared" si="0"/>
        <v>6.2</v>
      </c>
      <c r="E187" s="8">
        <v>0</v>
      </c>
      <c r="F187" s="5">
        <v>0</v>
      </c>
      <c r="G187" s="5">
        <v>0</v>
      </c>
      <c r="H187" s="5">
        <v>0</v>
      </c>
      <c r="I187" s="5">
        <v>0</v>
      </c>
      <c r="J187" s="9">
        <v>0</v>
      </c>
      <c r="K187" s="8">
        <v>0</v>
      </c>
      <c r="L187" s="5">
        <v>0</v>
      </c>
      <c r="M187" s="5">
        <v>0</v>
      </c>
      <c r="N187" s="9">
        <v>0</v>
      </c>
      <c r="O187" s="8">
        <v>3</v>
      </c>
      <c r="P187" s="5">
        <v>32</v>
      </c>
      <c r="Q187" s="5">
        <v>0</v>
      </c>
      <c r="R187" s="9">
        <v>0</v>
      </c>
      <c r="S187" s="8">
        <v>0</v>
      </c>
      <c r="T187" s="9">
        <v>0</v>
      </c>
    </row>
    <row r="188" spans="1:20" x14ac:dyDescent="0.2">
      <c r="A188" s="5" t="s">
        <v>254</v>
      </c>
      <c r="B188" s="9" t="s">
        <v>162</v>
      </c>
      <c r="C188" s="9" t="s">
        <v>687</v>
      </c>
      <c r="D188" s="7">
        <f t="shared" si="0"/>
        <v>5.5</v>
      </c>
      <c r="E188" s="8">
        <v>0</v>
      </c>
      <c r="F188" s="5">
        <v>0</v>
      </c>
      <c r="G188" s="5">
        <v>0</v>
      </c>
      <c r="H188" s="5">
        <v>0</v>
      </c>
      <c r="I188" s="5">
        <v>0</v>
      </c>
      <c r="J188" s="9">
        <v>0</v>
      </c>
      <c r="K188" s="8">
        <v>1</v>
      </c>
      <c r="L188" s="5">
        <v>11</v>
      </c>
      <c r="M188" s="5">
        <v>0</v>
      </c>
      <c r="N188" s="9">
        <v>0</v>
      </c>
      <c r="O188" s="8">
        <v>2</v>
      </c>
      <c r="P188" s="5">
        <v>24</v>
      </c>
      <c r="Q188" s="5">
        <v>0</v>
      </c>
      <c r="R188" s="9">
        <v>0</v>
      </c>
      <c r="S188" s="8">
        <v>0</v>
      </c>
      <c r="T188" s="9">
        <v>0</v>
      </c>
    </row>
    <row r="189" spans="1:20" x14ac:dyDescent="0.2">
      <c r="A189" s="5" t="s">
        <v>208</v>
      </c>
      <c r="B189" s="9" t="s">
        <v>162</v>
      </c>
      <c r="C189" s="9" t="s">
        <v>687</v>
      </c>
      <c r="D189" s="7">
        <f t="shared" si="0"/>
        <v>5.4</v>
      </c>
      <c r="E189" s="8">
        <v>0</v>
      </c>
      <c r="F189" s="5">
        <v>0</v>
      </c>
      <c r="G189" s="5">
        <v>0</v>
      </c>
      <c r="H189" s="5">
        <v>0</v>
      </c>
      <c r="I189" s="5">
        <v>0</v>
      </c>
      <c r="J189" s="9">
        <v>0</v>
      </c>
      <c r="K189" s="8">
        <v>1</v>
      </c>
      <c r="L189" s="5">
        <v>0</v>
      </c>
      <c r="M189" s="5">
        <v>0</v>
      </c>
      <c r="N189" s="9">
        <v>0</v>
      </c>
      <c r="O189" s="8">
        <v>3</v>
      </c>
      <c r="P189" s="5">
        <v>44</v>
      </c>
      <c r="Q189" s="5">
        <v>0</v>
      </c>
      <c r="R189" s="9">
        <v>0</v>
      </c>
      <c r="S189" s="8">
        <v>1</v>
      </c>
      <c r="T189" s="9">
        <v>0</v>
      </c>
    </row>
    <row r="190" spans="1:20" x14ac:dyDescent="0.2">
      <c r="A190" s="5" t="s">
        <v>215</v>
      </c>
      <c r="B190" s="9" t="s">
        <v>162</v>
      </c>
      <c r="C190" s="9" t="s">
        <v>685</v>
      </c>
      <c r="D190" s="7">
        <f t="shared" si="0"/>
        <v>5.5</v>
      </c>
      <c r="E190" s="8">
        <v>0</v>
      </c>
      <c r="F190" s="5">
        <v>0</v>
      </c>
      <c r="G190" s="5">
        <v>0</v>
      </c>
      <c r="H190" s="5">
        <v>0</v>
      </c>
      <c r="I190" s="5">
        <v>0</v>
      </c>
      <c r="J190" s="9">
        <v>0</v>
      </c>
      <c r="K190" s="8">
        <v>0</v>
      </c>
      <c r="L190" s="5">
        <v>0</v>
      </c>
      <c r="M190" s="5">
        <v>0</v>
      </c>
      <c r="N190" s="9">
        <v>0</v>
      </c>
      <c r="O190" s="8">
        <v>2</v>
      </c>
      <c r="P190" s="5">
        <v>35</v>
      </c>
      <c r="Q190" s="5">
        <v>0</v>
      </c>
      <c r="R190" s="9">
        <v>0</v>
      </c>
      <c r="S190" s="8">
        <v>0</v>
      </c>
      <c r="T190" s="9">
        <v>0</v>
      </c>
    </row>
    <row r="191" spans="1:20" x14ac:dyDescent="0.2">
      <c r="A191" s="5" t="s">
        <v>270</v>
      </c>
      <c r="B191" s="9" t="s">
        <v>162</v>
      </c>
      <c r="C191" s="9" t="s">
        <v>686</v>
      </c>
      <c r="D191" s="7">
        <f t="shared" si="0"/>
        <v>6.4</v>
      </c>
      <c r="E191" s="8">
        <v>0</v>
      </c>
      <c r="F191" s="5">
        <v>0</v>
      </c>
      <c r="G191" s="5">
        <v>0</v>
      </c>
      <c r="H191" s="5">
        <v>0</v>
      </c>
      <c r="I191" s="5">
        <v>0</v>
      </c>
      <c r="J191" s="9">
        <v>0</v>
      </c>
      <c r="K191" s="8">
        <v>0</v>
      </c>
      <c r="L191" s="5">
        <v>0</v>
      </c>
      <c r="M191" s="5">
        <v>0</v>
      </c>
      <c r="N191" s="9">
        <v>0</v>
      </c>
      <c r="O191" s="8">
        <v>3</v>
      </c>
      <c r="P191" s="5">
        <v>34</v>
      </c>
      <c r="Q191" s="5">
        <v>0</v>
      </c>
      <c r="R191" s="9">
        <v>0</v>
      </c>
      <c r="S191" s="8">
        <v>0</v>
      </c>
      <c r="T191" s="9">
        <v>0</v>
      </c>
    </row>
    <row r="192" spans="1:20" x14ac:dyDescent="0.2">
      <c r="A192" s="5" t="s">
        <v>224</v>
      </c>
      <c r="B192" s="9" t="s">
        <v>162</v>
      </c>
      <c r="C192" s="9" t="s">
        <v>693</v>
      </c>
      <c r="D192" s="7">
        <f t="shared" si="0"/>
        <v>6.4</v>
      </c>
      <c r="E192" s="8">
        <v>0</v>
      </c>
      <c r="F192" s="5">
        <v>0</v>
      </c>
      <c r="G192" s="5">
        <v>0</v>
      </c>
      <c r="H192" s="5">
        <v>0</v>
      </c>
      <c r="I192" s="5">
        <v>0</v>
      </c>
      <c r="J192" s="9">
        <v>0</v>
      </c>
      <c r="K192" s="8">
        <v>0</v>
      </c>
      <c r="L192" s="5">
        <v>0</v>
      </c>
      <c r="M192" s="5">
        <v>0</v>
      </c>
      <c r="N192" s="9">
        <v>0</v>
      </c>
      <c r="O192" s="8">
        <v>3</v>
      </c>
      <c r="P192" s="5">
        <v>34</v>
      </c>
      <c r="Q192" s="5">
        <v>0</v>
      </c>
      <c r="R192" s="9">
        <v>0</v>
      </c>
      <c r="S192" s="8">
        <v>0</v>
      </c>
      <c r="T192" s="9">
        <v>0</v>
      </c>
    </row>
    <row r="193" spans="1:20" x14ac:dyDescent="0.2">
      <c r="A193" s="5" t="s">
        <v>367</v>
      </c>
      <c r="B193" s="9" t="s">
        <v>162</v>
      </c>
      <c r="C193" s="9" t="s">
        <v>686</v>
      </c>
      <c r="D193" s="7">
        <f t="shared" si="0"/>
        <v>7.8000000000000007</v>
      </c>
      <c r="E193" s="8">
        <v>0</v>
      </c>
      <c r="F193" s="5">
        <v>0</v>
      </c>
      <c r="G193" s="5">
        <v>0</v>
      </c>
      <c r="H193" s="5">
        <v>0</v>
      </c>
      <c r="I193" s="5">
        <v>0</v>
      </c>
      <c r="J193" s="9">
        <v>0</v>
      </c>
      <c r="K193" s="8">
        <v>0</v>
      </c>
      <c r="L193" s="5">
        <v>0</v>
      </c>
      <c r="M193" s="5">
        <v>0</v>
      </c>
      <c r="N193" s="9">
        <v>0</v>
      </c>
      <c r="O193" s="8">
        <v>4</v>
      </c>
      <c r="P193" s="5">
        <v>38</v>
      </c>
      <c r="Q193" s="5">
        <v>0</v>
      </c>
      <c r="R193" s="9">
        <v>0</v>
      </c>
      <c r="S193" s="8">
        <v>0</v>
      </c>
      <c r="T193" s="9">
        <v>0</v>
      </c>
    </row>
    <row r="194" spans="1:20" x14ac:dyDescent="0.2">
      <c r="A194" s="5" t="s">
        <v>340</v>
      </c>
      <c r="B194" s="9" t="s">
        <v>162</v>
      </c>
      <c r="C194" s="9" t="s">
        <v>689</v>
      </c>
      <c r="D194" s="7">
        <f t="shared" si="0"/>
        <v>3.1</v>
      </c>
      <c r="E194" s="8">
        <v>0</v>
      </c>
      <c r="F194" s="5">
        <v>0</v>
      </c>
      <c r="G194" s="5">
        <v>0</v>
      </c>
      <c r="H194" s="5">
        <v>0</v>
      </c>
      <c r="I194" s="5">
        <v>0</v>
      </c>
      <c r="J194" s="9">
        <v>0</v>
      </c>
      <c r="K194" s="8">
        <v>0</v>
      </c>
      <c r="L194" s="5">
        <v>0</v>
      </c>
      <c r="M194" s="5">
        <v>0</v>
      </c>
      <c r="N194" s="9">
        <v>0</v>
      </c>
      <c r="O194" s="8">
        <v>1</v>
      </c>
      <c r="P194" s="5">
        <v>21</v>
      </c>
      <c r="Q194" s="5">
        <v>0</v>
      </c>
      <c r="R194" s="9">
        <v>0</v>
      </c>
      <c r="S194" s="8">
        <v>0</v>
      </c>
      <c r="T194" s="9">
        <v>0</v>
      </c>
    </row>
    <row r="195" spans="1:20" x14ac:dyDescent="0.2">
      <c r="A195" s="5" t="s">
        <v>217</v>
      </c>
      <c r="B195" s="9" t="s">
        <v>162</v>
      </c>
      <c r="C195" s="9" t="s">
        <v>689</v>
      </c>
      <c r="D195" s="7">
        <f t="shared" si="0"/>
        <v>4.0999999999999996</v>
      </c>
      <c r="E195" s="8">
        <v>0</v>
      </c>
      <c r="F195" s="5">
        <v>0</v>
      </c>
      <c r="G195" s="5">
        <v>0</v>
      </c>
      <c r="H195" s="5">
        <v>0</v>
      </c>
      <c r="I195" s="5">
        <v>0</v>
      </c>
      <c r="J195" s="9">
        <v>0</v>
      </c>
      <c r="K195" s="8">
        <v>0</v>
      </c>
      <c r="L195" s="5">
        <v>0</v>
      </c>
      <c r="M195" s="5">
        <v>0</v>
      </c>
      <c r="N195" s="9">
        <v>0</v>
      </c>
      <c r="O195" s="8">
        <v>2</v>
      </c>
      <c r="P195" s="5">
        <v>21</v>
      </c>
      <c r="Q195" s="5">
        <v>0</v>
      </c>
      <c r="R195" s="9">
        <v>0</v>
      </c>
      <c r="S195" s="8">
        <v>0</v>
      </c>
      <c r="T195" s="9">
        <v>0</v>
      </c>
    </row>
    <row r="196" spans="1:20" x14ac:dyDescent="0.2">
      <c r="A196" s="5" t="s">
        <v>238</v>
      </c>
      <c r="B196" s="9" t="s">
        <v>162</v>
      </c>
      <c r="C196" s="9" t="s">
        <v>690</v>
      </c>
      <c r="D196" s="7">
        <f t="shared" si="0"/>
        <v>5.3000000000000007</v>
      </c>
      <c r="E196" s="8">
        <v>0</v>
      </c>
      <c r="F196" s="5">
        <v>0</v>
      </c>
      <c r="G196" s="5">
        <v>0</v>
      </c>
      <c r="H196" s="5">
        <v>0</v>
      </c>
      <c r="I196" s="5">
        <v>0</v>
      </c>
      <c r="J196" s="9">
        <v>0</v>
      </c>
      <c r="K196" s="8">
        <v>0</v>
      </c>
      <c r="L196" s="5">
        <v>0</v>
      </c>
      <c r="M196" s="5">
        <v>0</v>
      </c>
      <c r="N196" s="9">
        <v>0</v>
      </c>
      <c r="O196" s="8">
        <v>3</v>
      </c>
      <c r="P196" s="5">
        <v>23</v>
      </c>
      <c r="Q196" s="5">
        <v>0</v>
      </c>
      <c r="R196" s="9">
        <v>0</v>
      </c>
      <c r="S196" s="8">
        <v>0</v>
      </c>
      <c r="T196" s="9">
        <v>0</v>
      </c>
    </row>
    <row r="197" spans="1:20" x14ac:dyDescent="0.2">
      <c r="A197" s="5" t="s">
        <v>648</v>
      </c>
      <c r="B197" s="9" t="s">
        <v>162</v>
      </c>
      <c r="C197" s="9" t="s">
        <v>682</v>
      </c>
      <c r="D197" s="7">
        <f t="shared" si="0"/>
        <v>3.4000000000000004</v>
      </c>
      <c r="E197" s="8">
        <v>0</v>
      </c>
      <c r="F197" s="5">
        <v>0</v>
      </c>
      <c r="G197" s="5">
        <v>0</v>
      </c>
      <c r="H197" s="5">
        <v>0</v>
      </c>
      <c r="I197" s="5">
        <v>0</v>
      </c>
      <c r="J197" s="9">
        <v>0</v>
      </c>
      <c r="K197" s="8">
        <v>0</v>
      </c>
      <c r="L197" s="5">
        <v>0</v>
      </c>
      <c r="M197" s="5">
        <v>0</v>
      </c>
      <c r="N197" s="9">
        <v>0</v>
      </c>
      <c r="O197" s="8">
        <v>1</v>
      </c>
      <c r="P197" s="5">
        <v>24</v>
      </c>
      <c r="Q197" s="5">
        <v>0</v>
      </c>
      <c r="R197" s="9">
        <v>0</v>
      </c>
      <c r="S197" s="8">
        <v>0</v>
      </c>
      <c r="T197" s="9">
        <v>0</v>
      </c>
    </row>
    <row r="198" spans="1:20" x14ac:dyDescent="0.2">
      <c r="A198" s="5" t="s">
        <v>697</v>
      </c>
      <c r="B198" s="9" t="s">
        <v>162</v>
      </c>
      <c r="C198" s="9" t="s">
        <v>695</v>
      </c>
      <c r="D198" s="7">
        <f t="shared" si="0"/>
        <v>4</v>
      </c>
      <c r="E198" s="8">
        <v>0</v>
      </c>
      <c r="F198" s="5">
        <v>0</v>
      </c>
      <c r="G198" s="5">
        <v>0</v>
      </c>
      <c r="H198" s="5">
        <v>0</v>
      </c>
      <c r="I198" s="5">
        <v>0</v>
      </c>
      <c r="J198" s="9">
        <v>0</v>
      </c>
      <c r="K198" s="8">
        <v>0</v>
      </c>
      <c r="L198" s="5">
        <v>0</v>
      </c>
      <c r="M198" s="5">
        <v>0</v>
      </c>
      <c r="N198" s="9">
        <v>0</v>
      </c>
      <c r="O198" s="8">
        <v>2</v>
      </c>
      <c r="P198" s="5">
        <v>20</v>
      </c>
      <c r="Q198" s="5">
        <v>0</v>
      </c>
      <c r="R198" s="9">
        <v>0</v>
      </c>
      <c r="S198" s="8">
        <v>0</v>
      </c>
      <c r="T198" s="9">
        <v>0</v>
      </c>
    </row>
    <row r="199" spans="1:20" x14ac:dyDescent="0.2">
      <c r="A199" s="5" t="s">
        <v>483</v>
      </c>
      <c r="B199" s="9" t="s">
        <v>162</v>
      </c>
      <c r="C199" s="9" t="s">
        <v>690</v>
      </c>
      <c r="D199" s="7">
        <f t="shared" si="0"/>
        <v>3.5</v>
      </c>
      <c r="E199" s="8">
        <v>0</v>
      </c>
      <c r="F199" s="5">
        <v>0</v>
      </c>
      <c r="G199" s="5">
        <v>0</v>
      </c>
      <c r="H199" s="5">
        <v>0</v>
      </c>
      <c r="I199" s="5">
        <v>0</v>
      </c>
      <c r="J199" s="9">
        <v>0</v>
      </c>
      <c r="K199" s="8">
        <v>0</v>
      </c>
      <c r="L199" s="5">
        <v>0</v>
      </c>
      <c r="M199" s="5">
        <v>0</v>
      </c>
      <c r="N199" s="9">
        <v>0</v>
      </c>
      <c r="O199" s="8">
        <v>1</v>
      </c>
      <c r="P199" s="5">
        <v>25</v>
      </c>
      <c r="Q199" s="5">
        <v>0</v>
      </c>
      <c r="R199" s="9">
        <v>0</v>
      </c>
      <c r="S199" s="8">
        <v>0</v>
      </c>
      <c r="T199" s="9">
        <v>0</v>
      </c>
    </row>
    <row r="200" spans="1:20" x14ac:dyDescent="0.2">
      <c r="A200" s="5" t="s">
        <v>530</v>
      </c>
      <c r="B200" s="9" t="s">
        <v>162</v>
      </c>
      <c r="C200" s="9" t="s">
        <v>694</v>
      </c>
      <c r="D200" s="7">
        <f t="shared" si="0"/>
        <v>4</v>
      </c>
      <c r="E200" s="8">
        <v>0</v>
      </c>
      <c r="F200" s="5">
        <v>0</v>
      </c>
      <c r="G200" s="5">
        <v>0</v>
      </c>
      <c r="H200" s="5">
        <v>0</v>
      </c>
      <c r="I200" s="5">
        <v>0</v>
      </c>
      <c r="J200" s="9">
        <v>0</v>
      </c>
      <c r="K200" s="8">
        <v>0</v>
      </c>
      <c r="L200" s="5">
        <v>0</v>
      </c>
      <c r="M200" s="5">
        <v>0</v>
      </c>
      <c r="N200" s="9">
        <v>0</v>
      </c>
      <c r="O200" s="8">
        <v>2</v>
      </c>
      <c r="P200" s="5">
        <v>20</v>
      </c>
      <c r="Q200" s="5">
        <v>0</v>
      </c>
      <c r="R200" s="9">
        <v>0</v>
      </c>
      <c r="S200" s="8">
        <v>0</v>
      </c>
      <c r="T200" s="9">
        <v>0</v>
      </c>
    </row>
    <row r="201" spans="1:20" x14ac:dyDescent="0.2">
      <c r="A201" s="5" t="s">
        <v>478</v>
      </c>
      <c r="B201" s="9" t="s">
        <v>162</v>
      </c>
      <c r="C201" s="9" t="s">
        <v>692</v>
      </c>
      <c r="D201" s="7">
        <f t="shared" si="0"/>
        <v>3.3000000000000003</v>
      </c>
      <c r="E201" s="8">
        <v>0</v>
      </c>
      <c r="F201" s="5">
        <v>0</v>
      </c>
      <c r="G201" s="5">
        <v>0</v>
      </c>
      <c r="H201" s="5">
        <v>0</v>
      </c>
      <c r="I201" s="5">
        <v>0</v>
      </c>
      <c r="J201" s="9">
        <v>0</v>
      </c>
      <c r="K201" s="8">
        <v>0</v>
      </c>
      <c r="L201" s="5">
        <v>0</v>
      </c>
      <c r="M201" s="5">
        <v>0</v>
      </c>
      <c r="N201" s="9">
        <v>0</v>
      </c>
      <c r="O201" s="8">
        <v>1</v>
      </c>
      <c r="P201" s="5">
        <v>23</v>
      </c>
      <c r="Q201" s="5">
        <v>0</v>
      </c>
      <c r="R201" s="9">
        <v>0</v>
      </c>
      <c r="S201" s="8">
        <v>0</v>
      </c>
      <c r="T201" s="9">
        <v>0</v>
      </c>
    </row>
    <row r="202" spans="1:20" x14ac:dyDescent="0.2">
      <c r="A202" s="5" t="s">
        <v>170</v>
      </c>
      <c r="B202" s="9" t="s">
        <v>162</v>
      </c>
      <c r="C202" s="9" t="s">
        <v>685</v>
      </c>
      <c r="D202" s="7">
        <f t="shared" si="0"/>
        <v>6.7</v>
      </c>
      <c r="E202" s="8">
        <v>0</v>
      </c>
      <c r="F202" s="5">
        <v>0</v>
      </c>
      <c r="G202" s="5">
        <v>0</v>
      </c>
      <c r="H202" s="5">
        <v>0</v>
      </c>
      <c r="I202" s="5">
        <v>0</v>
      </c>
      <c r="J202" s="9">
        <v>0</v>
      </c>
      <c r="K202" s="8">
        <v>0</v>
      </c>
      <c r="L202" s="5">
        <v>0</v>
      </c>
      <c r="M202" s="5">
        <v>0</v>
      </c>
      <c r="N202" s="9">
        <v>0</v>
      </c>
      <c r="O202" s="8">
        <v>4</v>
      </c>
      <c r="P202" s="5">
        <v>27</v>
      </c>
      <c r="Q202" s="5">
        <v>0</v>
      </c>
      <c r="R202" s="9">
        <v>0</v>
      </c>
      <c r="S202" s="8">
        <v>0</v>
      </c>
      <c r="T202" s="9">
        <v>0</v>
      </c>
    </row>
    <row r="203" spans="1:20" x14ac:dyDescent="0.2">
      <c r="A203" s="5" t="s">
        <v>265</v>
      </c>
      <c r="B203" s="9" t="s">
        <v>162</v>
      </c>
      <c r="C203" s="9" t="s">
        <v>688</v>
      </c>
      <c r="D203" s="7">
        <f t="shared" si="0"/>
        <v>6.7</v>
      </c>
      <c r="E203" s="8">
        <v>0</v>
      </c>
      <c r="F203" s="5">
        <v>0</v>
      </c>
      <c r="G203" s="5">
        <v>0</v>
      </c>
      <c r="H203" s="5">
        <v>0</v>
      </c>
      <c r="I203" s="5">
        <v>0</v>
      </c>
      <c r="J203" s="9">
        <v>0</v>
      </c>
      <c r="K203" s="8">
        <v>0</v>
      </c>
      <c r="L203" s="5">
        <v>0</v>
      </c>
      <c r="M203" s="5">
        <v>0</v>
      </c>
      <c r="N203" s="9">
        <v>0</v>
      </c>
      <c r="O203" s="8">
        <v>4</v>
      </c>
      <c r="P203" s="5">
        <v>27</v>
      </c>
      <c r="Q203" s="5">
        <v>0</v>
      </c>
      <c r="R203" s="9">
        <v>0</v>
      </c>
      <c r="S203" s="8">
        <v>0</v>
      </c>
      <c r="T203" s="9">
        <v>0</v>
      </c>
    </row>
    <row r="204" spans="1:20" x14ac:dyDescent="0.2">
      <c r="A204" s="5" t="s">
        <v>384</v>
      </c>
      <c r="B204" s="9" t="s">
        <v>162</v>
      </c>
      <c r="C204" s="9" t="s">
        <v>682</v>
      </c>
      <c r="D204" s="7">
        <f t="shared" si="0"/>
        <v>4.7</v>
      </c>
      <c r="E204" s="8">
        <v>0</v>
      </c>
      <c r="F204" s="5">
        <v>0</v>
      </c>
      <c r="G204" s="5">
        <v>0</v>
      </c>
      <c r="H204" s="5">
        <v>0</v>
      </c>
      <c r="I204" s="5">
        <v>0</v>
      </c>
      <c r="J204" s="9">
        <v>0</v>
      </c>
      <c r="K204" s="8">
        <v>0</v>
      </c>
      <c r="L204" s="5">
        <v>0</v>
      </c>
      <c r="M204" s="5">
        <v>0</v>
      </c>
      <c r="N204" s="9">
        <v>0</v>
      </c>
      <c r="O204" s="8">
        <v>2</v>
      </c>
      <c r="P204" s="5">
        <v>27</v>
      </c>
      <c r="Q204" s="5">
        <v>0</v>
      </c>
      <c r="R204" s="9">
        <v>0</v>
      </c>
      <c r="S204" s="8">
        <v>0</v>
      </c>
      <c r="T204" s="9">
        <v>0</v>
      </c>
    </row>
    <row r="205" spans="1:20" x14ac:dyDescent="0.2">
      <c r="A205" s="5" t="s">
        <v>427</v>
      </c>
      <c r="B205" s="9" t="s">
        <v>162</v>
      </c>
      <c r="C205" s="9" t="s">
        <v>691</v>
      </c>
      <c r="D205" s="7">
        <f t="shared" si="0"/>
        <v>6.6</v>
      </c>
      <c r="E205" s="8">
        <v>0</v>
      </c>
      <c r="F205" s="5">
        <v>0</v>
      </c>
      <c r="G205" s="5">
        <v>0</v>
      </c>
      <c r="H205" s="5">
        <v>0</v>
      </c>
      <c r="I205" s="5">
        <v>0</v>
      </c>
      <c r="J205" s="9">
        <v>0</v>
      </c>
      <c r="K205" s="8">
        <v>0</v>
      </c>
      <c r="L205" s="5">
        <v>0</v>
      </c>
      <c r="M205" s="5">
        <v>0</v>
      </c>
      <c r="N205" s="9">
        <v>0</v>
      </c>
      <c r="O205" s="8">
        <v>4</v>
      </c>
      <c r="P205" s="5">
        <v>26</v>
      </c>
      <c r="Q205" s="5">
        <v>0</v>
      </c>
      <c r="R205" s="9">
        <v>0</v>
      </c>
      <c r="S205" s="8">
        <v>0</v>
      </c>
      <c r="T205" s="9">
        <v>0</v>
      </c>
    </row>
    <row r="206" spans="1:20" x14ac:dyDescent="0.2">
      <c r="A206" s="5" t="s">
        <v>218</v>
      </c>
      <c r="B206" s="9" t="s">
        <v>162</v>
      </c>
      <c r="C206" s="9" t="s">
        <v>687</v>
      </c>
      <c r="D206" s="7">
        <f t="shared" si="0"/>
        <v>3.6</v>
      </c>
      <c r="E206" s="8">
        <v>0</v>
      </c>
      <c r="F206" s="5">
        <v>0</v>
      </c>
      <c r="G206" s="5">
        <v>0</v>
      </c>
      <c r="H206" s="5">
        <v>0</v>
      </c>
      <c r="I206" s="5">
        <v>0</v>
      </c>
      <c r="J206" s="9">
        <v>0</v>
      </c>
      <c r="K206" s="8">
        <v>0</v>
      </c>
      <c r="L206" s="5">
        <v>0</v>
      </c>
      <c r="M206" s="5">
        <v>0</v>
      </c>
      <c r="N206" s="9">
        <v>0</v>
      </c>
      <c r="O206" s="8">
        <v>2</v>
      </c>
      <c r="P206" s="5">
        <v>16</v>
      </c>
      <c r="Q206" s="5">
        <v>0</v>
      </c>
      <c r="R206" s="9">
        <v>0</v>
      </c>
      <c r="S206" s="8">
        <v>0</v>
      </c>
      <c r="T206" s="9">
        <v>0</v>
      </c>
    </row>
    <row r="207" spans="1:20" x14ac:dyDescent="0.2">
      <c r="A207" s="5" t="s">
        <v>678</v>
      </c>
      <c r="B207" s="9" t="s">
        <v>162</v>
      </c>
      <c r="C207" s="9" t="s">
        <v>689</v>
      </c>
      <c r="D207" s="7">
        <f t="shared" si="0"/>
        <v>2.7</v>
      </c>
      <c r="E207" s="8">
        <v>0</v>
      </c>
      <c r="F207" s="5">
        <v>0</v>
      </c>
      <c r="G207" s="5">
        <v>0</v>
      </c>
      <c r="H207" s="5">
        <v>0</v>
      </c>
      <c r="I207" s="5">
        <v>0</v>
      </c>
      <c r="J207" s="9">
        <v>0</v>
      </c>
      <c r="K207" s="8">
        <v>0</v>
      </c>
      <c r="L207" s="5">
        <v>0</v>
      </c>
      <c r="M207" s="5">
        <v>0</v>
      </c>
      <c r="N207" s="9">
        <v>0</v>
      </c>
      <c r="O207" s="8">
        <v>1</v>
      </c>
      <c r="P207" s="5">
        <v>17</v>
      </c>
      <c r="Q207" s="5">
        <v>0</v>
      </c>
      <c r="R207" s="9">
        <v>0</v>
      </c>
      <c r="S207" s="8">
        <v>0</v>
      </c>
      <c r="T207" s="9">
        <v>0</v>
      </c>
    </row>
    <row r="208" spans="1:20" x14ac:dyDescent="0.2">
      <c r="A208" s="5" t="s">
        <v>611</v>
      </c>
      <c r="B208" s="9" t="s">
        <v>162</v>
      </c>
      <c r="C208" s="9" t="s">
        <v>692</v>
      </c>
      <c r="D208" s="7">
        <f t="shared" si="0"/>
        <v>1</v>
      </c>
      <c r="E208" s="8">
        <v>0</v>
      </c>
      <c r="F208" s="5">
        <v>0</v>
      </c>
      <c r="G208" s="5">
        <v>0</v>
      </c>
      <c r="H208" s="5">
        <v>0</v>
      </c>
      <c r="I208" s="5">
        <v>0</v>
      </c>
      <c r="J208" s="9">
        <v>0</v>
      </c>
      <c r="K208" s="8">
        <v>1</v>
      </c>
      <c r="L208" s="5">
        <v>10</v>
      </c>
      <c r="M208" s="5">
        <v>0</v>
      </c>
      <c r="N208" s="9">
        <v>0</v>
      </c>
      <c r="O208" s="8">
        <v>0</v>
      </c>
      <c r="P208" s="5">
        <v>0</v>
      </c>
      <c r="Q208" s="5">
        <v>0</v>
      </c>
      <c r="R208" s="9">
        <v>0</v>
      </c>
      <c r="S208" s="8">
        <v>0</v>
      </c>
      <c r="T208" s="9">
        <v>0</v>
      </c>
    </row>
    <row r="209" spans="1:20" x14ac:dyDescent="0.2">
      <c r="A209" s="5" t="s">
        <v>251</v>
      </c>
      <c r="B209" s="9" t="s">
        <v>162</v>
      </c>
      <c r="C209" s="9" t="s">
        <v>682</v>
      </c>
      <c r="D209" s="7">
        <f t="shared" si="0"/>
        <v>2.2999999999999998</v>
      </c>
      <c r="E209" s="8">
        <v>0</v>
      </c>
      <c r="F209" s="5">
        <v>0</v>
      </c>
      <c r="G209" s="5">
        <v>0</v>
      </c>
      <c r="H209" s="5">
        <v>0</v>
      </c>
      <c r="I209" s="5">
        <v>0</v>
      </c>
      <c r="J209" s="9">
        <v>0</v>
      </c>
      <c r="K209" s="8">
        <v>0</v>
      </c>
      <c r="L209" s="5">
        <v>0</v>
      </c>
      <c r="M209" s="5">
        <v>0</v>
      </c>
      <c r="N209" s="9">
        <v>0</v>
      </c>
      <c r="O209" s="8">
        <v>1</v>
      </c>
      <c r="P209" s="5">
        <v>13</v>
      </c>
      <c r="Q209" s="5">
        <v>0</v>
      </c>
      <c r="R209" s="9">
        <v>0</v>
      </c>
      <c r="S209" s="8">
        <v>0</v>
      </c>
      <c r="T209" s="9">
        <v>0</v>
      </c>
    </row>
    <row r="210" spans="1:20" x14ac:dyDescent="0.2">
      <c r="A210" s="5" t="s">
        <v>484</v>
      </c>
      <c r="B210" s="9" t="s">
        <v>162</v>
      </c>
      <c r="C210" s="9" t="s">
        <v>695</v>
      </c>
      <c r="D210" s="7">
        <f t="shared" si="0"/>
        <v>3.5</v>
      </c>
      <c r="E210" s="8">
        <v>0</v>
      </c>
      <c r="F210" s="5">
        <v>0</v>
      </c>
      <c r="G210" s="5">
        <v>0</v>
      </c>
      <c r="H210" s="5">
        <v>0</v>
      </c>
      <c r="I210" s="5">
        <v>0</v>
      </c>
      <c r="J210" s="9">
        <v>0</v>
      </c>
      <c r="K210" s="8">
        <v>0</v>
      </c>
      <c r="L210" s="5">
        <v>0</v>
      </c>
      <c r="M210" s="5">
        <v>0</v>
      </c>
      <c r="N210" s="9">
        <v>0</v>
      </c>
      <c r="O210" s="8">
        <v>2</v>
      </c>
      <c r="P210" s="5">
        <v>15</v>
      </c>
      <c r="Q210" s="5">
        <v>0</v>
      </c>
      <c r="R210" s="9">
        <v>0</v>
      </c>
      <c r="S210" s="8">
        <v>0</v>
      </c>
      <c r="T210" s="9">
        <v>0</v>
      </c>
    </row>
    <row r="211" spans="1:20" x14ac:dyDescent="0.2">
      <c r="A211" s="5" t="s">
        <v>204</v>
      </c>
      <c r="B211" s="9" t="s">
        <v>162</v>
      </c>
      <c r="C211" s="9" t="s">
        <v>687</v>
      </c>
      <c r="D211" s="7">
        <f t="shared" si="0"/>
        <v>2.2999999999999998</v>
      </c>
      <c r="E211" s="8">
        <v>0</v>
      </c>
      <c r="F211" s="5">
        <v>0</v>
      </c>
      <c r="G211" s="5">
        <v>0</v>
      </c>
      <c r="H211" s="5">
        <v>0</v>
      </c>
      <c r="I211" s="5">
        <v>0</v>
      </c>
      <c r="J211" s="9">
        <v>0</v>
      </c>
      <c r="K211" s="8">
        <v>0</v>
      </c>
      <c r="L211" s="5">
        <v>0</v>
      </c>
      <c r="M211" s="5">
        <v>0</v>
      </c>
      <c r="N211" s="9">
        <v>0</v>
      </c>
      <c r="O211" s="8">
        <v>1</v>
      </c>
      <c r="P211" s="5">
        <v>13</v>
      </c>
      <c r="Q211" s="5">
        <v>0</v>
      </c>
      <c r="R211" s="9">
        <v>0</v>
      </c>
      <c r="S211" s="8">
        <v>0</v>
      </c>
      <c r="T211" s="9">
        <v>0</v>
      </c>
    </row>
    <row r="212" spans="1:20" x14ac:dyDescent="0.2">
      <c r="A212" s="5" t="s">
        <v>527</v>
      </c>
      <c r="B212" s="9" t="s">
        <v>162</v>
      </c>
      <c r="C212" s="9" t="s">
        <v>690</v>
      </c>
      <c r="D212" s="7">
        <f t="shared" si="0"/>
        <v>2.6</v>
      </c>
      <c r="E212" s="8">
        <v>0</v>
      </c>
      <c r="F212" s="5">
        <v>0</v>
      </c>
      <c r="G212" s="5">
        <v>0</v>
      </c>
      <c r="H212" s="5">
        <v>0</v>
      </c>
      <c r="I212" s="5">
        <v>0</v>
      </c>
      <c r="J212" s="9">
        <v>0</v>
      </c>
      <c r="K212" s="8">
        <v>0</v>
      </c>
      <c r="L212" s="5">
        <v>0</v>
      </c>
      <c r="M212" s="5">
        <v>0</v>
      </c>
      <c r="N212" s="9">
        <v>0</v>
      </c>
      <c r="O212" s="8">
        <v>1</v>
      </c>
      <c r="P212" s="5">
        <v>16</v>
      </c>
      <c r="Q212" s="5">
        <v>0</v>
      </c>
      <c r="R212" s="9">
        <v>0</v>
      </c>
      <c r="S212" s="8">
        <v>0</v>
      </c>
      <c r="T212" s="9">
        <v>0</v>
      </c>
    </row>
    <row r="213" spans="1:20" x14ac:dyDescent="0.2">
      <c r="A213" s="5" t="s">
        <v>222</v>
      </c>
      <c r="B213" s="9" t="s">
        <v>162</v>
      </c>
      <c r="C213" s="9" t="s">
        <v>694</v>
      </c>
      <c r="D213" s="7">
        <f t="shared" si="0"/>
        <v>2.2999999999999998</v>
      </c>
      <c r="E213" s="8">
        <v>0</v>
      </c>
      <c r="F213" s="5">
        <v>0</v>
      </c>
      <c r="G213" s="5">
        <v>0</v>
      </c>
      <c r="H213" s="5">
        <v>0</v>
      </c>
      <c r="I213" s="5">
        <v>0</v>
      </c>
      <c r="J213" s="9">
        <v>0</v>
      </c>
      <c r="K213" s="8">
        <v>0</v>
      </c>
      <c r="L213" s="5">
        <v>0</v>
      </c>
      <c r="M213" s="5">
        <v>0</v>
      </c>
      <c r="N213" s="9">
        <v>0</v>
      </c>
      <c r="O213" s="8">
        <v>1</v>
      </c>
      <c r="P213" s="5">
        <v>13</v>
      </c>
      <c r="Q213" s="5">
        <v>0</v>
      </c>
      <c r="R213" s="9">
        <v>0</v>
      </c>
      <c r="S213" s="8">
        <v>0</v>
      </c>
      <c r="T213" s="9">
        <v>0</v>
      </c>
    </row>
    <row r="214" spans="1:20" x14ac:dyDescent="0.2">
      <c r="A214" s="5" t="s">
        <v>360</v>
      </c>
      <c r="B214" s="9" t="s">
        <v>162</v>
      </c>
      <c r="C214" s="9" t="s">
        <v>687</v>
      </c>
      <c r="D214" s="7">
        <f t="shared" si="0"/>
        <v>3.1</v>
      </c>
      <c r="E214" s="8">
        <v>0</v>
      </c>
      <c r="F214" s="5">
        <v>0</v>
      </c>
      <c r="G214" s="5">
        <v>0</v>
      </c>
      <c r="H214" s="5">
        <v>0</v>
      </c>
      <c r="I214" s="5">
        <v>0</v>
      </c>
      <c r="J214" s="9">
        <v>0</v>
      </c>
      <c r="K214" s="8">
        <v>0</v>
      </c>
      <c r="L214" s="5">
        <v>0</v>
      </c>
      <c r="M214" s="5">
        <v>0</v>
      </c>
      <c r="N214" s="9">
        <v>0</v>
      </c>
      <c r="O214" s="8">
        <v>2</v>
      </c>
      <c r="P214" s="5">
        <v>11</v>
      </c>
      <c r="Q214" s="5">
        <v>0</v>
      </c>
      <c r="R214" s="9">
        <v>0</v>
      </c>
      <c r="S214" s="8">
        <v>0</v>
      </c>
      <c r="T214" s="9">
        <v>0</v>
      </c>
    </row>
    <row r="215" spans="1:20" x14ac:dyDescent="0.2">
      <c r="A215" s="5" t="s">
        <v>180</v>
      </c>
      <c r="B215" s="9" t="s">
        <v>162</v>
      </c>
      <c r="C215" s="9" t="s">
        <v>683</v>
      </c>
      <c r="D215" s="7">
        <f t="shared" si="0"/>
        <v>2</v>
      </c>
      <c r="E215" s="8">
        <v>0</v>
      </c>
      <c r="F215" s="5">
        <v>0</v>
      </c>
      <c r="G215" s="5">
        <v>0</v>
      </c>
      <c r="H215" s="5">
        <v>0</v>
      </c>
      <c r="I215" s="5">
        <v>0</v>
      </c>
      <c r="J215" s="9">
        <v>0</v>
      </c>
      <c r="K215" s="8">
        <v>0</v>
      </c>
      <c r="L215" s="5">
        <v>0</v>
      </c>
      <c r="M215" s="5">
        <v>0</v>
      </c>
      <c r="N215" s="9">
        <v>0</v>
      </c>
      <c r="O215" s="8">
        <v>1</v>
      </c>
      <c r="P215" s="5">
        <v>10</v>
      </c>
      <c r="Q215" s="5">
        <v>0</v>
      </c>
      <c r="R215" s="9">
        <v>0</v>
      </c>
      <c r="S215" s="8">
        <v>0</v>
      </c>
      <c r="T215" s="9">
        <v>0</v>
      </c>
    </row>
    <row r="216" spans="1:20" x14ac:dyDescent="0.2">
      <c r="A216" s="5" t="s">
        <v>513</v>
      </c>
      <c r="B216" s="9" t="s">
        <v>162</v>
      </c>
      <c r="C216" s="9" t="s">
        <v>685</v>
      </c>
      <c r="D216" s="7">
        <f t="shared" si="0"/>
        <v>4.8</v>
      </c>
      <c r="E216" s="8">
        <v>0</v>
      </c>
      <c r="F216" s="5">
        <v>0</v>
      </c>
      <c r="G216" s="5">
        <v>0</v>
      </c>
      <c r="H216" s="5">
        <v>0</v>
      </c>
      <c r="I216" s="5">
        <v>0</v>
      </c>
      <c r="J216" s="9">
        <v>0</v>
      </c>
      <c r="K216" s="8">
        <v>0</v>
      </c>
      <c r="L216" s="5">
        <v>0</v>
      </c>
      <c r="M216" s="5">
        <v>0</v>
      </c>
      <c r="N216" s="9">
        <v>0</v>
      </c>
      <c r="O216" s="8">
        <v>3</v>
      </c>
      <c r="P216" s="5">
        <v>18</v>
      </c>
      <c r="Q216" s="5">
        <v>0</v>
      </c>
      <c r="R216" s="9">
        <v>0</v>
      </c>
      <c r="S216" s="8">
        <v>0</v>
      </c>
      <c r="T216" s="9">
        <v>0</v>
      </c>
    </row>
    <row r="217" spans="1:20" x14ac:dyDescent="0.2">
      <c r="A217" s="5" t="s">
        <v>209</v>
      </c>
      <c r="B217" s="9" t="s">
        <v>162</v>
      </c>
      <c r="C217" s="9" t="s">
        <v>688</v>
      </c>
      <c r="D217" s="7">
        <f t="shared" si="0"/>
        <v>5.7</v>
      </c>
      <c r="E217" s="8">
        <v>0</v>
      </c>
      <c r="F217" s="5">
        <v>0</v>
      </c>
      <c r="G217" s="5">
        <v>0</v>
      </c>
      <c r="H217" s="5">
        <v>0</v>
      </c>
      <c r="I217" s="5">
        <v>0</v>
      </c>
      <c r="J217" s="9">
        <v>0</v>
      </c>
      <c r="K217" s="8">
        <v>0</v>
      </c>
      <c r="L217" s="5">
        <v>0</v>
      </c>
      <c r="M217" s="5">
        <v>0</v>
      </c>
      <c r="N217" s="9">
        <v>0</v>
      </c>
      <c r="O217" s="8">
        <v>4</v>
      </c>
      <c r="P217" s="5">
        <v>17</v>
      </c>
      <c r="Q217" s="5">
        <v>0</v>
      </c>
      <c r="R217" s="9">
        <v>0</v>
      </c>
      <c r="S217" s="8">
        <v>0</v>
      </c>
      <c r="T217" s="9">
        <v>0</v>
      </c>
    </row>
    <row r="218" spans="1:20" x14ac:dyDescent="0.2">
      <c r="A218" s="5" t="s">
        <v>194</v>
      </c>
      <c r="B218" s="9" t="s">
        <v>162</v>
      </c>
      <c r="C218" s="9" t="s">
        <v>690</v>
      </c>
      <c r="D218" s="7">
        <f t="shared" si="0"/>
        <v>2.1</v>
      </c>
      <c r="E218" s="8">
        <v>0</v>
      </c>
      <c r="F218" s="5">
        <v>0</v>
      </c>
      <c r="G218" s="5">
        <v>0</v>
      </c>
      <c r="H218" s="5">
        <v>0</v>
      </c>
      <c r="I218" s="5">
        <v>0</v>
      </c>
      <c r="J218" s="9">
        <v>0</v>
      </c>
      <c r="K218" s="8">
        <v>0</v>
      </c>
      <c r="L218" s="5">
        <v>0</v>
      </c>
      <c r="M218" s="5">
        <v>0</v>
      </c>
      <c r="N218" s="9">
        <v>0</v>
      </c>
      <c r="O218" s="8">
        <v>1</v>
      </c>
      <c r="P218" s="5">
        <v>11</v>
      </c>
      <c r="Q218" s="5">
        <v>0</v>
      </c>
      <c r="R218" s="9">
        <v>0</v>
      </c>
      <c r="S218" s="8">
        <v>0</v>
      </c>
      <c r="T218" s="9">
        <v>0</v>
      </c>
    </row>
    <row r="219" spans="1:20" x14ac:dyDescent="0.2">
      <c r="A219" s="5" t="s">
        <v>627</v>
      </c>
      <c r="B219" s="9" t="s">
        <v>162</v>
      </c>
      <c r="C219" s="9" t="s">
        <v>685</v>
      </c>
      <c r="D219" s="7">
        <f t="shared" si="0"/>
        <v>3.3</v>
      </c>
      <c r="E219" s="8">
        <v>0</v>
      </c>
      <c r="F219" s="5">
        <v>0</v>
      </c>
      <c r="G219" s="5">
        <v>0</v>
      </c>
      <c r="H219" s="5">
        <v>0</v>
      </c>
      <c r="I219" s="5">
        <v>0</v>
      </c>
      <c r="J219" s="9">
        <v>0</v>
      </c>
      <c r="K219" s="8">
        <v>0</v>
      </c>
      <c r="L219" s="5">
        <v>0</v>
      </c>
      <c r="M219" s="5">
        <v>0</v>
      </c>
      <c r="N219" s="9">
        <v>0</v>
      </c>
      <c r="O219" s="8">
        <v>2</v>
      </c>
      <c r="P219" s="5">
        <v>13</v>
      </c>
      <c r="Q219" s="5">
        <v>0</v>
      </c>
      <c r="R219" s="9">
        <v>0</v>
      </c>
      <c r="S219" s="8">
        <v>0</v>
      </c>
      <c r="T219" s="9">
        <v>0</v>
      </c>
    </row>
    <row r="220" spans="1:20" x14ac:dyDescent="0.2">
      <c r="A220" s="5" t="s">
        <v>236</v>
      </c>
      <c r="B220" s="9" t="s">
        <v>162</v>
      </c>
      <c r="C220" s="9" t="s">
        <v>691</v>
      </c>
      <c r="D220" s="7">
        <f t="shared" si="0"/>
        <v>3.6</v>
      </c>
      <c r="E220" s="8">
        <v>0</v>
      </c>
      <c r="F220" s="5">
        <v>0</v>
      </c>
      <c r="G220" s="5">
        <v>0</v>
      </c>
      <c r="H220" s="5">
        <v>0</v>
      </c>
      <c r="I220" s="5">
        <v>0</v>
      </c>
      <c r="J220" s="9">
        <v>0</v>
      </c>
      <c r="K220" s="8">
        <v>0</v>
      </c>
      <c r="L220" s="5">
        <v>0</v>
      </c>
      <c r="M220" s="5">
        <v>0</v>
      </c>
      <c r="N220" s="9">
        <v>0</v>
      </c>
      <c r="O220" s="8">
        <v>2</v>
      </c>
      <c r="P220" s="5">
        <v>16</v>
      </c>
      <c r="Q220" s="5">
        <v>0</v>
      </c>
      <c r="R220" s="9">
        <v>0</v>
      </c>
      <c r="S220" s="8">
        <v>0</v>
      </c>
      <c r="T220" s="9">
        <v>0</v>
      </c>
    </row>
    <row r="221" spans="1:20" x14ac:dyDescent="0.2">
      <c r="A221" s="5" t="s">
        <v>698</v>
      </c>
      <c r="B221" s="9" t="s">
        <v>162</v>
      </c>
      <c r="C221" s="9" t="s">
        <v>696</v>
      </c>
      <c r="D221" s="7">
        <f t="shared" si="0"/>
        <v>2.4000000000000004</v>
      </c>
      <c r="E221" s="8">
        <v>0</v>
      </c>
      <c r="F221" s="5">
        <v>0</v>
      </c>
      <c r="G221" s="5">
        <v>0</v>
      </c>
      <c r="H221" s="5">
        <v>0</v>
      </c>
      <c r="I221" s="5">
        <v>0</v>
      </c>
      <c r="J221" s="9">
        <v>0</v>
      </c>
      <c r="K221" s="8">
        <v>0</v>
      </c>
      <c r="L221" s="5">
        <v>0</v>
      </c>
      <c r="M221" s="5">
        <v>0</v>
      </c>
      <c r="N221" s="9">
        <v>0</v>
      </c>
      <c r="O221" s="8">
        <v>1</v>
      </c>
      <c r="P221" s="5">
        <v>14</v>
      </c>
      <c r="Q221" s="5">
        <v>0</v>
      </c>
      <c r="R221" s="9">
        <v>0</v>
      </c>
      <c r="S221" s="8">
        <v>0</v>
      </c>
      <c r="T221" s="9">
        <v>0</v>
      </c>
    </row>
    <row r="222" spans="1:20" x14ac:dyDescent="0.2">
      <c r="A222" s="5" t="s">
        <v>216</v>
      </c>
      <c r="B222" s="9" t="s">
        <v>162</v>
      </c>
      <c r="C222" s="9" t="s">
        <v>691</v>
      </c>
      <c r="D222" s="7">
        <f t="shared" si="0"/>
        <v>3</v>
      </c>
      <c r="E222" s="8">
        <v>0</v>
      </c>
      <c r="F222" s="5">
        <v>0</v>
      </c>
      <c r="G222" s="5">
        <v>0</v>
      </c>
      <c r="H222" s="5">
        <v>0</v>
      </c>
      <c r="I222" s="5">
        <v>0</v>
      </c>
      <c r="J222" s="9">
        <v>0</v>
      </c>
      <c r="K222" s="8">
        <v>0</v>
      </c>
      <c r="L222" s="5">
        <v>0</v>
      </c>
      <c r="M222" s="5">
        <v>0</v>
      </c>
      <c r="N222" s="9">
        <v>0</v>
      </c>
      <c r="O222" s="8">
        <v>2</v>
      </c>
      <c r="P222" s="5">
        <v>10</v>
      </c>
      <c r="Q222" s="5">
        <v>0</v>
      </c>
      <c r="R222" s="9">
        <v>0</v>
      </c>
      <c r="S222" s="8">
        <v>0</v>
      </c>
      <c r="T222" s="9">
        <v>0</v>
      </c>
    </row>
    <row r="223" spans="1:20" x14ac:dyDescent="0.2">
      <c r="A223" s="5" t="s">
        <v>557</v>
      </c>
      <c r="B223" s="9" t="s">
        <v>162</v>
      </c>
      <c r="C223" s="9" t="s">
        <v>691</v>
      </c>
      <c r="D223" s="7">
        <f t="shared" si="0"/>
        <v>4.2</v>
      </c>
      <c r="E223" s="8">
        <v>0</v>
      </c>
      <c r="F223" s="5">
        <v>0</v>
      </c>
      <c r="G223" s="5">
        <v>0</v>
      </c>
      <c r="H223" s="5">
        <v>0</v>
      </c>
      <c r="I223" s="5">
        <v>0</v>
      </c>
      <c r="J223" s="9">
        <v>0</v>
      </c>
      <c r="K223" s="8">
        <v>1</v>
      </c>
      <c r="L223" s="5">
        <v>3</v>
      </c>
      <c r="M223" s="5">
        <v>0</v>
      </c>
      <c r="N223" s="9">
        <v>0</v>
      </c>
      <c r="O223" s="8">
        <v>2</v>
      </c>
      <c r="P223" s="5">
        <v>19</v>
      </c>
      <c r="Q223" s="5">
        <v>0</v>
      </c>
      <c r="R223" s="9">
        <v>0</v>
      </c>
      <c r="S223" s="8">
        <v>0</v>
      </c>
      <c r="T223" s="9">
        <v>0</v>
      </c>
    </row>
    <row r="224" spans="1:20" x14ac:dyDescent="0.2">
      <c r="A224" s="5" t="s">
        <v>202</v>
      </c>
      <c r="B224" s="9" t="s">
        <v>162</v>
      </c>
      <c r="C224" s="9" t="s">
        <v>690</v>
      </c>
      <c r="D224" s="7">
        <f t="shared" si="0"/>
        <v>1.5</v>
      </c>
      <c r="E224" s="8">
        <v>0</v>
      </c>
      <c r="F224" s="5">
        <v>0</v>
      </c>
      <c r="G224" s="5">
        <v>0</v>
      </c>
      <c r="H224" s="5">
        <v>0</v>
      </c>
      <c r="I224" s="5">
        <v>0</v>
      </c>
      <c r="J224" s="9">
        <v>0</v>
      </c>
      <c r="K224" s="8">
        <v>0</v>
      </c>
      <c r="L224" s="5">
        <v>0</v>
      </c>
      <c r="M224" s="5">
        <v>0</v>
      </c>
      <c r="N224" s="9">
        <v>0</v>
      </c>
      <c r="O224" s="8">
        <v>1</v>
      </c>
      <c r="P224" s="5">
        <v>5</v>
      </c>
      <c r="Q224" s="5">
        <v>0</v>
      </c>
      <c r="R224" s="9">
        <v>0</v>
      </c>
      <c r="S224" s="8">
        <v>0</v>
      </c>
      <c r="T224" s="9">
        <v>0</v>
      </c>
    </row>
    <row r="225" spans="1:20" x14ac:dyDescent="0.2">
      <c r="A225" s="5" t="s">
        <v>387</v>
      </c>
      <c r="B225" s="9" t="s">
        <v>162</v>
      </c>
      <c r="C225" s="9" t="s">
        <v>692</v>
      </c>
      <c r="D225" s="7">
        <f t="shared" si="0"/>
        <v>1.6</v>
      </c>
      <c r="E225" s="8">
        <v>0</v>
      </c>
      <c r="F225" s="5">
        <v>0</v>
      </c>
      <c r="G225" s="5">
        <v>0</v>
      </c>
      <c r="H225" s="5">
        <v>0</v>
      </c>
      <c r="I225" s="5">
        <v>0</v>
      </c>
      <c r="J225" s="9">
        <v>0</v>
      </c>
      <c r="K225" s="8">
        <v>0</v>
      </c>
      <c r="L225" s="5">
        <v>0</v>
      </c>
      <c r="M225" s="5">
        <v>0</v>
      </c>
      <c r="N225" s="9">
        <v>0</v>
      </c>
      <c r="O225" s="8">
        <v>1</v>
      </c>
      <c r="P225" s="5">
        <v>6</v>
      </c>
      <c r="Q225" s="5">
        <v>0</v>
      </c>
      <c r="R225" s="9">
        <v>0</v>
      </c>
      <c r="S225" s="8">
        <v>0</v>
      </c>
      <c r="T225" s="9">
        <v>0</v>
      </c>
    </row>
    <row r="226" spans="1:20" x14ac:dyDescent="0.2">
      <c r="A226" s="5" t="s">
        <v>653</v>
      </c>
      <c r="B226" s="9" t="s">
        <v>162</v>
      </c>
      <c r="C226" s="9" t="s">
        <v>691</v>
      </c>
      <c r="D226" s="7">
        <f t="shared" si="0"/>
        <v>1.8</v>
      </c>
      <c r="E226" s="8">
        <v>0</v>
      </c>
      <c r="F226" s="5">
        <v>0</v>
      </c>
      <c r="G226" s="5">
        <v>0</v>
      </c>
      <c r="H226" s="5">
        <v>0</v>
      </c>
      <c r="I226" s="5">
        <v>0</v>
      </c>
      <c r="J226" s="9">
        <v>0</v>
      </c>
      <c r="K226" s="8">
        <v>0</v>
      </c>
      <c r="L226" s="5">
        <v>0</v>
      </c>
      <c r="M226" s="5">
        <v>0</v>
      </c>
      <c r="N226" s="9">
        <v>0</v>
      </c>
      <c r="O226" s="8">
        <v>1</v>
      </c>
      <c r="P226" s="5">
        <v>8</v>
      </c>
      <c r="Q226" s="5">
        <v>0</v>
      </c>
      <c r="R226" s="9">
        <v>0</v>
      </c>
      <c r="S226" s="8">
        <v>0</v>
      </c>
      <c r="T226" s="9">
        <v>0</v>
      </c>
    </row>
    <row r="227" spans="1:20" x14ac:dyDescent="0.2">
      <c r="A227" s="5" t="s">
        <v>256</v>
      </c>
      <c r="B227" s="9" t="s">
        <v>162</v>
      </c>
      <c r="C227" s="9" t="s">
        <v>691</v>
      </c>
      <c r="D227" s="7">
        <f t="shared" si="0"/>
        <v>0.8</v>
      </c>
      <c r="E227" s="8">
        <v>0</v>
      </c>
      <c r="F227" s="5">
        <v>0</v>
      </c>
      <c r="G227" s="5">
        <v>0</v>
      </c>
      <c r="H227" s="5">
        <v>0</v>
      </c>
      <c r="I227" s="5">
        <v>0</v>
      </c>
      <c r="J227" s="9">
        <v>0</v>
      </c>
      <c r="K227" s="8">
        <v>0</v>
      </c>
      <c r="L227" s="5">
        <v>0</v>
      </c>
      <c r="M227" s="5">
        <v>0</v>
      </c>
      <c r="N227" s="9">
        <v>0</v>
      </c>
      <c r="O227" s="8">
        <v>1</v>
      </c>
      <c r="P227" s="5">
        <v>-2</v>
      </c>
      <c r="Q227" s="5">
        <v>0</v>
      </c>
      <c r="R227" s="9">
        <v>0</v>
      </c>
      <c r="S227" s="8">
        <v>0</v>
      </c>
      <c r="T227" s="9">
        <v>0</v>
      </c>
    </row>
    <row r="228" spans="1:20" x14ac:dyDescent="0.2">
      <c r="A228" s="5" t="s">
        <v>258</v>
      </c>
      <c r="B228" s="9" t="s">
        <v>162</v>
      </c>
      <c r="C228" s="9" t="s">
        <v>689</v>
      </c>
      <c r="D228" s="7">
        <f t="shared" si="0"/>
        <v>1.1000000000000001</v>
      </c>
      <c r="E228" s="8">
        <v>0</v>
      </c>
      <c r="F228" s="5">
        <v>0</v>
      </c>
      <c r="G228" s="5">
        <v>0</v>
      </c>
      <c r="H228" s="5">
        <v>0</v>
      </c>
      <c r="I228" s="5">
        <v>0</v>
      </c>
      <c r="J228" s="9">
        <v>0</v>
      </c>
      <c r="K228" s="8">
        <v>2</v>
      </c>
      <c r="L228" s="5">
        <v>-1</v>
      </c>
      <c r="M228" s="5">
        <v>0</v>
      </c>
      <c r="N228" s="9">
        <v>0</v>
      </c>
      <c r="O228" s="8">
        <v>1</v>
      </c>
      <c r="P228" s="5">
        <v>2</v>
      </c>
      <c r="Q228" s="5">
        <v>0</v>
      </c>
      <c r="R228" s="9">
        <v>0</v>
      </c>
      <c r="S228" s="8">
        <v>0</v>
      </c>
      <c r="T228" s="9">
        <v>0</v>
      </c>
    </row>
    <row r="229" spans="1:20" x14ac:dyDescent="0.2">
      <c r="A229" s="5" t="s">
        <v>382</v>
      </c>
      <c r="B229" s="9" t="s">
        <v>162</v>
      </c>
      <c r="C229" s="9" t="s">
        <v>689</v>
      </c>
      <c r="D229" s="7">
        <f t="shared" si="0"/>
        <v>0</v>
      </c>
      <c r="E229" s="8">
        <v>0</v>
      </c>
      <c r="F229" s="5">
        <v>0</v>
      </c>
      <c r="G229" s="5">
        <v>0</v>
      </c>
      <c r="H229" s="5">
        <v>0</v>
      </c>
      <c r="I229" s="5">
        <v>0</v>
      </c>
      <c r="J229" s="9">
        <v>0</v>
      </c>
      <c r="K229" s="8">
        <v>1</v>
      </c>
      <c r="L229" s="5">
        <v>0</v>
      </c>
      <c r="M229" s="5">
        <v>0</v>
      </c>
      <c r="N229" s="9">
        <v>0</v>
      </c>
      <c r="O229" s="8">
        <v>0</v>
      </c>
      <c r="P229" s="5">
        <v>0</v>
      </c>
      <c r="Q229" s="5">
        <v>0</v>
      </c>
      <c r="R229" s="9">
        <v>0</v>
      </c>
      <c r="S229" s="8">
        <v>0</v>
      </c>
      <c r="T229" s="9">
        <v>0</v>
      </c>
    </row>
    <row r="230" spans="1:20" x14ac:dyDescent="0.2">
      <c r="A230" s="5" t="s">
        <v>646</v>
      </c>
      <c r="B230" s="9" t="s">
        <v>162</v>
      </c>
      <c r="C230" s="9" t="s">
        <v>689</v>
      </c>
      <c r="D230" s="7">
        <f t="shared" si="0"/>
        <v>1.4</v>
      </c>
      <c r="E230" s="8">
        <v>0</v>
      </c>
      <c r="F230" s="5">
        <v>0</v>
      </c>
      <c r="G230" s="5">
        <v>0</v>
      </c>
      <c r="H230" s="5">
        <v>0</v>
      </c>
      <c r="I230" s="5">
        <v>0</v>
      </c>
      <c r="J230" s="9">
        <v>0</v>
      </c>
      <c r="K230" s="8">
        <v>0</v>
      </c>
      <c r="L230" s="5">
        <v>0</v>
      </c>
      <c r="M230" s="5">
        <v>0</v>
      </c>
      <c r="N230" s="9">
        <v>0</v>
      </c>
      <c r="O230" s="8">
        <v>1</v>
      </c>
      <c r="P230" s="5">
        <v>4</v>
      </c>
      <c r="Q230" s="5">
        <v>0</v>
      </c>
      <c r="R230" s="9">
        <v>0</v>
      </c>
      <c r="S230" s="8">
        <v>0</v>
      </c>
      <c r="T230" s="9">
        <v>0</v>
      </c>
    </row>
    <row r="231" spans="1:20" x14ac:dyDescent="0.2">
      <c r="A231" s="5" t="s">
        <v>353</v>
      </c>
      <c r="B231" s="9" t="s">
        <v>162</v>
      </c>
      <c r="C231" s="9" t="s">
        <v>692</v>
      </c>
      <c r="D231" s="7">
        <f t="shared" si="0"/>
        <v>1.7000000000000002</v>
      </c>
      <c r="E231" s="8">
        <v>0</v>
      </c>
      <c r="F231" s="5">
        <v>0</v>
      </c>
      <c r="G231" s="5">
        <v>0</v>
      </c>
      <c r="H231" s="5">
        <v>0</v>
      </c>
      <c r="I231" s="5">
        <v>0</v>
      </c>
      <c r="J231" s="9">
        <v>0</v>
      </c>
      <c r="K231" s="8">
        <v>0</v>
      </c>
      <c r="L231" s="5">
        <v>0</v>
      </c>
      <c r="M231" s="5">
        <v>0</v>
      </c>
      <c r="N231" s="9">
        <v>0</v>
      </c>
      <c r="O231" s="8">
        <v>1</v>
      </c>
      <c r="P231" s="5">
        <v>7</v>
      </c>
      <c r="Q231" s="5">
        <v>0</v>
      </c>
      <c r="R231" s="9">
        <v>0</v>
      </c>
      <c r="S231" s="8">
        <v>0</v>
      </c>
      <c r="T231" s="9">
        <v>0</v>
      </c>
    </row>
    <row r="232" spans="1:20" x14ac:dyDescent="0.2">
      <c r="A232" s="5" t="s">
        <v>253</v>
      </c>
      <c r="B232" s="9" t="s">
        <v>162</v>
      </c>
      <c r="C232" s="9" t="s">
        <v>689</v>
      </c>
      <c r="D232" s="7">
        <f t="shared" si="0"/>
        <v>1.7000000000000002</v>
      </c>
      <c r="E232" s="8">
        <v>0</v>
      </c>
      <c r="F232" s="5">
        <v>0</v>
      </c>
      <c r="G232" s="5">
        <v>0</v>
      </c>
      <c r="H232" s="5">
        <v>0</v>
      </c>
      <c r="I232" s="5">
        <v>0</v>
      </c>
      <c r="J232" s="9">
        <v>0</v>
      </c>
      <c r="K232" s="8">
        <v>0</v>
      </c>
      <c r="L232" s="5">
        <v>0</v>
      </c>
      <c r="M232" s="5">
        <v>0</v>
      </c>
      <c r="N232" s="9">
        <v>0</v>
      </c>
      <c r="O232" s="8">
        <v>1</v>
      </c>
      <c r="P232" s="5">
        <v>7</v>
      </c>
      <c r="Q232" s="5">
        <v>0</v>
      </c>
      <c r="R232" s="9">
        <v>0</v>
      </c>
      <c r="S232" s="8">
        <v>0</v>
      </c>
      <c r="T232" s="9">
        <v>0</v>
      </c>
    </row>
    <row r="233" spans="1:20" x14ac:dyDescent="0.2">
      <c r="A233" s="5" t="s">
        <v>582</v>
      </c>
      <c r="B233" s="9" t="s">
        <v>162</v>
      </c>
      <c r="C233" s="9" t="s">
        <v>681</v>
      </c>
      <c r="D233" s="7">
        <f t="shared" si="0"/>
        <v>1</v>
      </c>
      <c r="E233" s="8">
        <v>0</v>
      </c>
      <c r="F233" s="5">
        <v>0</v>
      </c>
      <c r="G233" s="5">
        <v>0</v>
      </c>
      <c r="H233" s="5">
        <v>0</v>
      </c>
      <c r="I233" s="5">
        <v>0</v>
      </c>
      <c r="J233" s="9">
        <v>0</v>
      </c>
      <c r="K233" s="8">
        <v>0</v>
      </c>
      <c r="L233" s="5">
        <v>0</v>
      </c>
      <c r="M233" s="5">
        <v>0</v>
      </c>
      <c r="N233" s="9">
        <v>0</v>
      </c>
      <c r="O233" s="8">
        <v>1</v>
      </c>
      <c r="P233" s="5">
        <v>0</v>
      </c>
      <c r="Q233" s="5">
        <v>0</v>
      </c>
      <c r="R233" s="9">
        <v>0</v>
      </c>
      <c r="S233" s="8">
        <v>0</v>
      </c>
      <c r="T233" s="9">
        <v>0</v>
      </c>
    </row>
    <row r="234" spans="1:20" x14ac:dyDescent="0.2">
      <c r="A234" s="5" t="s">
        <v>377</v>
      </c>
      <c r="B234" s="9" t="s">
        <v>162</v>
      </c>
      <c r="C234" s="9" t="s">
        <v>688</v>
      </c>
      <c r="D234" s="7">
        <f t="shared" si="0"/>
        <v>0.30000000000000004</v>
      </c>
      <c r="E234" s="8">
        <v>0</v>
      </c>
      <c r="F234" s="5">
        <v>0</v>
      </c>
      <c r="G234" s="5">
        <v>0</v>
      </c>
      <c r="H234" s="5">
        <v>0</v>
      </c>
      <c r="I234" s="5">
        <v>0</v>
      </c>
      <c r="J234" s="9">
        <v>0</v>
      </c>
      <c r="K234" s="8">
        <v>1</v>
      </c>
      <c r="L234" s="5">
        <v>3</v>
      </c>
      <c r="M234" s="5">
        <v>0</v>
      </c>
      <c r="N234" s="9">
        <v>0</v>
      </c>
      <c r="O234" s="8">
        <v>0</v>
      </c>
      <c r="P234" s="5">
        <v>0</v>
      </c>
      <c r="Q234" s="5">
        <v>0</v>
      </c>
      <c r="R234" s="9">
        <v>0</v>
      </c>
      <c r="S234" s="8">
        <v>0</v>
      </c>
      <c r="T234" s="9">
        <v>0</v>
      </c>
    </row>
    <row r="235" spans="1:20" x14ac:dyDescent="0.2">
      <c r="A235" s="5" t="s">
        <v>369</v>
      </c>
      <c r="B235" s="9" t="s">
        <v>162</v>
      </c>
      <c r="C235" s="9" t="s">
        <v>683</v>
      </c>
      <c r="D235" s="7">
        <f t="shared" si="0"/>
        <v>1.6</v>
      </c>
      <c r="E235" s="8">
        <v>0</v>
      </c>
      <c r="F235" s="5">
        <v>0</v>
      </c>
      <c r="G235" s="5">
        <v>0</v>
      </c>
      <c r="H235" s="5">
        <v>0</v>
      </c>
      <c r="I235" s="5">
        <v>0</v>
      </c>
      <c r="J235" s="9">
        <v>0</v>
      </c>
      <c r="K235" s="8">
        <v>0</v>
      </c>
      <c r="L235" s="5">
        <v>0</v>
      </c>
      <c r="M235" s="5">
        <v>0</v>
      </c>
      <c r="N235" s="9">
        <v>0</v>
      </c>
      <c r="O235" s="8">
        <v>1</v>
      </c>
      <c r="P235" s="5">
        <v>6</v>
      </c>
      <c r="Q235" s="5">
        <v>0</v>
      </c>
      <c r="R235" s="9">
        <v>0</v>
      </c>
      <c r="S235" s="8">
        <v>0</v>
      </c>
      <c r="T235" s="9">
        <v>0</v>
      </c>
    </row>
    <row r="236" spans="1:20" x14ac:dyDescent="0.2">
      <c r="A236" s="5" t="s">
        <v>521</v>
      </c>
      <c r="B236" s="9" t="s">
        <v>162</v>
      </c>
      <c r="C236" s="9" t="s">
        <v>694</v>
      </c>
      <c r="D236" s="7">
        <f t="shared" si="0"/>
        <v>1.4</v>
      </c>
      <c r="E236" s="8">
        <v>0</v>
      </c>
      <c r="F236" s="5">
        <v>0</v>
      </c>
      <c r="G236" s="5">
        <v>0</v>
      </c>
      <c r="H236" s="5">
        <v>0</v>
      </c>
      <c r="I236" s="5">
        <v>0</v>
      </c>
      <c r="J236" s="9">
        <v>0</v>
      </c>
      <c r="K236" s="8">
        <v>0</v>
      </c>
      <c r="L236" s="5">
        <v>0</v>
      </c>
      <c r="M236" s="5">
        <v>0</v>
      </c>
      <c r="N236" s="9">
        <v>0</v>
      </c>
      <c r="O236" s="8">
        <v>1</v>
      </c>
      <c r="P236" s="5">
        <v>4</v>
      </c>
      <c r="Q236" s="5">
        <v>0</v>
      </c>
      <c r="R236" s="9">
        <v>0</v>
      </c>
      <c r="S236" s="8">
        <v>0</v>
      </c>
      <c r="T236" s="9">
        <v>0</v>
      </c>
    </row>
    <row r="237" spans="1:20" x14ac:dyDescent="0.2">
      <c r="A237" s="5" t="s">
        <v>181</v>
      </c>
      <c r="B237" s="9" t="s">
        <v>162</v>
      </c>
      <c r="C237" s="9" t="s">
        <v>693</v>
      </c>
      <c r="D237" s="7">
        <f t="shared" si="0"/>
        <v>2.6</v>
      </c>
      <c r="E237" s="8">
        <v>0</v>
      </c>
      <c r="F237" s="5">
        <v>0</v>
      </c>
      <c r="G237" s="5">
        <v>0</v>
      </c>
      <c r="H237" s="5">
        <v>0</v>
      </c>
      <c r="I237" s="5">
        <v>0</v>
      </c>
      <c r="J237" s="9">
        <v>0</v>
      </c>
      <c r="K237" s="8">
        <v>0</v>
      </c>
      <c r="L237" s="5">
        <v>0</v>
      </c>
      <c r="M237" s="5">
        <v>0</v>
      </c>
      <c r="N237" s="9">
        <v>0</v>
      </c>
      <c r="O237" s="8">
        <v>2</v>
      </c>
      <c r="P237" s="5">
        <v>6</v>
      </c>
      <c r="Q237" s="5">
        <v>0</v>
      </c>
      <c r="R237" s="9">
        <v>0</v>
      </c>
      <c r="S237" s="8">
        <v>0</v>
      </c>
      <c r="T237" s="9">
        <v>0</v>
      </c>
    </row>
    <row r="238" spans="1:20" x14ac:dyDescent="0.2">
      <c r="A238" s="5" t="s">
        <v>647</v>
      </c>
      <c r="B238" s="9" t="s">
        <v>162</v>
      </c>
      <c r="C238" s="9" t="s">
        <v>694</v>
      </c>
      <c r="D238" s="7">
        <f t="shared" si="0"/>
        <v>1.7000000000000002</v>
      </c>
      <c r="E238" s="8">
        <v>0</v>
      </c>
      <c r="F238" s="5">
        <v>0</v>
      </c>
      <c r="G238" s="5">
        <v>0</v>
      </c>
      <c r="H238" s="5">
        <v>0</v>
      </c>
      <c r="I238" s="5">
        <v>0</v>
      </c>
      <c r="J238" s="9">
        <v>0</v>
      </c>
      <c r="K238" s="8">
        <v>0</v>
      </c>
      <c r="L238" s="5">
        <v>0</v>
      </c>
      <c r="M238" s="5">
        <v>0</v>
      </c>
      <c r="N238" s="9">
        <v>0</v>
      </c>
      <c r="O238" s="8">
        <v>1</v>
      </c>
      <c r="P238" s="5">
        <v>7</v>
      </c>
      <c r="Q238" s="5">
        <v>0</v>
      </c>
      <c r="R238" s="9">
        <v>0</v>
      </c>
      <c r="S238" s="8">
        <v>0</v>
      </c>
      <c r="T238" s="9">
        <v>0</v>
      </c>
    </row>
    <row r="239" spans="1:20" x14ac:dyDescent="0.2">
      <c r="A239" s="5" t="s">
        <v>559</v>
      </c>
      <c r="B239" s="9" t="s">
        <v>162</v>
      </c>
      <c r="C239" s="9" t="s">
        <v>696</v>
      </c>
      <c r="D239" s="7">
        <f t="shared" si="0"/>
        <v>0.7</v>
      </c>
      <c r="E239" s="8">
        <v>0</v>
      </c>
      <c r="F239" s="5">
        <v>0</v>
      </c>
      <c r="G239" s="5">
        <v>0</v>
      </c>
      <c r="H239" s="5">
        <v>0</v>
      </c>
      <c r="I239" s="5">
        <v>0</v>
      </c>
      <c r="J239" s="9">
        <v>0</v>
      </c>
      <c r="K239" s="8">
        <v>0</v>
      </c>
      <c r="L239" s="5">
        <v>0</v>
      </c>
      <c r="M239" s="5">
        <v>0</v>
      </c>
      <c r="N239" s="9">
        <v>0</v>
      </c>
      <c r="O239" s="8">
        <v>1</v>
      </c>
      <c r="P239" s="5">
        <v>-3</v>
      </c>
      <c r="Q239" s="5">
        <v>0</v>
      </c>
      <c r="R239" s="9">
        <v>0</v>
      </c>
      <c r="S239" s="8">
        <v>0</v>
      </c>
      <c r="T239" s="9">
        <v>0</v>
      </c>
    </row>
    <row r="240" spans="1:20" x14ac:dyDescent="0.2">
      <c r="A240" s="5" t="s">
        <v>172</v>
      </c>
      <c r="B240" s="9" t="s">
        <v>162</v>
      </c>
      <c r="C240" s="9" t="s">
        <v>694</v>
      </c>
      <c r="D240" s="7">
        <f t="shared" si="0"/>
        <v>2.9</v>
      </c>
      <c r="E240" s="8">
        <v>0</v>
      </c>
      <c r="F240" s="5">
        <v>0</v>
      </c>
      <c r="G240" s="5">
        <v>0</v>
      </c>
      <c r="H240" s="5">
        <v>0</v>
      </c>
      <c r="I240" s="5">
        <v>0</v>
      </c>
      <c r="J240" s="9">
        <v>0</v>
      </c>
      <c r="K240" s="8">
        <v>0</v>
      </c>
      <c r="L240" s="5">
        <v>0</v>
      </c>
      <c r="M240" s="5">
        <v>0</v>
      </c>
      <c r="N240" s="9">
        <v>0</v>
      </c>
      <c r="O240" s="8">
        <v>2</v>
      </c>
      <c r="P240" s="5">
        <v>9</v>
      </c>
      <c r="Q240" s="5">
        <v>0</v>
      </c>
      <c r="R240" s="9">
        <v>0</v>
      </c>
      <c r="S240" s="8">
        <v>0</v>
      </c>
      <c r="T240" s="9">
        <v>0</v>
      </c>
    </row>
    <row r="241" spans="1:20" x14ac:dyDescent="0.2">
      <c r="A241" s="5" t="s">
        <v>245</v>
      </c>
      <c r="B241" s="9" t="s">
        <v>162</v>
      </c>
      <c r="C241" s="9" t="s">
        <v>696</v>
      </c>
      <c r="D241" s="7">
        <f t="shared" si="0"/>
        <v>1.8</v>
      </c>
      <c r="E241" s="8">
        <v>0</v>
      </c>
      <c r="F241" s="5">
        <v>0</v>
      </c>
      <c r="G241" s="5">
        <v>0</v>
      </c>
      <c r="H241" s="5">
        <v>0</v>
      </c>
      <c r="I241" s="5">
        <v>0</v>
      </c>
      <c r="J241" s="9">
        <v>0</v>
      </c>
      <c r="K241" s="8">
        <v>0</v>
      </c>
      <c r="L241" s="5">
        <v>0</v>
      </c>
      <c r="M241" s="5">
        <v>0</v>
      </c>
      <c r="N241" s="9">
        <v>0</v>
      </c>
      <c r="O241" s="8">
        <v>1</v>
      </c>
      <c r="P241" s="5">
        <v>8</v>
      </c>
      <c r="Q241" s="5">
        <v>0</v>
      </c>
      <c r="R241" s="9">
        <v>0</v>
      </c>
      <c r="S241" s="8">
        <v>0</v>
      </c>
      <c r="T241" s="9">
        <v>0</v>
      </c>
    </row>
    <row r="242" spans="1:20" x14ac:dyDescent="0.2">
      <c r="A242" s="5" t="s">
        <v>385</v>
      </c>
      <c r="B242" s="9" t="s">
        <v>162</v>
      </c>
      <c r="C242" s="9" t="s">
        <v>691</v>
      </c>
      <c r="D242" s="7">
        <f t="shared" si="0"/>
        <v>1.6</v>
      </c>
      <c r="E242" s="8">
        <v>0</v>
      </c>
      <c r="F242" s="5">
        <v>0</v>
      </c>
      <c r="G242" s="5">
        <v>0</v>
      </c>
      <c r="H242" s="5">
        <v>0</v>
      </c>
      <c r="I242" s="5">
        <v>0</v>
      </c>
      <c r="J242" s="9">
        <v>0</v>
      </c>
      <c r="K242" s="8">
        <v>0</v>
      </c>
      <c r="L242" s="5">
        <v>0</v>
      </c>
      <c r="M242" s="5">
        <v>0</v>
      </c>
      <c r="N242" s="9">
        <v>0</v>
      </c>
      <c r="O242" s="8">
        <v>1</v>
      </c>
      <c r="P242" s="5">
        <v>6</v>
      </c>
      <c r="Q242" s="5">
        <v>0</v>
      </c>
      <c r="R242" s="9">
        <v>0</v>
      </c>
      <c r="S242" s="8">
        <v>0</v>
      </c>
      <c r="T242" s="9">
        <v>0</v>
      </c>
    </row>
    <row r="243" spans="1:20" x14ac:dyDescent="0.2">
      <c r="A243" s="5" t="s">
        <v>368</v>
      </c>
      <c r="B243" s="9" t="s">
        <v>162</v>
      </c>
      <c r="C243" s="9" t="s">
        <v>685</v>
      </c>
      <c r="D243" s="7">
        <f t="shared" si="0"/>
        <v>0.9</v>
      </c>
      <c r="E243" s="8">
        <v>0</v>
      </c>
      <c r="F243" s="5">
        <v>0</v>
      </c>
      <c r="G243" s="5">
        <v>0</v>
      </c>
      <c r="H243" s="5">
        <v>0</v>
      </c>
      <c r="I243" s="5">
        <v>0</v>
      </c>
      <c r="J243" s="9">
        <v>0</v>
      </c>
      <c r="K243" s="8">
        <v>0</v>
      </c>
      <c r="L243" s="5">
        <v>0</v>
      </c>
      <c r="M243" s="5">
        <v>0</v>
      </c>
      <c r="N243" s="9">
        <v>0</v>
      </c>
      <c r="O243" s="8">
        <v>1</v>
      </c>
      <c r="P243" s="5">
        <v>-1</v>
      </c>
      <c r="Q243" s="5">
        <v>0</v>
      </c>
      <c r="R243" s="9">
        <v>0</v>
      </c>
      <c r="S243" s="8">
        <v>0</v>
      </c>
      <c r="T243" s="9">
        <v>0</v>
      </c>
    </row>
    <row r="244" spans="1:20" x14ac:dyDescent="0.2">
      <c r="A244" s="5" t="s">
        <v>246</v>
      </c>
      <c r="B244" s="9" t="s">
        <v>162</v>
      </c>
      <c r="C244" s="9" t="s">
        <v>696</v>
      </c>
      <c r="D244" s="7">
        <f t="shared" si="0"/>
        <v>1.2</v>
      </c>
      <c r="E244" s="8">
        <v>0</v>
      </c>
      <c r="F244" s="5">
        <v>0</v>
      </c>
      <c r="G244" s="5">
        <v>0</v>
      </c>
      <c r="H244" s="5">
        <v>0</v>
      </c>
      <c r="I244" s="5">
        <v>0</v>
      </c>
      <c r="J244" s="9">
        <v>0</v>
      </c>
      <c r="K244" s="8">
        <v>0</v>
      </c>
      <c r="L244" s="5">
        <v>0</v>
      </c>
      <c r="M244" s="5">
        <v>0</v>
      </c>
      <c r="N244" s="9">
        <v>0</v>
      </c>
      <c r="O244" s="8">
        <v>1</v>
      </c>
      <c r="P244" s="5">
        <v>2</v>
      </c>
      <c r="Q244" s="5">
        <v>0</v>
      </c>
      <c r="R244" s="9">
        <v>0</v>
      </c>
      <c r="S244" s="8">
        <v>0</v>
      </c>
      <c r="T244" s="9">
        <v>0</v>
      </c>
    </row>
    <row r="245" spans="1:20" x14ac:dyDescent="0.2">
      <c r="A245" s="5" t="s">
        <v>226</v>
      </c>
      <c r="B245" s="9" t="s">
        <v>162</v>
      </c>
      <c r="C245" s="9" t="s">
        <v>686</v>
      </c>
      <c r="D245" s="7">
        <f t="shared" si="0"/>
        <v>0.9</v>
      </c>
      <c r="E245" s="8">
        <v>0</v>
      </c>
      <c r="F245" s="5">
        <v>0</v>
      </c>
      <c r="G245" s="5">
        <v>0</v>
      </c>
      <c r="H245" s="5">
        <v>0</v>
      </c>
      <c r="I245" s="5">
        <v>0</v>
      </c>
      <c r="J245" s="9">
        <v>0</v>
      </c>
      <c r="K245" s="8">
        <v>0</v>
      </c>
      <c r="L245" s="5">
        <v>0</v>
      </c>
      <c r="M245" s="5">
        <v>0</v>
      </c>
      <c r="N245" s="9">
        <v>0</v>
      </c>
      <c r="O245" s="8">
        <v>1</v>
      </c>
      <c r="P245" s="5">
        <v>-1</v>
      </c>
      <c r="Q245" s="5">
        <v>0</v>
      </c>
      <c r="R245" s="9">
        <v>0</v>
      </c>
      <c r="S245" s="8">
        <v>0</v>
      </c>
      <c r="T245" s="9">
        <v>0</v>
      </c>
    </row>
    <row r="246" spans="1:20" x14ac:dyDescent="0.2">
      <c r="A246" s="5" t="s">
        <v>286</v>
      </c>
      <c r="B246" s="9" t="s">
        <v>69</v>
      </c>
      <c r="C246" s="9" t="s">
        <v>685</v>
      </c>
      <c r="D246" s="7">
        <f t="shared" si="0"/>
        <v>19.899999999999999</v>
      </c>
      <c r="E246" s="8">
        <v>0</v>
      </c>
      <c r="F246" s="5">
        <v>0</v>
      </c>
      <c r="G246" s="5">
        <v>0</v>
      </c>
      <c r="H246" s="5">
        <v>0</v>
      </c>
      <c r="I246" s="5">
        <v>0</v>
      </c>
      <c r="J246" s="9">
        <v>0</v>
      </c>
      <c r="K246" s="8">
        <v>0</v>
      </c>
      <c r="L246" s="5">
        <v>0</v>
      </c>
      <c r="M246" s="5">
        <v>0</v>
      </c>
      <c r="N246" s="9">
        <v>0</v>
      </c>
      <c r="O246" s="8">
        <v>5</v>
      </c>
      <c r="P246" s="5">
        <v>29</v>
      </c>
      <c r="Q246" s="5">
        <v>2</v>
      </c>
      <c r="R246" s="9">
        <v>0</v>
      </c>
      <c r="S246" s="8">
        <v>0</v>
      </c>
      <c r="T246" s="9">
        <v>0</v>
      </c>
    </row>
    <row r="247" spans="1:20" x14ac:dyDescent="0.2">
      <c r="A247" s="5" t="s">
        <v>284</v>
      </c>
      <c r="B247" s="9" t="s">
        <v>69</v>
      </c>
      <c r="C247" s="9" t="s">
        <v>690</v>
      </c>
      <c r="D247" s="7">
        <f t="shared" si="0"/>
        <v>21</v>
      </c>
      <c r="E247" s="8">
        <v>0</v>
      </c>
      <c r="F247" s="5">
        <v>0</v>
      </c>
      <c r="G247" s="5">
        <v>0</v>
      </c>
      <c r="H247" s="5">
        <v>0</v>
      </c>
      <c r="I247" s="5">
        <v>0</v>
      </c>
      <c r="J247" s="9">
        <v>0</v>
      </c>
      <c r="K247" s="8">
        <v>0</v>
      </c>
      <c r="L247" s="5">
        <v>0</v>
      </c>
      <c r="M247" s="5">
        <v>0</v>
      </c>
      <c r="N247" s="9">
        <v>0</v>
      </c>
      <c r="O247" s="8">
        <v>9</v>
      </c>
      <c r="P247" s="5">
        <v>120</v>
      </c>
      <c r="Q247" s="5">
        <v>0</v>
      </c>
      <c r="R247" s="9">
        <v>0</v>
      </c>
      <c r="S247" s="8">
        <v>0</v>
      </c>
      <c r="T247" s="9">
        <v>0</v>
      </c>
    </row>
    <row r="248" spans="1:20" x14ac:dyDescent="0.2">
      <c r="A248" s="5" t="s">
        <v>280</v>
      </c>
      <c r="B248" s="9" t="s">
        <v>69</v>
      </c>
      <c r="C248" s="9" t="s">
        <v>684</v>
      </c>
      <c r="D248" s="7">
        <f t="shared" si="0"/>
        <v>17.7</v>
      </c>
      <c r="E248" s="8">
        <v>0</v>
      </c>
      <c r="F248" s="5">
        <v>0</v>
      </c>
      <c r="G248" s="5">
        <v>0</v>
      </c>
      <c r="H248" s="5">
        <v>0</v>
      </c>
      <c r="I248" s="5">
        <v>0</v>
      </c>
      <c r="J248" s="9">
        <v>0</v>
      </c>
      <c r="K248" s="8">
        <v>0</v>
      </c>
      <c r="L248" s="5">
        <v>0</v>
      </c>
      <c r="M248" s="5">
        <v>0</v>
      </c>
      <c r="N248" s="9">
        <v>0</v>
      </c>
      <c r="O248" s="8">
        <v>5</v>
      </c>
      <c r="P248" s="5">
        <v>47</v>
      </c>
      <c r="Q248" s="5">
        <v>1</v>
      </c>
      <c r="R248" s="9">
        <v>1</v>
      </c>
      <c r="S248" s="8">
        <v>0</v>
      </c>
      <c r="T248" s="9">
        <v>0</v>
      </c>
    </row>
    <row r="249" spans="1:20" x14ac:dyDescent="0.2">
      <c r="A249" s="5" t="s">
        <v>273</v>
      </c>
      <c r="B249" s="9" t="s">
        <v>69</v>
      </c>
      <c r="C249" s="9" t="s">
        <v>693</v>
      </c>
      <c r="D249" s="7">
        <f t="shared" si="0"/>
        <v>16</v>
      </c>
      <c r="E249" s="8">
        <v>0</v>
      </c>
      <c r="F249" s="5">
        <v>0</v>
      </c>
      <c r="G249" s="5">
        <v>0</v>
      </c>
      <c r="H249" s="5">
        <v>0</v>
      </c>
      <c r="I249" s="5">
        <v>0</v>
      </c>
      <c r="J249" s="9">
        <v>0</v>
      </c>
      <c r="K249" s="8">
        <v>0</v>
      </c>
      <c r="L249" s="5">
        <v>0</v>
      </c>
      <c r="M249" s="5">
        <v>0</v>
      </c>
      <c r="N249" s="9">
        <v>0</v>
      </c>
      <c r="O249" s="8">
        <v>5</v>
      </c>
      <c r="P249" s="5">
        <v>50</v>
      </c>
      <c r="Q249" s="5">
        <v>1</v>
      </c>
      <c r="R249" s="9">
        <v>0</v>
      </c>
      <c r="S249" s="8">
        <v>0</v>
      </c>
      <c r="T249" s="9">
        <v>0</v>
      </c>
    </row>
    <row r="250" spans="1:20" x14ac:dyDescent="0.2">
      <c r="A250" s="5" t="s">
        <v>297</v>
      </c>
      <c r="B250" s="9" t="s">
        <v>69</v>
      </c>
      <c r="C250" s="9" t="s">
        <v>689</v>
      </c>
      <c r="D250" s="7">
        <f t="shared" si="0"/>
        <v>14.3</v>
      </c>
      <c r="E250" s="8">
        <v>0</v>
      </c>
      <c r="F250" s="5">
        <v>0</v>
      </c>
      <c r="G250" s="5">
        <v>0</v>
      </c>
      <c r="H250" s="5">
        <v>0</v>
      </c>
      <c r="I250" s="5">
        <v>0</v>
      </c>
      <c r="J250" s="9">
        <v>0</v>
      </c>
      <c r="K250" s="8">
        <v>0</v>
      </c>
      <c r="L250" s="5">
        <v>0</v>
      </c>
      <c r="M250" s="5">
        <v>0</v>
      </c>
      <c r="N250" s="9">
        <v>0</v>
      </c>
      <c r="O250" s="8">
        <v>4</v>
      </c>
      <c r="P250" s="5">
        <v>43</v>
      </c>
      <c r="Q250" s="5">
        <v>1</v>
      </c>
      <c r="R250" s="9">
        <v>0</v>
      </c>
      <c r="S250" s="8">
        <v>0</v>
      </c>
      <c r="T250" s="9">
        <v>0</v>
      </c>
    </row>
    <row r="251" spans="1:20" x14ac:dyDescent="0.2">
      <c r="A251" s="5" t="s">
        <v>343</v>
      </c>
      <c r="B251" s="9" t="s">
        <v>69</v>
      </c>
      <c r="C251" s="9" t="s">
        <v>686</v>
      </c>
      <c r="D251" s="7">
        <f t="shared" si="0"/>
        <v>15.1</v>
      </c>
      <c r="E251" s="8">
        <v>0</v>
      </c>
      <c r="F251" s="5">
        <v>0</v>
      </c>
      <c r="G251" s="5">
        <v>0</v>
      </c>
      <c r="H251" s="5">
        <v>0</v>
      </c>
      <c r="I251" s="5">
        <v>0</v>
      </c>
      <c r="J251" s="9">
        <v>0</v>
      </c>
      <c r="K251" s="8">
        <v>0</v>
      </c>
      <c r="L251" s="5">
        <v>0</v>
      </c>
      <c r="M251" s="5">
        <v>0</v>
      </c>
      <c r="N251" s="9">
        <v>0</v>
      </c>
      <c r="O251" s="8">
        <v>6</v>
      </c>
      <c r="P251" s="5">
        <v>91</v>
      </c>
      <c r="Q251" s="5">
        <v>0</v>
      </c>
      <c r="R251" s="9">
        <v>0</v>
      </c>
      <c r="S251" s="8">
        <v>0</v>
      </c>
      <c r="T251" s="9">
        <v>0</v>
      </c>
    </row>
    <row r="252" spans="1:20" x14ac:dyDescent="0.2">
      <c r="A252" s="5" t="s">
        <v>486</v>
      </c>
      <c r="B252" s="9" t="s">
        <v>69</v>
      </c>
      <c r="C252" s="9" t="s">
        <v>684</v>
      </c>
      <c r="D252" s="7">
        <f t="shared" si="0"/>
        <v>9.5</v>
      </c>
      <c r="E252" s="8">
        <v>0</v>
      </c>
      <c r="F252" s="5">
        <v>0</v>
      </c>
      <c r="G252" s="5">
        <v>0</v>
      </c>
      <c r="H252" s="5">
        <v>0</v>
      </c>
      <c r="I252" s="5">
        <v>0</v>
      </c>
      <c r="J252" s="9">
        <v>0</v>
      </c>
      <c r="K252" s="8">
        <v>0</v>
      </c>
      <c r="L252" s="5">
        <v>0</v>
      </c>
      <c r="M252" s="5">
        <v>0</v>
      </c>
      <c r="N252" s="9">
        <v>0</v>
      </c>
      <c r="O252" s="8">
        <v>2</v>
      </c>
      <c r="P252" s="5">
        <v>15</v>
      </c>
      <c r="Q252" s="5">
        <v>1</v>
      </c>
      <c r="R252" s="9">
        <v>0</v>
      </c>
      <c r="S252" s="8">
        <v>0</v>
      </c>
      <c r="T252" s="9">
        <v>0</v>
      </c>
    </row>
    <row r="253" spans="1:20" x14ac:dyDescent="0.2">
      <c r="A253" s="5" t="s">
        <v>446</v>
      </c>
      <c r="B253" s="9" t="s">
        <v>69</v>
      </c>
      <c r="C253" s="9" t="s">
        <v>690</v>
      </c>
      <c r="D253" s="7">
        <f t="shared" si="0"/>
        <v>8.1</v>
      </c>
      <c r="E253" s="8">
        <v>0</v>
      </c>
      <c r="F253" s="5">
        <v>0</v>
      </c>
      <c r="G253" s="5">
        <v>0</v>
      </c>
      <c r="H253" s="5">
        <v>0</v>
      </c>
      <c r="I253" s="5">
        <v>0</v>
      </c>
      <c r="J253" s="9">
        <v>0</v>
      </c>
      <c r="K253" s="8">
        <v>0</v>
      </c>
      <c r="L253" s="5">
        <v>0</v>
      </c>
      <c r="M253" s="5">
        <v>0</v>
      </c>
      <c r="N253" s="9">
        <v>0</v>
      </c>
      <c r="O253" s="8">
        <v>1</v>
      </c>
      <c r="P253" s="5">
        <v>11</v>
      </c>
      <c r="Q253" s="5">
        <v>1</v>
      </c>
      <c r="R253" s="9">
        <v>0</v>
      </c>
      <c r="S253" s="8">
        <v>0</v>
      </c>
      <c r="T253" s="9">
        <v>0</v>
      </c>
    </row>
    <row r="254" spans="1:20" x14ac:dyDescent="0.2">
      <c r="A254" s="5" t="s">
        <v>299</v>
      </c>
      <c r="B254" s="9" t="s">
        <v>69</v>
      </c>
      <c r="C254" s="9" t="s">
        <v>685</v>
      </c>
      <c r="D254" s="7">
        <f t="shared" si="0"/>
        <v>13</v>
      </c>
      <c r="E254" s="8">
        <v>0</v>
      </c>
      <c r="F254" s="5">
        <v>0</v>
      </c>
      <c r="G254" s="5">
        <v>0</v>
      </c>
      <c r="H254" s="5">
        <v>0</v>
      </c>
      <c r="I254" s="5">
        <v>0</v>
      </c>
      <c r="J254" s="9">
        <v>0</v>
      </c>
      <c r="K254" s="8">
        <v>0</v>
      </c>
      <c r="L254" s="5">
        <v>0</v>
      </c>
      <c r="M254" s="5">
        <v>0</v>
      </c>
      <c r="N254" s="9">
        <v>0</v>
      </c>
      <c r="O254" s="8">
        <v>7</v>
      </c>
      <c r="P254" s="5">
        <v>60</v>
      </c>
      <c r="Q254" s="5">
        <v>0</v>
      </c>
      <c r="R254" s="9">
        <v>0</v>
      </c>
      <c r="S254" s="8">
        <v>0</v>
      </c>
      <c r="T254" s="9">
        <v>0</v>
      </c>
    </row>
    <row r="255" spans="1:20" x14ac:dyDescent="0.2">
      <c r="A255" s="5" t="s">
        <v>283</v>
      </c>
      <c r="B255" s="9" t="s">
        <v>69</v>
      </c>
      <c r="C255" s="9" t="s">
        <v>687</v>
      </c>
      <c r="D255" s="7">
        <f t="shared" si="0"/>
        <v>7.8</v>
      </c>
      <c r="E255" s="8">
        <v>0</v>
      </c>
      <c r="F255" s="5">
        <v>0</v>
      </c>
      <c r="G255" s="5">
        <v>0</v>
      </c>
      <c r="H255" s="5">
        <v>0</v>
      </c>
      <c r="I255" s="5">
        <v>0</v>
      </c>
      <c r="J255" s="9">
        <v>0</v>
      </c>
      <c r="K255" s="8">
        <v>0</v>
      </c>
      <c r="L255" s="5">
        <v>0</v>
      </c>
      <c r="M255" s="5">
        <v>0</v>
      </c>
      <c r="N255" s="9">
        <v>0</v>
      </c>
      <c r="O255" s="8">
        <v>1</v>
      </c>
      <c r="P255" s="5">
        <v>8</v>
      </c>
      <c r="Q255" s="5">
        <v>1</v>
      </c>
      <c r="R255" s="9">
        <v>0</v>
      </c>
      <c r="S255" s="8">
        <v>0</v>
      </c>
      <c r="T255" s="9">
        <v>0</v>
      </c>
    </row>
    <row r="256" spans="1:20" x14ac:dyDescent="0.2">
      <c r="A256" s="5" t="s">
        <v>278</v>
      </c>
      <c r="B256" s="9" t="s">
        <v>69</v>
      </c>
      <c r="C256" s="9" t="s">
        <v>687</v>
      </c>
      <c r="D256" s="7">
        <f t="shared" si="0"/>
        <v>5.2</v>
      </c>
      <c r="E256" s="8">
        <v>0</v>
      </c>
      <c r="F256" s="5">
        <v>0</v>
      </c>
      <c r="G256" s="5">
        <v>0</v>
      </c>
      <c r="H256" s="5">
        <v>0</v>
      </c>
      <c r="I256" s="5">
        <v>0</v>
      </c>
      <c r="J256" s="9">
        <v>0</v>
      </c>
      <c r="K256" s="8">
        <v>1</v>
      </c>
      <c r="L256" s="5">
        <v>0</v>
      </c>
      <c r="M256" s="5">
        <v>0</v>
      </c>
      <c r="N256" s="9">
        <v>0</v>
      </c>
      <c r="O256" s="8">
        <v>1</v>
      </c>
      <c r="P256" s="5">
        <v>2</v>
      </c>
      <c r="Q256" s="5">
        <v>1</v>
      </c>
      <c r="R256" s="9">
        <v>0</v>
      </c>
      <c r="S256" s="8">
        <v>1</v>
      </c>
      <c r="T256" s="9">
        <v>0</v>
      </c>
    </row>
    <row r="257" spans="1:20" x14ac:dyDescent="0.2">
      <c r="A257" s="5" t="s">
        <v>449</v>
      </c>
      <c r="B257" s="9" t="s">
        <v>69</v>
      </c>
      <c r="C257" s="9" t="s">
        <v>683</v>
      </c>
      <c r="D257" s="7">
        <f t="shared" si="0"/>
        <v>8.5</v>
      </c>
      <c r="E257" s="8">
        <v>0</v>
      </c>
      <c r="F257" s="5">
        <v>0</v>
      </c>
      <c r="G257" s="5">
        <v>0</v>
      </c>
      <c r="H257" s="5">
        <v>0</v>
      </c>
      <c r="I257" s="5">
        <v>0</v>
      </c>
      <c r="J257" s="9">
        <v>0</v>
      </c>
      <c r="K257" s="8">
        <v>0</v>
      </c>
      <c r="L257" s="5">
        <v>0</v>
      </c>
      <c r="M257" s="5">
        <v>0</v>
      </c>
      <c r="N257" s="9">
        <v>0</v>
      </c>
      <c r="O257" s="8">
        <v>3</v>
      </c>
      <c r="P257" s="5">
        <v>55</v>
      </c>
      <c r="Q257" s="5">
        <v>0</v>
      </c>
      <c r="R257" s="9">
        <v>0</v>
      </c>
      <c r="S257" s="8">
        <v>0</v>
      </c>
      <c r="T257" s="9">
        <v>0</v>
      </c>
    </row>
    <row r="258" spans="1:20" x14ac:dyDescent="0.2">
      <c r="A258" s="5" t="s">
        <v>300</v>
      </c>
      <c r="B258" s="9" t="s">
        <v>69</v>
      </c>
      <c r="C258" s="9" t="s">
        <v>687</v>
      </c>
      <c r="D258" s="7">
        <f t="shared" ref="D258:D300" si="1">0.04*G258+4*H258-2*I258+2*J258+0.1*L258+6*M258+2*N258+1*O258+0.1*P258+6*Q258+2*R258-2*S258</f>
        <v>11.9</v>
      </c>
      <c r="E258" s="8">
        <v>0</v>
      </c>
      <c r="F258" s="5">
        <v>0</v>
      </c>
      <c r="G258" s="5">
        <v>0</v>
      </c>
      <c r="H258" s="5">
        <v>0</v>
      </c>
      <c r="I258" s="5">
        <v>0</v>
      </c>
      <c r="J258" s="9">
        <v>0</v>
      </c>
      <c r="K258" s="8">
        <v>0</v>
      </c>
      <c r="L258" s="5">
        <v>0</v>
      </c>
      <c r="M258" s="5">
        <v>0</v>
      </c>
      <c r="N258" s="9">
        <v>0</v>
      </c>
      <c r="O258" s="8">
        <v>6</v>
      </c>
      <c r="P258" s="5">
        <v>59</v>
      </c>
      <c r="Q258" s="5">
        <v>0</v>
      </c>
      <c r="R258" s="9">
        <v>0</v>
      </c>
      <c r="S258" s="8">
        <v>0</v>
      </c>
      <c r="T258" s="9">
        <v>0</v>
      </c>
    </row>
    <row r="259" spans="1:20" x14ac:dyDescent="0.2">
      <c r="A259" s="5" t="s">
        <v>276</v>
      </c>
      <c r="B259" s="9" t="s">
        <v>69</v>
      </c>
      <c r="C259" s="9" t="s">
        <v>683</v>
      </c>
      <c r="D259" s="7">
        <f t="shared" si="1"/>
        <v>9.9</v>
      </c>
      <c r="E259" s="8">
        <v>0</v>
      </c>
      <c r="F259" s="5">
        <v>0</v>
      </c>
      <c r="G259" s="5">
        <v>0</v>
      </c>
      <c r="H259" s="5">
        <v>0</v>
      </c>
      <c r="I259" s="5">
        <v>0</v>
      </c>
      <c r="J259" s="9">
        <v>0</v>
      </c>
      <c r="K259" s="8">
        <v>0</v>
      </c>
      <c r="L259" s="5">
        <v>0</v>
      </c>
      <c r="M259" s="5">
        <v>0</v>
      </c>
      <c r="N259" s="9">
        <v>0</v>
      </c>
      <c r="O259" s="8">
        <v>5</v>
      </c>
      <c r="P259" s="5">
        <v>49</v>
      </c>
      <c r="Q259" s="5">
        <v>0</v>
      </c>
      <c r="R259" s="9">
        <v>0</v>
      </c>
      <c r="S259" s="8">
        <v>0</v>
      </c>
      <c r="T259" s="9">
        <v>0</v>
      </c>
    </row>
    <row r="260" spans="1:20" x14ac:dyDescent="0.2">
      <c r="A260" s="5" t="s">
        <v>290</v>
      </c>
      <c r="B260" s="9" t="s">
        <v>69</v>
      </c>
      <c r="C260" s="9" t="s">
        <v>694</v>
      </c>
      <c r="D260" s="7">
        <f t="shared" si="1"/>
        <v>8.5</v>
      </c>
      <c r="E260" s="8">
        <v>0</v>
      </c>
      <c r="F260" s="5">
        <v>0</v>
      </c>
      <c r="G260" s="5">
        <v>0</v>
      </c>
      <c r="H260" s="5">
        <v>0</v>
      </c>
      <c r="I260" s="5">
        <v>0</v>
      </c>
      <c r="J260" s="9">
        <v>0</v>
      </c>
      <c r="K260" s="8">
        <v>0</v>
      </c>
      <c r="L260" s="5">
        <v>0</v>
      </c>
      <c r="M260" s="5">
        <v>0</v>
      </c>
      <c r="N260" s="9">
        <v>0</v>
      </c>
      <c r="O260" s="8">
        <v>4</v>
      </c>
      <c r="P260" s="5">
        <v>45</v>
      </c>
      <c r="Q260" s="5">
        <v>0</v>
      </c>
      <c r="R260" s="9">
        <v>0</v>
      </c>
      <c r="S260" s="8">
        <v>0</v>
      </c>
      <c r="T260" s="9">
        <v>0</v>
      </c>
    </row>
    <row r="261" spans="1:20" x14ac:dyDescent="0.2">
      <c r="A261" s="5" t="s">
        <v>277</v>
      </c>
      <c r="B261" s="9" t="s">
        <v>69</v>
      </c>
      <c r="C261" s="9" t="s">
        <v>693</v>
      </c>
      <c r="D261" s="7">
        <f t="shared" si="1"/>
        <v>11.3</v>
      </c>
      <c r="E261" s="8">
        <v>0</v>
      </c>
      <c r="F261" s="5">
        <v>0</v>
      </c>
      <c r="G261" s="5">
        <v>0</v>
      </c>
      <c r="H261" s="5">
        <v>0</v>
      </c>
      <c r="I261" s="5">
        <v>0</v>
      </c>
      <c r="J261" s="9">
        <v>0</v>
      </c>
      <c r="K261" s="8">
        <v>0</v>
      </c>
      <c r="L261" s="5">
        <v>0</v>
      </c>
      <c r="M261" s="5">
        <v>0</v>
      </c>
      <c r="N261" s="9">
        <v>0</v>
      </c>
      <c r="O261" s="8">
        <v>7</v>
      </c>
      <c r="P261" s="5">
        <v>43</v>
      </c>
      <c r="Q261" s="5">
        <v>0</v>
      </c>
      <c r="R261" s="9">
        <v>0</v>
      </c>
      <c r="S261" s="8">
        <v>0</v>
      </c>
      <c r="T261" s="9">
        <v>0</v>
      </c>
    </row>
    <row r="262" spans="1:20" x14ac:dyDescent="0.2">
      <c r="A262" s="5" t="s">
        <v>317</v>
      </c>
      <c r="B262" s="9" t="s">
        <v>69</v>
      </c>
      <c r="C262" s="9" t="s">
        <v>689</v>
      </c>
      <c r="D262" s="7">
        <f t="shared" si="1"/>
        <v>8</v>
      </c>
      <c r="E262" s="8">
        <v>0</v>
      </c>
      <c r="F262" s="5">
        <v>0</v>
      </c>
      <c r="G262" s="5">
        <v>0</v>
      </c>
      <c r="H262" s="5">
        <v>0</v>
      </c>
      <c r="I262" s="5">
        <v>0</v>
      </c>
      <c r="J262" s="9">
        <v>0</v>
      </c>
      <c r="K262" s="8">
        <v>0</v>
      </c>
      <c r="L262" s="5">
        <v>0</v>
      </c>
      <c r="M262" s="5">
        <v>0</v>
      </c>
      <c r="N262" s="9">
        <v>0</v>
      </c>
      <c r="O262" s="8">
        <v>4</v>
      </c>
      <c r="P262" s="5">
        <v>40</v>
      </c>
      <c r="Q262" s="5">
        <v>0</v>
      </c>
      <c r="R262" s="9">
        <v>0</v>
      </c>
      <c r="S262" s="8">
        <v>0</v>
      </c>
      <c r="T262" s="9">
        <v>0</v>
      </c>
    </row>
    <row r="263" spans="1:20" x14ac:dyDescent="0.2">
      <c r="A263" s="5" t="s">
        <v>352</v>
      </c>
      <c r="B263" s="9" t="s">
        <v>69</v>
      </c>
      <c r="C263" s="9" t="s">
        <v>696</v>
      </c>
      <c r="D263" s="7">
        <f t="shared" si="1"/>
        <v>8.5</v>
      </c>
      <c r="E263" s="8">
        <v>0</v>
      </c>
      <c r="F263" s="5">
        <v>0</v>
      </c>
      <c r="G263" s="5">
        <v>0</v>
      </c>
      <c r="H263" s="5">
        <v>0</v>
      </c>
      <c r="I263" s="5">
        <v>0</v>
      </c>
      <c r="J263" s="9">
        <v>0</v>
      </c>
      <c r="K263" s="8">
        <v>0</v>
      </c>
      <c r="L263" s="5">
        <v>0</v>
      </c>
      <c r="M263" s="5">
        <v>0</v>
      </c>
      <c r="N263" s="9">
        <v>0</v>
      </c>
      <c r="O263" s="8">
        <v>4</v>
      </c>
      <c r="P263" s="5">
        <v>45</v>
      </c>
      <c r="Q263" s="5">
        <v>0</v>
      </c>
      <c r="R263" s="9">
        <v>0</v>
      </c>
      <c r="S263" s="8">
        <v>0</v>
      </c>
      <c r="T263" s="9">
        <v>0</v>
      </c>
    </row>
    <row r="264" spans="1:20" x14ac:dyDescent="0.2">
      <c r="A264" s="5" t="s">
        <v>309</v>
      </c>
      <c r="B264" s="9" t="s">
        <v>69</v>
      </c>
      <c r="C264" s="9" t="s">
        <v>688</v>
      </c>
      <c r="D264" s="7">
        <f t="shared" si="1"/>
        <v>8.5</v>
      </c>
      <c r="E264" s="8">
        <v>0</v>
      </c>
      <c r="F264" s="5">
        <v>0</v>
      </c>
      <c r="G264" s="5">
        <v>0</v>
      </c>
      <c r="H264" s="5">
        <v>0</v>
      </c>
      <c r="I264" s="5">
        <v>0</v>
      </c>
      <c r="J264" s="9">
        <v>0</v>
      </c>
      <c r="K264" s="8">
        <v>0</v>
      </c>
      <c r="L264" s="5">
        <v>0</v>
      </c>
      <c r="M264" s="5">
        <v>0</v>
      </c>
      <c r="N264" s="9">
        <v>0</v>
      </c>
      <c r="O264" s="8">
        <v>4</v>
      </c>
      <c r="P264" s="5">
        <v>45</v>
      </c>
      <c r="Q264" s="5">
        <v>0</v>
      </c>
      <c r="R264" s="9">
        <v>0</v>
      </c>
      <c r="S264" s="8">
        <v>0</v>
      </c>
      <c r="T264" s="9">
        <v>0</v>
      </c>
    </row>
    <row r="265" spans="1:20" x14ac:dyDescent="0.2">
      <c r="A265" s="5" t="s">
        <v>372</v>
      </c>
      <c r="B265" s="9" t="s">
        <v>69</v>
      </c>
      <c r="C265" s="9" t="s">
        <v>688</v>
      </c>
      <c r="D265" s="7">
        <f t="shared" si="1"/>
        <v>4</v>
      </c>
      <c r="E265" s="8">
        <v>0</v>
      </c>
      <c r="F265" s="5">
        <v>0</v>
      </c>
      <c r="G265" s="5">
        <v>0</v>
      </c>
      <c r="H265" s="5">
        <v>0</v>
      </c>
      <c r="I265" s="5">
        <v>0</v>
      </c>
      <c r="J265" s="9">
        <v>0</v>
      </c>
      <c r="K265" s="8">
        <v>0</v>
      </c>
      <c r="L265" s="5">
        <v>0</v>
      </c>
      <c r="M265" s="5">
        <v>0</v>
      </c>
      <c r="N265" s="9">
        <v>0</v>
      </c>
      <c r="O265" s="8">
        <v>1</v>
      </c>
      <c r="P265" s="5">
        <v>30</v>
      </c>
      <c r="Q265" s="5">
        <v>0</v>
      </c>
      <c r="R265" s="9">
        <v>0</v>
      </c>
      <c r="S265" s="8">
        <v>0</v>
      </c>
      <c r="T265" s="9">
        <v>0</v>
      </c>
    </row>
    <row r="266" spans="1:20" x14ac:dyDescent="0.2">
      <c r="A266" s="5" t="s">
        <v>316</v>
      </c>
      <c r="B266" s="9" t="s">
        <v>69</v>
      </c>
      <c r="C266" s="9" t="s">
        <v>695</v>
      </c>
      <c r="D266" s="7">
        <f t="shared" si="1"/>
        <v>7.3000000000000007</v>
      </c>
      <c r="E266" s="8">
        <v>0</v>
      </c>
      <c r="F266" s="5">
        <v>0</v>
      </c>
      <c r="G266" s="5">
        <v>0</v>
      </c>
      <c r="H266" s="5">
        <v>0</v>
      </c>
      <c r="I266" s="5">
        <v>0</v>
      </c>
      <c r="J266" s="9">
        <v>0</v>
      </c>
      <c r="K266" s="8">
        <v>0</v>
      </c>
      <c r="L266" s="5">
        <v>0</v>
      </c>
      <c r="M266" s="5">
        <v>0</v>
      </c>
      <c r="N266" s="9">
        <v>0</v>
      </c>
      <c r="O266" s="8">
        <v>4</v>
      </c>
      <c r="P266" s="5">
        <v>33</v>
      </c>
      <c r="Q266" s="5">
        <v>0</v>
      </c>
      <c r="R266" s="9">
        <v>0</v>
      </c>
      <c r="S266" s="8">
        <v>0</v>
      </c>
      <c r="T266" s="9">
        <v>0</v>
      </c>
    </row>
    <row r="267" spans="1:20" x14ac:dyDescent="0.2">
      <c r="A267" s="5" t="s">
        <v>304</v>
      </c>
      <c r="B267" s="9" t="s">
        <v>69</v>
      </c>
      <c r="C267" s="9" t="s">
        <v>682</v>
      </c>
      <c r="D267" s="7">
        <f t="shared" si="1"/>
        <v>4.5</v>
      </c>
      <c r="E267" s="8">
        <v>0</v>
      </c>
      <c r="F267" s="5">
        <v>0</v>
      </c>
      <c r="G267" s="5">
        <v>0</v>
      </c>
      <c r="H267" s="5">
        <v>0</v>
      </c>
      <c r="I267" s="5">
        <v>0</v>
      </c>
      <c r="J267" s="9">
        <v>0</v>
      </c>
      <c r="K267" s="8">
        <v>0</v>
      </c>
      <c r="L267" s="5">
        <v>0</v>
      </c>
      <c r="M267" s="5">
        <v>0</v>
      </c>
      <c r="N267" s="9">
        <v>0</v>
      </c>
      <c r="O267" s="8">
        <v>1</v>
      </c>
      <c r="P267" s="5">
        <v>35</v>
      </c>
      <c r="Q267" s="5">
        <v>0</v>
      </c>
      <c r="R267" s="9">
        <v>0</v>
      </c>
      <c r="S267" s="8">
        <v>0</v>
      </c>
      <c r="T267" s="9">
        <v>0</v>
      </c>
    </row>
    <row r="268" spans="1:20" x14ac:dyDescent="0.2">
      <c r="A268" s="5" t="s">
        <v>289</v>
      </c>
      <c r="B268" s="9" t="s">
        <v>69</v>
      </c>
      <c r="C268" s="9" t="s">
        <v>686</v>
      </c>
      <c r="D268" s="7">
        <f t="shared" si="1"/>
        <v>6</v>
      </c>
      <c r="E268" s="8">
        <v>0</v>
      </c>
      <c r="F268" s="5">
        <v>0</v>
      </c>
      <c r="G268" s="5">
        <v>0</v>
      </c>
      <c r="H268" s="5">
        <v>0</v>
      </c>
      <c r="I268" s="5">
        <v>0</v>
      </c>
      <c r="J268" s="9">
        <v>0</v>
      </c>
      <c r="K268" s="8">
        <v>0</v>
      </c>
      <c r="L268" s="5">
        <v>0</v>
      </c>
      <c r="M268" s="5">
        <v>0</v>
      </c>
      <c r="N268" s="9">
        <v>0</v>
      </c>
      <c r="O268" s="8">
        <v>3</v>
      </c>
      <c r="P268" s="5">
        <v>30</v>
      </c>
      <c r="Q268" s="5">
        <v>0</v>
      </c>
      <c r="R268" s="9">
        <v>0</v>
      </c>
      <c r="S268" s="8">
        <v>0</v>
      </c>
      <c r="T268" s="9">
        <v>0</v>
      </c>
    </row>
    <row r="269" spans="1:20" x14ac:dyDescent="0.2">
      <c r="A269" s="5" t="s">
        <v>291</v>
      </c>
      <c r="B269" s="9" t="s">
        <v>69</v>
      </c>
      <c r="C269" s="9" t="s">
        <v>681</v>
      </c>
      <c r="D269" s="7">
        <f t="shared" si="1"/>
        <v>8.8000000000000007</v>
      </c>
      <c r="E269" s="8">
        <v>0</v>
      </c>
      <c r="F269" s="5">
        <v>0</v>
      </c>
      <c r="G269" s="5">
        <v>0</v>
      </c>
      <c r="H269" s="5">
        <v>0</v>
      </c>
      <c r="I269" s="5">
        <v>0</v>
      </c>
      <c r="J269" s="9">
        <v>0</v>
      </c>
      <c r="K269" s="8">
        <v>0</v>
      </c>
      <c r="L269" s="5">
        <v>0</v>
      </c>
      <c r="M269" s="5">
        <v>0</v>
      </c>
      <c r="N269" s="9">
        <v>0</v>
      </c>
      <c r="O269" s="8">
        <v>5</v>
      </c>
      <c r="P269" s="5">
        <v>38</v>
      </c>
      <c r="Q269" s="5">
        <v>0</v>
      </c>
      <c r="R269" s="9">
        <v>0</v>
      </c>
      <c r="S269" s="8">
        <v>0</v>
      </c>
      <c r="T269" s="9">
        <v>0</v>
      </c>
    </row>
    <row r="270" spans="1:20" x14ac:dyDescent="0.2">
      <c r="A270" s="5" t="s">
        <v>303</v>
      </c>
      <c r="B270" s="9" t="s">
        <v>69</v>
      </c>
      <c r="C270" s="9" t="s">
        <v>692</v>
      </c>
      <c r="D270" s="7">
        <f t="shared" si="1"/>
        <v>3.1</v>
      </c>
      <c r="E270" s="8">
        <v>0</v>
      </c>
      <c r="F270" s="5">
        <v>0</v>
      </c>
      <c r="G270" s="5">
        <v>0</v>
      </c>
      <c r="H270" s="5">
        <v>0</v>
      </c>
      <c r="I270" s="5">
        <v>0</v>
      </c>
      <c r="J270" s="9">
        <v>0</v>
      </c>
      <c r="K270" s="8">
        <v>0</v>
      </c>
      <c r="L270" s="5">
        <v>0</v>
      </c>
      <c r="M270" s="5">
        <v>0</v>
      </c>
      <c r="N270" s="9">
        <v>0</v>
      </c>
      <c r="O270" s="8">
        <v>1</v>
      </c>
      <c r="P270" s="5">
        <v>21</v>
      </c>
      <c r="Q270" s="5">
        <v>0</v>
      </c>
      <c r="R270" s="9">
        <v>0</v>
      </c>
      <c r="S270" s="8">
        <v>0</v>
      </c>
      <c r="T270" s="9">
        <v>0</v>
      </c>
    </row>
    <row r="271" spans="1:20" x14ac:dyDescent="0.2">
      <c r="A271" s="5" t="s">
        <v>347</v>
      </c>
      <c r="B271" s="9" t="s">
        <v>69</v>
      </c>
      <c r="C271" s="9" t="s">
        <v>692</v>
      </c>
      <c r="D271" s="7">
        <f t="shared" si="1"/>
        <v>4.5</v>
      </c>
      <c r="E271" s="8">
        <v>0</v>
      </c>
      <c r="F271" s="5">
        <v>0</v>
      </c>
      <c r="G271" s="5">
        <v>0</v>
      </c>
      <c r="H271" s="5">
        <v>0</v>
      </c>
      <c r="I271" s="5">
        <v>0</v>
      </c>
      <c r="J271" s="9">
        <v>0</v>
      </c>
      <c r="K271" s="8">
        <v>0</v>
      </c>
      <c r="L271" s="5">
        <v>0</v>
      </c>
      <c r="M271" s="5">
        <v>0</v>
      </c>
      <c r="N271" s="9">
        <v>0</v>
      </c>
      <c r="O271" s="8">
        <v>2</v>
      </c>
      <c r="P271" s="5">
        <v>25</v>
      </c>
      <c r="Q271" s="5">
        <v>0</v>
      </c>
      <c r="R271" s="9">
        <v>0</v>
      </c>
      <c r="S271" s="8">
        <v>0</v>
      </c>
      <c r="T271" s="9">
        <v>0</v>
      </c>
    </row>
    <row r="272" spans="1:20" x14ac:dyDescent="0.2">
      <c r="A272" s="5" t="s">
        <v>583</v>
      </c>
      <c r="B272" s="9" t="s">
        <v>69</v>
      </c>
      <c r="C272" s="9" t="s">
        <v>685</v>
      </c>
      <c r="D272" s="7">
        <f t="shared" si="1"/>
        <v>3.6</v>
      </c>
      <c r="E272" s="8">
        <v>0</v>
      </c>
      <c r="F272" s="5">
        <v>0</v>
      </c>
      <c r="G272" s="5">
        <v>0</v>
      </c>
      <c r="H272" s="5">
        <v>0</v>
      </c>
      <c r="I272" s="5">
        <v>0</v>
      </c>
      <c r="J272" s="9">
        <v>0</v>
      </c>
      <c r="K272" s="8">
        <v>0</v>
      </c>
      <c r="L272" s="5">
        <v>0</v>
      </c>
      <c r="M272" s="5">
        <v>0</v>
      </c>
      <c r="N272" s="9">
        <v>0</v>
      </c>
      <c r="O272" s="8">
        <v>1</v>
      </c>
      <c r="P272" s="5">
        <v>26</v>
      </c>
      <c r="Q272" s="5">
        <v>0</v>
      </c>
      <c r="R272" s="9">
        <v>0</v>
      </c>
      <c r="S272" s="8">
        <v>0</v>
      </c>
      <c r="T272" s="9">
        <v>0</v>
      </c>
    </row>
    <row r="273" spans="1:20" x14ac:dyDescent="0.2">
      <c r="A273" s="5" t="s">
        <v>355</v>
      </c>
      <c r="B273" s="9" t="s">
        <v>69</v>
      </c>
      <c r="C273" s="9" t="s">
        <v>688</v>
      </c>
      <c r="D273" s="7">
        <f t="shared" si="1"/>
        <v>4.9000000000000004</v>
      </c>
      <c r="E273" s="8">
        <v>0</v>
      </c>
      <c r="F273" s="5">
        <v>0</v>
      </c>
      <c r="G273" s="5">
        <v>0</v>
      </c>
      <c r="H273" s="5">
        <v>0</v>
      </c>
      <c r="I273" s="5">
        <v>0</v>
      </c>
      <c r="J273" s="9">
        <v>0</v>
      </c>
      <c r="K273" s="8">
        <v>0</v>
      </c>
      <c r="L273" s="5">
        <v>0</v>
      </c>
      <c r="M273" s="5">
        <v>0</v>
      </c>
      <c r="N273" s="9">
        <v>0</v>
      </c>
      <c r="O273" s="8">
        <v>2</v>
      </c>
      <c r="P273" s="5">
        <v>29</v>
      </c>
      <c r="Q273" s="5">
        <v>0</v>
      </c>
      <c r="R273" s="9">
        <v>0</v>
      </c>
      <c r="S273" s="8">
        <v>0</v>
      </c>
      <c r="T273" s="9">
        <v>0</v>
      </c>
    </row>
    <row r="274" spans="1:20" x14ac:dyDescent="0.2">
      <c r="A274" s="5" t="s">
        <v>389</v>
      </c>
      <c r="B274" s="9" t="s">
        <v>69</v>
      </c>
      <c r="C274" s="9" t="s">
        <v>686</v>
      </c>
      <c r="D274" s="7">
        <f t="shared" si="1"/>
        <v>4.7</v>
      </c>
      <c r="E274" s="8">
        <v>0</v>
      </c>
      <c r="F274" s="5">
        <v>0</v>
      </c>
      <c r="G274" s="5">
        <v>0</v>
      </c>
      <c r="H274" s="5">
        <v>0</v>
      </c>
      <c r="I274" s="5">
        <v>0</v>
      </c>
      <c r="J274" s="9">
        <v>0</v>
      </c>
      <c r="K274" s="8">
        <v>0</v>
      </c>
      <c r="L274" s="5">
        <v>0</v>
      </c>
      <c r="M274" s="5">
        <v>0</v>
      </c>
      <c r="N274" s="9">
        <v>0</v>
      </c>
      <c r="O274" s="8">
        <v>2</v>
      </c>
      <c r="P274" s="5">
        <v>27</v>
      </c>
      <c r="Q274" s="5">
        <v>0</v>
      </c>
      <c r="R274" s="9">
        <v>0</v>
      </c>
      <c r="S274" s="8">
        <v>0</v>
      </c>
      <c r="T274" s="9">
        <v>0</v>
      </c>
    </row>
    <row r="275" spans="1:20" x14ac:dyDescent="0.2">
      <c r="A275" s="5" t="s">
        <v>293</v>
      </c>
      <c r="B275" s="9" t="s">
        <v>69</v>
      </c>
      <c r="C275" s="9" t="s">
        <v>694</v>
      </c>
      <c r="D275" s="7">
        <f t="shared" si="1"/>
        <v>4.2</v>
      </c>
      <c r="E275" s="8">
        <v>0</v>
      </c>
      <c r="F275" s="5">
        <v>0</v>
      </c>
      <c r="G275" s="5">
        <v>0</v>
      </c>
      <c r="H275" s="5">
        <v>0</v>
      </c>
      <c r="I275" s="5">
        <v>0</v>
      </c>
      <c r="J275" s="9">
        <v>0</v>
      </c>
      <c r="K275" s="8">
        <v>0</v>
      </c>
      <c r="L275" s="5">
        <v>0</v>
      </c>
      <c r="M275" s="5">
        <v>0</v>
      </c>
      <c r="N275" s="9">
        <v>0</v>
      </c>
      <c r="O275" s="8">
        <v>2</v>
      </c>
      <c r="P275" s="5">
        <v>22</v>
      </c>
      <c r="Q275" s="5">
        <v>0</v>
      </c>
      <c r="R275" s="9">
        <v>0</v>
      </c>
      <c r="S275" s="8">
        <v>0</v>
      </c>
      <c r="T275" s="9">
        <v>0</v>
      </c>
    </row>
    <row r="276" spans="1:20" x14ac:dyDescent="0.2">
      <c r="A276" s="5" t="s">
        <v>314</v>
      </c>
      <c r="B276" s="9" t="s">
        <v>69</v>
      </c>
      <c r="C276" s="9" t="s">
        <v>682</v>
      </c>
      <c r="D276" s="7">
        <f t="shared" si="1"/>
        <v>3.9000000000000004</v>
      </c>
      <c r="E276" s="8">
        <v>0</v>
      </c>
      <c r="F276" s="5">
        <v>0</v>
      </c>
      <c r="G276" s="5">
        <v>0</v>
      </c>
      <c r="H276" s="5">
        <v>0</v>
      </c>
      <c r="I276" s="5">
        <v>0</v>
      </c>
      <c r="J276" s="9">
        <v>0</v>
      </c>
      <c r="K276" s="8">
        <v>0</v>
      </c>
      <c r="L276" s="5">
        <v>0</v>
      </c>
      <c r="M276" s="5">
        <v>0</v>
      </c>
      <c r="N276" s="9">
        <v>0</v>
      </c>
      <c r="O276" s="8">
        <v>1</v>
      </c>
      <c r="P276" s="5">
        <v>29</v>
      </c>
      <c r="Q276" s="5">
        <v>0</v>
      </c>
      <c r="R276" s="9">
        <v>0</v>
      </c>
      <c r="S276" s="8">
        <v>0</v>
      </c>
      <c r="T276" s="9">
        <v>0</v>
      </c>
    </row>
    <row r="277" spans="1:20" x14ac:dyDescent="0.2">
      <c r="A277" s="5" t="s">
        <v>556</v>
      </c>
      <c r="B277" s="9" t="s">
        <v>69</v>
      </c>
      <c r="C277" s="9" t="s">
        <v>688</v>
      </c>
      <c r="D277" s="7">
        <f t="shared" si="1"/>
        <v>2.2000000000000002</v>
      </c>
      <c r="E277" s="8">
        <v>0</v>
      </c>
      <c r="F277" s="5">
        <v>0</v>
      </c>
      <c r="G277" s="5">
        <v>0</v>
      </c>
      <c r="H277" s="5">
        <v>0</v>
      </c>
      <c r="I277" s="5">
        <v>0</v>
      </c>
      <c r="J277" s="9">
        <v>0</v>
      </c>
      <c r="K277" s="8">
        <v>0</v>
      </c>
      <c r="L277" s="5">
        <v>0</v>
      </c>
      <c r="M277" s="5">
        <v>0</v>
      </c>
      <c r="N277" s="9">
        <v>0</v>
      </c>
      <c r="O277" s="8">
        <v>1</v>
      </c>
      <c r="P277" s="5">
        <v>12</v>
      </c>
      <c r="Q277" s="5">
        <v>0</v>
      </c>
      <c r="R277" s="9">
        <v>0</v>
      </c>
      <c r="S277" s="8">
        <v>0</v>
      </c>
      <c r="T277" s="9">
        <v>0</v>
      </c>
    </row>
    <row r="278" spans="1:20" x14ac:dyDescent="0.2">
      <c r="A278" s="5" t="s">
        <v>305</v>
      </c>
      <c r="B278" s="9" t="s">
        <v>69</v>
      </c>
      <c r="C278" s="9" t="s">
        <v>690</v>
      </c>
      <c r="D278" s="7">
        <f t="shared" si="1"/>
        <v>3.1</v>
      </c>
      <c r="E278" s="8">
        <v>0</v>
      </c>
      <c r="F278" s="5">
        <v>0</v>
      </c>
      <c r="G278" s="5">
        <v>0</v>
      </c>
      <c r="H278" s="5">
        <v>0</v>
      </c>
      <c r="I278" s="5">
        <v>0</v>
      </c>
      <c r="J278" s="9">
        <v>0</v>
      </c>
      <c r="K278" s="8">
        <v>0</v>
      </c>
      <c r="L278" s="5">
        <v>0</v>
      </c>
      <c r="M278" s="5">
        <v>0</v>
      </c>
      <c r="N278" s="9">
        <v>0</v>
      </c>
      <c r="O278" s="8">
        <v>2</v>
      </c>
      <c r="P278" s="5">
        <v>11</v>
      </c>
      <c r="Q278" s="5">
        <v>0</v>
      </c>
      <c r="R278" s="9">
        <v>0</v>
      </c>
      <c r="S278" s="8">
        <v>0</v>
      </c>
      <c r="T278" s="9">
        <v>0</v>
      </c>
    </row>
    <row r="279" spans="1:20" x14ac:dyDescent="0.2">
      <c r="A279" s="5" t="s">
        <v>306</v>
      </c>
      <c r="B279" s="9" t="s">
        <v>69</v>
      </c>
      <c r="C279" s="9" t="s">
        <v>686</v>
      </c>
      <c r="D279" s="7">
        <f t="shared" si="1"/>
        <v>2.4000000000000004</v>
      </c>
      <c r="E279" s="8">
        <v>0</v>
      </c>
      <c r="F279" s="5">
        <v>0</v>
      </c>
      <c r="G279" s="5">
        <v>0</v>
      </c>
      <c r="H279" s="5">
        <v>0</v>
      </c>
      <c r="I279" s="5">
        <v>0</v>
      </c>
      <c r="J279" s="9">
        <v>0</v>
      </c>
      <c r="K279" s="8">
        <v>0</v>
      </c>
      <c r="L279" s="5">
        <v>0</v>
      </c>
      <c r="M279" s="5">
        <v>0</v>
      </c>
      <c r="N279" s="9">
        <v>0</v>
      </c>
      <c r="O279" s="8">
        <v>1</v>
      </c>
      <c r="P279" s="5">
        <v>14</v>
      </c>
      <c r="Q279" s="5">
        <v>0</v>
      </c>
      <c r="R279" s="9">
        <v>0</v>
      </c>
      <c r="S279" s="8">
        <v>0</v>
      </c>
      <c r="T279" s="9">
        <v>0</v>
      </c>
    </row>
    <row r="280" spans="1:20" x14ac:dyDescent="0.2">
      <c r="A280" s="5" t="s">
        <v>429</v>
      </c>
      <c r="B280" s="9" t="s">
        <v>69</v>
      </c>
      <c r="C280" s="9" t="s">
        <v>690</v>
      </c>
      <c r="D280" s="7">
        <f t="shared" si="1"/>
        <v>5.8</v>
      </c>
      <c r="E280" s="8">
        <v>0</v>
      </c>
      <c r="F280" s="5">
        <v>0</v>
      </c>
      <c r="G280" s="5">
        <v>0</v>
      </c>
      <c r="H280" s="5">
        <v>0</v>
      </c>
      <c r="I280" s="5">
        <v>0</v>
      </c>
      <c r="J280" s="9">
        <v>0</v>
      </c>
      <c r="K280" s="8">
        <v>0</v>
      </c>
      <c r="L280" s="5">
        <v>0</v>
      </c>
      <c r="M280" s="5">
        <v>0</v>
      </c>
      <c r="N280" s="9">
        <v>0</v>
      </c>
      <c r="O280" s="8">
        <v>4</v>
      </c>
      <c r="P280" s="5">
        <v>18</v>
      </c>
      <c r="Q280" s="5">
        <v>0</v>
      </c>
      <c r="R280" s="9">
        <v>0</v>
      </c>
      <c r="S280" s="8">
        <v>0</v>
      </c>
      <c r="T280" s="9">
        <v>0</v>
      </c>
    </row>
    <row r="281" spans="1:20" x14ac:dyDescent="0.2">
      <c r="A281" s="5" t="s">
        <v>298</v>
      </c>
      <c r="B281" s="9" t="s">
        <v>69</v>
      </c>
      <c r="C281" s="9" t="s">
        <v>692</v>
      </c>
      <c r="D281" s="7">
        <f t="shared" si="1"/>
        <v>4.9000000000000004</v>
      </c>
      <c r="E281" s="8">
        <v>0</v>
      </c>
      <c r="F281" s="5">
        <v>0</v>
      </c>
      <c r="G281" s="5">
        <v>0</v>
      </c>
      <c r="H281" s="5">
        <v>0</v>
      </c>
      <c r="I281" s="5">
        <v>0</v>
      </c>
      <c r="J281" s="9">
        <v>0</v>
      </c>
      <c r="K281" s="8">
        <v>0</v>
      </c>
      <c r="L281" s="5">
        <v>0</v>
      </c>
      <c r="M281" s="5">
        <v>0</v>
      </c>
      <c r="N281" s="9">
        <v>0</v>
      </c>
      <c r="O281" s="8">
        <v>3</v>
      </c>
      <c r="P281" s="5">
        <v>19</v>
      </c>
      <c r="Q281" s="5">
        <v>0</v>
      </c>
      <c r="R281" s="9">
        <v>0</v>
      </c>
      <c r="S281" s="8">
        <v>0</v>
      </c>
      <c r="T281" s="9">
        <v>0</v>
      </c>
    </row>
    <row r="282" spans="1:20" x14ac:dyDescent="0.2">
      <c r="A282" s="5" t="s">
        <v>477</v>
      </c>
      <c r="B282" s="9" t="s">
        <v>69</v>
      </c>
      <c r="C282" s="9" t="s">
        <v>695</v>
      </c>
      <c r="D282" s="7">
        <f t="shared" si="1"/>
        <v>3.8</v>
      </c>
      <c r="E282" s="8">
        <v>0</v>
      </c>
      <c r="F282" s="5">
        <v>0</v>
      </c>
      <c r="G282" s="5">
        <v>0</v>
      </c>
      <c r="H282" s="5">
        <v>0</v>
      </c>
      <c r="I282" s="5">
        <v>0</v>
      </c>
      <c r="J282" s="9">
        <v>0</v>
      </c>
      <c r="K282" s="8">
        <v>0</v>
      </c>
      <c r="L282" s="5">
        <v>0</v>
      </c>
      <c r="M282" s="5">
        <v>0</v>
      </c>
      <c r="N282" s="9">
        <v>0</v>
      </c>
      <c r="O282" s="8">
        <v>2</v>
      </c>
      <c r="P282" s="5">
        <v>18</v>
      </c>
      <c r="Q282" s="5">
        <v>0</v>
      </c>
      <c r="R282" s="9">
        <v>0</v>
      </c>
      <c r="S282" s="8">
        <v>0</v>
      </c>
      <c r="T282" s="9">
        <v>0</v>
      </c>
    </row>
    <row r="283" spans="1:20" x14ac:dyDescent="0.2">
      <c r="A283" s="5" t="s">
        <v>354</v>
      </c>
      <c r="B283" s="9" t="s">
        <v>69</v>
      </c>
      <c r="C283" s="9" t="s">
        <v>682</v>
      </c>
      <c r="D283" s="7">
        <f t="shared" si="1"/>
        <v>2.2000000000000002</v>
      </c>
      <c r="E283" s="8">
        <v>0</v>
      </c>
      <c r="F283" s="5">
        <v>0</v>
      </c>
      <c r="G283" s="5">
        <v>0</v>
      </c>
      <c r="H283" s="5">
        <v>0</v>
      </c>
      <c r="I283" s="5">
        <v>0</v>
      </c>
      <c r="J283" s="9">
        <v>0</v>
      </c>
      <c r="K283" s="8">
        <v>0</v>
      </c>
      <c r="L283" s="5">
        <v>0</v>
      </c>
      <c r="M283" s="5">
        <v>0</v>
      </c>
      <c r="N283" s="9">
        <v>0</v>
      </c>
      <c r="O283" s="8">
        <v>1</v>
      </c>
      <c r="P283" s="5">
        <v>12</v>
      </c>
      <c r="Q283" s="5">
        <v>0</v>
      </c>
      <c r="R283" s="9">
        <v>0</v>
      </c>
      <c r="S283" s="8">
        <v>0</v>
      </c>
      <c r="T283" s="9">
        <v>0</v>
      </c>
    </row>
    <row r="284" spans="1:20" x14ac:dyDescent="0.2">
      <c r="A284" s="5" t="s">
        <v>287</v>
      </c>
      <c r="B284" s="9" t="s">
        <v>69</v>
      </c>
      <c r="C284" s="9" t="s">
        <v>695</v>
      </c>
      <c r="D284" s="7">
        <f t="shared" si="1"/>
        <v>2</v>
      </c>
      <c r="E284" s="8">
        <v>0</v>
      </c>
      <c r="F284" s="5">
        <v>0</v>
      </c>
      <c r="G284" s="5">
        <v>0</v>
      </c>
      <c r="H284" s="5">
        <v>0</v>
      </c>
      <c r="I284" s="5">
        <v>0</v>
      </c>
      <c r="J284" s="9">
        <v>0</v>
      </c>
      <c r="K284" s="8">
        <v>0</v>
      </c>
      <c r="L284" s="5">
        <v>0</v>
      </c>
      <c r="M284" s="5">
        <v>0</v>
      </c>
      <c r="N284" s="9">
        <v>0</v>
      </c>
      <c r="O284" s="8">
        <v>1</v>
      </c>
      <c r="P284" s="5">
        <v>10</v>
      </c>
      <c r="Q284" s="5">
        <v>0</v>
      </c>
      <c r="R284" s="9">
        <v>0</v>
      </c>
      <c r="S284" s="8">
        <v>0</v>
      </c>
      <c r="T284" s="9">
        <v>0</v>
      </c>
    </row>
    <row r="285" spans="1:20" x14ac:dyDescent="0.2">
      <c r="A285" s="5" t="s">
        <v>448</v>
      </c>
      <c r="B285" s="9" t="s">
        <v>69</v>
      </c>
      <c r="C285" s="9" t="s">
        <v>681</v>
      </c>
      <c r="D285" s="7">
        <f t="shared" si="1"/>
        <v>2.4000000000000004</v>
      </c>
      <c r="E285" s="8">
        <v>0</v>
      </c>
      <c r="F285" s="5">
        <v>0</v>
      </c>
      <c r="G285" s="5">
        <v>0</v>
      </c>
      <c r="H285" s="5">
        <v>0</v>
      </c>
      <c r="I285" s="5">
        <v>0</v>
      </c>
      <c r="J285" s="9">
        <v>0</v>
      </c>
      <c r="K285" s="8">
        <v>0</v>
      </c>
      <c r="L285" s="5">
        <v>0</v>
      </c>
      <c r="M285" s="5">
        <v>0</v>
      </c>
      <c r="N285" s="9">
        <v>0</v>
      </c>
      <c r="O285" s="8">
        <v>1</v>
      </c>
      <c r="P285" s="5">
        <v>14</v>
      </c>
      <c r="Q285" s="5">
        <v>0</v>
      </c>
      <c r="R285" s="9">
        <v>0</v>
      </c>
      <c r="S285" s="8">
        <v>0</v>
      </c>
      <c r="T285" s="9">
        <v>0</v>
      </c>
    </row>
    <row r="286" spans="1:20" x14ac:dyDescent="0.2">
      <c r="A286" s="5" t="s">
        <v>606</v>
      </c>
      <c r="B286" s="9" t="s">
        <v>69</v>
      </c>
      <c r="C286" s="9" t="s">
        <v>696</v>
      </c>
      <c r="D286" s="7">
        <f t="shared" si="1"/>
        <v>2.2999999999999998</v>
      </c>
      <c r="E286" s="8">
        <v>0</v>
      </c>
      <c r="F286" s="5">
        <v>0</v>
      </c>
      <c r="G286" s="5">
        <v>0</v>
      </c>
      <c r="H286" s="5">
        <v>0</v>
      </c>
      <c r="I286" s="5">
        <v>0</v>
      </c>
      <c r="J286" s="9">
        <v>0</v>
      </c>
      <c r="K286" s="8">
        <v>0</v>
      </c>
      <c r="L286" s="5">
        <v>0</v>
      </c>
      <c r="M286" s="5">
        <v>0</v>
      </c>
      <c r="N286" s="9">
        <v>0</v>
      </c>
      <c r="O286" s="8">
        <v>1</v>
      </c>
      <c r="P286" s="5">
        <v>13</v>
      </c>
      <c r="Q286" s="5">
        <v>0</v>
      </c>
      <c r="R286" s="9">
        <v>0</v>
      </c>
      <c r="S286" s="8">
        <v>0</v>
      </c>
      <c r="T286" s="9">
        <v>0</v>
      </c>
    </row>
    <row r="287" spans="1:20" x14ac:dyDescent="0.2">
      <c r="A287" s="5" t="s">
        <v>282</v>
      </c>
      <c r="B287" s="9" t="s">
        <v>69</v>
      </c>
      <c r="C287" s="9" t="s">
        <v>682</v>
      </c>
      <c r="D287" s="7">
        <f t="shared" si="1"/>
        <v>3.5</v>
      </c>
      <c r="E287" s="8">
        <v>0</v>
      </c>
      <c r="F287" s="5">
        <v>0</v>
      </c>
      <c r="G287" s="5">
        <v>0</v>
      </c>
      <c r="H287" s="5">
        <v>0</v>
      </c>
      <c r="I287" s="5">
        <v>0</v>
      </c>
      <c r="J287" s="9">
        <v>0</v>
      </c>
      <c r="K287" s="8">
        <v>0</v>
      </c>
      <c r="L287" s="5">
        <v>0</v>
      </c>
      <c r="M287" s="5">
        <v>0</v>
      </c>
      <c r="N287" s="9">
        <v>0</v>
      </c>
      <c r="O287" s="8">
        <v>2</v>
      </c>
      <c r="P287" s="5">
        <v>15</v>
      </c>
      <c r="Q287" s="5">
        <v>0</v>
      </c>
      <c r="R287" s="9">
        <v>0</v>
      </c>
      <c r="S287" s="8">
        <v>0</v>
      </c>
      <c r="T287" s="9">
        <v>0</v>
      </c>
    </row>
    <row r="288" spans="1:20" x14ac:dyDescent="0.2">
      <c r="A288" s="5" t="s">
        <v>492</v>
      </c>
      <c r="B288" s="9" t="s">
        <v>69</v>
      </c>
      <c r="C288" s="9" t="s">
        <v>690</v>
      </c>
      <c r="D288" s="7">
        <f t="shared" si="1"/>
        <v>2</v>
      </c>
      <c r="E288" s="8">
        <v>0</v>
      </c>
      <c r="F288" s="5">
        <v>0</v>
      </c>
      <c r="G288" s="5">
        <v>0</v>
      </c>
      <c r="H288" s="5">
        <v>0</v>
      </c>
      <c r="I288" s="5">
        <v>0</v>
      </c>
      <c r="J288" s="9">
        <v>0</v>
      </c>
      <c r="K288" s="8">
        <v>0</v>
      </c>
      <c r="L288" s="5">
        <v>0</v>
      </c>
      <c r="M288" s="5">
        <v>0</v>
      </c>
      <c r="N288" s="9">
        <v>0</v>
      </c>
      <c r="O288" s="8">
        <v>1</v>
      </c>
      <c r="P288" s="5">
        <v>10</v>
      </c>
      <c r="Q288" s="5">
        <v>0</v>
      </c>
      <c r="R288" s="9">
        <v>0</v>
      </c>
      <c r="S288" s="8">
        <v>0</v>
      </c>
      <c r="T288" s="9">
        <v>0</v>
      </c>
    </row>
    <row r="289" spans="1:20" x14ac:dyDescent="0.2">
      <c r="A289" s="5" t="s">
        <v>474</v>
      </c>
      <c r="B289" s="9" t="s">
        <v>69</v>
      </c>
      <c r="C289" s="9" t="s">
        <v>696</v>
      </c>
      <c r="D289" s="7">
        <f t="shared" si="1"/>
        <v>2.1</v>
      </c>
      <c r="E289" s="8">
        <v>0</v>
      </c>
      <c r="F289" s="5">
        <v>0</v>
      </c>
      <c r="G289" s="5">
        <v>0</v>
      </c>
      <c r="H289" s="5">
        <v>0</v>
      </c>
      <c r="I289" s="5">
        <v>0</v>
      </c>
      <c r="J289" s="9">
        <v>0</v>
      </c>
      <c r="K289" s="8">
        <v>0</v>
      </c>
      <c r="L289" s="5">
        <v>0</v>
      </c>
      <c r="M289" s="5">
        <v>0</v>
      </c>
      <c r="N289" s="9">
        <v>0</v>
      </c>
      <c r="O289" s="8">
        <v>1</v>
      </c>
      <c r="P289" s="5">
        <v>11</v>
      </c>
      <c r="Q289" s="5">
        <v>0</v>
      </c>
      <c r="R289" s="9">
        <v>0</v>
      </c>
      <c r="S289" s="8">
        <v>0</v>
      </c>
      <c r="T289" s="9">
        <v>0</v>
      </c>
    </row>
    <row r="290" spans="1:20" x14ac:dyDescent="0.2">
      <c r="A290" s="5" t="s">
        <v>699</v>
      </c>
      <c r="B290" s="9" t="s">
        <v>69</v>
      </c>
      <c r="C290" s="9" t="s">
        <v>685</v>
      </c>
      <c r="D290" s="7">
        <f t="shared" si="1"/>
        <v>1.6</v>
      </c>
      <c r="E290" s="8">
        <v>0</v>
      </c>
      <c r="F290" s="5">
        <v>0</v>
      </c>
      <c r="G290" s="5">
        <v>0</v>
      </c>
      <c r="H290" s="5">
        <v>0</v>
      </c>
      <c r="I290" s="5">
        <v>0</v>
      </c>
      <c r="J290" s="9">
        <v>0</v>
      </c>
      <c r="K290" s="8">
        <v>0</v>
      </c>
      <c r="L290" s="5">
        <v>0</v>
      </c>
      <c r="M290" s="5">
        <v>0</v>
      </c>
      <c r="N290" s="9">
        <v>0</v>
      </c>
      <c r="O290" s="8">
        <v>1</v>
      </c>
      <c r="P290" s="5">
        <v>6</v>
      </c>
      <c r="Q290" s="5">
        <v>0</v>
      </c>
      <c r="R290" s="9">
        <v>0</v>
      </c>
      <c r="S290" s="8">
        <v>0</v>
      </c>
      <c r="T290" s="9">
        <v>0</v>
      </c>
    </row>
    <row r="291" spans="1:20" x14ac:dyDescent="0.2">
      <c r="A291" s="5" t="s">
        <v>315</v>
      </c>
      <c r="B291" s="9" t="s">
        <v>69</v>
      </c>
      <c r="C291" s="9" t="s">
        <v>691</v>
      </c>
      <c r="D291" s="7">
        <f t="shared" si="1"/>
        <v>1.8</v>
      </c>
      <c r="E291" s="8">
        <v>0</v>
      </c>
      <c r="F291" s="5">
        <v>0</v>
      </c>
      <c r="G291" s="5">
        <v>0</v>
      </c>
      <c r="H291" s="5">
        <v>0</v>
      </c>
      <c r="I291" s="5">
        <v>0</v>
      </c>
      <c r="J291" s="9">
        <v>0</v>
      </c>
      <c r="K291" s="8">
        <v>0</v>
      </c>
      <c r="L291" s="5">
        <v>0</v>
      </c>
      <c r="M291" s="5">
        <v>0</v>
      </c>
      <c r="N291" s="9">
        <v>0</v>
      </c>
      <c r="O291" s="8">
        <v>1</v>
      </c>
      <c r="P291" s="5">
        <v>8</v>
      </c>
      <c r="Q291" s="5">
        <v>0</v>
      </c>
      <c r="R291" s="9">
        <v>0</v>
      </c>
      <c r="S291" s="8">
        <v>0</v>
      </c>
      <c r="T291" s="9">
        <v>0</v>
      </c>
    </row>
    <row r="292" spans="1:20" x14ac:dyDescent="0.2">
      <c r="A292" s="5" t="s">
        <v>362</v>
      </c>
      <c r="B292" s="9" t="s">
        <v>69</v>
      </c>
      <c r="C292" s="9" t="s">
        <v>683</v>
      </c>
      <c r="D292" s="7">
        <f t="shared" si="1"/>
        <v>1.9</v>
      </c>
      <c r="E292" s="8">
        <v>0</v>
      </c>
      <c r="F292" s="5">
        <v>0</v>
      </c>
      <c r="G292" s="5">
        <v>0</v>
      </c>
      <c r="H292" s="5">
        <v>0</v>
      </c>
      <c r="I292" s="5">
        <v>0</v>
      </c>
      <c r="J292" s="9">
        <v>0</v>
      </c>
      <c r="K292" s="8">
        <v>0</v>
      </c>
      <c r="L292" s="5">
        <v>0</v>
      </c>
      <c r="M292" s="5">
        <v>0</v>
      </c>
      <c r="N292" s="9">
        <v>0</v>
      </c>
      <c r="O292" s="8">
        <v>1</v>
      </c>
      <c r="P292" s="5">
        <v>9</v>
      </c>
      <c r="Q292" s="5">
        <v>0</v>
      </c>
      <c r="R292" s="9">
        <v>0</v>
      </c>
      <c r="S292" s="8">
        <v>0</v>
      </c>
      <c r="T292" s="9">
        <v>0</v>
      </c>
    </row>
    <row r="293" spans="1:20" x14ac:dyDescent="0.2">
      <c r="A293" s="5" t="s">
        <v>318</v>
      </c>
      <c r="B293" s="9" t="s">
        <v>69</v>
      </c>
      <c r="C293" s="9" t="s">
        <v>692</v>
      </c>
      <c r="D293" s="7">
        <f t="shared" si="1"/>
        <v>1.9</v>
      </c>
      <c r="E293" s="8">
        <v>0</v>
      </c>
      <c r="F293" s="5">
        <v>0</v>
      </c>
      <c r="G293" s="5">
        <v>0</v>
      </c>
      <c r="H293" s="5">
        <v>0</v>
      </c>
      <c r="I293" s="5">
        <v>0</v>
      </c>
      <c r="J293" s="9">
        <v>0</v>
      </c>
      <c r="K293" s="8">
        <v>0</v>
      </c>
      <c r="L293" s="5">
        <v>0</v>
      </c>
      <c r="M293" s="5">
        <v>0</v>
      </c>
      <c r="N293" s="9">
        <v>0</v>
      </c>
      <c r="O293" s="8">
        <v>1</v>
      </c>
      <c r="P293" s="5">
        <v>9</v>
      </c>
      <c r="Q293" s="5">
        <v>0</v>
      </c>
      <c r="R293" s="9">
        <v>0</v>
      </c>
      <c r="S293" s="8">
        <v>0</v>
      </c>
      <c r="T293" s="9">
        <v>0</v>
      </c>
    </row>
    <row r="294" spans="1:20" x14ac:dyDescent="0.2">
      <c r="A294" s="5" t="s">
        <v>313</v>
      </c>
      <c r="B294" s="9" t="s">
        <v>69</v>
      </c>
      <c r="C294" s="9" t="s">
        <v>683</v>
      </c>
      <c r="D294" s="7">
        <f t="shared" si="1"/>
        <v>1.2</v>
      </c>
      <c r="E294" s="8">
        <v>0</v>
      </c>
      <c r="F294" s="5">
        <v>0</v>
      </c>
      <c r="G294" s="5">
        <v>0</v>
      </c>
      <c r="H294" s="5">
        <v>0</v>
      </c>
      <c r="I294" s="5">
        <v>0</v>
      </c>
      <c r="J294" s="9">
        <v>0</v>
      </c>
      <c r="K294" s="8">
        <v>0</v>
      </c>
      <c r="L294" s="5">
        <v>0</v>
      </c>
      <c r="M294" s="5">
        <v>0</v>
      </c>
      <c r="N294" s="9">
        <v>0</v>
      </c>
      <c r="O294" s="8">
        <v>1</v>
      </c>
      <c r="P294" s="5">
        <v>2</v>
      </c>
      <c r="Q294" s="5">
        <v>0</v>
      </c>
      <c r="R294" s="9">
        <v>0</v>
      </c>
      <c r="S294" s="8">
        <v>0</v>
      </c>
      <c r="T294" s="9">
        <v>0</v>
      </c>
    </row>
    <row r="295" spans="1:20" x14ac:dyDescent="0.2">
      <c r="A295" s="5" t="s">
        <v>301</v>
      </c>
      <c r="B295" s="9" t="s">
        <v>69</v>
      </c>
      <c r="C295" s="9" t="s">
        <v>690</v>
      </c>
      <c r="D295" s="7">
        <f t="shared" si="1"/>
        <v>2.8</v>
      </c>
      <c r="E295" s="8">
        <v>0</v>
      </c>
      <c r="F295" s="5">
        <v>0</v>
      </c>
      <c r="G295" s="5">
        <v>0</v>
      </c>
      <c r="H295" s="5">
        <v>0</v>
      </c>
      <c r="I295" s="5">
        <v>0</v>
      </c>
      <c r="J295" s="9">
        <v>0</v>
      </c>
      <c r="K295" s="8">
        <v>0</v>
      </c>
      <c r="L295" s="5">
        <v>0</v>
      </c>
      <c r="M295" s="5">
        <v>0</v>
      </c>
      <c r="N295" s="9">
        <v>0</v>
      </c>
      <c r="O295" s="8">
        <v>2</v>
      </c>
      <c r="P295" s="5">
        <v>8</v>
      </c>
      <c r="Q295" s="5">
        <v>0</v>
      </c>
      <c r="R295" s="9">
        <v>0</v>
      </c>
      <c r="S295" s="8">
        <v>0</v>
      </c>
      <c r="T295" s="9">
        <v>0</v>
      </c>
    </row>
    <row r="296" spans="1:20" x14ac:dyDescent="0.2">
      <c r="A296" s="5" t="s">
        <v>445</v>
      </c>
      <c r="B296" s="9" t="s">
        <v>69</v>
      </c>
      <c r="C296" s="9" t="s">
        <v>696</v>
      </c>
      <c r="D296" s="7">
        <f t="shared" si="1"/>
        <v>1.9</v>
      </c>
      <c r="E296" s="8">
        <v>0</v>
      </c>
      <c r="F296" s="5">
        <v>0</v>
      </c>
      <c r="G296" s="5">
        <v>0</v>
      </c>
      <c r="H296" s="5">
        <v>0</v>
      </c>
      <c r="I296" s="5">
        <v>0</v>
      </c>
      <c r="J296" s="9">
        <v>0</v>
      </c>
      <c r="K296" s="8">
        <v>0</v>
      </c>
      <c r="L296" s="5">
        <v>0</v>
      </c>
      <c r="M296" s="5">
        <v>0</v>
      </c>
      <c r="N296" s="9">
        <v>0</v>
      </c>
      <c r="O296" s="8">
        <v>1</v>
      </c>
      <c r="P296" s="5">
        <v>9</v>
      </c>
      <c r="Q296" s="5">
        <v>0</v>
      </c>
      <c r="R296" s="9">
        <v>0</v>
      </c>
      <c r="S296" s="8">
        <v>0</v>
      </c>
      <c r="T296" s="9">
        <v>0</v>
      </c>
    </row>
    <row r="297" spans="1:20" x14ac:dyDescent="0.2">
      <c r="A297" s="5" t="s">
        <v>440</v>
      </c>
      <c r="B297" s="9" t="s">
        <v>69</v>
      </c>
      <c r="C297" s="9" t="s">
        <v>696</v>
      </c>
      <c r="D297" s="7">
        <f t="shared" si="1"/>
        <v>1.7000000000000002</v>
      </c>
      <c r="E297" s="8">
        <v>0</v>
      </c>
      <c r="F297" s="5">
        <v>0</v>
      </c>
      <c r="G297" s="5">
        <v>0</v>
      </c>
      <c r="H297" s="5">
        <v>0</v>
      </c>
      <c r="I297" s="5">
        <v>0</v>
      </c>
      <c r="J297" s="9">
        <v>0</v>
      </c>
      <c r="K297" s="8">
        <v>0</v>
      </c>
      <c r="L297" s="5">
        <v>0</v>
      </c>
      <c r="M297" s="5">
        <v>0</v>
      </c>
      <c r="N297" s="9">
        <v>0</v>
      </c>
      <c r="O297" s="8">
        <v>1</v>
      </c>
      <c r="P297" s="5">
        <v>7</v>
      </c>
      <c r="Q297" s="5">
        <v>0</v>
      </c>
      <c r="R297" s="9">
        <v>0</v>
      </c>
      <c r="S297" s="8">
        <v>0</v>
      </c>
      <c r="T297" s="9">
        <v>0</v>
      </c>
    </row>
    <row r="298" spans="1:20" x14ac:dyDescent="0.2">
      <c r="A298" s="5" t="s">
        <v>437</v>
      </c>
      <c r="B298" s="9" t="s">
        <v>69</v>
      </c>
      <c r="C298" s="9" t="s">
        <v>690</v>
      </c>
      <c r="D298" s="7">
        <f t="shared" si="1"/>
        <v>1.1000000000000001</v>
      </c>
      <c r="E298" s="8">
        <v>0</v>
      </c>
      <c r="F298" s="5">
        <v>0</v>
      </c>
      <c r="G298" s="5">
        <v>0</v>
      </c>
      <c r="H298" s="5">
        <v>0</v>
      </c>
      <c r="I298" s="5">
        <v>0</v>
      </c>
      <c r="J298" s="9">
        <v>0</v>
      </c>
      <c r="K298" s="8">
        <v>0</v>
      </c>
      <c r="L298" s="5">
        <v>0</v>
      </c>
      <c r="M298" s="5">
        <v>0</v>
      </c>
      <c r="N298" s="9">
        <v>0</v>
      </c>
      <c r="O298" s="8">
        <v>1</v>
      </c>
      <c r="P298" s="5">
        <v>1</v>
      </c>
      <c r="Q298" s="5">
        <v>0</v>
      </c>
      <c r="R298" s="9">
        <v>0</v>
      </c>
      <c r="S298" s="8">
        <v>0</v>
      </c>
      <c r="T298" s="9">
        <v>0</v>
      </c>
    </row>
    <row r="299" spans="1:20" x14ac:dyDescent="0.2">
      <c r="A299" s="5" t="s">
        <v>700</v>
      </c>
      <c r="B299" s="9" t="s">
        <v>69</v>
      </c>
      <c r="C299" s="9" t="s">
        <v>692</v>
      </c>
      <c r="D299" s="7">
        <f t="shared" si="1"/>
        <v>1.9</v>
      </c>
      <c r="E299" s="8">
        <v>0</v>
      </c>
      <c r="F299" s="5">
        <v>0</v>
      </c>
      <c r="G299" s="5">
        <v>0</v>
      </c>
      <c r="H299" s="5">
        <v>0</v>
      </c>
      <c r="I299" s="5">
        <v>0</v>
      </c>
      <c r="J299" s="9">
        <v>0</v>
      </c>
      <c r="K299" s="8">
        <v>0</v>
      </c>
      <c r="L299" s="5">
        <v>0</v>
      </c>
      <c r="M299" s="5">
        <v>0</v>
      </c>
      <c r="N299" s="9">
        <v>0</v>
      </c>
      <c r="O299" s="8">
        <v>1</v>
      </c>
      <c r="P299" s="5">
        <v>9</v>
      </c>
      <c r="Q299" s="5">
        <v>0</v>
      </c>
      <c r="R299" s="9">
        <v>0</v>
      </c>
      <c r="S299" s="8">
        <v>0</v>
      </c>
      <c r="T299" s="9">
        <v>0</v>
      </c>
    </row>
    <row r="300" spans="1:20" x14ac:dyDescent="0.2">
      <c r="A300" s="5" t="s">
        <v>310</v>
      </c>
      <c r="B300" s="9" t="s">
        <v>69</v>
      </c>
      <c r="C300" s="9" t="s">
        <v>684</v>
      </c>
      <c r="D300" s="7">
        <f t="shared" si="1"/>
        <v>1.9</v>
      </c>
      <c r="E300" s="8">
        <v>0</v>
      </c>
      <c r="F300" s="5">
        <v>0</v>
      </c>
      <c r="G300" s="5">
        <v>0</v>
      </c>
      <c r="H300" s="5">
        <v>0</v>
      </c>
      <c r="I300" s="5">
        <v>0</v>
      </c>
      <c r="J300" s="9">
        <v>0</v>
      </c>
      <c r="K300" s="8">
        <v>0</v>
      </c>
      <c r="L300" s="5">
        <v>0</v>
      </c>
      <c r="M300" s="5">
        <v>0</v>
      </c>
      <c r="N300" s="9">
        <v>0</v>
      </c>
      <c r="O300" s="8">
        <v>1</v>
      </c>
      <c r="P300" s="5">
        <v>9</v>
      </c>
      <c r="Q300" s="5">
        <v>0</v>
      </c>
      <c r="R300" s="9">
        <v>0</v>
      </c>
      <c r="S300" s="8">
        <v>0</v>
      </c>
      <c r="T300" s="9">
        <v>0</v>
      </c>
    </row>
    <row r="301" spans="1:20" x14ac:dyDescent="0.2">
      <c r="A301" s="5"/>
      <c r="B301" s="9"/>
      <c r="C301" s="9"/>
      <c r="D301" s="9"/>
      <c r="E301" s="8"/>
      <c r="F301" s="5"/>
      <c r="G301" s="5"/>
      <c r="H301" s="5"/>
      <c r="I301" s="5"/>
      <c r="J301" s="9"/>
      <c r="K301" s="8"/>
      <c r="L301" s="5"/>
      <c r="M301" s="5"/>
      <c r="N301" s="9"/>
      <c r="O301" s="8"/>
      <c r="P301" s="5"/>
      <c r="Q301" s="5"/>
      <c r="R301" s="9"/>
      <c r="S301" s="8"/>
      <c r="T301" s="9"/>
    </row>
    <row r="302" spans="1:20" x14ac:dyDescent="0.2">
      <c r="A302" s="5"/>
      <c r="B302" s="9"/>
      <c r="C302" s="9"/>
      <c r="D302" s="9"/>
      <c r="E302" s="8"/>
      <c r="F302" s="5"/>
      <c r="G302" s="5"/>
      <c r="H302" s="5"/>
      <c r="I302" s="5"/>
      <c r="J302" s="9"/>
      <c r="K302" s="8"/>
      <c r="L302" s="5"/>
      <c r="M302" s="5"/>
      <c r="N302" s="9"/>
      <c r="O302" s="8"/>
      <c r="P302" s="5"/>
      <c r="Q302" s="5"/>
      <c r="R302" s="9"/>
      <c r="S302" s="8"/>
      <c r="T302" s="9"/>
    </row>
    <row r="303" spans="1:20" x14ac:dyDescent="0.2">
      <c r="A303" s="5"/>
      <c r="B303" s="9"/>
      <c r="C303" s="9"/>
      <c r="D303" s="9"/>
      <c r="E303" s="8"/>
      <c r="F303" s="5"/>
      <c r="G303" s="5"/>
      <c r="H303" s="5"/>
      <c r="I303" s="5"/>
      <c r="J303" s="9"/>
      <c r="K303" s="8"/>
      <c r="L303" s="5"/>
      <c r="M303" s="5"/>
      <c r="N303" s="9"/>
      <c r="O303" s="8"/>
      <c r="P303" s="5"/>
      <c r="Q303" s="5"/>
      <c r="R303" s="9"/>
      <c r="S303" s="8"/>
      <c r="T303" s="9"/>
    </row>
    <row r="304" spans="1:20" x14ac:dyDescent="0.2">
      <c r="A304" s="5"/>
      <c r="B304" s="9"/>
      <c r="C304" s="9"/>
      <c r="D304" s="9"/>
      <c r="E304" s="8"/>
      <c r="F304" s="5"/>
      <c r="G304" s="5"/>
      <c r="H304" s="5"/>
      <c r="I304" s="5"/>
      <c r="J304" s="9"/>
      <c r="K304" s="8"/>
      <c r="L304" s="5"/>
      <c r="M304" s="5"/>
      <c r="N304" s="9"/>
      <c r="O304" s="8"/>
      <c r="P304" s="5"/>
      <c r="Q304" s="5"/>
      <c r="R304" s="9"/>
      <c r="S304" s="8"/>
      <c r="T304" s="9"/>
    </row>
    <row r="305" spans="1:20" x14ac:dyDescent="0.2">
      <c r="A305" s="5"/>
      <c r="B305" s="9"/>
      <c r="C305" s="9"/>
      <c r="D305" s="9"/>
      <c r="E305" s="8"/>
      <c r="F305" s="5"/>
      <c r="G305" s="5"/>
      <c r="H305" s="5"/>
      <c r="I305" s="5"/>
      <c r="J305" s="9"/>
      <c r="K305" s="8"/>
      <c r="L305" s="5"/>
      <c r="M305" s="5"/>
      <c r="N305" s="9"/>
      <c r="O305" s="8"/>
      <c r="P305" s="5"/>
      <c r="Q305" s="5"/>
      <c r="R305" s="9"/>
      <c r="S305" s="8"/>
      <c r="T305" s="9"/>
    </row>
    <row r="306" spans="1:20" x14ac:dyDescent="0.2">
      <c r="A306" s="5"/>
      <c r="B306" s="9"/>
      <c r="C306" s="9"/>
      <c r="D306" s="9"/>
      <c r="E306" s="8"/>
      <c r="F306" s="5"/>
      <c r="G306" s="5"/>
      <c r="H306" s="5"/>
      <c r="I306" s="5"/>
      <c r="J306" s="9"/>
      <c r="K306" s="8"/>
      <c r="L306" s="5"/>
      <c r="M306" s="5"/>
      <c r="N306" s="9"/>
      <c r="O306" s="8"/>
      <c r="P306" s="5"/>
      <c r="Q306" s="5"/>
      <c r="R306" s="9"/>
      <c r="S306" s="8"/>
      <c r="T306" s="9"/>
    </row>
    <row r="307" spans="1:20" x14ac:dyDescent="0.2">
      <c r="A307" s="5"/>
      <c r="B307" s="9"/>
      <c r="C307" s="9"/>
      <c r="D307" s="9"/>
      <c r="E307" s="8"/>
      <c r="F307" s="5"/>
      <c r="G307" s="5"/>
      <c r="H307" s="5"/>
      <c r="I307" s="5"/>
      <c r="J307" s="9"/>
      <c r="K307" s="8"/>
      <c r="L307" s="5"/>
      <c r="M307" s="5"/>
      <c r="N307" s="9"/>
      <c r="O307" s="8"/>
      <c r="P307" s="5"/>
      <c r="Q307" s="5"/>
      <c r="R307" s="9"/>
      <c r="S307" s="8"/>
      <c r="T307" s="9"/>
    </row>
    <row r="308" spans="1:20" x14ac:dyDescent="0.2">
      <c r="A308" s="5"/>
      <c r="B308" s="9"/>
      <c r="C308" s="9"/>
      <c r="D308" s="9"/>
      <c r="E308" s="8"/>
      <c r="F308" s="5"/>
      <c r="G308" s="5"/>
      <c r="H308" s="5"/>
      <c r="I308" s="5"/>
      <c r="J308" s="9"/>
      <c r="K308" s="8"/>
      <c r="L308" s="5"/>
      <c r="M308" s="5"/>
      <c r="N308" s="9"/>
      <c r="O308" s="8"/>
      <c r="P308" s="5"/>
      <c r="Q308" s="5"/>
      <c r="R308" s="9"/>
      <c r="S308" s="8"/>
      <c r="T308" s="9"/>
    </row>
    <row r="309" spans="1:20" x14ac:dyDescent="0.2">
      <c r="A309" s="5"/>
      <c r="B309" s="9"/>
      <c r="C309" s="9"/>
      <c r="D309" s="9"/>
      <c r="E309" s="8"/>
      <c r="F309" s="5"/>
      <c r="G309" s="5"/>
      <c r="H309" s="5"/>
      <c r="I309" s="5"/>
      <c r="J309" s="9"/>
      <c r="K309" s="8"/>
      <c r="L309" s="5"/>
      <c r="M309" s="5"/>
      <c r="N309" s="9"/>
      <c r="O309" s="8"/>
      <c r="P309" s="5"/>
      <c r="Q309" s="5"/>
      <c r="R309" s="9"/>
      <c r="S309" s="8"/>
      <c r="T309" s="9"/>
    </row>
    <row r="310" spans="1:20" x14ac:dyDescent="0.2">
      <c r="A310" s="5"/>
      <c r="B310" s="9"/>
      <c r="C310" s="9"/>
      <c r="D310" s="9"/>
      <c r="E310" s="8"/>
      <c r="F310" s="5"/>
      <c r="G310" s="5"/>
      <c r="H310" s="5"/>
      <c r="I310" s="5"/>
      <c r="J310" s="9"/>
      <c r="K310" s="8"/>
      <c r="L310" s="5"/>
      <c r="M310" s="5"/>
      <c r="N310" s="9"/>
      <c r="O310" s="8"/>
      <c r="P310" s="5"/>
      <c r="Q310" s="5"/>
      <c r="R310" s="9"/>
      <c r="S310" s="8"/>
      <c r="T310" s="9"/>
    </row>
  </sheetData>
  <autoFilter ref="A2:T300" xr:uid="{00000000-0009-0000-0000-00000B000000}"/>
  <mergeCells count="4">
    <mergeCell ref="E1:J1"/>
    <mergeCell ref="K1:N1"/>
    <mergeCell ref="O1:R1"/>
    <mergeCell ref="S1:T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5703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
      <c r="B1" s="21"/>
      <c r="C1" s="21"/>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2"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188</v>
      </c>
      <c r="B3" s="9" t="s">
        <v>162</v>
      </c>
      <c r="C3" s="5" t="s">
        <v>701</v>
      </c>
      <c r="D3" s="7">
        <f t="shared" ref="D3:D238" si="0">0.04*G3+4*H3-2*I3+2*J3+0.1*L3+6*M3+2*N3+1*O3+0.1*P3+6*Q3+2*R3-2*S3</f>
        <v>37.4</v>
      </c>
      <c r="E3" s="5">
        <v>0</v>
      </c>
      <c r="F3" s="5">
        <v>0</v>
      </c>
      <c r="G3" s="5">
        <v>0</v>
      </c>
      <c r="H3" s="5">
        <v>0</v>
      </c>
      <c r="I3" s="5">
        <v>0</v>
      </c>
      <c r="J3" s="9">
        <v>0</v>
      </c>
      <c r="K3" s="5">
        <v>0</v>
      </c>
      <c r="L3" s="5">
        <v>0</v>
      </c>
      <c r="M3" s="5">
        <v>0</v>
      </c>
      <c r="N3" s="9">
        <v>0</v>
      </c>
      <c r="O3" s="5">
        <v>6</v>
      </c>
      <c r="P3" s="5">
        <v>134</v>
      </c>
      <c r="Q3" s="5">
        <v>3</v>
      </c>
      <c r="R3" s="9">
        <v>0</v>
      </c>
      <c r="S3" s="5">
        <v>0</v>
      </c>
      <c r="T3" s="5">
        <v>0</v>
      </c>
    </row>
    <row r="4" spans="1:20" x14ac:dyDescent="0.2">
      <c r="A4" s="5" t="s">
        <v>200</v>
      </c>
      <c r="B4" s="9" t="s">
        <v>162</v>
      </c>
      <c r="C4" s="5" t="s">
        <v>702</v>
      </c>
      <c r="D4" s="7">
        <f t="shared" si="0"/>
        <v>35.799999999999997</v>
      </c>
      <c r="E4" s="5">
        <v>0</v>
      </c>
      <c r="F4" s="5">
        <v>0</v>
      </c>
      <c r="G4" s="5">
        <v>0</v>
      </c>
      <c r="H4" s="5">
        <v>0</v>
      </c>
      <c r="I4" s="5">
        <v>0</v>
      </c>
      <c r="J4" s="9">
        <v>0</v>
      </c>
      <c r="K4" s="5">
        <v>3</v>
      </c>
      <c r="L4" s="5">
        <v>22</v>
      </c>
      <c r="M4" s="5">
        <v>1</v>
      </c>
      <c r="N4" s="9">
        <v>0</v>
      </c>
      <c r="O4" s="5">
        <v>4</v>
      </c>
      <c r="P4" s="5">
        <v>116</v>
      </c>
      <c r="Q4" s="5">
        <v>2</v>
      </c>
      <c r="R4" s="9">
        <v>0</v>
      </c>
      <c r="S4" s="5">
        <v>0</v>
      </c>
      <c r="T4" s="5">
        <v>0</v>
      </c>
    </row>
    <row r="5" spans="1:20" x14ac:dyDescent="0.2">
      <c r="A5" s="5" t="s">
        <v>183</v>
      </c>
      <c r="B5" s="9" t="s">
        <v>162</v>
      </c>
      <c r="C5" s="5" t="s">
        <v>703</v>
      </c>
      <c r="D5" s="7">
        <f t="shared" si="0"/>
        <v>34.1</v>
      </c>
      <c r="E5" s="5">
        <v>0</v>
      </c>
      <c r="F5" s="5">
        <v>0</v>
      </c>
      <c r="G5" s="5">
        <v>0</v>
      </c>
      <c r="H5" s="5">
        <v>0</v>
      </c>
      <c r="I5" s="5">
        <v>0</v>
      </c>
      <c r="J5" s="9">
        <v>0</v>
      </c>
      <c r="K5" s="5">
        <v>0</v>
      </c>
      <c r="L5" s="5">
        <v>0</v>
      </c>
      <c r="M5" s="5">
        <v>0</v>
      </c>
      <c r="N5" s="9">
        <v>0</v>
      </c>
      <c r="O5" s="5">
        <v>9</v>
      </c>
      <c r="P5" s="5">
        <v>191</v>
      </c>
      <c r="Q5" s="5">
        <v>1</v>
      </c>
      <c r="R5" s="9">
        <v>0</v>
      </c>
      <c r="S5" s="5">
        <v>0</v>
      </c>
      <c r="T5" s="5">
        <v>0</v>
      </c>
    </row>
    <row r="6" spans="1:20" x14ac:dyDescent="0.2">
      <c r="A6" s="5" t="s">
        <v>192</v>
      </c>
      <c r="B6" s="9" t="s">
        <v>162</v>
      </c>
      <c r="C6" s="5" t="s">
        <v>701</v>
      </c>
      <c r="D6" s="7">
        <f t="shared" si="0"/>
        <v>32.6</v>
      </c>
      <c r="E6" s="5">
        <v>0</v>
      </c>
      <c r="F6" s="5">
        <v>0</v>
      </c>
      <c r="G6" s="5">
        <v>0</v>
      </c>
      <c r="H6" s="5">
        <v>0</v>
      </c>
      <c r="I6" s="5">
        <v>0</v>
      </c>
      <c r="J6" s="9">
        <v>0</v>
      </c>
      <c r="K6" s="5">
        <v>2</v>
      </c>
      <c r="L6" s="5">
        <v>30</v>
      </c>
      <c r="M6" s="5">
        <v>0</v>
      </c>
      <c r="N6" s="9">
        <v>0</v>
      </c>
      <c r="O6" s="5">
        <v>12</v>
      </c>
      <c r="P6" s="5">
        <v>116</v>
      </c>
      <c r="Q6" s="5">
        <v>1</v>
      </c>
      <c r="R6" s="9">
        <v>0</v>
      </c>
      <c r="S6" s="5">
        <v>0</v>
      </c>
      <c r="T6" s="5">
        <v>0</v>
      </c>
    </row>
    <row r="7" spans="1:20" x14ac:dyDescent="0.2">
      <c r="A7" s="5" t="s">
        <v>161</v>
      </c>
      <c r="B7" s="9" t="s">
        <v>162</v>
      </c>
      <c r="C7" s="5" t="s">
        <v>704</v>
      </c>
      <c r="D7" s="7">
        <f t="shared" si="0"/>
        <v>32.299999999999997</v>
      </c>
      <c r="E7" s="5">
        <v>0</v>
      </c>
      <c r="F7" s="5">
        <v>0</v>
      </c>
      <c r="G7" s="5">
        <v>0</v>
      </c>
      <c r="H7" s="5">
        <v>0</v>
      </c>
      <c r="I7" s="5">
        <v>0</v>
      </c>
      <c r="J7" s="9">
        <v>0</v>
      </c>
      <c r="K7" s="5">
        <v>2</v>
      </c>
      <c r="L7" s="5">
        <v>-4</v>
      </c>
      <c r="M7" s="5">
        <v>0</v>
      </c>
      <c r="N7" s="9">
        <v>0</v>
      </c>
      <c r="O7" s="5">
        <v>5</v>
      </c>
      <c r="P7" s="5">
        <v>157</v>
      </c>
      <c r="Q7" s="5">
        <v>2</v>
      </c>
      <c r="R7" s="9">
        <v>0</v>
      </c>
      <c r="S7" s="5">
        <v>0</v>
      </c>
      <c r="T7" s="5">
        <v>0</v>
      </c>
    </row>
    <row r="8" spans="1:20" x14ac:dyDescent="0.2">
      <c r="A8" s="5" t="s">
        <v>206</v>
      </c>
      <c r="B8" s="9" t="s">
        <v>162</v>
      </c>
      <c r="C8" s="5" t="s">
        <v>705</v>
      </c>
      <c r="D8" s="7">
        <f t="shared" si="0"/>
        <v>31.62</v>
      </c>
      <c r="E8" s="5">
        <v>1</v>
      </c>
      <c r="F8" s="5">
        <v>1</v>
      </c>
      <c r="G8" s="5">
        <v>-7</v>
      </c>
      <c r="H8" s="5">
        <v>0</v>
      </c>
      <c r="I8" s="5">
        <v>0</v>
      </c>
      <c r="J8" s="9">
        <v>0</v>
      </c>
      <c r="K8" s="5">
        <v>0</v>
      </c>
      <c r="L8" s="5">
        <v>0</v>
      </c>
      <c r="M8" s="5">
        <v>0</v>
      </c>
      <c r="N8" s="9">
        <v>0</v>
      </c>
      <c r="O8" s="5">
        <v>11</v>
      </c>
      <c r="P8" s="5">
        <v>149</v>
      </c>
      <c r="Q8" s="5">
        <v>1</v>
      </c>
      <c r="R8" s="9">
        <v>0</v>
      </c>
      <c r="S8" s="5">
        <v>0</v>
      </c>
      <c r="T8" s="5">
        <v>0</v>
      </c>
    </row>
    <row r="9" spans="1:20" x14ac:dyDescent="0.2">
      <c r="A9" s="5" t="s">
        <v>55</v>
      </c>
      <c r="B9" s="9" t="s">
        <v>17</v>
      </c>
      <c r="C9" s="5" t="s">
        <v>701</v>
      </c>
      <c r="D9" s="7">
        <f t="shared" si="0"/>
        <v>29.96</v>
      </c>
      <c r="E9" s="5">
        <v>41</v>
      </c>
      <c r="F9" s="5">
        <v>23</v>
      </c>
      <c r="G9" s="5">
        <v>334</v>
      </c>
      <c r="H9" s="5">
        <v>3</v>
      </c>
      <c r="I9" s="5">
        <v>1</v>
      </c>
      <c r="J9" s="9">
        <v>0</v>
      </c>
      <c r="K9" s="5">
        <v>2</v>
      </c>
      <c r="L9" s="5">
        <v>6</v>
      </c>
      <c r="M9" s="5">
        <v>1</v>
      </c>
      <c r="N9" s="9">
        <v>0</v>
      </c>
      <c r="O9" s="5">
        <v>0</v>
      </c>
      <c r="P9" s="5">
        <v>0</v>
      </c>
      <c r="Q9" s="5">
        <v>0</v>
      </c>
      <c r="R9" s="9">
        <v>0</v>
      </c>
      <c r="S9" s="5">
        <v>0</v>
      </c>
      <c r="T9" s="5">
        <v>0</v>
      </c>
    </row>
    <row r="10" spans="1:20" x14ac:dyDescent="0.2">
      <c r="A10" s="5" t="s">
        <v>103</v>
      </c>
      <c r="B10" s="9" t="s">
        <v>75</v>
      </c>
      <c r="C10" s="5" t="s">
        <v>705</v>
      </c>
      <c r="D10" s="7">
        <f t="shared" si="0"/>
        <v>29.700000000000003</v>
      </c>
      <c r="E10" s="5">
        <v>0</v>
      </c>
      <c r="F10" s="5">
        <v>0</v>
      </c>
      <c r="G10" s="5">
        <v>0</v>
      </c>
      <c r="H10" s="5">
        <v>0</v>
      </c>
      <c r="I10" s="5">
        <v>0</v>
      </c>
      <c r="J10" s="9">
        <v>0</v>
      </c>
      <c r="K10" s="5">
        <v>19</v>
      </c>
      <c r="L10" s="5">
        <v>68</v>
      </c>
      <c r="M10" s="5">
        <v>2</v>
      </c>
      <c r="N10" s="9">
        <v>0</v>
      </c>
      <c r="O10" s="5">
        <v>6</v>
      </c>
      <c r="P10" s="5">
        <v>49</v>
      </c>
      <c r="Q10" s="5">
        <v>0</v>
      </c>
      <c r="R10" s="9">
        <v>0</v>
      </c>
      <c r="S10" s="5">
        <v>0</v>
      </c>
      <c r="T10" s="5">
        <v>0</v>
      </c>
    </row>
    <row r="11" spans="1:20" x14ac:dyDescent="0.2">
      <c r="A11" s="5" t="s">
        <v>33</v>
      </c>
      <c r="B11" s="9" t="s">
        <v>17</v>
      </c>
      <c r="C11" s="5" t="s">
        <v>702</v>
      </c>
      <c r="D11" s="7">
        <f t="shared" si="0"/>
        <v>29.46</v>
      </c>
      <c r="E11" s="5">
        <v>27</v>
      </c>
      <c r="F11" s="5">
        <v>19</v>
      </c>
      <c r="G11" s="5">
        <v>314</v>
      </c>
      <c r="H11" s="5">
        <v>4</v>
      </c>
      <c r="I11" s="5">
        <v>0</v>
      </c>
      <c r="J11" s="9">
        <v>0</v>
      </c>
      <c r="K11" s="5">
        <v>2</v>
      </c>
      <c r="L11" s="5">
        <v>9</v>
      </c>
      <c r="M11" s="5">
        <v>0</v>
      </c>
      <c r="N11" s="9">
        <v>0</v>
      </c>
      <c r="O11" s="5">
        <v>0</v>
      </c>
      <c r="P11" s="5">
        <v>0</v>
      </c>
      <c r="Q11" s="5">
        <v>0</v>
      </c>
      <c r="R11" s="9">
        <v>0</v>
      </c>
      <c r="S11" s="5">
        <v>0</v>
      </c>
      <c r="T11" s="5">
        <v>0</v>
      </c>
    </row>
    <row r="12" spans="1:20" x14ac:dyDescent="0.2">
      <c r="A12" s="5" t="s">
        <v>175</v>
      </c>
      <c r="B12" s="9" t="s">
        <v>162</v>
      </c>
      <c r="C12" s="5" t="s">
        <v>706</v>
      </c>
      <c r="D12" s="7">
        <f t="shared" si="0"/>
        <v>29.2</v>
      </c>
      <c r="E12" s="5">
        <v>0</v>
      </c>
      <c r="F12" s="5">
        <v>0</v>
      </c>
      <c r="G12" s="5">
        <v>0</v>
      </c>
      <c r="H12" s="5">
        <v>0</v>
      </c>
      <c r="I12" s="5">
        <v>0</v>
      </c>
      <c r="J12" s="9">
        <v>0</v>
      </c>
      <c r="K12" s="5">
        <v>0</v>
      </c>
      <c r="L12" s="5">
        <v>0</v>
      </c>
      <c r="M12" s="5">
        <v>0</v>
      </c>
      <c r="N12" s="9">
        <v>0</v>
      </c>
      <c r="O12" s="5">
        <v>7</v>
      </c>
      <c r="P12" s="5">
        <v>162</v>
      </c>
      <c r="Q12" s="5">
        <v>1</v>
      </c>
      <c r="R12" s="9">
        <v>0</v>
      </c>
      <c r="S12" s="5">
        <v>0</v>
      </c>
      <c r="T12" s="5">
        <v>0</v>
      </c>
    </row>
    <row r="13" spans="1:20" x14ac:dyDescent="0.2">
      <c r="A13" s="5" t="s">
        <v>280</v>
      </c>
      <c r="B13" s="9" t="s">
        <v>69</v>
      </c>
      <c r="C13" s="5" t="s">
        <v>707</v>
      </c>
      <c r="D13" s="7">
        <f t="shared" si="0"/>
        <v>29</v>
      </c>
      <c r="E13" s="5">
        <v>0</v>
      </c>
      <c r="F13" s="5">
        <v>0</v>
      </c>
      <c r="G13" s="5">
        <v>0</v>
      </c>
      <c r="H13" s="5">
        <v>0</v>
      </c>
      <c r="I13" s="5">
        <v>0</v>
      </c>
      <c r="J13" s="9">
        <v>0</v>
      </c>
      <c r="K13" s="5">
        <v>0</v>
      </c>
      <c r="L13" s="5">
        <v>0</v>
      </c>
      <c r="M13" s="5">
        <v>0</v>
      </c>
      <c r="N13" s="9">
        <v>0</v>
      </c>
      <c r="O13" s="5">
        <v>9</v>
      </c>
      <c r="P13" s="5">
        <v>140</v>
      </c>
      <c r="Q13" s="5">
        <v>1</v>
      </c>
      <c r="R13" s="9">
        <v>0</v>
      </c>
      <c r="S13" s="5">
        <v>0</v>
      </c>
      <c r="T13" s="5">
        <v>0</v>
      </c>
    </row>
    <row r="14" spans="1:20" x14ac:dyDescent="0.2">
      <c r="A14" s="5" t="s">
        <v>470</v>
      </c>
      <c r="B14" s="9" t="s">
        <v>75</v>
      </c>
      <c r="C14" s="5" t="s">
        <v>707</v>
      </c>
      <c r="D14" s="7">
        <f t="shared" si="0"/>
        <v>28.900000000000002</v>
      </c>
      <c r="E14" s="5">
        <v>0</v>
      </c>
      <c r="F14" s="5">
        <v>0</v>
      </c>
      <c r="G14" s="5">
        <v>0</v>
      </c>
      <c r="H14" s="5">
        <v>0</v>
      </c>
      <c r="I14" s="5">
        <v>0</v>
      </c>
      <c r="J14" s="9">
        <v>0</v>
      </c>
      <c r="K14" s="5">
        <v>14</v>
      </c>
      <c r="L14" s="5">
        <v>51</v>
      </c>
      <c r="M14" s="5">
        <v>2</v>
      </c>
      <c r="N14" s="9">
        <v>0</v>
      </c>
      <c r="O14" s="5">
        <v>6</v>
      </c>
      <c r="P14" s="5">
        <v>58</v>
      </c>
      <c r="Q14" s="5">
        <v>0</v>
      </c>
      <c r="R14" s="9">
        <v>0</v>
      </c>
      <c r="S14" s="5">
        <v>0</v>
      </c>
      <c r="T14" s="5">
        <v>0</v>
      </c>
    </row>
    <row r="15" spans="1:20" x14ac:dyDescent="0.2">
      <c r="A15" s="5" t="s">
        <v>59</v>
      </c>
      <c r="B15" s="9" t="s">
        <v>17</v>
      </c>
      <c r="C15" s="5" t="s">
        <v>701</v>
      </c>
      <c r="D15" s="7">
        <f t="shared" si="0"/>
        <v>28.26</v>
      </c>
      <c r="E15" s="5">
        <v>41</v>
      </c>
      <c r="F15" s="5">
        <v>29</v>
      </c>
      <c r="G15" s="5">
        <v>299</v>
      </c>
      <c r="H15" s="5">
        <v>3</v>
      </c>
      <c r="I15" s="5">
        <v>0</v>
      </c>
      <c r="J15" s="9">
        <v>1</v>
      </c>
      <c r="K15" s="5">
        <v>7</v>
      </c>
      <c r="L15" s="5">
        <v>23</v>
      </c>
      <c r="M15" s="5">
        <v>0</v>
      </c>
      <c r="N15" s="9">
        <v>0</v>
      </c>
      <c r="O15" s="5">
        <v>0</v>
      </c>
      <c r="P15" s="5">
        <v>0</v>
      </c>
      <c r="Q15" s="5">
        <v>0</v>
      </c>
      <c r="R15" s="9">
        <v>0</v>
      </c>
      <c r="S15" s="5">
        <v>0</v>
      </c>
      <c r="T15" s="5">
        <v>0</v>
      </c>
    </row>
    <row r="16" spans="1:20" x14ac:dyDescent="0.2">
      <c r="A16" s="5" t="s">
        <v>475</v>
      </c>
      <c r="B16" s="9" t="s">
        <v>162</v>
      </c>
      <c r="C16" s="5" t="s">
        <v>708</v>
      </c>
      <c r="D16" s="7">
        <f t="shared" si="0"/>
        <v>27.6</v>
      </c>
      <c r="E16" s="5">
        <v>0</v>
      </c>
      <c r="F16" s="5">
        <v>0</v>
      </c>
      <c r="G16" s="5">
        <v>0</v>
      </c>
      <c r="H16" s="5">
        <v>0</v>
      </c>
      <c r="I16" s="5">
        <v>0</v>
      </c>
      <c r="J16" s="9">
        <v>0</v>
      </c>
      <c r="K16" s="5">
        <v>2</v>
      </c>
      <c r="L16" s="5">
        <v>15</v>
      </c>
      <c r="M16" s="5">
        <v>0</v>
      </c>
      <c r="N16" s="9">
        <v>0</v>
      </c>
      <c r="O16" s="5">
        <v>7</v>
      </c>
      <c r="P16" s="5">
        <v>71</v>
      </c>
      <c r="Q16" s="5">
        <v>2</v>
      </c>
      <c r="R16" s="9">
        <v>0</v>
      </c>
      <c r="S16" s="5">
        <v>0</v>
      </c>
      <c r="T16" s="5">
        <v>0</v>
      </c>
    </row>
    <row r="17" spans="1:20" x14ac:dyDescent="0.2">
      <c r="A17" s="5" t="s">
        <v>169</v>
      </c>
      <c r="B17" s="9" t="s">
        <v>162</v>
      </c>
      <c r="C17" s="5" t="s">
        <v>709</v>
      </c>
      <c r="D17" s="7">
        <f t="shared" si="0"/>
        <v>27.5</v>
      </c>
      <c r="E17" s="5">
        <v>0</v>
      </c>
      <c r="F17" s="5">
        <v>0</v>
      </c>
      <c r="G17" s="5">
        <v>0</v>
      </c>
      <c r="H17" s="5">
        <v>0</v>
      </c>
      <c r="I17" s="5">
        <v>0</v>
      </c>
      <c r="J17" s="9">
        <v>0</v>
      </c>
      <c r="K17" s="5">
        <v>0</v>
      </c>
      <c r="L17" s="5">
        <v>0</v>
      </c>
      <c r="M17" s="5">
        <v>0</v>
      </c>
      <c r="N17" s="9">
        <v>0</v>
      </c>
      <c r="O17" s="5">
        <v>11</v>
      </c>
      <c r="P17" s="5">
        <v>105</v>
      </c>
      <c r="Q17" s="5">
        <v>1</v>
      </c>
      <c r="R17" s="9">
        <v>0</v>
      </c>
      <c r="S17" s="5">
        <v>0</v>
      </c>
      <c r="T17" s="5">
        <v>0</v>
      </c>
    </row>
    <row r="18" spans="1:20" x14ac:dyDescent="0.2">
      <c r="A18" s="5" t="s">
        <v>65</v>
      </c>
      <c r="B18" s="9" t="s">
        <v>17</v>
      </c>
      <c r="C18" s="5" t="s">
        <v>705</v>
      </c>
      <c r="D18" s="7">
        <f t="shared" si="0"/>
        <v>26.66</v>
      </c>
      <c r="E18" s="5">
        <v>37</v>
      </c>
      <c r="F18" s="5">
        <v>32</v>
      </c>
      <c r="G18" s="5">
        <v>354</v>
      </c>
      <c r="H18" s="5">
        <v>1</v>
      </c>
      <c r="I18" s="5">
        <v>0</v>
      </c>
      <c r="J18" s="9">
        <v>0</v>
      </c>
      <c r="K18" s="5">
        <v>2</v>
      </c>
      <c r="L18" s="5">
        <v>22</v>
      </c>
      <c r="M18" s="5">
        <v>1</v>
      </c>
      <c r="N18" s="9">
        <v>0</v>
      </c>
      <c r="O18" s="5">
        <v>1</v>
      </c>
      <c r="P18" s="5">
        <v>-7</v>
      </c>
      <c r="Q18" s="5">
        <v>0</v>
      </c>
      <c r="R18" s="9">
        <v>0</v>
      </c>
      <c r="S18" s="5">
        <v>0</v>
      </c>
      <c r="T18" s="5">
        <v>0</v>
      </c>
    </row>
    <row r="19" spans="1:20" x14ac:dyDescent="0.2">
      <c r="A19" s="5" t="s">
        <v>375</v>
      </c>
      <c r="B19" s="9" t="s">
        <v>75</v>
      </c>
      <c r="C19" s="5" t="s">
        <v>704</v>
      </c>
      <c r="D19" s="7">
        <f t="shared" si="0"/>
        <v>25.3</v>
      </c>
      <c r="E19" s="5">
        <v>0</v>
      </c>
      <c r="F19" s="5">
        <v>0</v>
      </c>
      <c r="G19" s="5">
        <v>0</v>
      </c>
      <c r="H19" s="5">
        <v>0</v>
      </c>
      <c r="I19" s="5">
        <v>0</v>
      </c>
      <c r="J19" s="9">
        <v>0</v>
      </c>
      <c r="K19" s="5">
        <v>17</v>
      </c>
      <c r="L19" s="5">
        <v>73</v>
      </c>
      <c r="M19" s="5">
        <v>2</v>
      </c>
      <c r="N19" s="9">
        <v>0</v>
      </c>
      <c r="O19" s="5">
        <v>3</v>
      </c>
      <c r="P19" s="5">
        <v>30</v>
      </c>
      <c r="Q19" s="5">
        <v>0</v>
      </c>
      <c r="R19" s="9">
        <v>0</v>
      </c>
      <c r="S19" s="5">
        <v>0</v>
      </c>
      <c r="T19" s="5">
        <v>0</v>
      </c>
    </row>
    <row r="20" spans="1:20" x14ac:dyDescent="0.2">
      <c r="A20" s="5" t="s">
        <v>32</v>
      </c>
      <c r="B20" s="9" t="s">
        <v>17</v>
      </c>
      <c r="C20" s="5" t="s">
        <v>705</v>
      </c>
      <c r="D20" s="7">
        <f t="shared" si="0"/>
        <v>25.12</v>
      </c>
      <c r="E20" s="5">
        <v>29</v>
      </c>
      <c r="F20" s="5">
        <v>22</v>
      </c>
      <c r="G20" s="5">
        <v>258</v>
      </c>
      <c r="H20" s="5">
        <v>2</v>
      </c>
      <c r="I20" s="5">
        <v>0</v>
      </c>
      <c r="J20" s="9">
        <v>0</v>
      </c>
      <c r="K20" s="5">
        <v>5</v>
      </c>
      <c r="L20" s="5">
        <v>8</v>
      </c>
      <c r="M20" s="5">
        <v>1</v>
      </c>
      <c r="N20" s="9">
        <v>0</v>
      </c>
      <c r="O20" s="5">
        <v>0</v>
      </c>
      <c r="P20" s="5">
        <v>0</v>
      </c>
      <c r="Q20" s="5">
        <v>0</v>
      </c>
      <c r="R20" s="9">
        <v>0</v>
      </c>
      <c r="S20" s="5">
        <v>0</v>
      </c>
      <c r="T20" s="5">
        <v>0</v>
      </c>
    </row>
    <row r="21" spans="1:20" x14ac:dyDescent="0.2">
      <c r="A21" s="5" t="s">
        <v>88</v>
      </c>
      <c r="B21" s="9" t="s">
        <v>75</v>
      </c>
      <c r="C21" s="5" t="s">
        <v>709</v>
      </c>
      <c r="D21" s="7">
        <f t="shared" si="0"/>
        <v>25.000000000000004</v>
      </c>
      <c r="E21" s="5">
        <v>0</v>
      </c>
      <c r="F21" s="5">
        <v>0</v>
      </c>
      <c r="G21" s="5">
        <v>0</v>
      </c>
      <c r="H21" s="5">
        <v>0</v>
      </c>
      <c r="I21" s="5">
        <v>0</v>
      </c>
      <c r="J21" s="9">
        <v>0</v>
      </c>
      <c r="K21" s="5">
        <v>21</v>
      </c>
      <c r="L21" s="5">
        <v>102</v>
      </c>
      <c r="M21" s="5">
        <v>2</v>
      </c>
      <c r="N21" s="9">
        <v>0</v>
      </c>
      <c r="O21" s="5">
        <v>1</v>
      </c>
      <c r="P21" s="5">
        <v>18</v>
      </c>
      <c r="Q21" s="5">
        <v>0</v>
      </c>
      <c r="R21" s="9">
        <v>0</v>
      </c>
      <c r="S21" s="5">
        <v>0</v>
      </c>
      <c r="T21" s="5">
        <v>0</v>
      </c>
    </row>
    <row r="22" spans="1:20" x14ac:dyDescent="0.2">
      <c r="A22" s="5" t="s">
        <v>177</v>
      </c>
      <c r="B22" s="9" t="s">
        <v>162</v>
      </c>
      <c r="C22" s="5" t="s">
        <v>702</v>
      </c>
      <c r="D22" s="7">
        <f t="shared" si="0"/>
        <v>24.6</v>
      </c>
      <c r="E22" s="5">
        <v>0</v>
      </c>
      <c r="F22" s="5">
        <v>0</v>
      </c>
      <c r="G22" s="5">
        <v>0</v>
      </c>
      <c r="H22" s="5">
        <v>0</v>
      </c>
      <c r="I22" s="5">
        <v>0</v>
      </c>
      <c r="J22" s="9">
        <v>0</v>
      </c>
      <c r="K22" s="5">
        <v>0</v>
      </c>
      <c r="L22" s="5">
        <v>0</v>
      </c>
      <c r="M22" s="5">
        <v>0</v>
      </c>
      <c r="N22" s="9">
        <v>0</v>
      </c>
      <c r="O22" s="5">
        <v>9</v>
      </c>
      <c r="P22" s="5">
        <v>96</v>
      </c>
      <c r="Q22" s="5">
        <v>1</v>
      </c>
      <c r="R22" s="9">
        <v>0</v>
      </c>
      <c r="S22" s="5">
        <v>0</v>
      </c>
      <c r="T22" s="5">
        <v>0</v>
      </c>
    </row>
    <row r="23" spans="1:20" x14ac:dyDescent="0.2">
      <c r="A23" s="5" t="s">
        <v>45</v>
      </c>
      <c r="B23" s="9" t="s">
        <v>17</v>
      </c>
      <c r="C23" s="5" t="s">
        <v>702</v>
      </c>
      <c r="D23" s="7">
        <f t="shared" si="0"/>
        <v>23.92</v>
      </c>
      <c r="E23" s="5">
        <v>45</v>
      </c>
      <c r="F23" s="5">
        <v>26</v>
      </c>
      <c r="G23" s="5">
        <v>298</v>
      </c>
      <c r="H23" s="5">
        <v>1</v>
      </c>
      <c r="I23" s="5">
        <v>0</v>
      </c>
      <c r="J23" s="9">
        <v>0</v>
      </c>
      <c r="K23" s="5">
        <v>7</v>
      </c>
      <c r="L23" s="5">
        <v>20</v>
      </c>
      <c r="M23" s="5">
        <v>1</v>
      </c>
      <c r="N23" s="9">
        <v>0</v>
      </c>
      <c r="O23" s="5">
        <v>0</v>
      </c>
      <c r="P23" s="5">
        <v>0</v>
      </c>
      <c r="Q23" s="5">
        <v>0</v>
      </c>
      <c r="R23" s="9">
        <v>0</v>
      </c>
      <c r="S23" s="5">
        <v>0</v>
      </c>
      <c r="T23" s="5">
        <v>0</v>
      </c>
    </row>
    <row r="24" spans="1:20" x14ac:dyDescent="0.2">
      <c r="A24" s="5" t="s">
        <v>170</v>
      </c>
      <c r="B24" s="9" t="s">
        <v>162</v>
      </c>
      <c r="C24" s="5" t="s">
        <v>710</v>
      </c>
      <c r="D24" s="7">
        <f t="shared" si="0"/>
        <v>23.9</v>
      </c>
      <c r="E24" s="5">
        <v>0</v>
      </c>
      <c r="F24" s="5">
        <v>0</v>
      </c>
      <c r="G24" s="5">
        <v>0</v>
      </c>
      <c r="H24" s="5">
        <v>0</v>
      </c>
      <c r="I24" s="5">
        <v>0</v>
      </c>
      <c r="J24" s="9">
        <v>0</v>
      </c>
      <c r="K24" s="5">
        <v>2</v>
      </c>
      <c r="L24" s="5">
        <v>34</v>
      </c>
      <c r="M24" s="5">
        <v>0</v>
      </c>
      <c r="N24" s="9">
        <v>0</v>
      </c>
      <c r="O24" s="5">
        <v>4</v>
      </c>
      <c r="P24" s="5">
        <v>105</v>
      </c>
      <c r="Q24" s="5">
        <v>1</v>
      </c>
      <c r="R24" s="9">
        <v>0</v>
      </c>
      <c r="S24" s="5">
        <v>0</v>
      </c>
      <c r="T24" s="5">
        <v>0</v>
      </c>
    </row>
    <row r="25" spans="1:20" x14ac:dyDescent="0.2">
      <c r="A25" s="5" t="s">
        <v>21</v>
      </c>
      <c r="B25" s="9" t="s">
        <v>17</v>
      </c>
      <c r="C25" s="5" t="s">
        <v>708</v>
      </c>
      <c r="D25" s="7">
        <f t="shared" si="0"/>
        <v>23.68</v>
      </c>
      <c r="E25" s="5">
        <v>36</v>
      </c>
      <c r="F25" s="5">
        <v>25</v>
      </c>
      <c r="G25" s="5">
        <v>267</v>
      </c>
      <c r="H25" s="5">
        <v>3</v>
      </c>
      <c r="I25" s="5">
        <v>0</v>
      </c>
      <c r="J25" s="9">
        <v>0</v>
      </c>
      <c r="K25" s="5">
        <v>2</v>
      </c>
      <c r="L25" s="5">
        <v>10</v>
      </c>
      <c r="M25" s="5">
        <v>0</v>
      </c>
      <c r="N25" s="9">
        <v>0</v>
      </c>
      <c r="O25" s="5">
        <v>0</v>
      </c>
      <c r="P25" s="5">
        <v>0</v>
      </c>
      <c r="Q25" s="5">
        <v>0</v>
      </c>
      <c r="R25" s="9">
        <v>0</v>
      </c>
      <c r="S25" s="5">
        <v>0</v>
      </c>
      <c r="T25" s="5">
        <v>0</v>
      </c>
    </row>
    <row r="26" spans="1:20" x14ac:dyDescent="0.2">
      <c r="A26" s="5" t="s">
        <v>276</v>
      </c>
      <c r="B26" s="9" t="s">
        <v>69</v>
      </c>
      <c r="C26" s="5" t="s">
        <v>705</v>
      </c>
      <c r="D26" s="7">
        <f t="shared" si="0"/>
        <v>23.200000000000003</v>
      </c>
      <c r="E26" s="5">
        <v>0</v>
      </c>
      <c r="F26" s="5">
        <v>0</v>
      </c>
      <c r="G26" s="5">
        <v>0</v>
      </c>
      <c r="H26" s="5">
        <v>0</v>
      </c>
      <c r="I26" s="5">
        <v>0</v>
      </c>
      <c r="J26" s="9">
        <v>0</v>
      </c>
      <c r="K26" s="5">
        <v>0</v>
      </c>
      <c r="L26" s="5">
        <v>0</v>
      </c>
      <c r="M26" s="5">
        <v>0</v>
      </c>
      <c r="N26" s="9">
        <v>0</v>
      </c>
      <c r="O26" s="5">
        <v>9</v>
      </c>
      <c r="P26" s="5">
        <v>82</v>
      </c>
      <c r="Q26" s="5">
        <v>1</v>
      </c>
      <c r="R26" s="9">
        <v>0</v>
      </c>
      <c r="S26" s="5">
        <v>0</v>
      </c>
      <c r="T26" s="5">
        <v>0</v>
      </c>
    </row>
    <row r="27" spans="1:20" x14ac:dyDescent="0.2">
      <c r="A27" s="5" t="s">
        <v>46</v>
      </c>
      <c r="B27" s="9" t="s">
        <v>17</v>
      </c>
      <c r="C27" s="5" t="s">
        <v>710</v>
      </c>
      <c r="D27" s="7">
        <f t="shared" si="0"/>
        <v>22.96</v>
      </c>
      <c r="E27" s="5">
        <v>37</v>
      </c>
      <c r="F27" s="5">
        <v>22</v>
      </c>
      <c r="G27" s="5">
        <v>279</v>
      </c>
      <c r="H27" s="5">
        <v>3</v>
      </c>
      <c r="I27" s="5">
        <v>0</v>
      </c>
      <c r="J27" s="9">
        <v>0</v>
      </c>
      <c r="K27" s="5">
        <v>1</v>
      </c>
      <c r="L27" s="5">
        <v>-2</v>
      </c>
      <c r="M27" s="5">
        <v>0</v>
      </c>
      <c r="N27" s="9">
        <v>0</v>
      </c>
      <c r="O27" s="5">
        <v>0</v>
      </c>
      <c r="P27" s="5">
        <v>0</v>
      </c>
      <c r="Q27" s="5">
        <v>0</v>
      </c>
      <c r="R27" s="9">
        <v>0</v>
      </c>
      <c r="S27" s="5">
        <v>0</v>
      </c>
      <c r="T27" s="5">
        <v>0</v>
      </c>
    </row>
    <row r="28" spans="1:20" x14ac:dyDescent="0.2">
      <c r="A28" s="5" t="s">
        <v>299</v>
      </c>
      <c r="B28" s="9" t="s">
        <v>69</v>
      </c>
      <c r="C28" s="5" t="s">
        <v>711</v>
      </c>
      <c r="D28" s="7">
        <f t="shared" si="0"/>
        <v>22.9</v>
      </c>
      <c r="E28" s="5">
        <v>0</v>
      </c>
      <c r="F28" s="5">
        <v>0</v>
      </c>
      <c r="G28" s="5">
        <v>0</v>
      </c>
      <c r="H28" s="5">
        <v>0</v>
      </c>
      <c r="I28" s="5">
        <v>0</v>
      </c>
      <c r="J28" s="9">
        <v>0</v>
      </c>
      <c r="K28" s="5">
        <v>0</v>
      </c>
      <c r="L28" s="5">
        <v>0</v>
      </c>
      <c r="M28" s="5">
        <v>0</v>
      </c>
      <c r="N28" s="9">
        <v>0</v>
      </c>
      <c r="O28" s="5">
        <v>8</v>
      </c>
      <c r="P28" s="5">
        <v>89</v>
      </c>
      <c r="Q28" s="5">
        <v>1</v>
      </c>
      <c r="R28" s="9">
        <v>0</v>
      </c>
      <c r="S28" s="5">
        <v>0</v>
      </c>
      <c r="T28" s="5">
        <v>0</v>
      </c>
    </row>
    <row r="29" spans="1:20" x14ac:dyDescent="0.2">
      <c r="A29" s="5" t="s">
        <v>95</v>
      </c>
      <c r="B29" s="9" t="s">
        <v>75</v>
      </c>
      <c r="C29" s="5" t="s">
        <v>711</v>
      </c>
      <c r="D29" s="7">
        <f t="shared" si="0"/>
        <v>22.5</v>
      </c>
      <c r="E29" s="5">
        <v>0</v>
      </c>
      <c r="F29" s="5">
        <v>0</v>
      </c>
      <c r="G29" s="5">
        <v>0</v>
      </c>
      <c r="H29" s="5">
        <v>0</v>
      </c>
      <c r="I29" s="5">
        <v>0</v>
      </c>
      <c r="J29" s="9">
        <v>0</v>
      </c>
      <c r="K29" s="5">
        <v>25</v>
      </c>
      <c r="L29" s="5">
        <v>105</v>
      </c>
      <c r="M29" s="5">
        <v>2</v>
      </c>
      <c r="N29" s="9">
        <v>0</v>
      </c>
      <c r="O29" s="5">
        <v>0</v>
      </c>
      <c r="P29" s="5">
        <v>0</v>
      </c>
      <c r="Q29" s="5">
        <v>0</v>
      </c>
      <c r="R29" s="9">
        <v>0</v>
      </c>
      <c r="S29" s="5">
        <v>0</v>
      </c>
      <c r="T29" s="5">
        <v>0</v>
      </c>
    </row>
    <row r="30" spans="1:20" x14ac:dyDescent="0.2">
      <c r="A30" s="5" t="s">
        <v>108</v>
      </c>
      <c r="B30" s="9" t="s">
        <v>75</v>
      </c>
      <c r="C30" s="5" t="s">
        <v>706</v>
      </c>
      <c r="D30" s="7">
        <f t="shared" si="0"/>
        <v>22.4</v>
      </c>
      <c r="E30" s="5">
        <v>0</v>
      </c>
      <c r="F30" s="5">
        <v>0</v>
      </c>
      <c r="G30" s="5">
        <v>0</v>
      </c>
      <c r="H30" s="5">
        <v>0</v>
      </c>
      <c r="I30" s="5">
        <v>0</v>
      </c>
      <c r="J30" s="9">
        <v>0</v>
      </c>
      <c r="K30" s="5">
        <v>25</v>
      </c>
      <c r="L30" s="5">
        <v>104</v>
      </c>
      <c r="M30" s="5">
        <v>2</v>
      </c>
      <c r="N30" s="9">
        <v>0</v>
      </c>
      <c r="O30" s="5">
        <v>0</v>
      </c>
      <c r="P30" s="5">
        <v>0</v>
      </c>
      <c r="Q30" s="5">
        <v>0</v>
      </c>
      <c r="R30" s="9">
        <v>0</v>
      </c>
      <c r="S30" s="5">
        <v>0</v>
      </c>
      <c r="T30" s="5">
        <v>0</v>
      </c>
    </row>
    <row r="31" spans="1:20" x14ac:dyDescent="0.2">
      <c r="A31" s="5" t="s">
        <v>77</v>
      </c>
      <c r="B31" s="9" t="s">
        <v>75</v>
      </c>
      <c r="C31" s="5" t="s">
        <v>702</v>
      </c>
      <c r="D31" s="7">
        <f t="shared" si="0"/>
        <v>22.3</v>
      </c>
      <c r="E31" s="5">
        <v>0</v>
      </c>
      <c r="F31" s="5">
        <v>0</v>
      </c>
      <c r="G31" s="5">
        <v>0</v>
      </c>
      <c r="H31" s="5">
        <v>0</v>
      </c>
      <c r="I31" s="5">
        <v>0</v>
      </c>
      <c r="J31" s="9">
        <v>0</v>
      </c>
      <c r="K31" s="5">
        <v>17</v>
      </c>
      <c r="L31" s="5">
        <v>93</v>
      </c>
      <c r="M31" s="5">
        <v>1</v>
      </c>
      <c r="N31" s="9">
        <v>0</v>
      </c>
      <c r="O31" s="5">
        <v>3</v>
      </c>
      <c r="P31" s="5">
        <v>40</v>
      </c>
      <c r="Q31" s="5">
        <v>0</v>
      </c>
      <c r="R31" s="9">
        <v>0</v>
      </c>
      <c r="S31" s="5">
        <v>0</v>
      </c>
      <c r="T31" s="5">
        <v>0</v>
      </c>
    </row>
    <row r="32" spans="1:20" x14ac:dyDescent="0.2">
      <c r="A32" s="5" t="s">
        <v>104</v>
      </c>
      <c r="B32" s="9" t="s">
        <v>75</v>
      </c>
      <c r="C32" s="5" t="s">
        <v>708</v>
      </c>
      <c r="D32" s="7">
        <f t="shared" si="0"/>
        <v>21.3</v>
      </c>
      <c r="E32" s="5">
        <v>0</v>
      </c>
      <c r="F32" s="5">
        <v>0</v>
      </c>
      <c r="G32" s="5">
        <v>0</v>
      </c>
      <c r="H32" s="5">
        <v>0</v>
      </c>
      <c r="I32" s="5">
        <v>0</v>
      </c>
      <c r="J32" s="9">
        <v>0</v>
      </c>
      <c r="K32" s="5">
        <v>18</v>
      </c>
      <c r="L32" s="5">
        <v>110</v>
      </c>
      <c r="M32" s="5">
        <v>1</v>
      </c>
      <c r="N32" s="9">
        <v>0</v>
      </c>
      <c r="O32" s="5">
        <v>3</v>
      </c>
      <c r="P32" s="5">
        <v>13</v>
      </c>
      <c r="Q32" s="5">
        <v>0</v>
      </c>
      <c r="R32" s="9">
        <v>0</v>
      </c>
      <c r="S32" s="5">
        <v>0</v>
      </c>
      <c r="T32" s="5">
        <v>0</v>
      </c>
    </row>
    <row r="33" spans="1:20" x14ac:dyDescent="0.2">
      <c r="A33" s="5" t="s">
        <v>83</v>
      </c>
      <c r="B33" s="9" t="s">
        <v>75</v>
      </c>
      <c r="C33" s="5" t="s">
        <v>710</v>
      </c>
      <c r="D33" s="7">
        <f t="shared" si="0"/>
        <v>20.200000000000003</v>
      </c>
      <c r="E33" s="5">
        <v>0</v>
      </c>
      <c r="F33" s="5">
        <v>0</v>
      </c>
      <c r="G33" s="5">
        <v>0</v>
      </c>
      <c r="H33" s="5">
        <v>0</v>
      </c>
      <c r="I33" s="5">
        <v>0</v>
      </c>
      <c r="J33" s="9">
        <v>0</v>
      </c>
      <c r="K33" s="5">
        <v>21</v>
      </c>
      <c r="L33" s="5">
        <v>88</v>
      </c>
      <c r="M33" s="5">
        <v>1</v>
      </c>
      <c r="N33" s="9">
        <v>0</v>
      </c>
      <c r="O33" s="5">
        <v>3</v>
      </c>
      <c r="P33" s="5">
        <v>24</v>
      </c>
      <c r="Q33" s="5">
        <v>0</v>
      </c>
      <c r="R33" s="9">
        <v>0</v>
      </c>
      <c r="S33" s="5">
        <v>0</v>
      </c>
      <c r="T33" s="5">
        <v>0</v>
      </c>
    </row>
    <row r="34" spans="1:20" x14ac:dyDescent="0.2">
      <c r="A34" s="5" t="s">
        <v>304</v>
      </c>
      <c r="B34" s="9" t="s">
        <v>69</v>
      </c>
      <c r="C34" s="5" t="s">
        <v>701</v>
      </c>
      <c r="D34" s="7">
        <f t="shared" si="0"/>
        <v>19.7</v>
      </c>
      <c r="E34" s="5">
        <v>0</v>
      </c>
      <c r="F34" s="5">
        <v>0</v>
      </c>
      <c r="G34" s="5">
        <v>0</v>
      </c>
      <c r="H34" s="5">
        <v>0</v>
      </c>
      <c r="I34" s="5">
        <v>0</v>
      </c>
      <c r="J34" s="9">
        <v>0</v>
      </c>
      <c r="K34" s="5">
        <v>0</v>
      </c>
      <c r="L34" s="5">
        <v>0</v>
      </c>
      <c r="M34" s="5">
        <v>0</v>
      </c>
      <c r="N34" s="9">
        <v>0</v>
      </c>
      <c r="O34" s="5">
        <v>6</v>
      </c>
      <c r="P34" s="5">
        <v>77</v>
      </c>
      <c r="Q34" s="5">
        <v>1</v>
      </c>
      <c r="R34" s="9">
        <v>0</v>
      </c>
      <c r="S34" s="5">
        <v>0</v>
      </c>
      <c r="T34" s="5">
        <v>0</v>
      </c>
    </row>
    <row r="35" spans="1:20" x14ac:dyDescent="0.2">
      <c r="A35" s="5" t="s">
        <v>114</v>
      </c>
      <c r="B35" s="9" t="s">
        <v>75</v>
      </c>
      <c r="C35" s="5" t="s">
        <v>706</v>
      </c>
      <c r="D35" s="7">
        <f t="shared" si="0"/>
        <v>19.599999999999998</v>
      </c>
      <c r="E35" s="5">
        <v>0</v>
      </c>
      <c r="F35" s="5">
        <v>0</v>
      </c>
      <c r="G35" s="5">
        <v>0</v>
      </c>
      <c r="H35" s="5">
        <v>0</v>
      </c>
      <c r="I35" s="5">
        <v>0</v>
      </c>
      <c r="J35" s="9">
        <v>0</v>
      </c>
      <c r="K35" s="5">
        <v>20</v>
      </c>
      <c r="L35" s="5">
        <v>84</v>
      </c>
      <c r="M35" s="5">
        <v>1</v>
      </c>
      <c r="N35" s="9">
        <v>0</v>
      </c>
      <c r="O35" s="5">
        <v>3</v>
      </c>
      <c r="P35" s="5">
        <v>22</v>
      </c>
      <c r="Q35" s="5">
        <v>0</v>
      </c>
      <c r="R35" s="9">
        <v>0</v>
      </c>
      <c r="S35" s="5">
        <v>0</v>
      </c>
      <c r="T35" s="5">
        <v>0</v>
      </c>
    </row>
    <row r="36" spans="1:20" x14ac:dyDescent="0.2">
      <c r="A36" s="5" t="s">
        <v>182</v>
      </c>
      <c r="B36" s="9" t="s">
        <v>162</v>
      </c>
      <c r="C36" s="5" t="s">
        <v>702</v>
      </c>
      <c r="D36" s="7">
        <f t="shared" si="0"/>
        <v>19.399999999999999</v>
      </c>
      <c r="E36" s="5">
        <v>0</v>
      </c>
      <c r="F36" s="5">
        <v>0</v>
      </c>
      <c r="G36" s="5">
        <v>0</v>
      </c>
      <c r="H36" s="5">
        <v>0</v>
      </c>
      <c r="I36" s="5">
        <v>0</v>
      </c>
      <c r="J36" s="9">
        <v>0</v>
      </c>
      <c r="K36" s="5">
        <v>0</v>
      </c>
      <c r="L36" s="5">
        <v>0</v>
      </c>
      <c r="M36" s="5">
        <v>0</v>
      </c>
      <c r="N36" s="9">
        <v>0</v>
      </c>
      <c r="O36" s="5">
        <v>8</v>
      </c>
      <c r="P36" s="5">
        <v>114</v>
      </c>
      <c r="Q36" s="5">
        <v>0</v>
      </c>
      <c r="R36" s="9">
        <v>0</v>
      </c>
      <c r="S36" s="5">
        <v>0</v>
      </c>
      <c r="T36" s="5">
        <v>0</v>
      </c>
    </row>
    <row r="37" spans="1:20" x14ac:dyDescent="0.2">
      <c r="A37" s="5" t="s">
        <v>16</v>
      </c>
      <c r="B37" s="9" t="s">
        <v>17</v>
      </c>
      <c r="C37" s="5" t="s">
        <v>704</v>
      </c>
      <c r="D37" s="7">
        <f t="shared" si="0"/>
        <v>19.200000000000003</v>
      </c>
      <c r="E37" s="5">
        <v>24</v>
      </c>
      <c r="F37" s="5">
        <v>18</v>
      </c>
      <c r="G37" s="5">
        <v>280</v>
      </c>
      <c r="H37" s="5">
        <v>2</v>
      </c>
      <c r="I37" s="5">
        <v>0</v>
      </c>
      <c r="J37" s="9">
        <v>0</v>
      </c>
      <c r="K37" s="5">
        <v>0</v>
      </c>
      <c r="L37" s="5">
        <v>0</v>
      </c>
      <c r="M37" s="5">
        <v>0</v>
      </c>
      <c r="N37" s="9">
        <v>0</v>
      </c>
      <c r="O37" s="5">
        <v>0</v>
      </c>
      <c r="P37" s="5">
        <v>0</v>
      </c>
      <c r="Q37" s="5">
        <v>0</v>
      </c>
      <c r="R37" s="9">
        <v>0</v>
      </c>
      <c r="S37" s="5">
        <v>0</v>
      </c>
      <c r="T37" s="5">
        <v>0</v>
      </c>
    </row>
    <row r="38" spans="1:20" x14ac:dyDescent="0.2">
      <c r="A38" s="5" t="s">
        <v>39</v>
      </c>
      <c r="B38" s="9" t="s">
        <v>17</v>
      </c>
      <c r="C38" s="5" t="s">
        <v>704</v>
      </c>
      <c r="D38" s="7">
        <f t="shared" si="0"/>
        <v>19.18</v>
      </c>
      <c r="E38" s="5">
        <v>23</v>
      </c>
      <c r="F38" s="5">
        <v>12</v>
      </c>
      <c r="G38" s="5">
        <v>127</v>
      </c>
      <c r="H38" s="5">
        <v>0</v>
      </c>
      <c r="I38" s="5">
        <v>1</v>
      </c>
      <c r="J38" s="9">
        <v>1</v>
      </c>
      <c r="K38" s="5">
        <v>4</v>
      </c>
      <c r="L38" s="5">
        <v>21</v>
      </c>
      <c r="M38" s="5">
        <v>2</v>
      </c>
      <c r="N38" s="9">
        <v>0</v>
      </c>
      <c r="O38" s="5">
        <v>0</v>
      </c>
      <c r="P38" s="5">
        <v>0</v>
      </c>
      <c r="Q38" s="5">
        <v>0</v>
      </c>
      <c r="R38" s="9">
        <v>0</v>
      </c>
      <c r="S38" s="5">
        <v>0</v>
      </c>
      <c r="T38" s="5">
        <v>0</v>
      </c>
    </row>
    <row r="39" spans="1:20" x14ac:dyDescent="0.2">
      <c r="A39" s="5" t="s">
        <v>265</v>
      </c>
      <c r="B39" s="9" t="s">
        <v>162</v>
      </c>
      <c r="C39" s="5" t="s">
        <v>709</v>
      </c>
      <c r="D39" s="7">
        <f t="shared" si="0"/>
        <v>19</v>
      </c>
      <c r="E39" s="5">
        <v>0</v>
      </c>
      <c r="F39" s="5">
        <v>0</v>
      </c>
      <c r="G39" s="5">
        <v>0</v>
      </c>
      <c r="H39" s="5">
        <v>0</v>
      </c>
      <c r="I39" s="5">
        <v>0</v>
      </c>
      <c r="J39" s="9">
        <v>0</v>
      </c>
      <c r="K39" s="5">
        <v>0</v>
      </c>
      <c r="L39" s="5">
        <v>0</v>
      </c>
      <c r="M39" s="5">
        <v>0</v>
      </c>
      <c r="N39" s="9">
        <v>0</v>
      </c>
      <c r="O39" s="5">
        <v>3</v>
      </c>
      <c r="P39" s="5">
        <v>100</v>
      </c>
      <c r="Q39" s="5">
        <v>1</v>
      </c>
      <c r="R39" s="9">
        <v>0</v>
      </c>
      <c r="S39" s="5">
        <v>0</v>
      </c>
      <c r="T39" s="5">
        <v>0</v>
      </c>
    </row>
    <row r="40" spans="1:20" x14ac:dyDescent="0.2">
      <c r="A40" s="5" t="s">
        <v>187</v>
      </c>
      <c r="B40" s="9" t="s">
        <v>162</v>
      </c>
      <c r="C40" s="5" t="s">
        <v>709</v>
      </c>
      <c r="D40" s="7">
        <f t="shared" si="0"/>
        <v>18.899999999999999</v>
      </c>
      <c r="E40" s="5">
        <v>0</v>
      </c>
      <c r="F40" s="5">
        <v>0</v>
      </c>
      <c r="G40" s="5">
        <v>0</v>
      </c>
      <c r="H40" s="5">
        <v>0</v>
      </c>
      <c r="I40" s="5">
        <v>0</v>
      </c>
      <c r="J40" s="9">
        <v>0</v>
      </c>
      <c r="K40" s="5">
        <v>1</v>
      </c>
      <c r="L40" s="5">
        <v>4</v>
      </c>
      <c r="M40" s="5">
        <v>0</v>
      </c>
      <c r="N40" s="9">
        <v>0</v>
      </c>
      <c r="O40" s="5">
        <v>5</v>
      </c>
      <c r="P40" s="5">
        <v>75</v>
      </c>
      <c r="Q40" s="5">
        <v>1</v>
      </c>
      <c r="R40" s="9">
        <v>0</v>
      </c>
      <c r="S40" s="5">
        <v>0</v>
      </c>
      <c r="T40" s="5">
        <v>0</v>
      </c>
    </row>
    <row r="41" spans="1:20" x14ac:dyDescent="0.2">
      <c r="A41" s="5" t="s">
        <v>70</v>
      </c>
      <c r="B41" s="9" t="s">
        <v>17</v>
      </c>
      <c r="C41" s="5" t="s">
        <v>709</v>
      </c>
      <c r="D41" s="7">
        <f t="shared" si="0"/>
        <v>18.68</v>
      </c>
      <c r="E41" s="5">
        <v>42</v>
      </c>
      <c r="F41" s="5">
        <v>26</v>
      </c>
      <c r="G41" s="5">
        <v>312</v>
      </c>
      <c r="H41" s="5">
        <v>2</v>
      </c>
      <c r="I41" s="5">
        <v>0</v>
      </c>
      <c r="J41" s="9">
        <v>0</v>
      </c>
      <c r="K41" s="5">
        <v>3</v>
      </c>
      <c r="L41" s="5">
        <v>2</v>
      </c>
      <c r="M41" s="5">
        <v>0</v>
      </c>
      <c r="N41" s="9">
        <v>0</v>
      </c>
      <c r="O41" s="5">
        <v>0</v>
      </c>
      <c r="P41" s="5">
        <v>0</v>
      </c>
      <c r="Q41" s="5">
        <v>0</v>
      </c>
      <c r="R41" s="9">
        <v>0</v>
      </c>
      <c r="S41" s="5">
        <v>1</v>
      </c>
      <c r="T41" s="5">
        <v>0</v>
      </c>
    </row>
    <row r="42" spans="1:20" x14ac:dyDescent="0.2">
      <c r="A42" s="5" t="s">
        <v>712</v>
      </c>
      <c r="B42" s="9" t="s">
        <v>162</v>
      </c>
      <c r="C42" s="5" t="s">
        <v>705</v>
      </c>
      <c r="D42" s="7">
        <f t="shared" si="0"/>
        <v>18.100000000000001</v>
      </c>
      <c r="E42" s="5">
        <v>0</v>
      </c>
      <c r="F42" s="5">
        <v>0</v>
      </c>
      <c r="G42" s="5">
        <v>0</v>
      </c>
      <c r="H42" s="5">
        <v>0</v>
      </c>
      <c r="I42" s="5">
        <v>0</v>
      </c>
      <c r="J42" s="9">
        <v>0</v>
      </c>
      <c r="K42" s="5">
        <v>0</v>
      </c>
      <c r="L42" s="5">
        <v>0</v>
      </c>
      <c r="M42" s="5">
        <v>0</v>
      </c>
      <c r="N42" s="9">
        <v>0</v>
      </c>
      <c r="O42" s="5">
        <v>6</v>
      </c>
      <c r="P42" s="5">
        <v>61</v>
      </c>
      <c r="Q42" s="5">
        <v>1</v>
      </c>
      <c r="R42" s="9">
        <v>0</v>
      </c>
      <c r="S42" s="5">
        <v>0</v>
      </c>
      <c r="T42" s="5">
        <v>0</v>
      </c>
    </row>
    <row r="43" spans="1:20" x14ac:dyDescent="0.2">
      <c r="A43" s="5" t="s">
        <v>80</v>
      </c>
      <c r="B43" s="9" t="s">
        <v>75</v>
      </c>
      <c r="C43" s="5" t="s">
        <v>705</v>
      </c>
      <c r="D43" s="7">
        <f t="shared" si="0"/>
        <v>17.899999999999999</v>
      </c>
      <c r="E43" s="5">
        <v>0</v>
      </c>
      <c r="F43" s="5">
        <v>0</v>
      </c>
      <c r="G43" s="5">
        <v>0</v>
      </c>
      <c r="H43" s="5">
        <v>0</v>
      </c>
      <c r="I43" s="5">
        <v>0</v>
      </c>
      <c r="J43" s="9">
        <v>0</v>
      </c>
      <c r="K43" s="5">
        <v>11</v>
      </c>
      <c r="L43" s="5">
        <v>45</v>
      </c>
      <c r="M43" s="5">
        <v>1</v>
      </c>
      <c r="N43" s="9">
        <v>0</v>
      </c>
      <c r="O43" s="5">
        <v>4</v>
      </c>
      <c r="P43" s="5">
        <v>34</v>
      </c>
      <c r="Q43" s="5">
        <v>0</v>
      </c>
      <c r="R43" s="9">
        <v>0</v>
      </c>
      <c r="S43" s="5">
        <v>0</v>
      </c>
      <c r="T43" s="5">
        <v>0</v>
      </c>
    </row>
    <row r="44" spans="1:20" x14ac:dyDescent="0.2">
      <c r="A44" s="5" t="s">
        <v>79</v>
      </c>
      <c r="B44" s="9" t="s">
        <v>75</v>
      </c>
      <c r="C44" s="5" t="s">
        <v>701</v>
      </c>
      <c r="D44" s="7">
        <f t="shared" si="0"/>
        <v>17.3</v>
      </c>
      <c r="E44" s="5">
        <v>0</v>
      </c>
      <c r="F44" s="5">
        <v>0</v>
      </c>
      <c r="G44" s="5">
        <v>0</v>
      </c>
      <c r="H44" s="5">
        <v>0</v>
      </c>
      <c r="I44" s="5">
        <v>0</v>
      </c>
      <c r="J44" s="9">
        <v>0</v>
      </c>
      <c r="K44" s="5">
        <v>20</v>
      </c>
      <c r="L44" s="5">
        <v>68</v>
      </c>
      <c r="M44" s="5">
        <v>1</v>
      </c>
      <c r="N44" s="9">
        <v>0</v>
      </c>
      <c r="O44" s="5">
        <v>3</v>
      </c>
      <c r="P44" s="5">
        <v>15</v>
      </c>
      <c r="Q44" s="5">
        <v>0</v>
      </c>
      <c r="R44" s="9">
        <v>0</v>
      </c>
      <c r="S44" s="5">
        <v>0</v>
      </c>
      <c r="T44" s="5">
        <v>0</v>
      </c>
    </row>
    <row r="45" spans="1:20" x14ac:dyDescent="0.2">
      <c r="A45" s="5" t="s">
        <v>144</v>
      </c>
      <c r="B45" s="9" t="s">
        <v>75</v>
      </c>
      <c r="C45" s="5" t="s">
        <v>701</v>
      </c>
      <c r="D45" s="7">
        <f t="shared" si="0"/>
        <v>16.899999999999999</v>
      </c>
      <c r="E45" s="5">
        <v>0</v>
      </c>
      <c r="F45" s="5">
        <v>0</v>
      </c>
      <c r="G45" s="5">
        <v>0</v>
      </c>
      <c r="H45" s="5">
        <v>0</v>
      </c>
      <c r="I45" s="5">
        <v>0</v>
      </c>
      <c r="J45" s="9">
        <v>0</v>
      </c>
      <c r="K45" s="5">
        <v>19</v>
      </c>
      <c r="L45" s="5">
        <v>60</v>
      </c>
      <c r="M45" s="5">
        <v>1</v>
      </c>
      <c r="N45" s="9">
        <v>0</v>
      </c>
      <c r="O45" s="5">
        <v>1</v>
      </c>
      <c r="P45" s="5">
        <v>39</v>
      </c>
      <c r="Q45" s="5">
        <v>0</v>
      </c>
      <c r="R45" s="9">
        <v>0</v>
      </c>
      <c r="S45" s="5">
        <v>0</v>
      </c>
      <c r="T45" s="5">
        <v>0</v>
      </c>
    </row>
    <row r="46" spans="1:20" x14ac:dyDescent="0.2">
      <c r="A46" s="5" t="s">
        <v>171</v>
      </c>
      <c r="B46" s="9" t="s">
        <v>162</v>
      </c>
      <c r="C46" s="5" t="s">
        <v>707</v>
      </c>
      <c r="D46" s="7">
        <f t="shared" si="0"/>
        <v>16.899999999999999</v>
      </c>
      <c r="E46" s="5">
        <v>0</v>
      </c>
      <c r="F46" s="5">
        <v>0</v>
      </c>
      <c r="G46" s="5">
        <v>0</v>
      </c>
      <c r="H46" s="5">
        <v>0</v>
      </c>
      <c r="I46" s="5">
        <v>0</v>
      </c>
      <c r="J46" s="9">
        <v>0</v>
      </c>
      <c r="K46" s="5">
        <v>0</v>
      </c>
      <c r="L46" s="5">
        <v>0</v>
      </c>
      <c r="M46" s="5">
        <v>0</v>
      </c>
      <c r="N46" s="9">
        <v>0</v>
      </c>
      <c r="O46" s="5">
        <v>5</v>
      </c>
      <c r="P46" s="5">
        <v>119</v>
      </c>
      <c r="Q46" s="5">
        <v>0</v>
      </c>
      <c r="R46" s="9">
        <v>0</v>
      </c>
      <c r="S46" s="5">
        <v>0</v>
      </c>
      <c r="T46" s="5">
        <v>0</v>
      </c>
    </row>
    <row r="47" spans="1:20" x14ac:dyDescent="0.2">
      <c r="A47" s="5" t="s">
        <v>233</v>
      </c>
      <c r="B47" s="9" t="s">
        <v>162</v>
      </c>
      <c r="C47" s="5" t="s">
        <v>701</v>
      </c>
      <c r="D47" s="7">
        <f t="shared" si="0"/>
        <v>16.5</v>
      </c>
      <c r="E47" s="5">
        <v>0</v>
      </c>
      <c r="F47" s="5">
        <v>0</v>
      </c>
      <c r="G47" s="5">
        <v>0</v>
      </c>
      <c r="H47" s="5">
        <v>0</v>
      </c>
      <c r="I47" s="5">
        <v>0</v>
      </c>
      <c r="J47" s="9">
        <v>0</v>
      </c>
      <c r="K47" s="5">
        <v>0</v>
      </c>
      <c r="L47" s="5">
        <v>0</v>
      </c>
      <c r="M47" s="5">
        <v>0</v>
      </c>
      <c r="N47" s="9">
        <v>0</v>
      </c>
      <c r="O47" s="5">
        <v>4</v>
      </c>
      <c r="P47" s="5">
        <v>45</v>
      </c>
      <c r="Q47" s="5">
        <v>1</v>
      </c>
      <c r="R47" s="9">
        <v>1</v>
      </c>
      <c r="S47" s="5">
        <v>0</v>
      </c>
      <c r="T47" s="5">
        <v>0</v>
      </c>
    </row>
    <row r="48" spans="1:20" x14ac:dyDescent="0.2">
      <c r="A48" s="5" t="s">
        <v>44</v>
      </c>
      <c r="B48" s="9" t="s">
        <v>17</v>
      </c>
      <c r="C48" s="5" t="s">
        <v>707</v>
      </c>
      <c r="D48" s="7">
        <f t="shared" si="0"/>
        <v>16.32</v>
      </c>
      <c r="E48" s="5">
        <v>25</v>
      </c>
      <c r="F48" s="5">
        <v>16</v>
      </c>
      <c r="G48" s="5">
        <v>213</v>
      </c>
      <c r="H48" s="5">
        <v>2</v>
      </c>
      <c r="I48" s="5">
        <v>0</v>
      </c>
      <c r="J48" s="9">
        <v>0</v>
      </c>
      <c r="K48" s="5">
        <v>2</v>
      </c>
      <c r="L48" s="5">
        <v>-2</v>
      </c>
      <c r="M48" s="5">
        <v>0</v>
      </c>
      <c r="N48" s="9">
        <v>0</v>
      </c>
      <c r="O48" s="5">
        <v>0</v>
      </c>
      <c r="P48" s="5">
        <v>0</v>
      </c>
      <c r="Q48" s="5">
        <v>0</v>
      </c>
      <c r="R48" s="9">
        <v>0</v>
      </c>
      <c r="S48" s="5">
        <v>0</v>
      </c>
      <c r="T48" s="5">
        <v>0</v>
      </c>
    </row>
    <row r="49" spans="1:20" x14ac:dyDescent="0.2">
      <c r="A49" s="5" t="s">
        <v>713</v>
      </c>
      <c r="B49" s="9" t="s">
        <v>17</v>
      </c>
      <c r="C49" s="5" t="s">
        <v>710</v>
      </c>
      <c r="D49" s="7">
        <f t="shared" si="0"/>
        <v>16.16</v>
      </c>
      <c r="E49" s="5">
        <v>44</v>
      </c>
      <c r="F49" s="5">
        <v>23</v>
      </c>
      <c r="G49" s="5">
        <v>254</v>
      </c>
      <c r="H49" s="5">
        <v>2</v>
      </c>
      <c r="I49" s="5">
        <v>1</v>
      </c>
      <c r="J49" s="9">
        <v>0</v>
      </c>
      <c r="K49" s="5">
        <v>0</v>
      </c>
      <c r="L49" s="5">
        <v>0</v>
      </c>
      <c r="M49" s="5">
        <v>0</v>
      </c>
      <c r="N49" s="9">
        <v>0</v>
      </c>
      <c r="O49" s="5">
        <v>0</v>
      </c>
      <c r="P49" s="5">
        <v>0</v>
      </c>
      <c r="Q49" s="5">
        <v>0</v>
      </c>
      <c r="R49" s="9">
        <v>0</v>
      </c>
      <c r="S49" s="5">
        <v>0</v>
      </c>
      <c r="T49" s="5">
        <v>0</v>
      </c>
    </row>
    <row r="50" spans="1:20" x14ac:dyDescent="0.2">
      <c r="A50" s="5" t="s">
        <v>53</v>
      </c>
      <c r="B50" s="9" t="s">
        <v>17</v>
      </c>
      <c r="C50" s="5" t="s">
        <v>703</v>
      </c>
      <c r="D50" s="7">
        <f t="shared" si="0"/>
        <v>16.060000000000002</v>
      </c>
      <c r="E50" s="5">
        <v>27</v>
      </c>
      <c r="F50" s="5">
        <v>16</v>
      </c>
      <c r="G50" s="5">
        <v>274</v>
      </c>
      <c r="H50" s="5">
        <v>1</v>
      </c>
      <c r="I50" s="5">
        <v>0</v>
      </c>
      <c r="J50" s="9">
        <v>0</v>
      </c>
      <c r="K50" s="5">
        <v>6</v>
      </c>
      <c r="L50" s="5">
        <v>11</v>
      </c>
      <c r="M50" s="5">
        <v>0</v>
      </c>
      <c r="N50" s="9">
        <v>0</v>
      </c>
      <c r="O50" s="5">
        <v>0</v>
      </c>
      <c r="P50" s="5">
        <v>0</v>
      </c>
      <c r="Q50" s="5">
        <v>0</v>
      </c>
      <c r="R50" s="9">
        <v>0</v>
      </c>
      <c r="S50" s="5">
        <v>0</v>
      </c>
      <c r="T50" s="5">
        <v>0</v>
      </c>
    </row>
    <row r="51" spans="1:20" x14ac:dyDescent="0.2">
      <c r="A51" s="5" t="s">
        <v>513</v>
      </c>
      <c r="B51" s="9" t="s">
        <v>162</v>
      </c>
      <c r="C51" s="5" t="s">
        <v>710</v>
      </c>
      <c r="D51" s="7">
        <f t="shared" si="0"/>
        <v>15.9</v>
      </c>
      <c r="E51" s="5">
        <v>0</v>
      </c>
      <c r="F51" s="5">
        <v>0</v>
      </c>
      <c r="G51" s="5">
        <v>0</v>
      </c>
      <c r="H51" s="5">
        <v>0</v>
      </c>
      <c r="I51" s="5">
        <v>0</v>
      </c>
      <c r="J51" s="9">
        <v>0</v>
      </c>
      <c r="K51" s="5">
        <v>0</v>
      </c>
      <c r="L51" s="5">
        <v>0</v>
      </c>
      <c r="M51" s="5">
        <v>0</v>
      </c>
      <c r="N51" s="9">
        <v>0</v>
      </c>
      <c r="O51" s="5">
        <v>6</v>
      </c>
      <c r="P51" s="5">
        <v>39</v>
      </c>
      <c r="Q51" s="5">
        <v>1</v>
      </c>
      <c r="R51" s="9">
        <v>0</v>
      </c>
      <c r="S51" s="5">
        <v>0</v>
      </c>
      <c r="T51" s="5">
        <v>0</v>
      </c>
    </row>
    <row r="52" spans="1:20" x14ac:dyDescent="0.2">
      <c r="A52" s="5" t="s">
        <v>278</v>
      </c>
      <c r="B52" s="9" t="s">
        <v>69</v>
      </c>
      <c r="C52" s="5" t="s">
        <v>710</v>
      </c>
      <c r="D52" s="7">
        <f t="shared" si="0"/>
        <v>15.9</v>
      </c>
      <c r="E52" s="5">
        <v>0</v>
      </c>
      <c r="F52" s="5">
        <v>0</v>
      </c>
      <c r="G52" s="5">
        <v>0</v>
      </c>
      <c r="H52" s="5">
        <v>0</v>
      </c>
      <c r="I52" s="5">
        <v>0</v>
      </c>
      <c r="J52" s="9">
        <v>0</v>
      </c>
      <c r="K52" s="5">
        <v>0</v>
      </c>
      <c r="L52" s="5">
        <v>0</v>
      </c>
      <c r="M52" s="5">
        <v>0</v>
      </c>
      <c r="N52" s="9">
        <v>0</v>
      </c>
      <c r="O52" s="5">
        <v>5</v>
      </c>
      <c r="P52" s="5">
        <v>49</v>
      </c>
      <c r="Q52" s="5">
        <v>1</v>
      </c>
      <c r="R52" s="9">
        <v>0</v>
      </c>
      <c r="S52" s="5">
        <v>0</v>
      </c>
      <c r="T52" s="5">
        <v>0</v>
      </c>
    </row>
    <row r="53" spans="1:20" x14ac:dyDescent="0.2">
      <c r="A53" s="5" t="s">
        <v>38</v>
      </c>
      <c r="B53" s="9" t="s">
        <v>17</v>
      </c>
      <c r="C53" s="5" t="s">
        <v>703</v>
      </c>
      <c r="D53" s="7">
        <f t="shared" si="0"/>
        <v>15.840000000000002</v>
      </c>
      <c r="E53" s="5">
        <v>26</v>
      </c>
      <c r="F53" s="5">
        <v>15</v>
      </c>
      <c r="G53" s="5">
        <v>186</v>
      </c>
      <c r="H53" s="5">
        <v>1</v>
      </c>
      <c r="I53" s="5">
        <v>3</v>
      </c>
      <c r="J53" s="9">
        <v>0</v>
      </c>
      <c r="K53" s="5">
        <v>10</v>
      </c>
      <c r="L53" s="5">
        <v>44</v>
      </c>
      <c r="M53" s="5">
        <v>1</v>
      </c>
      <c r="N53" s="9">
        <v>0</v>
      </c>
      <c r="O53" s="5">
        <v>0</v>
      </c>
      <c r="P53" s="5">
        <v>0</v>
      </c>
      <c r="Q53" s="5">
        <v>0</v>
      </c>
      <c r="R53" s="9">
        <v>0</v>
      </c>
      <c r="S53" s="5">
        <v>0</v>
      </c>
      <c r="T53" s="5">
        <v>0</v>
      </c>
    </row>
    <row r="54" spans="1:20" x14ac:dyDescent="0.2">
      <c r="A54" s="5" t="s">
        <v>189</v>
      </c>
      <c r="B54" s="9" t="s">
        <v>162</v>
      </c>
      <c r="C54" s="5" t="s">
        <v>703</v>
      </c>
      <c r="D54" s="7">
        <f t="shared" si="0"/>
        <v>15.7</v>
      </c>
      <c r="E54" s="5">
        <v>0</v>
      </c>
      <c r="F54" s="5">
        <v>0</v>
      </c>
      <c r="G54" s="5">
        <v>0</v>
      </c>
      <c r="H54" s="5">
        <v>0</v>
      </c>
      <c r="I54" s="5">
        <v>0</v>
      </c>
      <c r="J54" s="9">
        <v>0</v>
      </c>
      <c r="K54" s="5">
        <v>0</v>
      </c>
      <c r="L54" s="5">
        <v>0</v>
      </c>
      <c r="M54" s="5">
        <v>0</v>
      </c>
      <c r="N54" s="9">
        <v>0</v>
      </c>
      <c r="O54" s="5">
        <v>2</v>
      </c>
      <c r="P54" s="5">
        <v>77</v>
      </c>
      <c r="Q54" s="5">
        <v>1</v>
      </c>
      <c r="R54" s="9">
        <v>0</v>
      </c>
      <c r="S54" s="5">
        <v>0</v>
      </c>
      <c r="T54" s="5">
        <v>0</v>
      </c>
    </row>
    <row r="55" spans="1:20" x14ac:dyDescent="0.2">
      <c r="A55" s="5" t="s">
        <v>163</v>
      </c>
      <c r="B55" s="9" t="s">
        <v>162</v>
      </c>
      <c r="C55" s="5" t="s">
        <v>702</v>
      </c>
      <c r="D55" s="7">
        <f t="shared" si="0"/>
        <v>15.600000000000001</v>
      </c>
      <c r="E55" s="5">
        <v>0</v>
      </c>
      <c r="F55" s="5">
        <v>0</v>
      </c>
      <c r="G55" s="5">
        <v>0</v>
      </c>
      <c r="H55" s="5">
        <v>0</v>
      </c>
      <c r="I55" s="5">
        <v>0</v>
      </c>
      <c r="J55" s="9">
        <v>0</v>
      </c>
      <c r="K55" s="5">
        <v>0</v>
      </c>
      <c r="L55" s="5">
        <v>0</v>
      </c>
      <c r="M55" s="5">
        <v>0</v>
      </c>
      <c r="N55" s="9">
        <v>0</v>
      </c>
      <c r="O55" s="5">
        <v>5</v>
      </c>
      <c r="P55" s="5">
        <v>46</v>
      </c>
      <c r="Q55" s="5">
        <v>1</v>
      </c>
      <c r="R55" s="9">
        <v>0</v>
      </c>
      <c r="S55" s="5">
        <v>0</v>
      </c>
      <c r="T55" s="5">
        <v>0</v>
      </c>
    </row>
    <row r="56" spans="1:20" x14ac:dyDescent="0.2">
      <c r="A56" s="5" t="s">
        <v>627</v>
      </c>
      <c r="B56" s="9" t="s">
        <v>162</v>
      </c>
      <c r="C56" s="5" t="s">
        <v>710</v>
      </c>
      <c r="D56" s="7">
        <f t="shared" si="0"/>
        <v>15.5</v>
      </c>
      <c r="E56" s="5">
        <v>0</v>
      </c>
      <c r="F56" s="5">
        <v>0</v>
      </c>
      <c r="G56" s="5">
        <v>0</v>
      </c>
      <c r="H56" s="5">
        <v>0</v>
      </c>
      <c r="I56" s="5">
        <v>0</v>
      </c>
      <c r="J56" s="9">
        <v>0</v>
      </c>
      <c r="K56" s="5">
        <v>0</v>
      </c>
      <c r="L56" s="5">
        <v>0</v>
      </c>
      <c r="M56" s="5">
        <v>0</v>
      </c>
      <c r="N56" s="9">
        <v>0</v>
      </c>
      <c r="O56" s="5">
        <v>4</v>
      </c>
      <c r="P56" s="5">
        <v>55</v>
      </c>
      <c r="Q56" s="5">
        <v>1</v>
      </c>
      <c r="R56" s="9">
        <v>0</v>
      </c>
      <c r="S56" s="5">
        <v>0</v>
      </c>
      <c r="T56" s="5">
        <v>0</v>
      </c>
    </row>
    <row r="57" spans="1:20" x14ac:dyDescent="0.2">
      <c r="A57" s="5" t="s">
        <v>68</v>
      </c>
      <c r="B57" s="9" t="s">
        <v>69</v>
      </c>
      <c r="C57" s="5" t="s">
        <v>707</v>
      </c>
      <c r="D57" s="7">
        <f t="shared" si="0"/>
        <v>15.4</v>
      </c>
      <c r="E57" s="5">
        <v>2</v>
      </c>
      <c r="F57" s="5">
        <v>0</v>
      </c>
      <c r="G57" s="5">
        <v>0</v>
      </c>
      <c r="H57" s="5">
        <v>0</v>
      </c>
      <c r="I57" s="5">
        <v>0</v>
      </c>
      <c r="J57" s="9">
        <v>0</v>
      </c>
      <c r="K57" s="5">
        <v>13</v>
      </c>
      <c r="L57" s="5">
        <v>59</v>
      </c>
      <c r="M57" s="5">
        <v>1</v>
      </c>
      <c r="N57" s="9">
        <v>0</v>
      </c>
      <c r="O57" s="5">
        <v>2</v>
      </c>
      <c r="P57" s="5">
        <v>15</v>
      </c>
      <c r="Q57" s="5">
        <v>0</v>
      </c>
      <c r="R57" s="9">
        <v>0</v>
      </c>
      <c r="S57" s="5">
        <v>0</v>
      </c>
      <c r="T57" s="5">
        <v>0</v>
      </c>
    </row>
    <row r="58" spans="1:20" x14ac:dyDescent="0.2">
      <c r="A58" s="5" t="s">
        <v>193</v>
      </c>
      <c r="B58" s="9" t="s">
        <v>162</v>
      </c>
      <c r="C58" s="5" t="s">
        <v>708</v>
      </c>
      <c r="D58" s="7">
        <f t="shared" si="0"/>
        <v>14.4</v>
      </c>
      <c r="E58" s="5">
        <v>0</v>
      </c>
      <c r="F58" s="5">
        <v>0</v>
      </c>
      <c r="G58" s="5">
        <v>0</v>
      </c>
      <c r="H58" s="5">
        <v>0</v>
      </c>
      <c r="I58" s="5">
        <v>0</v>
      </c>
      <c r="J58" s="9">
        <v>0</v>
      </c>
      <c r="K58" s="5">
        <v>0</v>
      </c>
      <c r="L58" s="5">
        <v>0</v>
      </c>
      <c r="M58" s="5">
        <v>0</v>
      </c>
      <c r="N58" s="9">
        <v>0</v>
      </c>
      <c r="O58" s="5">
        <v>8</v>
      </c>
      <c r="P58" s="5">
        <v>64</v>
      </c>
      <c r="Q58" s="5">
        <v>0</v>
      </c>
      <c r="R58" s="9">
        <v>0</v>
      </c>
      <c r="S58" s="5">
        <v>0</v>
      </c>
      <c r="T58" s="5">
        <v>0</v>
      </c>
    </row>
    <row r="59" spans="1:20" x14ac:dyDescent="0.2">
      <c r="A59" s="5" t="s">
        <v>136</v>
      </c>
      <c r="B59" s="9" t="s">
        <v>75</v>
      </c>
      <c r="C59" s="5" t="s">
        <v>710</v>
      </c>
      <c r="D59" s="7">
        <f t="shared" si="0"/>
        <v>14.200000000000001</v>
      </c>
      <c r="E59" s="5">
        <v>0</v>
      </c>
      <c r="F59" s="5">
        <v>0</v>
      </c>
      <c r="G59" s="5">
        <v>0</v>
      </c>
      <c r="H59" s="5">
        <v>0</v>
      </c>
      <c r="I59" s="5">
        <v>0</v>
      </c>
      <c r="J59" s="9">
        <v>0</v>
      </c>
      <c r="K59" s="5">
        <v>9</v>
      </c>
      <c r="L59" s="5">
        <v>19</v>
      </c>
      <c r="M59" s="5">
        <v>0</v>
      </c>
      <c r="N59" s="9">
        <v>0</v>
      </c>
      <c r="O59" s="5">
        <v>3</v>
      </c>
      <c r="P59" s="5">
        <v>33</v>
      </c>
      <c r="Q59" s="5">
        <v>1</v>
      </c>
      <c r="R59" s="9">
        <v>0</v>
      </c>
      <c r="S59" s="5">
        <v>0</v>
      </c>
      <c r="T59" s="5">
        <v>0</v>
      </c>
    </row>
    <row r="60" spans="1:20" x14ac:dyDescent="0.2">
      <c r="A60" s="5" t="s">
        <v>353</v>
      </c>
      <c r="B60" s="9" t="s">
        <v>162</v>
      </c>
      <c r="C60" s="5" t="s">
        <v>702</v>
      </c>
      <c r="D60" s="7">
        <f t="shared" si="0"/>
        <v>13.4</v>
      </c>
      <c r="E60" s="5">
        <v>0</v>
      </c>
      <c r="F60" s="5">
        <v>0</v>
      </c>
      <c r="G60" s="5">
        <v>0</v>
      </c>
      <c r="H60" s="5">
        <v>0</v>
      </c>
      <c r="I60" s="5">
        <v>0</v>
      </c>
      <c r="J60" s="9">
        <v>0</v>
      </c>
      <c r="K60" s="5">
        <v>0</v>
      </c>
      <c r="L60" s="5">
        <v>0</v>
      </c>
      <c r="M60" s="5">
        <v>0</v>
      </c>
      <c r="N60" s="9">
        <v>0</v>
      </c>
      <c r="O60" s="5">
        <v>3</v>
      </c>
      <c r="P60" s="5">
        <v>44</v>
      </c>
      <c r="Q60" s="5">
        <v>1</v>
      </c>
      <c r="R60" s="9">
        <v>0</v>
      </c>
      <c r="S60" s="5">
        <v>0</v>
      </c>
      <c r="T60" s="5">
        <v>0</v>
      </c>
    </row>
    <row r="61" spans="1:20" x14ac:dyDescent="0.2">
      <c r="A61" s="5" t="s">
        <v>214</v>
      </c>
      <c r="B61" s="9" t="s">
        <v>162</v>
      </c>
      <c r="C61" s="5" t="s">
        <v>711</v>
      </c>
      <c r="D61" s="7">
        <f t="shared" si="0"/>
        <v>13.3</v>
      </c>
      <c r="E61" s="5">
        <v>0</v>
      </c>
      <c r="F61" s="5">
        <v>0</v>
      </c>
      <c r="G61" s="5">
        <v>0</v>
      </c>
      <c r="H61" s="5">
        <v>0</v>
      </c>
      <c r="I61" s="5">
        <v>0</v>
      </c>
      <c r="J61" s="9">
        <v>0</v>
      </c>
      <c r="K61" s="5">
        <v>0</v>
      </c>
      <c r="L61" s="5">
        <v>0</v>
      </c>
      <c r="M61" s="5">
        <v>0</v>
      </c>
      <c r="N61" s="9">
        <v>0</v>
      </c>
      <c r="O61" s="5">
        <v>4</v>
      </c>
      <c r="P61" s="5">
        <v>33</v>
      </c>
      <c r="Q61" s="5">
        <v>1</v>
      </c>
      <c r="R61" s="9">
        <v>0</v>
      </c>
      <c r="S61" s="5">
        <v>0</v>
      </c>
      <c r="T61" s="5">
        <v>0</v>
      </c>
    </row>
    <row r="62" spans="1:20" x14ac:dyDescent="0.2">
      <c r="A62" s="5" t="s">
        <v>110</v>
      </c>
      <c r="B62" s="9" t="s">
        <v>75</v>
      </c>
      <c r="C62" s="5" t="s">
        <v>714</v>
      </c>
      <c r="D62" s="7">
        <f t="shared" si="0"/>
        <v>13.2</v>
      </c>
      <c r="E62" s="5">
        <v>0</v>
      </c>
      <c r="F62" s="5">
        <v>0</v>
      </c>
      <c r="G62" s="5">
        <v>0</v>
      </c>
      <c r="H62" s="5">
        <v>0</v>
      </c>
      <c r="I62" s="5">
        <v>0</v>
      </c>
      <c r="J62" s="9">
        <v>0</v>
      </c>
      <c r="K62" s="5">
        <v>17</v>
      </c>
      <c r="L62" s="5">
        <v>52</v>
      </c>
      <c r="M62" s="5">
        <v>0</v>
      </c>
      <c r="N62" s="9">
        <v>0</v>
      </c>
      <c r="O62" s="5">
        <v>4</v>
      </c>
      <c r="P62" s="5">
        <v>40</v>
      </c>
      <c r="Q62" s="5">
        <v>0</v>
      </c>
      <c r="R62" s="9">
        <v>0</v>
      </c>
      <c r="S62" s="5">
        <v>0</v>
      </c>
      <c r="T62" s="5">
        <v>0</v>
      </c>
    </row>
    <row r="63" spans="1:20" x14ac:dyDescent="0.2">
      <c r="A63" s="5" t="s">
        <v>237</v>
      </c>
      <c r="B63" s="9" t="s">
        <v>162</v>
      </c>
      <c r="C63" s="5" t="s">
        <v>701</v>
      </c>
      <c r="D63" s="7">
        <f t="shared" si="0"/>
        <v>13.2</v>
      </c>
      <c r="E63" s="5">
        <v>0</v>
      </c>
      <c r="F63" s="5">
        <v>0</v>
      </c>
      <c r="G63" s="5">
        <v>0</v>
      </c>
      <c r="H63" s="5">
        <v>0</v>
      </c>
      <c r="I63" s="5">
        <v>0</v>
      </c>
      <c r="J63" s="9">
        <v>0</v>
      </c>
      <c r="K63" s="5">
        <v>0</v>
      </c>
      <c r="L63" s="5">
        <v>0</v>
      </c>
      <c r="M63" s="5">
        <v>0</v>
      </c>
      <c r="N63" s="9">
        <v>0</v>
      </c>
      <c r="O63" s="5">
        <v>7</v>
      </c>
      <c r="P63" s="5">
        <v>62</v>
      </c>
      <c r="Q63" s="5">
        <v>0</v>
      </c>
      <c r="R63" s="9">
        <v>0</v>
      </c>
      <c r="S63" s="5">
        <v>0</v>
      </c>
      <c r="T63" s="5">
        <v>0</v>
      </c>
    </row>
    <row r="64" spans="1:20" x14ac:dyDescent="0.2">
      <c r="A64" s="5" t="s">
        <v>23</v>
      </c>
      <c r="B64" s="9" t="s">
        <v>17</v>
      </c>
      <c r="C64" s="5" t="s">
        <v>708</v>
      </c>
      <c r="D64" s="7">
        <f t="shared" si="0"/>
        <v>13</v>
      </c>
      <c r="E64" s="5">
        <v>33</v>
      </c>
      <c r="F64" s="5">
        <v>21</v>
      </c>
      <c r="G64" s="5">
        <v>210</v>
      </c>
      <c r="H64" s="5">
        <v>1</v>
      </c>
      <c r="I64" s="5">
        <v>1</v>
      </c>
      <c r="J64" s="9">
        <v>0</v>
      </c>
      <c r="K64" s="5">
        <v>4</v>
      </c>
      <c r="L64" s="5">
        <v>26</v>
      </c>
      <c r="M64" s="5">
        <v>0</v>
      </c>
      <c r="N64" s="9">
        <v>0</v>
      </c>
      <c r="O64" s="5">
        <v>0</v>
      </c>
      <c r="P64" s="5">
        <v>0</v>
      </c>
      <c r="Q64" s="5">
        <v>0</v>
      </c>
      <c r="R64" s="9">
        <v>0</v>
      </c>
      <c r="S64" s="5">
        <v>0</v>
      </c>
      <c r="T64" s="5">
        <v>0</v>
      </c>
    </row>
    <row r="65" spans="1:20" x14ac:dyDescent="0.2">
      <c r="A65" s="5" t="s">
        <v>242</v>
      </c>
      <c r="B65" s="9" t="s">
        <v>162</v>
      </c>
      <c r="C65" s="5" t="s">
        <v>706</v>
      </c>
      <c r="D65" s="7">
        <f t="shared" si="0"/>
        <v>12.9</v>
      </c>
      <c r="E65" s="5">
        <v>0</v>
      </c>
      <c r="F65" s="5">
        <v>0</v>
      </c>
      <c r="G65" s="5">
        <v>0</v>
      </c>
      <c r="H65" s="5">
        <v>0</v>
      </c>
      <c r="I65" s="5">
        <v>0</v>
      </c>
      <c r="J65" s="9">
        <v>0</v>
      </c>
      <c r="K65" s="5">
        <v>0</v>
      </c>
      <c r="L65" s="5">
        <v>0</v>
      </c>
      <c r="M65" s="5">
        <v>0</v>
      </c>
      <c r="N65" s="9">
        <v>0</v>
      </c>
      <c r="O65" s="5">
        <v>6</v>
      </c>
      <c r="P65" s="5">
        <v>69</v>
      </c>
      <c r="Q65" s="5">
        <v>0</v>
      </c>
      <c r="R65" s="9">
        <v>0</v>
      </c>
      <c r="S65" s="5">
        <v>0</v>
      </c>
      <c r="T65" s="5">
        <v>0</v>
      </c>
    </row>
    <row r="66" spans="1:20" x14ac:dyDescent="0.2">
      <c r="A66" s="5" t="s">
        <v>173</v>
      </c>
      <c r="B66" s="9" t="s">
        <v>162</v>
      </c>
      <c r="C66" s="5" t="s">
        <v>707</v>
      </c>
      <c r="D66" s="7">
        <f t="shared" si="0"/>
        <v>12.9</v>
      </c>
      <c r="E66" s="5">
        <v>0</v>
      </c>
      <c r="F66" s="5">
        <v>0</v>
      </c>
      <c r="G66" s="5">
        <v>0</v>
      </c>
      <c r="H66" s="5">
        <v>0</v>
      </c>
      <c r="I66" s="5">
        <v>0</v>
      </c>
      <c r="J66" s="9">
        <v>0</v>
      </c>
      <c r="K66" s="5">
        <v>0</v>
      </c>
      <c r="L66" s="5">
        <v>0</v>
      </c>
      <c r="M66" s="5">
        <v>0</v>
      </c>
      <c r="N66" s="9">
        <v>0</v>
      </c>
      <c r="O66" s="5">
        <v>2</v>
      </c>
      <c r="P66" s="5">
        <v>49</v>
      </c>
      <c r="Q66" s="5">
        <v>1</v>
      </c>
      <c r="R66" s="9">
        <v>0</v>
      </c>
      <c r="S66" s="5">
        <v>0</v>
      </c>
      <c r="T66" s="5">
        <v>0</v>
      </c>
    </row>
    <row r="67" spans="1:20" x14ac:dyDescent="0.2">
      <c r="A67" s="5" t="s">
        <v>129</v>
      </c>
      <c r="B67" s="9" t="s">
        <v>75</v>
      </c>
      <c r="C67" s="5" t="s">
        <v>709</v>
      </c>
      <c r="D67" s="7">
        <f t="shared" si="0"/>
        <v>12.8</v>
      </c>
      <c r="E67" s="5">
        <v>0</v>
      </c>
      <c r="F67" s="5">
        <v>0</v>
      </c>
      <c r="G67" s="5">
        <v>0</v>
      </c>
      <c r="H67" s="5">
        <v>0</v>
      </c>
      <c r="I67" s="5">
        <v>0</v>
      </c>
      <c r="J67" s="9">
        <v>0</v>
      </c>
      <c r="K67" s="5">
        <v>16</v>
      </c>
      <c r="L67" s="5">
        <v>75</v>
      </c>
      <c r="M67" s="5">
        <v>0</v>
      </c>
      <c r="N67" s="9">
        <v>0</v>
      </c>
      <c r="O67" s="5">
        <v>4</v>
      </c>
      <c r="P67" s="5">
        <v>13</v>
      </c>
      <c r="Q67" s="5">
        <v>0</v>
      </c>
      <c r="R67" s="9">
        <v>0</v>
      </c>
      <c r="S67" s="5">
        <v>0</v>
      </c>
      <c r="T67" s="5">
        <v>0</v>
      </c>
    </row>
    <row r="68" spans="1:20" x14ac:dyDescent="0.2">
      <c r="A68" s="5" t="s">
        <v>484</v>
      </c>
      <c r="B68" s="9" t="s">
        <v>162</v>
      </c>
      <c r="C68" s="5" t="s">
        <v>715</v>
      </c>
      <c r="D68" s="7">
        <f t="shared" si="0"/>
        <v>12.8</v>
      </c>
      <c r="E68" s="5">
        <v>0</v>
      </c>
      <c r="F68" s="5">
        <v>0</v>
      </c>
      <c r="G68" s="5">
        <v>0</v>
      </c>
      <c r="H68" s="5">
        <v>0</v>
      </c>
      <c r="I68" s="5">
        <v>0</v>
      </c>
      <c r="J68" s="9">
        <v>0</v>
      </c>
      <c r="K68" s="5">
        <v>1</v>
      </c>
      <c r="L68" s="5">
        <v>1</v>
      </c>
      <c r="M68" s="5">
        <v>0</v>
      </c>
      <c r="N68" s="9">
        <v>0</v>
      </c>
      <c r="O68" s="5">
        <v>5</v>
      </c>
      <c r="P68" s="5">
        <v>77</v>
      </c>
      <c r="Q68" s="5">
        <v>0</v>
      </c>
      <c r="R68" s="9">
        <v>0</v>
      </c>
      <c r="S68" s="5">
        <v>0</v>
      </c>
      <c r="T68" s="5">
        <v>0</v>
      </c>
    </row>
    <row r="69" spans="1:20" x14ac:dyDescent="0.2">
      <c r="A69" s="5" t="s">
        <v>180</v>
      </c>
      <c r="B69" s="9" t="s">
        <v>162</v>
      </c>
      <c r="C69" s="5" t="s">
        <v>705</v>
      </c>
      <c r="D69" s="7">
        <f t="shared" si="0"/>
        <v>12.8</v>
      </c>
      <c r="E69" s="5">
        <v>0</v>
      </c>
      <c r="F69" s="5">
        <v>0</v>
      </c>
      <c r="G69" s="5">
        <v>0</v>
      </c>
      <c r="H69" s="5">
        <v>0</v>
      </c>
      <c r="I69" s="5">
        <v>0</v>
      </c>
      <c r="J69" s="9">
        <v>0</v>
      </c>
      <c r="K69" s="5">
        <v>0</v>
      </c>
      <c r="L69" s="5">
        <v>0</v>
      </c>
      <c r="M69" s="5">
        <v>0</v>
      </c>
      <c r="N69" s="9">
        <v>0</v>
      </c>
      <c r="O69" s="5">
        <v>5</v>
      </c>
      <c r="P69" s="5">
        <v>78</v>
      </c>
      <c r="Q69" s="5">
        <v>0</v>
      </c>
      <c r="R69" s="9">
        <v>0</v>
      </c>
      <c r="S69" s="5">
        <v>0</v>
      </c>
      <c r="T69" s="5">
        <v>0</v>
      </c>
    </row>
    <row r="70" spans="1:20" x14ac:dyDescent="0.2">
      <c r="A70" s="5" t="s">
        <v>210</v>
      </c>
      <c r="B70" s="9" t="s">
        <v>162</v>
      </c>
      <c r="C70" s="5" t="s">
        <v>711</v>
      </c>
      <c r="D70" s="7">
        <f t="shared" si="0"/>
        <v>12.6</v>
      </c>
      <c r="E70" s="5">
        <v>0</v>
      </c>
      <c r="F70" s="5">
        <v>0</v>
      </c>
      <c r="G70" s="5">
        <v>0</v>
      </c>
      <c r="H70" s="5">
        <v>0</v>
      </c>
      <c r="I70" s="5">
        <v>0</v>
      </c>
      <c r="J70" s="9">
        <v>0</v>
      </c>
      <c r="K70" s="5">
        <v>0</v>
      </c>
      <c r="L70" s="5">
        <v>0</v>
      </c>
      <c r="M70" s="5">
        <v>0</v>
      </c>
      <c r="N70" s="9">
        <v>0</v>
      </c>
      <c r="O70" s="5">
        <v>4</v>
      </c>
      <c r="P70" s="5">
        <v>86</v>
      </c>
      <c r="Q70" s="5">
        <v>0</v>
      </c>
      <c r="R70" s="9">
        <v>0</v>
      </c>
      <c r="S70" s="5">
        <v>0</v>
      </c>
      <c r="T70" s="5">
        <v>0</v>
      </c>
    </row>
    <row r="71" spans="1:20" x14ac:dyDescent="0.2">
      <c r="A71" s="5" t="s">
        <v>90</v>
      </c>
      <c r="B71" s="9" t="s">
        <v>75</v>
      </c>
      <c r="C71" s="5" t="s">
        <v>707</v>
      </c>
      <c r="D71" s="7">
        <f t="shared" si="0"/>
        <v>12.500000000000002</v>
      </c>
      <c r="E71" s="5">
        <v>0</v>
      </c>
      <c r="F71" s="5">
        <v>0</v>
      </c>
      <c r="G71" s="5">
        <v>0</v>
      </c>
      <c r="H71" s="5">
        <v>0</v>
      </c>
      <c r="I71" s="5">
        <v>0</v>
      </c>
      <c r="J71" s="9">
        <v>0</v>
      </c>
      <c r="K71" s="5">
        <v>18</v>
      </c>
      <c r="L71" s="5">
        <v>56</v>
      </c>
      <c r="M71" s="5">
        <v>1</v>
      </c>
      <c r="N71" s="9">
        <v>0</v>
      </c>
      <c r="O71" s="5">
        <v>1</v>
      </c>
      <c r="P71" s="5">
        <v>-1</v>
      </c>
      <c r="Q71" s="5">
        <v>0</v>
      </c>
      <c r="R71" s="9">
        <v>0</v>
      </c>
      <c r="S71" s="5">
        <v>0</v>
      </c>
      <c r="T71" s="5">
        <v>0</v>
      </c>
    </row>
    <row r="72" spans="1:20" x14ac:dyDescent="0.2">
      <c r="A72" s="5" t="s">
        <v>208</v>
      </c>
      <c r="B72" s="9" t="s">
        <v>162</v>
      </c>
      <c r="C72" s="5" t="s">
        <v>710</v>
      </c>
      <c r="D72" s="7">
        <f t="shared" si="0"/>
        <v>12.3</v>
      </c>
      <c r="E72" s="5">
        <v>0</v>
      </c>
      <c r="F72" s="5">
        <v>0</v>
      </c>
      <c r="G72" s="5">
        <v>0</v>
      </c>
      <c r="H72" s="5">
        <v>0</v>
      </c>
      <c r="I72" s="5">
        <v>0</v>
      </c>
      <c r="J72" s="9">
        <v>0</v>
      </c>
      <c r="K72" s="5">
        <v>0</v>
      </c>
      <c r="L72" s="5">
        <v>0</v>
      </c>
      <c r="M72" s="5">
        <v>0</v>
      </c>
      <c r="N72" s="9">
        <v>0</v>
      </c>
      <c r="O72" s="5">
        <v>4</v>
      </c>
      <c r="P72" s="5">
        <v>83</v>
      </c>
      <c r="Q72" s="5">
        <v>0</v>
      </c>
      <c r="R72" s="9">
        <v>0</v>
      </c>
      <c r="S72" s="5">
        <v>0</v>
      </c>
      <c r="T72" s="5">
        <v>0</v>
      </c>
    </row>
    <row r="73" spans="1:20" x14ac:dyDescent="0.2">
      <c r="A73" s="5" t="s">
        <v>92</v>
      </c>
      <c r="B73" s="9" t="s">
        <v>75</v>
      </c>
      <c r="C73" s="5" t="s">
        <v>704</v>
      </c>
      <c r="D73" s="7">
        <f t="shared" si="0"/>
        <v>12.100000000000001</v>
      </c>
      <c r="E73" s="5">
        <v>0</v>
      </c>
      <c r="F73" s="5">
        <v>0</v>
      </c>
      <c r="G73" s="5">
        <v>0</v>
      </c>
      <c r="H73" s="5">
        <v>0</v>
      </c>
      <c r="I73" s="5">
        <v>0</v>
      </c>
      <c r="J73" s="9">
        <v>0</v>
      </c>
      <c r="K73" s="5">
        <v>11</v>
      </c>
      <c r="L73" s="5">
        <v>43</v>
      </c>
      <c r="M73" s="5">
        <v>1</v>
      </c>
      <c r="N73" s="9">
        <v>0</v>
      </c>
      <c r="O73" s="5">
        <v>1</v>
      </c>
      <c r="P73" s="5">
        <v>8</v>
      </c>
      <c r="Q73" s="5">
        <v>0</v>
      </c>
      <c r="R73" s="9">
        <v>0</v>
      </c>
      <c r="S73" s="5">
        <v>0</v>
      </c>
      <c r="T73" s="5">
        <v>0</v>
      </c>
    </row>
    <row r="74" spans="1:20" x14ac:dyDescent="0.2">
      <c r="A74" s="5" t="s">
        <v>343</v>
      </c>
      <c r="B74" s="9" t="s">
        <v>69</v>
      </c>
      <c r="C74" s="5" t="s">
        <v>708</v>
      </c>
      <c r="D74" s="7">
        <f t="shared" si="0"/>
        <v>12.1</v>
      </c>
      <c r="E74" s="5">
        <v>0</v>
      </c>
      <c r="F74" s="5">
        <v>0</v>
      </c>
      <c r="G74" s="5">
        <v>0</v>
      </c>
      <c r="H74" s="5">
        <v>0</v>
      </c>
      <c r="I74" s="5">
        <v>0</v>
      </c>
      <c r="J74" s="9">
        <v>0</v>
      </c>
      <c r="K74" s="5">
        <v>0</v>
      </c>
      <c r="L74" s="5">
        <v>0</v>
      </c>
      <c r="M74" s="5">
        <v>0</v>
      </c>
      <c r="N74" s="9">
        <v>0</v>
      </c>
      <c r="O74" s="5">
        <v>4</v>
      </c>
      <c r="P74" s="5">
        <v>81</v>
      </c>
      <c r="Q74" s="5">
        <v>0</v>
      </c>
      <c r="R74" s="9">
        <v>0</v>
      </c>
      <c r="S74" s="5">
        <v>0</v>
      </c>
      <c r="T74" s="5">
        <v>0</v>
      </c>
    </row>
    <row r="75" spans="1:20" x14ac:dyDescent="0.2">
      <c r="A75" s="5" t="s">
        <v>642</v>
      </c>
      <c r="B75" s="9" t="s">
        <v>17</v>
      </c>
      <c r="C75" s="5" t="s">
        <v>711</v>
      </c>
      <c r="D75" s="7">
        <f t="shared" si="0"/>
        <v>11.8</v>
      </c>
      <c r="E75" s="5">
        <v>23</v>
      </c>
      <c r="F75" s="5">
        <v>13</v>
      </c>
      <c r="G75" s="5">
        <v>145</v>
      </c>
      <c r="H75" s="5">
        <v>1</v>
      </c>
      <c r="I75" s="5">
        <v>0</v>
      </c>
      <c r="J75" s="9">
        <v>0</v>
      </c>
      <c r="K75" s="5">
        <v>9</v>
      </c>
      <c r="L75" s="5">
        <v>20</v>
      </c>
      <c r="M75" s="5">
        <v>0</v>
      </c>
      <c r="N75" s="9">
        <v>0</v>
      </c>
      <c r="O75" s="5">
        <v>0</v>
      </c>
      <c r="P75" s="5">
        <v>0</v>
      </c>
      <c r="Q75" s="5">
        <v>0</v>
      </c>
      <c r="R75" s="9">
        <v>0</v>
      </c>
      <c r="S75" s="5">
        <v>0</v>
      </c>
      <c r="T75" s="5">
        <v>0</v>
      </c>
    </row>
    <row r="76" spans="1:20" x14ac:dyDescent="0.2">
      <c r="A76" s="5" t="s">
        <v>594</v>
      </c>
      <c r="B76" s="9" t="s">
        <v>17</v>
      </c>
      <c r="C76" s="5" t="s">
        <v>709</v>
      </c>
      <c r="D76" s="7">
        <f t="shared" si="0"/>
        <v>11.46</v>
      </c>
      <c r="E76" s="5">
        <v>33</v>
      </c>
      <c r="F76" s="5">
        <v>16</v>
      </c>
      <c r="G76" s="5">
        <v>224</v>
      </c>
      <c r="H76" s="5">
        <v>1</v>
      </c>
      <c r="I76" s="5">
        <v>0</v>
      </c>
      <c r="J76" s="9">
        <v>0</v>
      </c>
      <c r="K76" s="5">
        <v>2</v>
      </c>
      <c r="L76" s="5">
        <v>5</v>
      </c>
      <c r="M76" s="5">
        <v>0</v>
      </c>
      <c r="N76" s="9">
        <v>0</v>
      </c>
      <c r="O76" s="5">
        <v>0</v>
      </c>
      <c r="P76" s="5">
        <v>0</v>
      </c>
      <c r="Q76" s="5">
        <v>0</v>
      </c>
      <c r="R76" s="9">
        <v>0</v>
      </c>
      <c r="S76" s="5">
        <v>1</v>
      </c>
      <c r="T76" s="5">
        <v>0</v>
      </c>
    </row>
    <row r="77" spans="1:20" x14ac:dyDescent="0.2">
      <c r="A77" s="5" t="s">
        <v>145</v>
      </c>
      <c r="B77" s="9" t="s">
        <v>75</v>
      </c>
      <c r="C77" s="5" t="s">
        <v>704</v>
      </c>
      <c r="D77" s="7">
        <f t="shared" si="0"/>
        <v>11.2</v>
      </c>
      <c r="E77" s="5">
        <v>0</v>
      </c>
      <c r="F77" s="5">
        <v>0</v>
      </c>
      <c r="G77" s="5">
        <v>0</v>
      </c>
      <c r="H77" s="5">
        <v>0</v>
      </c>
      <c r="I77" s="5">
        <v>0</v>
      </c>
      <c r="J77" s="9">
        <v>0</v>
      </c>
      <c r="K77" s="5">
        <v>10</v>
      </c>
      <c r="L77" s="5">
        <v>35</v>
      </c>
      <c r="M77" s="5">
        <v>0</v>
      </c>
      <c r="N77" s="9">
        <v>0</v>
      </c>
      <c r="O77" s="5">
        <v>4</v>
      </c>
      <c r="P77" s="5">
        <v>37</v>
      </c>
      <c r="Q77" s="5">
        <v>0</v>
      </c>
      <c r="R77" s="9">
        <v>0</v>
      </c>
      <c r="S77" s="5">
        <v>0</v>
      </c>
      <c r="T77" s="5">
        <v>0</v>
      </c>
    </row>
    <row r="78" spans="1:20" x14ac:dyDescent="0.2">
      <c r="A78" s="5" t="s">
        <v>174</v>
      </c>
      <c r="B78" s="9" t="s">
        <v>162</v>
      </c>
      <c r="C78" s="5" t="s">
        <v>708</v>
      </c>
      <c r="D78" s="7">
        <f t="shared" si="0"/>
        <v>11.2</v>
      </c>
      <c r="E78" s="5">
        <v>0</v>
      </c>
      <c r="F78" s="5">
        <v>0</v>
      </c>
      <c r="G78" s="5">
        <v>0</v>
      </c>
      <c r="H78" s="5">
        <v>0</v>
      </c>
      <c r="I78" s="5">
        <v>0</v>
      </c>
      <c r="J78" s="9">
        <v>0</v>
      </c>
      <c r="K78" s="5">
        <v>0</v>
      </c>
      <c r="L78" s="5">
        <v>0</v>
      </c>
      <c r="M78" s="5">
        <v>0</v>
      </c>
      <c r="N78" s="9">
        <v>0</v>
      </c>
      <c r="O78" s="5">
        <v>4</v>
      </c>
      <c r="P78" s="5">
        <v>72</v>
      </c>
      <c r="Q78" s="5">
        <v>0</v>
      </c>
      <c r="R78" s="9">
        <v>0</v>
      </c>
      <c r="S78" s="5">
        <v>0</v>
      </c>
      <c r="T78" s="5">
        <v>0</v>
      </c>
    </row>
    <row r="79" spans="1:20" x14ac:dyDescent="0.2">
      <c r="A79" s="5" t="s">
        <v>81</v>
      </c>
      <c r="B79" s="9" t="s">
        <v>75</v>
      </c>
      <c r="C79" s="5" t="s">
        <v>715</v>
      </c>
      <c r="D79" s="7">
        <f t="shared" si="0"/>
        <v>10.9</v>
      </c>
      <c r="E79" s="5">
        <v>0</v>
      </c>
      <c r="F79" s="5">
        <v>0</v>
      </c>
      <c r="G79" s="5">
        <v>0</v>
      </c>
      <c r="H79" s="5">
        <v>0</v>
      </c>
      <c r="I79" s="5">
        <v>0</v>
      </c>
      <c r="J79" s="9">
        <v>0</v>
      </c>
      <c r="K79" s="5">
        <v>18</v>
      </c>
      <c r="L79" s="5">
        <v>53</v>
      </c>
      <c r="M79" s="5">
        <v>0</v>
      </c>
      <c r="N79" s="9">
        <v>0</v>
      </c>
      <c r="O79" s="5">
        <v>3</v>
      </c>
      <c r="P79" s="5">
        <v>26</v>
      </c>
      <c r="Q79" s="5">
        <v>0</v>
      </c>
      <c r="R79" s="9">
        <v>0</v>
      </c>
      <c r="S79" s="5">
        <v>0</v>
      </c>
      <c r="T79" s="5">
        <v>0</v>
      </c>
    </row>
    <row r="80" spans="1:20" x14ac:dyDescent="0.2">
      <c r="A80" s="5" t="s">
        <v>185</v>
      </c>
      <c r="B80" s="9" t="s">
        <v>162</v>
      </c>
      <c r="C80" s="5" t="s">
        <v>714</v>
      </c>
      <c r="D80" s="7">
        <f t="shared" si="0"/>
        <v>10.8</v>
      </c>
      <c r="E80" s="5">
        <v>0</v>
      </c>
      <c r="F80" s="5">
        <v>0</v>
      </c>
      <c r="G80" s="5">
        <v>0</v>
      </c>
      <c r="H80" s="5">
        <v>0</v>
      </c>
      <c r="I80" s="5">
        <v>0</v>
      </c>
      <c r="J80" s="9">
        <v>0</v>
      </c>
      <c r="K80" s="5">
        <v>0</v>
      </c>
      <c r="L80" s="5">
        <v>0</v>
      </c>
      <c r="M80" s="5">
        <v>0</v>
      </c>
      <c r="N80" s="9">
        <v>0</v>
      </c>
      <c r="O80" s="5">
        <v>5</v>
      </c>
      <c r="P80" s="5">
        <v>58</v>
      </c>
      <c r="Q80" s="5">
        <v>0</v>
      </c>
      <c r="R80" s="9">
        <v>0</v>
      </c>
      <c r="S80" s="5">
        <v>0</v>
      </c>
      <c r="T80" s="5">
        <v>0</v>
      </c>
    </row>
    <row r="81" spans="1:20" x14ac:dyDescent="0.2">
      <c r="A81" s="5" t="s">
        <v>298</v>
      </c>
      <c r="B81" s="9" t="s">
        <v>69</v>
      </c>
      <c r="C81" s="5" t="s">
        <v>702</v>
      </c>
      <c r="D81" s="7">
        <f t="shared" si="0"/>
        <v>10.8</v>
      </c>
      <c r="E81" s="5">
        <v>0</v>
      </c>
      <c r="F81" s="5">
        <v>0</v>
      </c>
      <c r="G81" s="5">
        <v>0</v>
      </c>
      <c r="H81" s="5">
        <v>0</v>
      </c>
      <c r="I81" s="5">
        <v>0</v>
      </c>
      <c r="J81" s="9">
        <v>0</v>
      </c>
      <c r="K81" s="5">
        <v>0</v>
      </c>
      <c r="L81" s="5">
        <v>0</v>
      </c>
      <c r="M81" s="5">
        <v>0</v>
      </c>
      <c r="N81" s="9">
        <v>0</v>
      </c>
      <c r="O81" s="5">
        <v>4</v>
      </c>
      <c r="P81" s="5">
        <v>68</v>
      </c>
      <c r="Q81" s="5">
        <v>0</v>
      </c>
      <c r="R81" s="9">
        <v>0</v>
      </c>
      <c r="S81" s="5">
        <v>0</v>
      </c>
      <c r="T81" s="5">
        <v>0</v>
      </c>
    </row>
    <row r="82" spans="1:20" x14ac:dyDescent="0.2">
      <c r="A82" s="5" t="s">
        <v>85</v>
      </c>
      <c r="B82" s="9" t="s">
        <v>75</v>
      </c>
      <c r="C82" s="5" t="s">
        <v>715</v>
      </c>
      <c r="D82" s="7">
        <f t="shared" si="0"/>
        <v>10.5</v>
      </c>
      <c r="E82" s="5">
        <v>0</v>
      </c>
      <c r="F82" s="5">
        <v>0</v>
      </c>
      <c r="G82" s="5">
        <v>0</v>
      </c>
      <c r="H82" s="5">
        <v>0</v>
      </c>
      <c r="I82" s="5">
        <v>0</v>
      </c>
      <c r="J82" s="9">
        <v>0</v>
      </c>
      <c r="K82" s="5">
        <v>13</v>
      </c>
      <c r="L82" s="5">
        <v>16</v>
      </c>
      <c r="M82" s="5">
        <v>0</v>
      </c>
      <c r="N82" s="9">
        <v>0</v>
      </c>
      <c r="O82" s="5">
        <v>6</v>
      </c>
      <c r="P82" s="5">
        <v>29</v>
      </c>
      <c r="Q82" s="5">
        <v>0</v>
      </c>
      <c r="R82" s="9">
        <v>0</v>
      </c>
      <c r="S82" s="5">
        <v>0</v>
      </c>
      <c r="T82" s="5">
        <v>0</v>
      </c>
    </row>
    <row r="83" spans="1:20" x14ac:dyDescent="0.2">
      <c r="A83" s="5" t="s">
        <v>199</v>
      </c>
      <c r="B83" s="9" t="s">
        <v>162</v>
      </c>
      <c r="C83" s="5" t="s">
        <v>704</v>
      </c>
      <c r="D83" s="7">
        <f t="shared" si="0"/>
        <v>10.5</v>
      </c>
      <c r="E83" s="5">
        <v>0</v>
      </c>
      <c r="F83" s="5">
        <v>0</v>
      </c>
      <c r="G83" s="5">
        <v>0</v>
      </c>
      <c r="H83" s="5">
        <v>0</v>
      </c>
      <c r="I83" s="5">
        <v>0</v>
      </c>
      <c r="J83" s="9">
        <v>0</v>
      </c>
      <c r="K83" s="5">
        <v>0</v>
      </c>
      <c r="L83" s="5">
        <v>0</v>
      </c>
      <c r="M83" s="5">
        <v>0</v>
      </c>
      <c r="N83" s="9">
        <v>0</v>
      </c>
      <c r="O83" s="5">
        <v>4</v>
      </c>
      <c r="P83" s="5">
        <v>65</v>
      </c>
      <c r="Q83" s="5">
        <v>0</v>
      </c>
      <c r="R83" s="9">
        <v>0</v>
      </c>
      <c r="S83" s="5">
        <v>0</v>
      </c>
      <c r="T83" s="5">
        <v>0</v>
      </c>
    </row>
    <row r="84" spans="1:20" x14ac:dyDescent="0.2">
      <c r="A84" s="5" t="s">
        <v>345</v>
      </c>
      <c r="B84" s="9" t="s">
        <v>162</v>
      </c>
      <c r="C84" s="5" t="s">
        <v>714</v>
      </c>
      <c r="D84" s="7">
        <f t="shared" si="0"/>
        <v>10.4</v>
      </c>
      <c r="E84" s="5">
        <v>0</v>
      </c>
      <c r="F84" s="5">
        <v>0</v>
      </c>
      <c r="G84" s="5">
        <v>0</v>
      </c>
      <c r="H84" s="5">
        <v>0</v>
      </c>
      <c r="I84" s="5">
        <v>0</v>
      </c>
      <c r="J84" s="9">
        <v>0</v>
      </c>
      <c r="K84" s="5">
        <v>0</v>
      </c>
      <c r="L84" s="5">
        <v>0</v>
      </c>
      <c r="M84" s="5">
        <v>0</v>
      </c>
      <c r="N84" s="9">
        <v>0</v>
      </c>
      <c r="O84" s="5">
        <v>4</v>
      </c>
      <c r="P84" s="5">
        <v>64</v>
      </c>
      <c r="Q84" s="5">
        <v>0</v>
      </c>
      <c r="R84" s="9">
        <v>0</v>
      </c>
      <c r="S84" s="5">
        <v>0</v>
      </c>
      <c r="T84" s="5">
        <v>0</v>
      </c>
    </row>
    <row r="85" spans="1:20" x14ac:dyDescent="0.2">
      <c r="A85" s="5" t="s">
        <v>285</v>
      </c>
      <c r="B85" s="9" t="s">
        <v>69</v>
      </c>
      <c r="C85" s="5" t="s">
        <v>709</v>
      </c>
      <c r="D85" s="7">
        <f t="shared" si="0"/>
        <v>10.4</v>
      </c>
      <c r="E85" s="5">
        <v>0</v>
      </c>
      <c r="F85" s="5">
        <v>0</v>
      </c>
      <c r="G85" s="5">
        <v>0</v>
      </c>
      <c r="H85" s="5">
        <v>0</v>
      </c>
      <c r="I85" s="5">
        <v>0</v>
      </c>
      <c r="J85" s="9">
        <v>0</v>
      </c>
      <c r="K85" s="5">
        <v>1</v>
      </c>
      <c r="L85" s="5">
        <v>2</v>
      </c>
      <c r="M85" s="5">
        <v>0</v>
      </c>
      <c r="N85" s="9">
        <v>0</v>
      </c>
      <c r="O85" s="5">
        <v>3</v>
      </c>
      <c r="P85" s="5">
        <v>72</v>
      </c>
      <c r="Q85" s="5">
        <v>0</v>
      </c>
      <c r="R85" s="9">
        <v>0</v>
      </c>
      <c r="S85" s="5">
        <v>0</v>
      </c>
      <c r="T85" s="5">
        <v>0</v>
      </c>
    </row>
    <row r="86" spans="1:20" x14ac:dyDescent="0.2">
      <c r="A86" s="5" t="s">
        <v>253</v>
      </c>
      <c r="B86" s="9" t="s">
        <v>162</v>
      </c>
      <c r="C86" s="5" t="s">
        <v>714</v>
      </c>
      <c r="D86" s="7">
        <f t="shared" si="0"/>
        <v>10.199999999999999</v>
      </c>
      <c r="E86" s="5">
        <v>0</v>
      </c>
      <c r="F86" s="5">
        <v>0</v>
      </c>
      <c r="G86" s="5">
        <v>0</v>
      </c>
      <c r="H86" s="5">
        <v>0</v>
      </c>
      <c r="I86" s="5">
        <v>0</v>
      </c>
      <c r="J86" s="9">
        <v>0</v>
      </c>
      <c r="K86" s="5">
        <v>0</v>
      </c>
      <c r="L86" s="5">
        <v>0</v>
      </c>
      <c r="M86" s="5">
        <v>0</v>
      </c>
      <c r="N86" s="9">
        <v>0</v>
      </c>
      <c r="O86" s="5">
        <v>5</v>
      </c>
      <c r="P86" s="5">
        <v>52</v>
      </c>
      <c r="Q86" s="5">
        <v>0</v>
      </c>
      <c r="R86" s="9">
        <v>0</v>
      </c>
      <c r="S86" s="5">
        <v>0</v>
      </c>
      <c r="T86" s="5">
        <v>0</v>
      </c>
    </row>
    <row r="87" spans="1:20" x14ac:dyDescent="0.2">
      <c r="A87" s="5" t="s">
        <v>196</v>
      </c>
      <c r="B87" s="9" t="s">
        <v>162</v>
      </c>
      <c r="C87" s="5" t="s">
        <v>704</v>
      </c>
      <c r="D87" s="7">
        <f t="shared" si="0"/>
        <v>10.199999999999999</v>
      </c>
      <c r="E87" s="5">
        <v>0</v>
      </c>
      <c r="F87" s="5">
        <v>0</v>
      </c>
      <c r="G87" s="5">
        <v>0</v>
      </c>
      <c r="H87" s="5">
        <v>0</v>
      </c>
      <c r="I87" s="5">
        <v>0</v>
      </c>
      <c r="J87" s="9">
        <v>0</v>
      </c>
      <c r="K87" s="5">
        <v>0</v>
      </c>
      <c r="L87" s="5">
        <v>0</v>
      </c>
      <c r="M87" s="5">
        <v>0</v>
      </c>
      <c r="N87" s="9">
        <v>0</v>
      </c>
      <c r="O87" s="5">
        <v>5</v>
      </c>
      <c r="P87" s="5">
        <v>52</v>
      </c>
      <c r="Q87" s="5">
        <v>0</v>
      </c>
      <c r="R87" s="9">
        <v>0</v>
      </c>
      <c r="S87" s="5">
        <v>0</v>
      </c>
      <c r="T87" s="5">
        <v>0</v>
      </c>
    </row>
    <row r="88" spans="1:20" x14ac:dyDescent="0.2">
      <c r="A88" s="5" t="s">
        <v>120</v>
      </c>
      <c r="B88" s="9" t="s">
        <v>75</v>
      </c>
      <c r="C88" s="5" t="s">
        <v>703</v>
      </c>
      <c r="D88" s="7">
        <f t="shared" si="0"/>
        <v>10.100000000000001</v>
      </c>
      <c r="E88" s="5">
        <v>0</v>
      </c>
      <c r="F88" s="5">
        <v>0</v>
      </c>
      <c r="G88" s="5">
        <v>0</v>
      </c>
      <c r="H88" s="5">
        <v>0</v>
      </c>
      <c r="I88" s="5">
        <v>0</v>
      </c>
      <c r="J88" s="9">
        <v>0</v>
      </c>
      <c r="K88" s="5">
        <v>15</v>
      </c>
      <c r="L88" s="5">
        <v>41</v>
      </c>
      <c r="M88" s="5">
        <v>1</v>
      </c>
      <c r="N88" s="9">
        <v>0</v>
      </c>
      <c r="O88" s="5">
        <v>0</v>
      </c>
      <c r="P88" s="5">
        <v>0</v>
      </c>
      <c r="Q88" s="5">
        <v>0</v>
      </c>
      <c r="R88" s="9">
        <v>0</v>
      </c>
      <c r="S88" s="5">
        <v>0</v>
      </c>
      <c r="T88" s="5">
        <v>0</v>
      </c>
    </row>
    <row r="89" spans="1:20" x14ac:dyDescent="0.2">
      <c r="A89" s="5" t="s">
        <v>105</v>
      </c>
      <c r="B89" s="9" t="s">
        <v>75</v>
      </c>
      <c r="C89" s="5" t="s">
        <v>703</v>
      </c>
      <c r="D89" s="7">
        <f t="shared" si="0"/>
        <v>10</v>
      </c>
      <c r="E89" s="5">
        <v>0</v>
      </c>
      <c r="F89" s="5">
        <v>0</v>
      </c>
      <c r="G89" s="5">
        <v>0</v>
      </c>
      <c r="H89" s="5">
        <v>0</v>
      </c>
      <c r="I89" s="5">
        <v>0</v>
      </c>
      <c r="J89" s="9">
        <v>0</v>
      </c>
      <c r="K89" s="5">
        <v>13</v>
      </c>
      <c r="L89" s="5">
        <v>46</v>
      </c>
      <c r="M89" s="5">
        <v>0</v>
      </c>
      <c r="N89" s="9">
        <v>0</v>
      </c>
      <c r="O89" s="5">
        <v>3</v>
      </c>
      <c r="P89" s="5">
        <v>24</v>
      </c>
      <c r="Q89" s="5">
        <v>0</v>
      </c>
      <c r="R89" s="9">
        <v>0</v>
      </c>
      <c r="S89" s="5">
        <v>0</v>
      </c>
      <c r="T89" s="5">
        <v>0</v>
      </c>
    </row>
    <row r="90" spans="1:20" x14ac:dyDescent="0.2">
      <c r="A90" s="5" t="s">
        <v>523</v>
      </c>
      <c r="B90" s="9" t="s">
        <v>162</v>
      </c>
      <c r="C90" s="5" t="s">
        <v>707</v>
      </c>
      <c r="D90" s="7">
        <f t="shared" si="0"/>
        <v>10</v>
      </c>
      <c r="E90" s="5">
        <v>0</v>
      </c>
      <c r="F90" s="5">
        <v>0</v>
      </c>
      <c r="G90" s="5">
        <v>0</v>
      </c>
      <c r="H90" s="5">
        <v>0</v>
      </c>
      <c r="I90" s="5">
        <v>0</v>
      </c>
      <c r="J90" s="9">
        <v>0</v>
      </c>
      <c r="K90" s="5">
        <v>1</v>
      </c>
      <c r="L90" s="5">
        <v>19</v>
      </c>
      <c r="M90" s="5">
        <v>1</v>
      </c>
      <c r="N90" s="9">
        <v>0</v>
      </c>
      <c r="O90" s="5">
        <v>1</v>
      </c>
      <c r="P90" s="5">
        <v>11</v>
      </c>
      <c r="Q90" s="5">
        <v>0</v>
      </c>
      <c r="R90" s="9">
        <v>0</v>
      </c>
      <c r="S90" s="5">
        <v>0</v>
      </c>
      <c r="T90" s="5">
        <v>0</v>
      </c>
    </row>
    <row r="91" spans="1:20" x14ac:dyDescent="0.2">
      <c r="A91" s="5" t="s">
        <v>37</v>
      </c>
      <c r="B91" s="9" t="s">
        <v>17</v>
      </c>
      <c r="C91" s="5" t="s">
        <v>706</v>
      </c>
      <c r="D91" s="7">
        <f t="shared" si="0"/>
        <v>9.8800000000000008</v>
      </c>
      <c r="E91" s="5">
        <v>29</v>
      </c>
      <c r="F91" s="5">
        <v>14</v>
      </c>
      <c r="G91" s="5">
        <v>202</v>
      </c>
      <c r="H91" s="5">
        <v>1</v>
      </c>
      <c r="I91" s="5">
        <v>1</v>
      </c>
      <c r="J91" s="9">
        <v>0</v>
      </c>
      <c r="K91" s="5">
        <v>2</v>
      </c>
      <c r="L91" s="5">
        <v>-2</v>
      </c>
      <c r="M91" s="5">
        <v>0</v>
      </c>
      <c r="N91" s="9">
        <v>0</v>
      </c>
      <c r="O91" s="5">
        <v>0</v>
      </c>
      <c r="P91" s="5">
        <v>0</v>
      </c>
      <c r="Q91" s="5">
        <v>0</v>
      </c>
      <c r="R91" s="9">
        <v>0</v>
      </c>
      <c r="S91" s="5">
        <v>0</v>
      </c>
      <c r="T91" s="5">
        <v>0</v>
      </c>
    </row>
    <row r="92" spans="1:20" x14ac:dyDescent="0.2">
      <c r="A92" s="5" t="s">
        <v>122</v>
      </c>
      <c r="B92" s="9" t="s">
        <v>75</v>
      </c>
      <c r="C92" s="5" t="s">
        <v>708</v>
      </c>
      <c r="D92" s="7">
        <f t="shared" si="0"/>
        <v>9.7000000000000011</v>
      </c>
      <c r="E92" s="5">
        <v>0</v>
      </c>
      <c r="F92" s="5">
        <v>0</v>
      </c>
      <c r="G92" s="5">
        <v>0</v>
      </c>
      <c r="H92" s="5">
        <v>0</v>
      </c>
      <c r="I92" s="5">
        <v>0</v>
      </c>
      <c r="J92" s="9">
        <v>0</v>
      </c>
      <c r="K92" s="5">
        <v>18</v>
      </c>
      <c r="L92" s="5">
        <v>73</v>
      </c>
      <c r="M92" s="5">
        <v>0</v>
      </c>
      <c r="N92" s="9">
        <v>0</v>
      </c>
      <c r="O92" s="5">
        <v>1</v>
      </c>
      <c r="P92" s="5">
        <v>14</v>
      </c>
      <c r="Q92" s="5">
        <v>0</v>
      </c>
      <c r="R92" s="9">
        <v>0</v>
      </c>
      <c r="S92" s="5">
        <v>0</v>
      </c>
      <c r="T92" s="5">
        <v>0</v>
      </c>
    </row>
    <row r="93" spans="1:20" x14ac:dyDescent="0.2">
      <c r="A93" s="5" t="s">
        <v>117</v>
      </c>
      <c r="B93" s="9" t="s">
        <v>75</v>
      </c>
      <c r="C93" s="5" t="s">
        <v>711</v>
      </c>
      <c r="D93" s="7">
        <f t="shared" si="0"/>
        <v>9.7000000000000011</v>
      </c>
      <c r="E93" s="5">
        <v>0</v>
      </c>
      <c r="F93" s="5">
        <v>0</v>
      </c>
      <c r="G93" s="5">
        <v>0</v>
      </c>
      <c r="H93" s="5">
        <v>0</v>
      </c>
      <c r="I93" s="5">
        <v>0</v>
      </c>
      <c r="J93" s="9">
        <v>0</v>
      </c>
      <c r="K93" s="5">
        <v>16</v>
      </c>
      <c r="L93" s="5">
        <v>63</v>
      </c>
      <c r="M93" s="5">
        <v>0</v>
      </c>
      <c r="N93" s="9">
        <v>0</v>
      </c>
      <c r="O93" s="5">
        <v>2</v>
      </c>
      <c r="P93" s="5">
        <v>14</v>
      </c>
      <c r="Q93" s="5">
        <v>0</v>
      </c>
      <c r="R93" s="9">
        <v>0</v>
      </c>
      <c r="S93" s="5">
        <v>0</v>
      </c>
      <c r="T93" s="5">
        <v>0</v>
      </c>
    </row>
    <row r="94" spans="1:20" x14ac:dyDescent="0.2">
      <c r="A94" s="5" t="s">
        <v>97</v>
      </c>
      <c r="B94" s="9" t="s">
        <v>75</v>
      </c>
      <c r="C94" s="5" t="s">
        <v>702</v>
      </c>
      <c r="D94" s="7">
        <f t="shared" si="0"/>
        <v>9.6999999999999993</v>
      </c>
      <c r="E94" s="5">
        <v>0</v>
      </c>
      <c r="F94" s="5">
        <v>0</v>
      </c>
      <c r="G94" s="5">
        <v>0</v>
      </c>
      <c r="H94" s="5">
        <v>0</v>
      </c>
      <c r="I94" s="5">
        <v>0</v>
      </c>
      <c r="J94" s="9">
        <v>0</v>
      </c>
      <c r="K94" s="5">
        <v>2</v>
      </c>
      <c r="L94" s="5">
        <v>5</v>
      </c>
      <c r="M94" s="5">
        <v>0</v>
      </c>
      <c r="N94" s="9">
        <v>0</v>
      </c>
      <c r="O94" s="5">
        <v>5</v>
      </c>
      <c r="P94" s="5">
        <v>42</v>
      </c>
      <c r="Q94" s="5">
        <v>0</v>
      </c>
      <c r="R94" s="9">
        <v>0</v>
      </c>
      <c r="S94" s="5">
        <v>0</v>
      </c>
      <c r="T94" s="5">
        <v>0</v>
      </c>
    </row>
    <row r="95" spans="1:20" x14ac:dyDescent="0.2">
      <c r="A95" s="5" t="s">
        <v>241</v>
      </c>
      <c r="B95" s="9" t="s">
        <v>162</v>
      </c>
      <c r="C95" s="5" t="s">
        <v>701</v>
      </c>
      <c r="D95" s="7">
        <f t="shared" si="0"/>
        <v>9.6999999999999993</v>
      </c>
      <c r="E95" s="5">
        <v>0</v>
      </c>
      <c r="F95" s="5">
        <v>0</v>
      </c>
      <c r="G95" s="5">
        <v>0</v>
      </c>
      <c r="H95" s="5">
        <v>0</v>
      </c>
      <c r="I95" s="5">
        <v>0</v>
      </c>
      <c r="J95" s="9">
        <v>0</v>
      </c>
      <c r="K95" s="5">
        <v>0</v>
      </c>
      <c r="L95" s="5">
        <v>0</v>
      </c>
      <c r="M95" s="5">
        <v>0</v>
      </c>
      <c r="N95" s="9">
        <v>0</v>
      </c>
      <c r="O95" s="5">
        <v>5</v>
      </c>
      <c r="P95" s="5">
        <v>47</v>
      </c>
      <c r="Q95" s="5">
        <v>0</v>
      </c>
      <c r="R95" s="9">
        <v>0</v>
      </c>
      <c r="S95" s="5">
        <v>0</v>
      </c>
      <c r="T95" s="5">
        <v>0</v>
      </c>
    </row>
    <row r="96" spans="1:20" x14ac:dyDescent="0.2">
      <c r="A96" s="5" t="s">
        <v>362</v>
      </c>
      <c r="B96" s="9" t="s">
        <v>69</v>
      </c>
      <c r="C96" s="5" t="s">
        <v>703</v>
      </c>
      <c r="D96" s="7">
        <f t="shared" si="0"/>
        <v>9.4</v>
      </c>
      <c r="E96" s="5">
        <v>0</v>
      </c>
      <c r="F96" s="5">
        <v>0</v>
      </c>
      <c r="G96" s="5">
        <v>0</v>
      </c>
      <c r="H96" s="5">
        <v>0</v>
      </c>
      <c r="I96" s="5">
        <v>0</v>
      </c>
      <c r="J96" s="9">
        <v>0</v>
      </c>
      <c r="K96" s="5">
        <v>0</v>
      </c>
      <c r="L96" s="5">
        <v>0</v>
      </c>
      <c r="M96" s="5">
        <v>0</v>
      </c>
      <c r="N96" s="9">
        <v>0</v>
      </c>
      <c r="O96" s="5">
        <v>3</v>
      </c>
      <c r="P96" s="5">
        <v>64</v>
      </c>
      <c r="Q96" s="5">
        <v>0</v>
      </c>
      <c r="R96" s="9">
        <v>0</v>
      </c>
      <c r="S96" s="5">
        <v>0</v>
      </c>
      <c r="T96" s="5">
        <v>0</v>
      </c>
    </row>
    <row r="97" spans="1:20" x14ac:dyDescent="0.2">
      <c r="A97" s="5" t="s">
        <v>352</v>
      </c>
      <c r="B97" s="9" t="s">
        <v>69</v>
      </c>
      <c r="C97" s="5" t="s">
        <v>709</v>
      </c>
      <c r="D97" s="7">
        <f t="shared" si="0"/>
        <v>9.4</v>
      </c>
      <c r="E97" s="5">
        <v>0</v>
      </c>
      <c r="F97" s="5">
        <v>0</v>
      </c>
      <c r="G97" s="5">
        <v>0</v>
      </c>
      <c r="H97" s="5">
        <v>0</v>
      </c>
      <c r="I97" s="5">
        <v>0</v>
      </c>
      <c r="J97" s="9">
        <v>0</v>
      </c>
      <c r="K97" s="5">
        <v>1</v>
      </c>
      <c r="L97" s="5">
        <v>2</v>
      </c>
      <c r="M97" s="5">
        <v>0</v>
      </c>
      <c r="N97" s="9">
        <v>0</v>
      </c>
      <c r="O97" s="5">
        <v>3</v>
      </c>
      <c r="P97" s="5">
        <v>62</v>
      </c>
      <c r="Q97" s="5">
        <v>0</v>
      </c>
      <c r="R97" s="9">
        <v>0</v>
      </c>
      <c r="S97" s="5">
        <v>0</v>
      </c>
      <c r="T97" s="5">
        <v>0</v>
      </c>
    </row>
    <row r="98" spans="1:20" x14ac:dyDescent="0.2">
      <c r="A98" s="5" t="s">
        <v>293</v>
      </c>
      <c r="B98" s="9" t="s">
        <v>69</v>
      </c>
      <c r="C98" s="5" t="s">
        <v>715</v>
      </c>
      <c r="D98" s="7">
        <f t="shared" si="0"/>
        <v>9.1000000000000014</v>
      </c>
      <c r="E98" s="5">
        <v>0</v>
      </c>
      <c r="F98" s="5">
        <v>0</v>
      </c>
      <c r="G98" s="5">
        <v>0</v>
      </c>
      <c r="H98" s="5">
        <v>0</v>
      </c>
      <c r="I98" s="5">
        <v>0</v>
      </c>
      <c r="J98" s="9">
        <v>0</v>
      </c>
      <c r="K98" s="5">
        <v>0</v>
      </c>
      <c r="L98" s="5">
        <v>0</v>
      </c>
      <c r="M98" s="5">
        <v>0</v>
      </c>
      <c r="N98" s="9">
        <v>0</v>
      </c>
      <c r="O98" s="5">
        <v>4</v>
      </c>
      <c r="P98" s="5">
        <v>51</v>
      </c>
      <c r="Q98" s="5">
        <v>0</v>
      </c>
      <c r="R98" s="9">
        <v>0</v>
      </c>
      <c r="S98" s="5">
        <v>0</v>
      </c>
      <c r="T98" s="5">
        <v>0</v>
      </c>
    </row>
    <row r="99" spans="1:20" x14ac:dyDescent="0.2">
      <c r="A99" s="5" t="s">
        <v>443</v>
      </c>
      <c r="B99" s="9" t="s">
        <v>69</v>
      </c>
      <c r="C99" s="5" t="s">
        <v>715</v>
      </c>
      <c r="D99" s="7">
        <f t="shared" si="0"/>
        <v>9</v>
      </c>
      <c r="E99" s="5">
        <v>0</v>
      </c>
      <c r="F99" s="5">
        <v>0</v>
      </c>
      <c r="G99" s="5">
        <v>0</v>
      </c>
      <c r="H99" s="5">
        <v>0</v>
      </c>
      <c r="I99" s="5">
        <v>0</v>
      </c>
      <c r="J99" s="9">
        <v>0</v>
      </c>
      <c r="K99" s="5">
        <v>0</v>
      </c>
      <c r="L99" s="5">
        <v>0</v>
      </c>
      <c r="M99" s="5">
        <v>0</v>
      </c>
      <c r="N99" s="9">
        <v>0</v>
      </c>
      <c r="O99" s="5">
        <v>1</v>
      </c>
      <c r="P99" s="5">
        <v>20</v>
      </c>
      <c r="Q99" s="5">
        <v>1</v>
      </c>
      <c r="R99" s="9">
        <v>0</v>
      </c>
      <c r="S99" s="5">
        <v>0</v>
      </c>
      <c r="T99" s="5">
        <v>0</v>
      </c>
    </row>
    <row r="100" spans="1:20" x14ac:dyDescent="0.2">
      <c r="A100" s="5" t="s">
        <v>41</v>
      </c>
      <c r="B100" s="9" t="s">
        <v>17</v>
      </c>
      <c r="C100" s="5" t="s">
        <v>707</v>
      </c>
      <c r="D100" s="7">
        <f t="shared" si="0"/>
        <v>8.9400000000000013</v>
      </c>
      <c r="E100" s="5">
        <v>22</v>
      </c>
      <c r="F100" s="5">
        <v>17</v>
      </c>
      <c r="G100" s="5">
        <v>226</v>
      </c>
      <c r="H100" s="5">
        <v>1</v>
      </c>
      <c r="I100" s="5">
        <v>1</v>
      </c>
      <c r="J100" s="9">
        <v>0</v>
      </c>
      <c r="K100" s="5">
        <v>2</v>
      </c>
      <c r="L100" s="5">
        <v>-1</v>
      </c>
      <c r="M100" s="5">
        <v>0</v>
      </c>
      <c r="N100" s="9">
        <v>0</v>
      </c>
      <c r="O100" s="5">
        <v>0</v>
      </c>
      <c r="P100" s="5">
        <v>0</v>
      </c>
      <c r="Q100" s="5">
        <v>0</v>
      </c>
      <c r="R100" s="9">
        <v>0</v>
      </c>
      <c r="S100" s="5">
        <v>1</v>
      </c>
      <c r="T100" s="5">
        <v>0</v>
      </c>
    </row>
    <row r="101" spans="1:20" x14ac:dyDescent="0.2">
      <c r="A101" s="5" t="s">
        <v>51</v>
      </c>
      <c r="B101" s="9" t="s">
        <v>17</v>
      </c>
      <c r="C101" s="5" t="s">
        <v>715</v>
      </c>
      <c r="D101" s="7">
        <f t="shared" si="0"/>
        <v>8.84</v>
      </c>
      <c r="E101" s="5">
        <v>27</v>
      </c>
      <c r="F101" s="5">
        <v>12</v>
      </c>
      <c r="G101" s="5">
        <v>121</v>
      </c>
      <c r="H101" s="5">
        <v>1</v>
      </c>
      <c r="I101" s="5">
        <v>0</v>
      </c>
      <c r="J101" s="9">
        <v>0</v>
      </c>
      <c r="K101" s="5">
        <v>3</v>
      </c>
      <c r="L101" s="5">
        <v>0</v>
      </c>
      <c r="M101" s="5">
        <v>0</v>
      </c>
      <c r="N101" s="9">
        <v>0</v>
      </c>
      <c r="O101" s="5">
        <v>0</v>
      </c>
      <c r="P101" s="5">
        <v>0</v>
      </c>
      <c r="Q101" s="5">
        <v>0</v>
      </c>
      <c r="R101" s="9">
        <v>0</v>
      </c>
      <c r="S101" s="5">
        <v>0</v>
      </c>
      <c r="T101" s="5">
        <v>0</v>
      </c>
    </row>
    <row r="102" spans="1:20" x14ac:dyDescent="0.2">
      <c r="A102" s="5" t="s">
        <v>371</v>
      </c>
      <c r="B102" s="9" t="s">
        <v>162</v>
      </c>
      <c r="C102" s="5" t="s">
        <v>706</v>
      </c>
      <c r="D102" s="7">
        <f t="shared" si="0"/>
        <v>8.6000000000000014</v>
      </c>
      <c r="E102" s="5">
        <v>0</v>
      </c>
      <c r="F102" s="5">
        <v>0</v>
      </c>
      <c r="G102" s="5">
        <v>0</v>
      </c>
      <c r="H102" s="5">
        <v>0</v>
      </c>
      <c r="I102" s="5">
        <v>0</v>
      </c>
      <c r="J102" s="9">
        <v>0</v>
      </c>
      <c r="K102" s="5">
        <v>0</v>
      </c>
      <c r="L102" s="5">
        <v>0</v>
      </c>
      <c r="M102" s="5">
        <v>0</v>
      </c>
      <c r="N102" s="9">
        <v>0</v>
      </c>
      <c r="O102" s="5">
        <v>3</v>
      </c>
      <c r="P102" s="5">
        <v>56</v>
      </c>
      <c r="Q102" s="5">
        <v>0</v>
      </c>
      <c r="R102" s="9">
        <v>0</v>
      </c>
      <c r="S102" s="5">
        <v>0</v>
      </c>
      <c r="T102" s="5">
        <v>0</v>
      </c>
    </row>
    <row r="103" spans="1:20" x14ac:dyDescent="0.2">
      <c r="A103" s="5" t="s">
        <v>297</v>
      </c>
      <c r="B103" s="9" t="s">
        <v>69</v>
      </c>
      <c r="C103" s="5" t="s">
        <v>714</v>
      </c>
      <c r="D103" s="7">
        <f t="shared" si="0"/>
        <v>8.4</v>
      </c>
      <c r="E103" s="5">
        <v>0</v>
      </c>
      <c r="F103" s="5">
        <v>0</v>
      </c>
      <c r="G103" s="5">
        <v>0</v>
      </c>
      <c r="H103" s="5">
        <v>0</v>
      </c>
      <c r="I103" s="5">
        <v>0</v>
      </c>
      <c r="J103" s="9">
        <v>0</v>
      </c>
      <c r="K103" s="5">
        <v>0</v>
      </c>
      <c r="L103" s="5">
        <v>0</v>
      </c>
      <c r="M103" s="5">
        <v>0</v>
      </c>
      <c r="N103" s="9">
        <v>0</v>
      </c>
      <c r="O103" s="5">
        <v>4</v>
      </c>
      <c r="P103" s="5">
        <v>44</v>
      </c>
      <c r="Q103" s="5">
        <v>0</v>
      </c>
      <c r="R103" s="9">
        <v>0</v>
      </c>
      <c r="S103" s="5">
        <v>0</v>
      </c>
      <c r="T103" s="5">
        <v>0</v>
      </c>
    </row>
    <row r="104" spans="1:20" x14ac:dyDescent="0.2">
      <c r="A104" s="5" t="s">
        <v>360</v>
      </c>
      <c r="B104" s="9" t="s">
        <v>162</v>
      </c>
      <c r="C104" s="5" t="s">
        <v>703</v>
      </c>
      <c r="D104" s="7">
        <f t="shared" si="0"/>
        <v>8.1000000000000014</v>
      </c>
      <c r="E104" s="5">
        <v>0</v>
      </c>
      <c r="F104" s="5">
        <v>0</v>
      </c>
      <c r="G104" s="5">
        <v>0</v>
      </c>
      <c r="H104" s="5">
        <v>0</v>
      </c>
      <c r="I104" s="5">
        <v>0</v>
      </c>
      <c r="J104" s="9">
        <v>0</v>
      </c>
      <c r="K104" s="5">
        <v>0</v>
      </c>
      <c r="L104" s="5">
        <v>0</v>
      </c>
      <c r="M104" s="5">
        <v>0</v>
      </c>
      <c r="N104" s="9">
        <v>0</v>
      </c>
      <c r="O104" s="5">
        <v>3</v>
      </c>
      <c r="P104" s="5">
        <v>51</v>
      </c>
      <c r="Q104" s="5">
        <v>0</v>
      </c>
      <c r="R104" s="9">
        <v>0</v>
      </c>
      <c r="S104" s="5">
        <v>0</v>
      </c>
      <c r="T104" s="5">
        <v>0</v>
      </c>
    </row>
    <row r="105" spans="1:20" x14ac:dyDescent="0.2">
      <c r="A105" s="5" t="s">
        <v>184</v>
      </c>
      <c r="B105" s="9" t="s">
        <v>162</v>
      </c>
      <c r="C105" s="5" t="s">
        <v>715</v>
      </c>
      <c r="D105" s="7">
        <f t="shared" si="0"/>
        <v>8</v>
      </c>
      <c r="E105" s="5">
        <v>0</v>
      </c>
      <c r="F105" s="5">
        <v>0</v>
      </c>
      <c r="G105" s="5">
        <v>0</v>
      </c>
      <c r="H105" s="5">
        <v>0</v>
      </c>
      <c r="I105" s="5">
        <v>0</v>
      </c>
      <c r="J105" s="9">
        <v>0</v>
      </c>
      <c r="K105" s="5">
        <v>0</v>
      </c>
      <c r="L105" s="5">
        <v>0</v>
      </c>
      <c r="M105" s="5">
        <v>0</v>
      </c>
      <c r="N105" s="9">
        <v>0</v>
      </c>
      <c r="O105" s="5">
        <v>3</v>
      </c>
      <c r="P105" s="5">
        <v>50</v>
      </c>
      <c r="Q105" s="5">
        <v>0</v>
      </c>
      <c r="R105" s="9">
        <v>0</v>
      </c>
      <c r="S105" s="5">
        <v>0</v>
      </c>
      <c r="T105" s="5">
        <v>0</v>
      </c>
    </row>
    <row r="106" spans="1:20" x14ac:dyDescent="0.2">
      <c r="A106" s="5" t="s">
        <v>25</v>
      </c>
      <c r="B106" s="9" t="s">
        <v>17</v>
      </c>
      <c r="C106" s="5" t="s">
        <v>714</v>
      </c>
      <c r="D106" s="7">
        <f t="shared" si="0"/>
        <v>7.98</v>
      </c>
      <c r="E106" s="5">
        <v>37</v>
      </c>
      <c r="F106" s="5">
        <v>22</v>
      </c>
      <c r="G106" s="5">
        <v>212</v>
      </c>
      <c r="H106" s="5">
        <v>0</v>
      </c>
      <c r="I106" s="5">
        <v>0</v>
      </c>
      <c r="J106" s="9">
        <v>0</v>
      </c>
      <c r="K106" s="5">
        <v>4</v>
      </c>
      <c r="L106" s="5">
        <v>-5</v>
      </c>
      <c r="M106" s="5">
        <v>0</v>
      </c>
      <c r="N106" s="9">
        <v>0</v>
      </c>
      <c r="O106" s="5">
        <v>0</v>
      </c>
      <c r="P106" s="5">
        <v>0</v>
      </c>
      <c r="Q106" s="5">
        <v>0</v>
      </c>
      <c r="R106" s="9">
        <v>0</v>
      </c>
      <c r="S106" s="5">
        <v>0</v>
      </c>
      <c r="T106" s="5">
        <v>0</v>
      </c>
    </row>
    <row r="107" spans="1:20" x14ac:dyDescent="0.2">
      <c r="A107" s="5" t="s">
        <v>198</v>
      </c>
      <c r="B107" s="9" t="s">
        <v>162</v>
      </c>
      <c r="C107" s="5" t="s">
        <v>706</v>
      </c>
      <c r="D107" s="7">
        <f t="shared" si="0"/>
        <v>7.9</v>
      </c>
      <c r="E107" s="5">
        <v>0</v>
      </c>
      <c r="F107" s="5">
        <v>0</v>
      </c>
      <c r="G107" s="5">
        <v>0</v>
      </c>
      <c r="H107" s="5">
        <v>0</v>
      </c>
      <c r="I107" s="5">
        <v>0</v>
      </c>
      <c r="J107" s="9">
        <v>0</v>
      </c>
      <c r="K107" s="5">
        <v>1</v>
      </c>
      <c r="L107" s="5">
        <v>19</v>
      </c>
      <c r="M107" s="5">
        <v>1</v>
      </c>
      <c r="N107" s="9">
        <v>0</v>
      </c>
      <c r="O107" s="5">
        <v>0</v>
      </c>
      <c r="P107" s="5">
        <v>0</v>
      </c>
      <c r="Q107" s="5">
        <v>0</v>
      </c>
      <c r="R107" s="9">
        <v>0</v>
      </c>
      <c r="S107" s="5">
        <v>0</v>
      </c>
      <c r="T107" s="5">
        <v>0</v>
      </c>
    </row>
    <row r="108" spans="1:20" x14ac:dyDescent="0.2">
      <c r="A108" s="5" t="s">
        <v>337</v>
      </c>
      <c r="B108" s="9" t="s">
        <v>75</v>
      </c>
      <c r="C108" s="5" t="s">
        <v>709</v>
      </c>
      <c r="D108" s="7">
        <f t="shared" si="0"/>
        <v>7.7000000000000011</v>
      </c>
      <c r="E108" s="5">
        <v>0</v>
      </c>
      <c r="F108" s="5">
        <v>0</v>
      </c>
      <c r="G108" s="5">
        <v>0</v>
      </c>
      <c r="H108" s="5">
        <v>0</v>
      </c>
      <c r="I108" s="5">
        <v>0</v>
      </c>
      <c r="J108" s="9">
        <v>0</v>
      </c>
      <c r="K108" s="5">
        <v>19</v>
      </c>
      <c r="L108" s="5">
        <v>51</v>
      </c>
      <c r="M108" s="5">
        <v>0</v>
      </c>
      <c r="N108" s="9">
        <v>0</v>
      </c>
      <c r="O108" s="5">
        <v>2</v>
      </c>
      <c r="P108" s="5">
        <v>6</v>
      </c>
      <c r="Q108" s="5">
        <v>0</v>
      </c>
      <c r="R108" s="9">
        <v>0</v>
      </c>
      <c r="S108" s="5">
        <v>0</v>
      </c>
      <c r="T108" s="5">
        <v>0</v>
      </c>
    </row>
    <row r="109" spans="1:20" x14ac:dyDescent="0.2">
      <c r="A109" s="5" t="s">
        <v>422</v>
      </c>
      <c r="B109" s="9" t="s">
        <v>69</v>
      </c>
      <c r="C109" s="5" t="s">
        <v>707</v>
      </c>
      <c r="D109" s="7">
        <f t="shared" si="0"/>
        <v>7.6</v>
      </c>
      <c r="E109" s="5">
        <v>0</v>
      </c>
      <c r="F109" s="5">
        <v>0</v>
      </c>
      <c r="G109" s="5">
        <v>0</v>
      </c>
      <c r="H109" s="5">
        <v>0</v>
      </c>
      <c r="I109" s="5">
        <v>0</v>
      </c>
      <c r="J109" s="9">
        <v>0</v>
      </c>
      <c r="K109" s="5">
        <v>0</v>
      </c>
      <c r="L109" s="5">
        <v>0</v>
      </c>
      <c r="M109" s="5">
        <v>0</v>
      </c>
      <c r="N109" s="9">
        <v>0</v>
      </c>
      <c r="O109" s="5">
        <v>1</v>
      </c>
      <c r="P109" s="5">
        <v>6</v>
      </c>
      <c r="Q109" s="5">
        <v>1</v>
      </c>
      <c r="R109" s="9">
        <v>0</v>
      </c>
      <c r="S109" s="5">
        <v>0</v>
      </c>
      <c r="T109" s="5">
        <v>0</v>
      </c>
    </row>
    <row r="110" spans="1:20" x14ac:dyDescent="0.2">
      <c r="A110" s="5" t="s">
        <v>429</v>
      </c>
      <c r="B110" s="9" t="s">
        <v>69</v>
      </c>
      <c r="C110" s="5" t="s">
        <v>705</v>
      </c>
      <c r="D110" s="7">
        <f t="shared" si="0"/>
        <v>7.5</v>
      </c>
      <c r="E110" s="5">
        <v>0</v>
      </c>
      <c r="F110" s="5">
        <v>0</v>
      </c>
      <c r="G110" s="5">
        <v>0</v>
      </c>
      <c r="H110" s="5">
        <v>0</v>
      </c>
      <c r="I110" s="5">
        <v>0</v>
      </c>
      <c r="J110" s="9">
        <v>0</v>
      </c>
      <c r="K110" s="5">
        <v>0</v>
      </c>
      <c r="L110" s="5">
        <v>0</v>
      </c>
      <c r="M110" s="5">
        <v>0</v>
      </c>
      <c r="N110" s="9">
        <v>0</v>
      </c>
      <c r="O110" s="5">
        <v>4</v>
      </c>
      <c r="P110" s="5">
        <v>35</v>
      </c>
      <c r="Q110" s="5">
        <v>0</v>
      </c>
      <c r="R110" s="9">
        <v>0</v>
      </c>
      <c r="S110" s="5">
        <v>0</v>
      </c>
      <c r="T110" s="5">
        <v>0</v>
      </c>
    </row>
    <row r="111" spans="1:20" x14ac:dyDescent="0.2">
      <c r="A111" s="5" t="s">
        <v>168</v>
      </c>
      <c r="B111" s="9" t="s">
        <v>162</v>
      </c>
      <c r="C111" s="5" t="s">
        <v>705</v>
      </c>
      <c r="D111" s="7">
        <f t="shared" si="0"/>
        <v>7.3000000000000007</v>
      </c>
      <c r="E111" s="5">
        <v>0</v>
      </c>
      <c r="F111" s="5">
        <v>0</v>
      </c>
      <c r="G111" s="5">
        <v>0</v>
      </c>
      <c r="H111" s="5">
        <v>0</v>
      </c>
      <c r="I111" s="5">
        <v>0</v>
      </c>
      <c r="J111" s="9">
        <v>0</v>
      </c>
      <c r="K111" s="5">
        <v>3</v>
      </c>
      <c r="L111" s="5">
        <v>7</v>
      </c>
      <c r="M111" s="5">
        <v>0</v>
      </c>
      <c r="N111" s="9">
        <v>0</v>
      </c>
      <c r="O111" s="5">
        <v>4</v>
      </c>
      <c r="P111" s="5">
        <v>26</v>
      </c>
      <c r="Q111" s="5">
        <v>0</v>
      </c>
      <c r="R111" s="9">
        <v>0</v>
      </c>
      <c r="S111" s="5">
        <v>0</v>
      </c>
      <c r="T111" s="5">
        <v>0</v>
      </c>
    </row>
    <row r="112" spans="1:20" x14ac:dyDescent="0.2">
      <c r="A112" s="5" t="s">
        <v>344</v>
      </c>
      <c r="B112" s="9" t="s">
        <v>162</v>
      </c>
      <c r="C112" s="5" t="s">
        <v>708</v>
      </c>
      <c r="D112" s="7">
        <f t="shared" si="0"/>
        <v>7.3</v>
      </c>
      <c r="E112" s="5">
        <v>0</v>
      </c>
      <c r="F112" s="5">
        <v>0</v>
      </c>
      <c r="G112" s="5">
        <v>0</v>
      </c>
      <c r="H112" s="5">
        <v>0</v>
      </c>
      <c r="I112" s="5">
        <v>0</v>
      </c>
      <c r="J112" s="9">
        <v>0</v>
      </c>
      <c r="K112" s="5">
        <v>0</v>
      </c>
      <c r="L112" s="5">
        <v>0</v>
      </c>
      <c r="M112" s="5">
        <v>0</v>
      </c>
      <c r="N112" s="9">
        <v>0</v>
      </c>
      <c r="O112" s="5">
        <v>3</v>
      </c>
      <c r="P112" s="5">
        <v>43</v>
      </c>
      <c r="Q112" s="5">
        <v>0</v>
      </c>
      <c r="R112" s="9">
        <v>0</v>
      </c>
      <c r="S112" s="5">
        <v>0</v>
      </c>
      <c r="T112" s="5">
        <v>0</v>
      </c>
    </row>
    <row r="113" spans="1:20" x14ac:dyDescent="0.2">
      <c r="A113" s="5" t="s">
        <v>347</v>
      </c>
      <c r="B113" s="9" t="s">
        <v>69</v>
      </c>
      <c r="C113" s="5" t="s">
        <v>701</v>
      </c>
      <c r="D113" s="7">
        <f t="shared" si="0"/>
        <v>7.3</v>
      </c>
      <c r="E113" s="5">
        <v>0</v>
      </c>
      <c r="F113" s="5">
        <v>0</v>
      </c>
      <c r="G113" s="5">
        <v>0</v>
      </c>
      <c r="H113" s="5">
        <v>0</v>
      </c>
      <c r="I113" s="5">
        <v>0</v>
      </c>
      <c r="J113" s="9">
        <v>0</v>
      </c>
      <c r="K113" s="5">
        <v>0</v>
      </c>
      <c r="L113" s="5">
        <v>0</v>
      </c>
      <c r="M113" s="5">
        <v>0</v>
      </c>
      <c r="N113" s="9">
        <v>0</v>
      </c>
      <c r="O113" s="5">
        <v>3</v>
      </c>
      <c r="P113" s="5">
        <v>43</v>
      </c>
      <c r="Q113" s="5">
        <v>0</v>
      </c>
      <c r="R113" s="9">
        <v>0</v>
      </c>
      <c r="S113" s="5">
        <v>0</v>
      </c>
      <c r="T113" s="5">
        <v>0</v>
      </c>
    </row>
    <row r="114" spans="1:20" x14ac:dyDescent="0.2">
      <c r="A114" s="5" t="s">
        <v>488</v>
      </c>
      <c r="B114" s="9" t="s">
        <v>17</v>
      </c>
      <c r="C114" s="5" t="s">
        <v>714</v>
      </c>
      <c r="D114" s="7">
        <f t="shared" si="0"/>
        <v>7.24</v>
      </c>
      <c r="E114" s="5">
        <v>25</v>
      </c>
      <c r="F114" s="5">
        <v>13</v>
      </c>
      <c r="G114" s="5">
        <v>141</v>
      </c>
      <c r="H114" s="5">
        <v>0</v>
      </c>
      <c r="I114" s="5">
        <v>0</v>
      </c>
      <c r="J114" s="9">
        <v>0</v>
      </c>
      <c r="K114" s="5">
        <v>4</v>
      </c>
      <c r="L114" s="5">
        <v>16</v>
      </c>
      <c r="M114" s="5">
        <v>0</v>
      </c>
      <c r="N114" s="9">
        <v>0</v>
      </c>
      <c r="O114" s="5">
        <v>0</v>
      </c>
      <c r="P114" s="5">
        <v>0</v>
      </c>
      <c r="Q114" s="5">
        <v>0</v>
      </c>
      <c r="R114" s="9">
        <v>0</v>
      </c>
      <c r="S114" s="5">
        <v>0</v>
      </c>
      <c r="T114" s="5">
        <v>0</v>
      </c>
    </row>
    <row r="115" spans="1:20" x14ac:dyDescent="0.2">
      <c r="A115" s="5" t="s">
        <v>238</v>
      </c>
      <c r="B115" s="9" t="s">
        <v>162</v>
      </c>
      <c r="C115" s="5" t="s">
        <v>705</v>
      </c>
      <c r="D115" s="7">
        <f t="shared" si="0"/>
        <v>7.2</v>
      </c>
      <c r="E115" s="5">
        <v>1</v>
      </c>
      <c r="F115" s="5">
        <v>0</v>
      </c>
      <c r="G115" s="5">
        <v>0</v>
      </c>
      <c r="H115" s="5">
        <v>0</v>
      </c>
      <c r="I115" s="5">
        <v>1</v>
      </c>
      <c r="J115" s="9">
        <v>0</v>
      </c>
      <c r="K115" s="5">
        <v>1</v>
      </c>
      <c r="L115" s="5">
        <v>5</v>
      </c>
      <c r="M115" s="5">
        <v>0</v>
      </c>
      <c r="N115" s="9">
        <v>0</v>
      </c>
      <c r="O115" s="5">
        <v>5</v>
      </c>
      <c r="P115" s="5">
        <v>37</v>
      </c>
      <c r="Q115" s="5">
        <v>0</v>
      </c>
      <c r="R115" s="9">
        <v>0</v>
      </c>
      <c r="S115" s="5">
        <v>0</v>
      </c>
      <c r="T115" s="5">
        <v>0</v>
      </c>
    </row>
    <row r="116" spans="1:20" x14ac:dyDescent="0.2">
      <c r="A116" s="5" t="s">
        <v>289</v>
      </c>
      <c r="B116" s="9" t="s">
        <v>69</v>
      </c>
      <c r="C116" s="5" t="s">
        <v>708</v>
      </c>
      <c r="D116" s="7">
        <f t="shared" si="0"/>
        <v>7.2</v>
      </c>
      <c r="E116" s="5">
        <v>0</v>
      </c>
      <c r="F116" s="5">
        <v>0</v>
      </c>
      <c r="G116" s="5">
        <v>0</v>
      </c>
      <c r="H116" s="5">
        <v>0</v>
      </c>
      <c r="I116" s="5">
        <v>0</v>
      </c>
      <c r="J116" s="9">
        <v>0</v>
      </c>
      <c r="K116" s="5">
        <v>0</v>
      </c>
      <c r="L116" s="5">
        <v>0</v>
      </c>
      <c r="M116" s="5">
        <v>0</v>
      </c>
      <c r="N116" s="9">
        <v>0</v>
      </c>
      <c r="O116" s="5">
        <v>1</v>
      </c>
      <c r="P116" s="5">
        <v>2</v>
      </c>
      <c r="Q116" s="5">
        <v>1</v>
      </c>
      <c r="R116" s="9">
        <v>0</v>
      </c>
      <c r="S116" s="5">
        <v>0</v>
      </c>
      <c r="T116" s="5">
        <v>0</v>
      </c>
    </row>
    <row r="117" spans="1:20" x14ac:dyDescent="0.2">
      <c r="A117" s="5" t="s">
        <v>498</v>
      </c>
      <c r="B117" s="9" t="s">
        <v>17</v>
      </c>
      <c r="C117" s="5" t="s">
        <v>711</v>
      </c>
      <c r="D117" s="7">
        <f t="shared" si="0"/>
        <v>7.18</v>
      </c>
      <c r="E117" s="5">
        <v>17</v>
      </c>
      <c r="F117" s="5">
        <v>11</v>
      </c>
      <c r="G117" s="5">
        <v>117</v>
      </c>
      <c r="H117" s="5">
        <v>1</v>
      </c>
      <c r="I117" s="5">
        <v>0</v>
      </c>
      <c r="J117" s="9">
        <v>0</v>
      </c>
      <c r="K117" s="5">
        <v>3</v>
      </c>
      <c r="L117" s="5">
        <v>5</v>
      </c>
      <c r="M117" s="5">
        <v>0</v>
      </c>
      <c r="N117" s="9">
        <v>0</v>
      </c>
      <c r="O117" s="5">
        <v>0</v>
      </c>
      <c r="P117" s="5">
        <v>0</v>
      </c>
      <c r="Q117" s="5">
        <v>0</v>
      </c>
      <c r="R117" s="9">
        <v>0</v>
      </c>
      <c r="S117" s="5">
        <v>1</v>
      </c>
      <c r="T117" s="5">
        <v>0</v>
      </c>
    </row>
    <row r="118" spans="1:20" x14ac:dyDescent="0.2">
      <c r="A118" s="5" t="s">
        <v>57</v>
      </c>
      <c r="B118" s="9" t="s">
        <v>17</v>
      </c>
      <c r="C118" s="5" t="s">
        <v>706</v>
      </c>
      <c r="D118" s="7">
        <f t="shared" si="0"/>
        <v>7.12</v>
      </c>
      <c r="E118" s="5">
        <v>31</v>
      </c>
      <c r="F118" s="5">
        <v>15</v>
      </c>
      <c r="G118" s="5">
        <v>178</v>
      </c>
      <c r="H118" s="5">
        <v>0</v>
      </c>
      <c r="I118" s="5">
        <v>1</v>
      </c>
      <c r="J118" s="9">
        <v>0</v>
      </c>
      <c r="K118" s="5">
        <v>0</v>
      </c>
      <c r="L118" s="5">
        <v>0</v>
      </c>
      <c r="M118" s="5">
        <v>0</v>
      </c>
      <c r="N118" s="9">
        <v>1</v>
      </c>
      <c r="O118" s="5">
        <v>0</v>
      </c>
      <c r="P118" s="5">
        <v>0</v>
      </c>
      <c r="Q118" s="5">
        <v>0</v>
      </c>
      <c r="R118" s="9">
        <v>0</v>
      </c>
      <c r="S118" s="5">
        <v>0</v>
      </c>
      <c r="T118" s="5">
        <v>0</v>
      </c>
    </row>
    <row r="119" spans="1:20" x14ac:dyDescent="0.2">
      <c r="A119" s="5" t="s">
        <v>524</v>
      </c>
      <c r="B119" s="9" t="s">
        <v>69</v>
      </c>
      <c r="C119" s="5" t="s">
        <v>708</v>
      </c>
      <c r="D119" s="7">
        <f t="shared" si="0"/>
        <v>7.1</v>
      </c>
      <c r="E119" s="5">
        <v>0</v>
      </c>
      <c r="F119" s="5">
        <v>0</v>
      </c>
      <c r="G119" s="5">
        <v>0</v>
      </c>
      <c r="H119" s="5">
        <v>0</v>
      </c>
      <c r="I119" s="5">
        <v>0</v>
      </c>
      <c r="J119" s="9">
        <v>0</v>
      </c>
      <c r="K119" s="5">
        <v>0</v>
      </c>
      <c r="L119" s="5">
        <v>0</v>
      </c>
      <c r="M119" s="5">
        <v>0</v>
      </c>
      <c r="N119" s="9">
        <v>0</v>
      </c>
      <c r="O119" s="5">
        <v>1</v>
      </c>
      <c r="P119" s="5">
        <v>1</v>
      </c>
      <c r="Q119" s="5">
        <v>1</v>
      </c>
      <c r="R119" s="9">
        <v>0</v>
      </c>
      <c r="S119" s="5">
        <v>0</v>
      </c>
      <c r="T119" s="5">
        <v>0</v>
      </c>
    </row>
    <row r="120" spans="1:20" x14ac:dyDescent="0.2">
      <c r="A120" s="5" t="s">
        <v>486</v>
      </c>
      <c r="B120" s="9" t="s">
        <v>69</v>
      </c>
      <c r="C120" s="5" t="s">
        <v>708</v>
      </c>
      <c r="D120" s="7">
        <f t="shared" si="0"/>
        <v>6.7</v>
      </c>
      <c r="E120" s="5">
        <v>0</v>
      </c>
      <c r="F120" s="5">
        <v>0</v>
      </c>
      <c r="G120" s="5">
        <v>0</v>
      </c>
      <c r="H120" s="5">
        <v>0</v>
      </c>
      <c r="I120" s="5">
        <v>0</v>
      </c>
      <c r="J120" s="9">
        <v>0</v>
      </c>
      <c r="K120" s="5">
        <v>0</v>
      </c>
      <c r="L120" s="5">
        <v>0</v>
      </c>
      <c r="M120" s="5">
        <v>0</v>
      </c>
      <c r="N120" s="9">
        <v>0</v>
      </c>
      <c r="O120" s="5">
        <v>3</v>
      </c>
      <c r="P120" s="5">
        <v>37</v>
      </c>
      <c r="Q120" s="5">
        <v>0</v>
      </c>
      <c r="R120" s="9">
        <v>0</v>
      </c>
      <c r="S120" s="5">
        <v>0</v>
      </c>
      <c r="T120" s="5">
        <v>0</v>
      </c>
    </row>
    <row r="121" spans="1:20" x14ac:dyDescent="0.2">
      <c r="A121" s="5" t="s">
        <v>326</v>
      </c>
      <c r="B121" s="9" t="s">
        <v>162</v>
      </c>
      <c r="C121" s="5" t="s">
        <v>705</v>
      </c>
      <c r="D121" s="7">
        <f t="shared" si="0"/>
        <v>6.6</v>
      </c>
      <c r="E121" s="5">
        <v>0</v>
      </c>
      <c r="F121" s="5">
        <v>0</v>
      </c>
      <c r="G121" s="5">
        <v>0</v>
      </c>
      <c r="H121" s="5">
        <v>0</v>
      </c>
      <c r="I121" s="5">
        <v>0</v>
      </c>
      <c r="J121" s="9">
        <v>0</v>
      </c>
      <c r="K121" s="5">
        <v>0</v>
      </c>
      <c r="L121" s="5">
        <v>0</v>
      </c>
      <c r="M121" s="5">
        <v>0</v>
      </c>
      <c r="N121" s="9">
        <v>0</v>
      </c>
      <c r="O121" s="5">
        <v>3</v>
      </c>
      <c r="P121" s="5">
        <v>36</v>
      </c>
      <c r="Q121" s="5">
        <v>0</v>
      </c>
      <c r="R121" s="9">
        <v>0</v>
      </c>
      <c r="S121" s="5">
        <v>0</v>
      </c>
      <c r="T121" s="5">
        <v>0</v>
      </c>
    </row>
    <row r="122" spans="1:20" x14ac:dyDescent="0.2">
      <c r="A122" s="5" t="s">
        <v>113</v>
      </c>
      <c r="B122" s="9" t="s">
        <v>75</v>
      </c>
      <c r="C122" s="5" t="s">
        <v>711</v>
      </c>
      <c r="D122" s="7">
        <f t="shared" si="0"/>
        <v>6.5</v>
      </c>
      <c r="E122" s="5">
        <v>0</v>
      </c>
      <c r="F122" s="5">
        <v>0</v>
      </c>
      <c r="G122" s="5">
        <v>0</v>
      </c>
      <c r="H122" s="5">
        <v>0</v>
      </c>
      <c r="I122" s="5">
        <v>0</v>
      </c>
      <c r="J122" s="9">
        <v>0</v>
      </c>
      <c r="K122" s="5">
        <v>9</v>
      </c>
      <c r="L122" s="5">
        <v>59</v>
      </c>
      <c r="M122" s="5">
        <v>0</v>
      </c>
      <c r="N122" s="9">
        <v>0</v>
      </c>
      <c r="O122" s="5">
        <v>1</v>
      </c>
      <c r="P122" s="5">
        <v>-4</v>
      </c>
      <c r="Q122" s="5">
        <v>0</v>
      </c>
      <c r="R122" s="9">
        <v>0</v>
      </c>
      <c r="S122" s="5">
        <v>0</v>
      </c>
      <c r="T122" s="5">
        <v>0</v>
      </c>
    </row>
    <row r="123" spans="1:20" x14ac:dyDescent="0.2">
      <c r="A123" s="5" t="s">
        <v>316</v>
      </c>
      <c r="B123" s="9" t="s">
        <v>69</v>
      </c>
      <c r="C123" s="5" t="s">
        <v>715</v>
      </c>
      <c r="D123" s="7">
        <f t="shared" si="0"/>
        <v>6.5</v>
      </c>
      <c r="E123" s="5">
        <v>0</v>
      </c>
      <c r="F123" s="5">
        <v>0</v>
      </c>
      <c r="G123" s="5">
        <v>0</v>
      </c>
      <c r="H123" s="5">
        <v>0</v>
      </c>
      <c r="I123" s="5">
        <v>0</v>
      </c>
      <c r="J123" s="9">
        <v>0</v>
      </c>
      <c r="K123" s="5">
        <v>0</v>
      </c>
      <c r="L123" s="5">
        <v>0</v>
      </c>
      <c r="M123" s="5">
        <v>0</v>
      </c>
      <c r="N123" s="9">
        <v>0</v>
      </c>
      <c r="O123" s="5">
        <v>3</v>
      </c>
      <c r="P123" s="5">
        <v>35</v>
      </c>
      <c r="Q123" s="5">
        <v>0</v>
      </c>
      <c r="R123" s="9">
        <v>0</v>
      </c>
      <c r="S123" s="5">
        <v>0</v>
      </c>
      <c r="T123" s="5">
        <v>0</v>
      </c>
    </row>
    <row r="124" spans="1:20" x14ac:dyDescent="0.2">
      <c r="A124" s="5" t="s">
        <v>111</v>
      </c>
      <c r="B124" s="9" t="s">
        <v>75</v>
      </c>
      <c r="C124" s="5" t="s">
        <v>707</v>
      </c>
      <c r="D124" s="7">
        <f t="shared" si="0"/>
        <v>6.4</v>
      </c>
      <c r="E124" s="5">
        <v>0</v>
      </c>
      <c r="F124" s="5">
        <v>0</v>
      </c>
      <c r="G124" s="5">
        <v>0</v>
      </c>
      <c r="H124" s="5">
        <v>0</v>
      </c>
      <c r="I124" s="5">
        <v>0</v>
      </c>
      <c r="J124" s="9">
        <v>0</v>
      </c>
      <c r="K124" s="5">
        <v>8</v>
      </c>
      <c r="L124" s="5">
        <v>60</v>
      </c>
      <c r="M124" s="5">
        <v>0</v>
      </c>
      <c r="N124" s="9">
        <v>0</v>
      </c>
      <c r="O124" s="5">
        <v>1</v>
      </c>
      <c r="P124" s="5">
        <v>-6</v>
      </c>
      <c r="Q124" s="5">
        <v>0</v>
      </c>
      <c r="R124" s="9">
        <v>0</v>
      </c>
      <c r="S124" s="5">
        <v>0</v>
      </c>
      <c r="T124" s="5">
        <v>0</v>
      </c>
    </row>
    <row r="125" spans="1:20" x14ac:dyDescent="0.2">
      <c r="A125" s="5" t="s">
        <v>218</v>
      </c>
      <c r="B125" s="9" t="s">
        <v>162</v>
      </c>
      <c r="C125" s="5" t="s">
        <v>710</v>
      </c>
      <c r="D125" s="7">
        <f t="shared" si="0"/>
        <v>6.4</v>
      </c>
      <c r="E125" s="5">
        <v>0</v>
      </c>
      <c r="F125" s="5">
        <v>0</v>
      </c>
      <c r="G125" s="5">
        <v>0</v>
      </c>
      <c r="H125" s="5">
        <v>0</v>
      </c>
      <c r="I125" s="5">
        <v>0</v>
      </c>
      <c r="J125" s="9">
        <v>0</v>
      </c>
      <c r="K125" s="5">
        <v>0</v>
      </c>
      <c r="L125" s="5">
        <v>0</v>
      </c>
      <c r="M125" s="5">
        <v>0</v>
      </c>
      <c r="N125" s="9">
        <v>0</v>
      </c>
      <c r="O125" s="5">
        <v>3</v>
      </c>
      <c r="P125" s="5">
        <v>34</v>
      </c>
      <c r="Q125" s="5">
        <v>0</v>
      </c>
      <c r="R125" s="9">
        <v>0</v>
      </c>
      <c r="S125" s="5">
        <v>0</v>
      </c>
      <c r="T125" s="5">
        <v>0</v>
      </c>
    </row>
    <row r="126" spans="1:20" x14ac:dyDescent="0.2">
      <c r="A126" s="5" t="s">
        <v>395</v>
      </c>
      <c r="B126" s="9" t="s">
        <v>75</v>
      </c>
      <c r="C126" s="5" t="s">
        <v>705</v>
      </c>
      <c r="D126" s="7">
        <f t="shared" si="0"/>
        <v>6.1000000000000005</v>
      </c>
      <c r="E126" s="5">
        <v>0</v>
      </c>
      <c r="F126" s="5">
        <v>0</v>
      </c>
      <c r="G126" s="5">
        <v>0</v>
      </c>
      <c r="H126" s="5">
        <v>0</v>
      </c>
      <c r="I126" s="5">
        <v>0</v>
      </c>
      <c r="J126" s="9">
        <v>0</v>
      </c>
      <c r="K126" s="5">
        <v>9</v>
      </c>
      <c r="L126" s="5">
        <v>61</v>
      </c>
      <c r="M126" s="5">
        <v>0</v>
      </c>
      <c r="N126" s="9">
        <v>0</v>
      </c>
      <c r="O126" s="5">
        <v>0</v>
      </c>
      <c r="P126" s="5">
        <v>0</v>
      </c>
      <c r="Q126" s="5">
        <v>0</v>
      </c>
      <c r="R126" s="9">
        <v>0</v>
      </c>
      <c r="S126" s="5">
        <v>0</v>
      </c>
      <c r="T126" s="5">
        <v>0</v>
      </c>
    </row>
    <row r="127" spans="1:20" x14ac:dyDescent="0.2">
      <c r="A127" s="5" t="s">
        <v>284</v>
      </c>
      <c r="B127" s="9" t="s">
        <v>69</v>
      </c>
      <c r="C127" s="5" t="s">
        <v>711</v>
      </c>
      <c r="D127" s="7">
        <f t="shared" si="0"/>
        <v>5.9</v>
      </c>
      <c r="E127" s="5">
        <v>0</v>
      </c>
      <c r="F127" s="5">
        <v>0</v>
      </c>
      <c r="G127" s="5">
        <v>0</v>
      </c>
      <c r="H127" s="5">
        <v>0</v>
      </c>
      <c r="I127" s="5">
        <v>0</v>
      </c>
      <c r="J127" s="9">
        <v>0</v>
      </c>
      <c r="K127" s="5">
        <v>0</v>
      </c>
      <c r="L127" s="5">
        <v>0</v>
      </c>
      <c r="M127" s="5">
        <v>0</v>
      </c>
      <c r="N127" s="9">
        <v>0</v>
      </c>
      <c r="O127" s="5">
        <v>3</v>
      </c>
      <c r="P127" s="5">
        <v>29</v>
      </c>
      <c r="Q127" s="5">
        <v>0</v>
      </c>
      <c r="R127" s="9">
        <v>0</v>
      </c>
      <c r="S127" s="5">
        <v>0</v>
      </c>
      <c r="T127" s="5">
        <v>0</v>
      </c>
    </row>
    <row r="128" spans="1:20" x14ac:dyDescent="0.2">
      <c r="A128" s="5" t="s">
        <v>428</v>
      </c>
      <c r="B128" s="9" t="s">
        <v>75</v>
      </c>
      <c r="C128" s="5" t="s">
        <v>710</v>
      </c>
      <c r="D128" s="7">
        <f t="shared" si="0"/>
        <v>5.8000000000000007</v>
      </c>
      <c r="E128" s="5">
        <v>0</v>
      </c>
      <c r="F128" s="5">
        <v>0</v>
      </c>
      <c r="G128" s="5">
        <v>0</v>
      </c>
      <c r="H128" s="5">
        <v>0</v>
      </c>
      <c r="I128" s="5">
        <v>0</v>
      </c>
      <c r="J128" s="9">
        <v>0</v>
      </c>
      <c r="K128" s="5">
        <v>12</v>
      </c>
      <c r="L128" s="5">
        <v>48</v>
      </c>
      <c r="M128" s="5">
        <v>0</v>
      </c>
      <c r="N128" s="9">
        <v>0</v>
      </c>
      <c r="O128" s="5">
        <v>1</v>
      </c>
      <c r="P128" s="5">
        <v>0</v>
      </c>
      <c r="Q128" s="5">
        <v>0</v>
      </c>
      <c r="R128" s="9">
        <v>0</v>
      </c>
      <c r="S128" s="5">
        <v>0</v>
      </c>
      <c r="T128" s="5">
        <v>0</v>
      </c>
    </row>
    <row r="129" spans="1:20" x14ac:dyDescent="0.2">
      <c r="A129" s="5" t="s">
        <v>249</v>
      </c>
      <c r="B129" s="9" t="s">
        <v>162</v>
      </c>
      <c r="C129" s="5" t="s">
        <v>702</v>
      </c>
      <c r="D129" s="7">
        <f t="shared" si="0"/>
        <v>5.8000000000000007</v>
      </c>
      <c r="E129" s="5">
        <v>0</v>
      </c>
      <c r="F129" s="5">
        <v>0</v>
      </c>
      <c r="G129" s="5">
        <v>0</v>
      </c>
      <c r="H129" s="5">
        <v>0</v>
      </c>
      <c r="I129" s="5">
        <v>0</v>
      </c>
      <c r="J129" s="9">
        <v>0</v>
      </c>
      <c r="K129" s="5">
        <v>0</v>
      </c>
      <c r="L129" s="5">
        <v>0</v>
      </c>
      <c r="M129" s="5">
        <v>0</v>
      </c>
      <c r="N129" s="9">
        <v>0</v>
      </c>
      <c r="O129" s="5">
        <v>3</v>
      </c>
      <c r="P129" s="5">
        <v>28</v>
      </c>
      <c r="Q129" s="5">
        <v>0</v>
      </c>
      <c r="R129" s="9">
        <v>0</v>
      </c>
      <c r="S129" s="5">
        <v>0</v>
      </c>
      <c r="T129" s="5">
        <v>0</v>
      </c>
    </row>
    <row r="130" spans="1:20" x14ac:dyDescent="0.2">
      <c r="A130" s="5" t="s">
        <v>225</v>
      </c>
      <c r="B130" s="9" t="s">
        <v>162</v>
      </c>
      <c r="C130" s="5" t="s">
        <v>708</v>
      </c>
      <c r="D130" s="7">
        <f t="shared" si="0"/>
        <v>5.6</v>
      </c>
      <c r="E130" s="5">
        <v>0</v>
      </c>
      <c r="F130" s="5">
        <v>0</v>
      </c>
      <c r="G130" s="5">
        <v>0</v>
      </c>
      <c r="H130" s="5">
        <v>0</v>
      </c>
      <c r="I130" s="5">
        <v>0</v>
      </c>
      <c r="J130" s="9">
        <v>0</v>
      </c>
      <c r="K130" s="5">
        <v>0</v>
      </c>
      <c r="L130" s="5">
        <v>0</v>
      </c>
      <c r="M130" s="5">
        <v>0</v>
      </c>
      <c r="N130" s="9">
        <v>0</v>
      </c>
      <c r="O130" s="5">
        <v>4</v>
      </c>
      <c r="P130" s="5">
        <v>16</v>
      </c>
      <c r="Q130" s="5">
        <v>0</v>
      </c>
      <c r="R130" s="9">
        <v>0</v>
      </c>
      <c r="S130" s="5">
        <v>0</v>
      </c>
      <c r="T130" s="5">
        <v>0</v>
      </c>
    </row>
    <row r="131" spans="1:20" x14ac:dyDescent="0.2">
      <c r="A131" s="5" t="s">
        <v>246</v>
      </c>
      <c r="B131" s="9" t="s">
        <v>162</v>
      </c>
      <c r="C131" s="5" t="s">
        <v>706</v>
      </c>
      <c r="D131" s="7">
        <f t="shared" si="0"/>
        <v>5.5</v>
      </c>
      <c r="E131" s="5">
        <v>0</v>
      </c>
      <c r="F131" s="5">
        <v>0</v>
      </c>
      <c r="G131" s="5">
        <v>0</v>
      </c>
      <c r="H131" s="5">
        <v>0</v>
      </c>
      <c r="I131" s="5">
        <v>0</v>
      </c>
      <c r="J131" s="9">
        <v>0</v>
      </c>
      <c r="K131" s="5">
        <v>0</v>
      </c>
      <c r="L131" s="5">
        <v>0</v>
      </c>
      <c r="M131" s="5">
        <v>0</v>
      </c>
      <c r="N131" s="9">
        <v>0</v>
      </c>
      <c r="O131" s="5">
        <v>3</v>
      </c>
      <c r="P131" s="5">
        <v>25</v>
      </c>
      <c r="Q131" s="5">
        <v>0</v>
      </c>
      <c r="R131" s="9">
        <v>0</v>
      </c>
      <c r="S131" s="5">
        <v>0</v>
      </c>
      <c r="T131" s="5">
        <v>0</v>
      </c>
    </row>
    <row r="132" spans="1:20" x14ac:dyDescent="0.2">
      <c r="A132" s="5" t="s">
        <v>286</v>
      </c>
      <c r="B132" s="9" t="s">
        <v>69</v>
      </c>
      <c r="C132" s="5" t="s">
        <v>710</v>
      </c>
      <c r="D132" s="7">
        <f t="shared" si="0"/>
        <v>5.5</v>
      </c>
      <c r="E132" s="5">
        <v>0</v>
      </c>
      <c r="F132" s="5">
        <v>0</v>
      </c>
      <c r="G132" s="5">
        <v>0</v>
      </c>
      <c r="H132" s="5">
        <v>0</v>
      </c>
      <c r="I132" s="5">
        <v>0</v>
      </c>
      <c r="J132" s="9">
        <v>0</v>
      </c>
      <c r="K132" s="5">
        <v>0</v>
      </c>
      <c r="L132" s="5">
        <v>0</v>
      </c>
      <c r="M132" s="5">
        <v>0</v>
      </c>
      <c r="N132" s="9">
        <v>0</v>
      </c>
      <c r="O132" s="5">
        <v>2</v>
      </c>
      <c r="P132" s="5">
        <v>35</v>
      </c>
      <c r="Q132" s="5">
        <v>0</v>
      </c>
      <c r="R132" s="9">
        <v>0</v>
      </c>
      <c r="S132" s="5">
        <v>0</v>
      </c>
      <c r="T132" s="5">
        <v>0</v>
      </c>
    </row>
    <row r="133" spans="1:20" x14ac:dyDescent="0.2">
      <c r="A133" s="5" t="s">
        <v>93</v>
      </c>
      <c r="B133" s="9" t="s">
        <v>75</v>
      </c>
      <c r="C133" s="5" t="s">
        <v>704</v>
      </c>
      <c r="D133" s="7">
        <f t="shared" si="0"/>
        <v>5.3000000000000007</v>
      </c>
      <c r="E133" s="5">
        <v>0</v>
      </c>
      <c r="F133" s="5">
        <v>0</v>
      </c>
      <c r="G133" s="5">
        <v>0</v>
      </c>
      <c r="H133" s="5">
        <v>0</v>
      </c>
      <c r="I133" s="5">
        <v>0</v>
      </c>
      <c r="J133" s="9">
        <v>0</v>
      </c>
      <c r="K133" s="5">
        <v>7</v>
      </c>
      <c r="L133" s="5">
        <v>53</v>
      </c>
      <c r="M133" s="5">
        <v>0</v>
      </c>
      <c r="N133" s="9">
        <v>0</v>
      </c>
      <c r="O133" s="5">
        <v>0</v>
      </c>
      <c r="P133" s="5">
        <v>0</v>
      </c>
      <c r="Q133" s="5">
        <v>0</v>
      </c>
      <c r="R133" s="9">
        <v>0</v>
      </c>
      <c r="S133" s="5">
        <v>0</v>
      </c>
      <c r="T133" s="5">
        <v>0</v>
      </c>
    </row>
    <row r="134" spans="1:20" x14ac:dyDescent="0.2">
      <c r="A134" s="5" t="s">
        <v>151</v>
      </c>
      <c r="B134" s="9" t="s">
        <v>75</v>
      </c>
      <c r="C134" s="5" t="s">
        <v>703</v>
      </c>
      <c r="D134" s="7">
        <f t="shared" si="0"/>
        <v>5</v>
      </c>
      <c r="E134" s="5">
        <v>0</v>
      </c>
      <c r="F134" s="5">
        <v>0</v>
      </c>
      <c r="G134" s="5">
        <v>0</v>
      </c>
      <c r="H134" s="5">
        <v>0</v>
      </c>
      <c r="I134" s="5">
        <v>0</v>
      </c>
      <c r="J134" s="9">
        <v>0</v>
      </c>
      <c r="K134" s="5">
        <v>8</v>
      </c>
      <c r="L134" s="5">
        <v>36</v>
      </c>
      <c r="M134" s="5">
        <v>0</v>
      </c>
      <c r="N134" s="9">
        <v>0</v>
      </c>
      <c r="O134" s="5">
        <v>1</v>
      </c>
      <c r="P134" s="5">
        <v>4</v>
      </c>
      <c r="Q134" s="5">
        <v>0</v>
      </c>
      <c r="R134" s="9">
        <v>0</v>
      </c>
      <c r="S134" s="5">
        <v>0</v>
      </c>
      <c r="T134" s="5">
        <v>0</v>
      </c>
    </row>
    <row r="135" spans="1:20" x14ac:dyDescent="0.2">
      <c r="A135" s="5" t="s">
        <v>194</v>
      </c>
      <c r="B135" s="9" t="s">
        <v>162</v>
      </c>
      <c r="C135" s="5" t="s">
        <v>711</v>
      </c>
      <c r="D135" s="7">
        <f t="shared" si="0"/>
        <v>4.9000000000000004</v>
      </c>
      <c r="E135" s="5">
        <v>0</v>
      </c>
      <c r="F135" s="5">
        <v>0</v>
      </c>
      <c r="G135" s="5">
        <v>0</v>
      </c>
      <c r="H135" s="5">
        <v>0</v>
      </c>
      <c r="I135" s="5">
        <v>0</v>
      </c>
      <c r="J135" s="9">
        <v>0</v>
      </c>
      <c r="K135" s="5">
        <v>0</v>
      </c>
      <c r="L135" s="5">
        <v>0</v>
      </c>
      <c r="M135" s="5">
        <v>0</v>
      </c>
      <c r="N135" s="9">
        <v>0</v>
      </c>
      <c r="O135" s="5">
        <v>3</v>
      </c>
      <c r="P135" s="5">
        <v>19</v>
      </c>
      <c r="Q135" s="5">
        <v>0</v>
      </c>
      <c r="R135" s="9">
        <v>0</v>
      </c>
      <c r="S135" s="5">
        <v>0</v>
      </c>
      <c r="T135" s="5">
        <v>0</v>
      </c>
    </row>
    <row r="136" spans="1:20" x14ac:dyDescent="0.2">
      <c r="A136" s="5" t="s">
        <v>363</v>
      </c>
      <c r="B136" s="9" t="s">
        <v>69</v>
      </c>
      <c r="C136" s="5" t="s">
        <v>707</v>
      </c>
      <c r="D136" s="7">
        <f t="shared" si="0"/>
        <v>4.8000000000000007</v>
      </c>
      <c r="E136" s="5">
        <v>0</v>
      </c>
      <c r="F136" s="5">
        <v>0</v>
      </c>
      <c r="G136" s="5">
        <v>0</v>
      </c>
      <c r="H136" s="5">
        <v>0</v>
      </c>
      <c r="I136" s="5">
        <v>0</v>
      </c>
      <c r="J136" s="9">
        <v>0</v>
      </c>
      <c r="K136" s="5">
        <v>0</v>
      </c>
      <c r="L136" s="5">
        <v>0</v>
      </c>
      <c r="M136" s="5">
        <v>0</v>
      </c>
      <c r="N136" s="9">
        <v>0</v>
      </c>
      <c r="O136" s="5">
        <v>2</v>
      </c>
      <c r="P136" s="5">
        <v>28</v>
      </c>
      <c r="Q136" s="5">
        <v>0</v>
      </c>
      <c r="R136" s="9">
        <v>0</v>
      </c>
      <c r="S136" s="5">
        <v>0</v>
      </c>
      <c r="T136" s="5">
        <v>0</v>
      </c>
    </row>
    <row r="137" spans="1:20" x14ac:dyDescent="0.2">
      <c r="A137" s="5" t="s">
        <v>76</v>
      </c>
      <c r="B137" s="9" t="s">
        <v>75</v>
      </c>
      <c r="C137" s="5" t="s">
        <v>714</v>
      </c>
      <c r="D137" s="7">
        <f t="shared" si="0"/>
        <v>4.7</v>
      </c>
      <c r="E137" s="5">
        <v>0</v>
      </c>
      <c r="F137" s="5">
        <v>0</v>
      </c>
      <c r="G137" s="5">
        <v>0</v>
      </c>
      <c r="H137" s="5">
        <v>0</v>
      </c>
      <c r="I137" s="5">
        <v>0</v>
      </c>
      <c r="J137" s="9">
        <v>0</v>
      </c>
      <c r="K137" s="5">
        <v>14</v>
      </c>
      <c r="L137" s="5">
        <v>18</v>
      </c>
      <c r="M137" s="5">
        <v>0</v>
      </c>
      <c r="N137" s="9">
        <v>0</v>
      </c>
      <c r="O137" s="5">
        <v>2</v>
      </c>
      <c r="P137" s="5">
        <v>9</v>
      </c>
      <c r="Q137" s="5">
        <v>0</v>
      </c>
      <c r="R137" s="9">
        <v>0</v>
      </c>
      <c r="S137" s="5">
        <v>0</v>
      </c>
      <c r="T137" s="5">
        <v>0</v>
      </c>
    </row>
    <row r="138" spans="1:20" x14ac:dyDescent="0.2">
      <c r="A138" s="5" t="s">
        <v>86</v>
      </c>
      <c r="B138" s="9" t="s">
        <v>75</v>
      </c>
      <c r="C138" s="5" t="s">
        <v>714</v>
      </c>
      <c r="D138" s="7">
        <f t="shared" si="0"/>
        <v>4.5</v>
      </c>
      <c r="E138" s="5">
        <v>0</v>
      </c>
      <c r="F138" s="5">
        <v>0</v>
      </c>
      <c r="G138" s="5">
        <v>0</v>
      </c>
      <c r="H138" s="5">
        <v>0</v>
      </c>
      <c r="I138" s="5">
        <v>0</v>
      </c>
      <c r="J138" s="9">
        <v>0</v>
      </c>
      <c r="K138" s="5">
        <v>6</v>
      </c>
      <c r="L138" s="5">
        <v>16</v>
      </c>
      <c r="M138" s="5">
        <v>0</v>
      </c>
      <c r="N138" s="9">
        <v>0</v>
      </c>
      <c r="O138" s="5">
        <v>2</v>
      </c>
      <c r="P138" s="5">
        <v>9</v>
      </c>
      <c r="Q138" s="5">
        <v>0</v>
      </c>
      <c r="R138" s="9">
        <v>0</v>
      </c>
      <c r="S138" s="5">
        <v>0</v>
      </c>
      <c r="T138" s="5">
        <v>0</v>
      </c>
    </row>
    <row r="139" spans="1:20" x14ac:dyDescent="0.2">
      <c r="A139" s="5" t="s">
        <v>209</v>
      </c>
      <c r="B139" s="9" t="s">
        <v>162</v>
      </c>
      <c r="C139" s="5" t="s">
        <v>706</v>
      </c>
      <c r="D139" s="7">
        <f t="shared" si="0"/>
        <v>4.5</v>
      </c>
      <c r="E139" s="5">
        <v>0</v>
      </c>
      <c r="F139" s="5">
        <v>0</v>
      </c>
      <c r="G139" s="5">
        <v>0</v>
      </c>
      <c r="H139" s="5">
        <v>0</v>
      </c>
      <c r="I139" s="5">
        <v>0</v>
      </c>
      <c r="J139" s="9">
        <v>0</v>
      </c>
      <c r="K139" s="5">
        <v>1</v>
      </c>
      <c r="L139" s="5">
        <v>13</v>
      </c>
      <c r="M139" s="5">
        <v>0</v>
      </c>
      <c r="N139" s="9">
        <v>0</v>
      </c>
      <c r="O139" s="5">
        <v>2</v>
      </c>
      <c r="P139" s="5">
        <v>12</v>
      </c>
      <c r="Q139" s="5">
        <v>0</v>
      </c>
      <c r="R139" s="9">
        <v>0</v>
      </c>
      <c r="S139" s="5">
        <v>0</v>
      </c>
      <c r="T139" s="5">
        <v>0</v>
      </c>
    </row>
    <row r="140" spans="1:20" x14ac:dyDescent="0.2">
      <c r="A140" s="5" t="s">
        <v>226</v>
      </c>
      <c r="B140" s="9" t="s">
        <v>162</v>
      </c>
      <c r="C140" s="5" t="s">
        <v>708</v>
      </c>
      <c r="D140" s="7">
        <f t="shared" si="0"/>
        <v>4.5</v>
      </c>
      <c r="E140" s="5">
        <v>0</v>
      </c>
      <c r="F140" s="5">
        <v>0</v>
      </c>
      <c r="G140" s="5">
        <v>0</v>
      </c>
      <c r="H140" s="5">
        <v>0</v>
      </c>
      <c r="I140" s="5">
        <v>0</v>
      </c>
      <c r="J140" s="9">
        <v>0</v>
      </c>
      <c r="K140" s="5">
        <v>0</v>
      </c>
      <c r="L140" s="5">
        <v>0</v>
      </c>
      <c r="M140" s="5">
        <v>0</v>
      </c>
      <c r="N140" s="9">
        <v>0</v>
      </c>
      <c r="O140" s="5">
        <v>2</v>
      </c>
      <c r="P140" s="5">
        <v>25</v>
      </c>
      <c r="Q140" s="5">
        <v>0</v>
      </c>
      <c r="R140" s="9">
        <v>0</v>
      </c>
      <c r="S140" s="5">
        <v>0</v>
      </c>
      <c r="T140" s="5">
        <v>0</v>
      </c>
    </row>
    <row r="141" spans="1:20" x14ac:dyDescent="0.2">
      <c r="A141" s="5" t="s">
        <v>220</v>
      </c>
      <c r="B141" s="9" t="s">
        <v>162</v>
      </c>
      <c r="C141" s="5" t="s">
        <v>709</v>
      </c>
      <c r="D141" s="7">
        <f t="shared" si="0"/>
        <v>4.4000000000000004</v>
      </c>
      <c r="E141" s="5">
        <v>0</v>
      </c>
      <c r="F141" s="5">
        <v>0</v>
      </c>
      <c r="G141" s="5">
        <v>0</v>
      </c>
      <c r="H141" s="5">
        <v>0</v>
      </c>
      <c r="I141" s="5">
        <v>0</v>
      </c>
      <c r="J141" s="9">
        <v>0</v>
      </c>
      <c r="K141" s="5">
        <v>0</v>
      </c>
      <c r="L141" s="5">
        <v>0</v>
      </c>
      <c r="M141" s="5">
        <v>0</v>
      </c>
      <c r="N141" s="9">
        <v>0</v>
      </c>
      <c r="O141" s="5">
        <v>3</v>
      </c>
      <c r="P141" s="5">
        <v>14</v>
      </c>
      <c r="Q141" s="5">
        <v>0</v>
      </c>
      <c r="R141" s="9">
        <v>0</v>
      </c>
      <c r="S141" s="5">
        <v>0</v>
      </c>
      <c r="T141" s="5">
        <v>0</v>
      </c>
    </row>
    <row r="142" spans="1:20" x14ac:dyDescent="0.2">
      <c r="A142" s="5" t="s">
        <v>203</v>
      </c>
      <c r="B142" s="9" t="s">
        <v>162</v>
      </c>
      <c r="C142" s="5" t="s">
        <v>704</v>
      </c>
      <c r="D142" s="7">
        <f t="shared" si="0"/>
        <v>4.3000000000000007</v>
      </c>
      <c r="E142" s="5">
        <v>0</v>
      </c>
      <c r="F142" s="5">
        <v>0</v>
      </c>
      <c r="G142" s="5">
        <v>0</v>
      </c>
      <c r="H142" s="5">
        <v>0</v>
      </c>
      <c r="I142" s="5">
        <v>0</v>
      </c>
      <c r="J142" s="9">
        <v>0</v>
      </c>
      <c r="K142" s="5">
        <v>0</v>
      </c>
      <c r="L142" s="5">
        <v>0</v>
      </c>
      <c r="M142" s="5">
        <v>0</v>
      </c>
      <c r="N142" s="9">
        <v>0</v>
      </c>
      <c r="O142" s="5">
        <v>2</v>
      </c>
      <c r="P142" s="5">
        <v>23</v>
      </c>
      <c r="Q142" s="5">
        <v>0</v>
      </c>
      <c r="R142" s="9">
        <v>0</v>
      </c>
      <c r="S142" s="5">
        <v>0</v>
      </c>
      <c r="T142" s="5">
        <v>0</v>
      </c>
    </row>
    <row r="143" spans="1:20" x14ac:dyDescent="0.2">
      <c r="A143" s="5" t="s">
        <v>608</v>
      </c>
      <c r="B143" s="9" t="s">
        <v>69</v>
      </c>
      <c r="C143" s="5" t="s">
        <v>704</v>
      </c>
      <c r="D143" s="7">
        <f t="shared" si="0"/>
        <v>4.3000000000000007</v>
      </c>
      <c r="E143" s="5">
        <v>0</v>
      </c>
      <c r="F143" s="5">
        <v>0</v>
      </c>
      <c r="G143" s="5">
        <v>0</v>
      </c>
      <c r="H143" s="5">
        <v>0</v>
      </c>
      <c r="I143" s="5">
        <v>0</v>
      </c>
      <c r="J143" s="9">
        <v>0</v>
      </c>
      <c r="K143" s="5">
        <v>0</v>
      </c>
      <c r="L143" s="5">
        <v>0</v>
      </c>
      <c r="M143" s="5">
        <v>0</v>
      </c>
      <c r="N143" s="9">
        <v>0</v>
      </c>
      <c r="O143" s="5">
        <v>2</v>
      </c>
      <c r="P143" s="5">
        <v>23</v>
      </c>
      <c r="Q143" s="5">
        <v>0</v>
      </c>
      <c r="R143" s="9">
        <v>0</v>
      </c>
      <c r="S143" s="5">
        <v>0</v>
      </c>
      <c r="T143" s="5">
        <v>0</v>
      </c>
    </row>
    <row r="144" spans="1:20" x14ac:dyDescent="0.2">
      <c r="A144" s="5" t="s">
        <v>674</v>
      </c>
      <c r="B144" s="9" t="s">
        <v>17</v>
      </c>
      <c r="C144" s="5" t="s">
        <v>715</v>
      </c>
      <c r="D144" s="7">
        <f t="shared" si="0"/>
        <v>4.12</v>
      </c>
      <c r="E144" s="5">
        <v>25</v>
      </c>
      <c r="F144" s="5">
        <v>14</v>
      </c>
      <c r="G144" s="5">
        <v>148</v>
      </c>
      <c r="H144" s="5">
        <v>0</v>
      </c>
      <c r="I144" s="5">
        <v>1</v>
      </c>
      <c r="J144" s="9">
        <v>0</v>
      </c>
      <c r="K144" s="5">
        <v>1</v>
      </c>
      <c r="L144" s="5">
        <v>2</v>
      </c>
      <c r="M144" s="5">
        <v>0</v>
      </c>
      <c r="N144" s="9">
        <v>0</v>
      </c>
      <c r="O144" s="5">
        <v>0</v>
      </c>
      <c r="P144" s="5">
        <v>0</v>
      </c>
      <c r="Q144" s="5">
        <v>0</v>
      </c>
      <c r="R144" s="9">
        <v>0</v>
      </c>
      <c r="S144" s="5">
        <v>0</v>
      </c>
      <c r="T144" s="5">
        <v>0</v>
      </c>
    </row>
    <row r="145" spans="1:20" x14ac:dyDescent="0.2">
      <c r="A145" s="5" t="s">
        <v>147</v>
      </c>
      <c r="B145" s="9" t="s">
        <v>75</v>
      </c>
      <c r="C145" s="5" t="s">
        <v>703</v>
      </c>
      <c r="D145" s="7">
        <f t="shared" si="0"/>
        <v>4.0999999999999996</v>
      </c>
      <c r="E145" s="5">
        <v>0</v>
      </c>
      <c r="F145" s="5">
        <v>0</v>
      </c>
      <c r="G145" s="5">
        <v>0</v>
      </c>
      <c r="H145" s="5">
        <v>0</v>
      </c>
      <c r="I145" s="5">
        <v>0</v>
      </c>
      <c r="J145" s="9">
        <v>0</v>
      </c>
      <c r="K145" s="5">
        <v>4</v>
      </c>
      <c r="L145" s="5">
        <v>15</v>
      </c>
      <c r="M145" s="5">
        <v>0</v>
      </c>
      <c r="N145" s="9">
        <v>0</v>
      </c>
      <c r="O145" s="5">
        <v>2</v>
      </c>
      <c r="P145" s="5">
        <v>6</v>
      </c>
      <c r="Q145" s="5">
        <v>0</v>
      </c>
      <c r="R145" s="9">
        <v>0</v>
      </c>
      <c r="S145" s="5">
        <v>0</v>
      </c>
      <c r="T145" s="5">
        <v>0</v>
      </c>
    </row>
    <row r="146" spans="1:20" x14ac:dyDescent="0.2">
      <c r="A146" s="5" t="s">
        <v>152</v>
      </c>
      <c r="B146" s="9" t="s">
        <v>75</v>
      </c>
      <c r="C146" s="5" t="s">
        <v>702</v>
      </c>
      <c r="D146" s="7">
        <f t="shared" si="0"/>
        <v>4</v>
      </c>
      <c r="E146" s="5">
        <v>0</v>
      </c>
      <c r="F146" s="5">
        <v>0</v>
      </c>
      <c r="G146" s="5">
        <v>0</v>
      </c>
      <c r="H146" s="5">
        <v>0</v>
      </c>
      <c r="I146" s="5">
        <v>0</v>
      </c>
      <c r="J146" s="9">
        <v>0</v>
      </c>
      <c r="K146" s="5">
        <v>6</v>
      </c>
      <c r="L146" s="5">
        <v>13</v>
      </c>
      <c r="M146" s="5">
        <v>0</v>
      </c>
      <c r="N146" s="9">
        <v>0</v>
      </c>
      <c r="O146" s="5">
        <v>2</v>
      </c>
      <c r="P146" s="5">
        <v>7</v>
      </c>
      <c r="Q146" s="5">
        <v>0</v>
      </c>
      <c r="R146" s="9">
        <v>0</v>
      </c>
      <c r="S146" s="5">
        <v>0</v>
      </c>
      <c r="T146" s="5">
        <v>0</v>
      </c>
    </row>
    <row r="147" spans="1:20" x14ac:dyDescent="0.2">
      <c r="A147" s="5" t="s">
        <v>647</v>
      </c>
      <c r="B147" s="9" t="s">
        <v>162</v>
      </c>
      <c r="C147" s="5" t="s">
        <v>707</v>
      </c>
      <c r="D147" s="7">
        <f t="shared" si="0"/>
        <v>4</v>
      </c>
      <c r="E147" s="5">
        <v>0</v>
      </c>
      <c r="F147" s="5">
        <v>0</v>
      </c>
      <c r="G147" s="5">
        <v>0</v>
      </c>
      <c r="H147" s="5">
        <v>0</v>
      </c>
      <c r="I147" s="5">
        <v>0</v>
      </c>
      <c r="J147" s="9">
        <v>0</v>
      </c>
      <c r="K147" s="5">
        <v>0</v>
      </c>
      <c r="L147" s="5">
        <v>0</v>
      </c>
      <c r="M147" s="5">
        <v>0</v>
      </c>
      <c r="N147" s="9">
        <v>0</v>
      </c>
      <c r="O147" s="5">
        <v>1</v>
      </c>
      <c r="P147" s="5">
        <v>30</v>
      </c>
      <c r="Q147" s="5">
        <v>0</v>
      </c>
      <c r="R147" s="9">
        <v>0</v>
      </c>
      <c r="S147" s="5">
        <v>0</v>
      </c>
      <c r="T147" s="5">
        <v>0</v>
      </c>
    </row>
    <row r="148" spans="1:20" x14ac:dyDescent="0.2">
      <c r="A148" s="5" t="s">
        <v>495</v>
      </c>
      <c r="B148" s="9" t="s">
        <v>162</v>
      </c>
      <c r="C148" s="5" t="s">
        <v>710</v>
      </c>
      <c r="D148" s="7">
        <f t="shared" si="0"/>
        <v>4</v>
      </c>
      <c r="E148" s="5">
        <v>0</v>
      </c>
      <c r="F148" s="5">
        <v>0</v>
      </c>
      <c r="G148" s="5">
        <v>0</v>
      </c>
      <c r="H148" s="5">
        <v>0</v>
      </c>
      <c r="I148" s="5">
        <v>0</v>
      </c>
      <c r="J148" s="9">
        <v>0</v>
      </c>
      <c r="K148" s="5">
        <v>0</v>
      </c>
      <c r="L148" s="5">
        <v>0</v>
      </c>
      <c r="M148" s="5">
        <v>0</v>
      </c>
      <c r="N148" s="9">
        <v>0</v>
      </c>
      <c r="O148" s="5">
        <v>2</v>
      </c>
      <c r="P148" s="5">
        <v>20</v>
      </c>
      <c r="Q148" s="5">
        <v>0</v>
      </c>
      <c r="R148" s="9">
        <v>0</v>
      </c>
      <c r="S148" s="5">
        <v>0</v>
      </c>
      <c r="T148" s="5">
        <v>0</v>
      </c>
    </row>
    <row r="149" spans="1:20" x14ac:dyDescent="0.2">
      <c r="A149" s="5" t="s">
        <v>94</v>
      </c>
      <c r="B149" s="9" t="s">
        <v>75</v>
      </c>
      <c r="C149" s="5" t="s">
        <v>706</v>
      </c>
      <c r="D149" s="7">
        <f t="shared" si="0"/>
        <v>3.9000000000000004</v>
      </c>
      <c r="E149" s="5">
        <v>0</v>
      </c>
      <c r="F149" s="5">
        <v>0</v>
      </c>
      <c r="G149" s="5">
        <v>0</v>
      </c>
      <c r="H149" s="5">
        <v>0</v>
      </c>
      <c r="I149" s="5">
        <v>0</v>
      </c>
      <c r="J149" s="9">
        <v>0</v>
      </c>
      <c r="K149" s="5">
        <v>8</v>
      </c>
      <c r="L149" s="5">
        <v>23</v>
      </c>
      <c r="M149" s="5">
        <v>0</v>
      </c>
      <c r="N149" s="9">
        <v>0</v>
      </c>
      <c r="O149" s="5">
        <v>1</v>
      </c>
      <c r="P149" s="5">
        <v>6</v>
      </c>
      <c r="Q149" s="5">
        <v>0</v>
      </c>
      <c r="R149" s="9">
        <v>0</v>
      </c>
      <c r="S149" s="5">
        <v>0</v>
      </c>
      <c r="T149" s="5">
        <v>0</v>
      </c>
    </row>
    <row r="150" spans="1:20" x14ac:dyDescent="0.2">
      <c r="A150" s="5" t="s">
        <v>150</v>
      </c>
      <c r="B150" s="9" t="s">
        <v>75</v>
      </c>
      <c r="C150" s="5" t="s">
        <v>702</v>
      </c>
      <c r="D150" s="7">
        <f t="shared" si="0"/>
        <v>3.9000000000000004</v>
      </c>
      <c r="E150" s="5">
        <v>0</v>
      </c>
      <c r="F150" s="5">
        <v>0</v>
      </c>
      <c r="G150" s="5">
        <v>0</v>
      </c>
      <c r="H150" s="5">
        <v>0</v>
      </c>
      <c r="I150" s="5">
        <v>0</v>
      </c>
      <c r="J150" s="9">
        <v>0</v>
      </c>
      <c r="K150" s="5">
        <v>1</v>
      </c>
      <c r="L150" s="5">
        <v>2</v>
      </c>
      <c r="M150" s="5">
        <v>0</v>
      </c>
      <c r="N150" s="9">
        <v>0</v>
      </c>
      <c r="O150" s="5">
        <v>1</v>
      </c>
      <c r="P150" s="5">
        <v>27</v>
      </c>
      <c r="Q150" s="5">
        <v>0</v>
      </c>
      <c r="R150" s="9">
        <v>0</v>
      </c>
      <c r="S150" s="5">
        <v>0</v>
      </c>
      <c r="T150" s="5">
        <v>0</v>
      </c>
    </row>
    <row r="151" spans="1:20" x14ac:dyDescent="0.2">
      <c r="A151" s="5" t="s">
        <v>557</v>
      </c>
      <c r="B151" s="9" t="s">
        <v>162</v>
      </c>
      <c r="C151" s="5" t="s">
        <v>714</v>
      </c>
      <c r="D151" s="7">
        <f t="shared" si="0"/>
        <v>3.9000000000000004</v>
      </c>
      <c r="E151" s="5">
        <v>0</v>
      </c>
      <c r="F151" s="5">
        <v>0</v>
      </c>
      <c r="G151" s="5">
        <v>0</v>
      </c>
      <c r="H151" s="5">
        <v>0</v>
      </c>
      <c r="I151" s="5">
        <v>0</v>
      </c>
      <c r="J151" s="9">
        <v>0</v>
      </c>
      <c r="K151" s="5">
        <v>1</v>
      </c>
      <c r="L151" s="5">
        <v>39</v>
      </c>
      <c r="M151" s="5">
        <v>0</v>
      </c>
      <c r="N151" s="9">
        <v>0</v>
      </c>
      <c r="O151" s="5">
        <v>0</v>
      </c>
      <c r="P151" s="5">
        <v>0</v>
      </c>
      <c r="Q151" s="5">
        <v>0</v>
      </c>
      <c r="R151" s="9">
        <v>0</v>
      </c>
      <c r="S151" s="5">
        <v>0</v>
      </c>
      <c r="T151" s="5">
        <v>0</v>
      </c>
    </row>
    <row r="152" spans="1:20" x14ac:dyDescent="0.2">
      <c r="A152" s="5" t="s">
        <v>205</v>
      </c>
      <c r="B152" s="9" t="s">
        <v>162</v>
      </c>
      <c r="C152" s="5" t="s">
        <v>709</v>
      </c>
      <c r="D152" s="7">
        <f t="shared" si="0"/>
        <v>3.8000000000000003</v>
      </c>
      <c r="E152" s="5">
        <v>0</v>
      </c>
      <c r="F152" s="5">
        <v>0</v>
      </c>
      <c r="G152" s="5">
        <v>0</v>
      </c>
      <c r="H152" s="5">
        <v>0</v>
      </c>
      <c r="I152" s="5">
        <v>0</v>
      </c>
      <c r="J152" s="9">
        <v>0</v>
      </c>
      <c r="K152" s="5">
        <v>0</v>
      </c>
      <c r="L152" s="5">
        <v>0</v>
      </c>
      <c r="M152" s="5">
        <v>0</v>
      </c>
      <c r="N152" s="9">
        <v>0</v>
      </c>
      <c r="O152" s="5">
        <v>1</v>
      </c>
      <c r="P152" s="5">
        <v>28</v>
      </c>
      <c r="Q152" s="5">
        <v>0</v>
      </c>
      <c r="R152" s="9">
        <v>0</v>
      </c>
      <c r="S152" s="5">
        <v>0</v>
      </c>
      <c r="T152" s="5">
        <v>0</v>
      </c>
    </row>
    <row r="153" spans="1:20" x14ac:dyDescent="0.2">
      <c r="A153" s="5" t="s">
        <v>300</v>
      </c>
      <c r="B153" s="9" t="s">
        <v>69</v>
      </c>
      <c r="C153" s="5" t="s">
        <v>710</v>
      </c>
      <c r="D153" s="7">
        <f t="shared" si="0"/>
        <v>3.7</v>
      </c>
      <c r="E153" s="5">
        <v>0</v>
      </c>
      <c r="F153" s="5">
        <v>0</v>
      </c>
      <c r="G153" s="5">
        <v>0</v>
      </c>
      <c r="H153" s="5">
        <v>0</v>
      </c>
      <c r="I153" s="5">
        <v>0</v>
      </c>
      <c r="J153" s="9">
        <v>0</v>
      </c>
      <c r="K153" s="5">
        <v>0</v>
      </c>
      <c r="L153" s="5">
        <v>0</v>
      </c>
      <c r="M153" s="5">
        <v>0</v>
      </c>
      <c r="N153" s="9">
        <v>0</v>
      </c>
      <c r="O153" s="5">
        <v>2</v>
      </c>
      <c r="P153" s="5">
        <v>17</v>
      </c>
      <c r="Q153" s="5">
        <v>0</v>
      </c>
      <c r="R153" s="9">
        <v>0</v>
      </c>
      <c r="S153" s="5">
        <v>0</v>
      </c>
      <c r="T153" s="5">
        <v>0</v>
      </c>
    </row>
    <row r="154" spans="1:20" x14ac:dyDescent="0.2">
      <c r="A154" s="5" t="s">
        <v>186</v>
      </c>
      <c r="B154" s="9" t="s">
        <v>162</v>
      </c>
      <c r="C154" s="5" t="s">
        <v>704</v>
      </c>
      <c r="D154" s="7">
        <f t="shared" si="0"/>
        <v>3.6</v>
      </c>
      <c r="E154" s="5">
        <v>0</v>
      </c>
      <c r="F154" s="5">
        <v>0</v>
      </c>
      <c r="G154" s="5">
        <v>0</v>
      </c>
      <c r="H154" s="5">
        <v>0</v>
      </c>
      <c r="I154" s="5">
        <v>0</v>
      </c>
      <c r="J154" s="9">
        <v>0</v>
      </c>
      <c r="K154" s="5">
        <v>0</v>
      </c>
      <c r="L154" s="5">
        <v>0</v>
      </c>
      <c r="M154" s="5">
        <v>0</v>
      </c>
      <c r="N154" s="9">
        <v>0</v>
      </c>
      <c r="O154" s="5">
        <v>2</v>
      </c>
      <c r="P154" s="5">
        <v>16</v>
      </c>
      <c r="Q154" s="5">
        <v>0</v>
      </c>
      <c r="R154" s="9">
        <v>0</v>
      </c>
      <c r="S154" s="5">
        <v>0</v>
      </c>
      <c r="T154" s="5">
        <v>0</v>
      </c>
    </row>
    <row r="155" spans="1:20" x14ac:dyDescent="0.2">
      <c r="A155" s="5" t="s">
        <v>263</v>
      </c>
      <c r="B155" s="9" t="s">
        <v>162</v>
      </c>
      <c r="C155" s="5" t="s">
        <v>705</v>
      </c>
      <c r="D155" s="7">
        <f t="shared" si="0"/>
        <v>3.6</v>
      </c>
      <c r="E155" s="5">
        <v>0</v>
      </c>
      <c r="F155" s="5">
        <v>0</v>
      </c>
      <c r="G155" s="5">
        <v>0</v>
      </c>
      <c r="H155" s="5">
        <v>0</v>
      </c>
      <c r="I155" s="5">
        <v>0</v>
      </c>
      <c r="J155" s="9">
        <v>0</v>
      </c>
      <c r="K155" s="5">
        <v>0</v>
      </c>
      <c r="L155" s="5">
        <v>0</v>
      </c>
      <c r="M155" s="5">
        <v>0</v>
      </c>
      <c r="N155" s="9">
        <v>0</v>
      </c>
      <c r="O155" s="5">
        <v>1</v>
      </c>
      <c r="P155" s="5">
        <v>26</v>
      </c>
      <c r="Q155" s="5">
        <v>0</v>
      </c>
      <c r="R155" s="9">
        <v>0</v>
      </c>
      <c r="S155" s="5">
        <v>0</v>
      </c>
      <c r="T155" s="5">
        <v>0</v>
      </c>
    </row>
    <row r="156" spans="1:20" x14ac:dyDescent="0.2">
      <c r="A156" s="5" t="s">
        <v>107</v>
      </c>
      <c r="B156" s="9" t="s">
        <v>75</v>
      </c>
      <c r="C156" s="5" t="s">
        <v>715</v>
      </c>
      <c r="D156" s="7">
        <f t="shared" si="0"/>
        <v>3.5999999999999996</v>
      </c>
      <c r="E156" s="5">
        <v>0</v>
      </c>
      <c r="F156" s="5">
        <v>0</v>
      </c>
      <c r="G156" s="5">
        <v>0</v>
      </c>
      <c r="H156" s="5">
        <v>0</v>
      </c>
      <c r="I156" s="5">
        <v>0</v>
      </c>
      <c r="J156" s="9">
        <v>0</v>
      </c>
      <c r="K156" s="5">
        <v>9</v>
      </c>
      <c r="L156" s="5">
        <v>35</v>
      </c>
      <c r="M156" s="5">
        <v>0</v>
      </c>
      <c r="N156" s="9">
        <v>0</v>
      </c>
      <c r="O156" s="5">
        <v>1</v>
      </c>
      <c r="P156" s="5">
        <v>11</v>
      </c>
      <c r="Q156" s="5">
        <v>0</v>
      </c>
      <c r="R156" s="9">
        <v>0</v>
      </c>
      <c r="S156" s="5">
        <v>1</v>
      </c>
      <c r="T156" s="5">
        <v>0</v>
      </c>
    </row>
    <row r="157" spans="1:20" x14ac:dyDescent="0.2">
      <c r="A157" s="5" t="s">
        <v>483</v>
      </c>
      <c r="B157" s="9" t="s">
        <v>162</v>
      </c>
      <c r="C157" s="5" t="s">
        <v>705</v>
      </c>
      <c r="D157" s="7">
        <f t="shared" si="0"/>
        <v>3.5</v>
      </c>
      <c r="E157" s="5">
        <v>0</v>
      </c>
      <c r="F157" s="5">
        <v>0</v>
      </c>
      <c r="G157" s="5">
        <v>0</v>
      </c>
      <c r="H157" s="5">
        <v>0</v>
      </c>
      <c r="I157" s="5">
        <v>0</v>
      </c>
      <c r="J157" s="9">
        <v>0</v>
      </c>
      <c r="K157" s="5">
        <v>0</v>
      </c>
      <c r="L157" s="5">
        <v>0</v>
      </c>
      <c r="M157" s="5">
        <v>0</v>
      </c>
      <c r="N157" s="9">
        <v>0</v>
      </c>
      <c r="O157" s="5">
        <v>1</v>
      </c>
      <c r="P157" s="5">
        <v>25</v>
      </c>
      <c r="Q157" s="5">
        <v>0</v>
      </c>
      <c r="R157" s="9">
        <v>0</v>
      </c>
      <c r="S157" s="5">
        <v>0</v>
      </c>
      <c r="T157" s="5">
        <v>0</v>
      </c>
    </row>
    <row r="158" spans="1:20" x14ac:dyDescent="0.2">
      <c r="A158" s="5" t="s">
        <v>271</v>
      </c>
      <c r="B158" s="9" t="s">
        <v>69</v>
      </c>
      <c r="C158" s="5" t="s">
        <v>714</v>
      </c>
      <c r="D158" s="7">
        <f t="shared" si="0"/>
        <v>3.5</v>
      </c>
      <c r="E158" s="5">
        <v>0</v>
      </c>
      <c r="F158" s="5">
        <v>0</v>
      </c>
      <c r="G158" s="5">
        <v>0</v>
      </c>
      <c r="H158" s="5">
        <v>0</v>
      </c>
      <c r="I158" s="5">
        <v>0</v>
      </c>
      <c r="J158" s="9">
        <v>0</v>
      </c>
      <c r="K158" s="5">
        <v>0</v>
      </c>
      <c r="L158" s="5">
        <v>0</v>
      </c>
      <c r="M158" s="5">
        <v>0</v>
      </c>
      <c r="N158" s="9">
        <v>0</v>
      </c>
      <c r="O158" s="5">
        <v>2</v>
      </c>
      <c r="P158" s="5">
        <v>15</v>
      </c>
      <c r="Q158" s="5">
        <v>0</v>
      </c>
      <c r="R158" s="9">
        <v>0</v>
      </c>
      <c r="S158" s="5">
        <v>0</v>
      </c>
      <c r="T158" s="5">
        <v>0</v>
      </c>
    </row>
    <row r="159" spans="1:20" x14ac:dyDescent="0.2">
      <c r="A159" s="5" t="s">
        <v>678</v>
      </c>
      <c r="B159" s="9" t="s">
        <v>162</v>
      </c>
      <c r="C159" s="5" t="s">
        <v>714</v>
      </c>
      <c r="D159" s="7">
        <f t="shared" si="0"/>
        <v>3.3000000000000003</v>
      </c>
      <c r="E159" s="5">
        <v>0</v>
      </c>
      <c r="F159" s="5">
        <v>0</v>
      </c>
      <c r="G159" s="5">
        <v>0</v>
      </c>
      <c r="H159" s="5">
        <v>0</v>
      </c>
      <c r="I159" s="5">
        <v>0</v>
      </c>
      <c r="J159" s="9">
        <v>0</v>
      </c>
      <c r="K159" s="5">
        <v>0</v>
      </c>
      <c r="L159" s="5">
        <v>0</v>
      </c>
      <c r="M159" s="5">
        <v>0</v>
      </c>
      <c r="N159" s="9">
        <v>0</v>
      </c>
      <c r="O159" s="5">
        <v>1</v>
      </c>
      <c r="P159" s="5">
        <v>23</v>
      </c>
      <c r="Q159" s="5">
        <v>0</v>
      </c>
      <c r="R159" s="9">
        <v>0</v>
      </c>
      <c r="S159" s="5">
        <v>0</v>
      </c>
      <c r="T159" s="5">
        <v>0</v>
      </c>
    </row>
    <row r="160" spans="1:20" x14ac:dyDescent="0.2">
      <c r="A160" s="5" t="s">
        <v>452</v>
      </c>
      <c r="B160" s="9" t="s">
        <v>17</v>
      </c>
      <c r="C160" s="5" t="s">
        <v>705</v>
      </c>
      <c r="D160" s="7">
        <f t="shared" si="0"/>
        <v>3.22</v>
      </c>
      <c r="E160" s="5">
        <v>10</v>
      </c>
      <c r="F160" s="5">
        <v>9</v>
      </c>
      <c r="G160" s="5">
        <v>63</v>
      </c>
      <c r="H160" s="5">
        <v>0</v>
      </c>
      <c r="I160" s="5">
        <v>0</v>
      </c>
      <c r="J160" s="9">
        <v>0</v>
      </c>
      <c r="K160" s="5">
        <v>1</v>
      </c>
      <c r="L160" s="5">
        <v>7</v>
      </c>
      <c r="M160" s="5">
        <v>0</v>
      </c>
      <c r="N160" s="9">
        <v>0</v>
      </c>
      <c r="O160" s="5">
        <v>0</v>
      </c>
      <c r="P160" s="5">
        <v>0</v>
      </c>
      <c r="Q160" s="5">
        <v>0</v>
      </c>
      <c r="R160" s="9">
        <v>0</v>
      </c>
      <c r="S160" s="5">
        <v>0</v>
      </c>
      <c r="T160" s="5">
        <v>0</v>
      </c>
    </row>
    <row r="161" spans="1:20" x14ac:dyDescent="0.2">
      <c r="A161" s="5" t="s">
        <v>134</v>
      </c>
      <c r="B161" s="9" t="s">
        <v>75</v>
      </c>
      <c r="C161" s="5" t="s">
        <v>701</v>
      </c>
      <c r="D161" s="7">
        <f t="shared" si="0"/>
        <v>3.2</v>
      </c>
      <c r="E161" s="5">
        <v>0</v>
      </c>
      <c r="F161" s="5">
        <v>0</v>
      </c>
      <c r="G161" s="5">
        <v>0</v>
      </c>
      <c r="H161" s="5">
        <v>0</v>
      </c>
      <c r="I161" s="5">
        <v>0</v>
      </c>
      <c r="J161" s="9">
        <v>0</v>
      </c>
      <c r="K161" s="5">
        <v>5</v>
      </c>
      <c r="L161" s="5">
        <v>15</v>
      </c>
      <c r="M161" s="5">
        <v>0</v>
      </c>
      <c r="N161" s="9">
        <v>0</v>
      </c>
      <c r="O161" s="5">
        <v>1</v>
      </c>
      <c r="P161" s="5">
        <v>7</v>
      </c>
      <c r="Q161" s="5">
        <v>0</v>
      </c>
      <c r="R161" s="9">
        <v>0</v>
      </c>
      <c r="S161" s="5">
        <v>0</v>
      </c>
      <c r="T161" s="5">
        <v>0</v>
      </c>
    </row>
    <row r="162" spans="1:20" x14ac:dyDescent="0.2">
      <c r="A162" s="5" t="s">
        <v>358</v>
      </c>
      <c r="B162" s="9" t="s">
        <v>162</v>
      </c>
      <c r="C162" s="5" t="s">
        <v>710</v>
      </c>
      <c r="D162" s="7">
        <f t="shared" si="0"/>
        <v>3.2</v>
      </c>
      <c r="E162" s="5">
        <v>0</v>
      </c>
      <c r="F162" s="5">
        <v>0</v>
      </c>
      <c r="G162" s="5">
        <v>0</v>
      </c>
      <c r="H162" s="5">
        <v>0</v>
      </c>
      <c r="I162" s="5">
        <v>0</v>
      </c>
      <c r="J162" s="9">
        <v>0</v>
      </c>
      <c r="K162" s="5">
        <v>0</v>
      </c>
      <c r="L162" s="5">
        <v>0</v>
      </c>
      <c r="M162" s="5">
        <v>0</v>
      </c>
      <c r="N162" s="9">
        <v>0</v>
      </c>
      <c r="O162" s="5">
        <v>2</v>
      </c>
      <c r="P162" s="5">
        <v>12</v>
      </c>
      <c r="Q162" s="5">
        <v>0</v>
      </c>
      <c r="R162" s="9">
        <v>0</v>
      </c>
      <c r="S162" s="5">
        <v>0</v>
      </c>
      <c r="T162" s="5">
        <v>0</v>
      </c>
    </row>
    <row r="163" spans="1:20" x14ac:dyDescent="0.2">
      <c r="A163" s="5" t="s">
        <v>368</v>
      </c>
      <c r="B163" s="9" t="s">
        <v>162</v>
      </c>
      <c r="C163" s="5" t="s">
        <v>710</v>
      </c>
      <c r="D163" s="7">
        <f t="shared" si="0"/>
        <v>3.2</v>
      </c>
      <c r="E163" s="5">
        <v>0</v>
      </c>
      <c r="F163" s="5">
        <v>0</v>
      </c>
      <c r="G163" s="5">
        <v>0</v>
      </c>
      <c r="H163" s="5">
        <v>0</v>
      </c>
      <c r="I163" s="5">
        <v>0</v>
      </c>
      <c r="J163" s="9">
        <v>0</v>
      </c>
      <c r="K163" s="5">
        <v>0</v>
      </c>
      <c r="L163" s="5">
        <v>0</v>
      </c>
      <c r="M163" s="5">
        <v>0</v>
      </c>
      <c r="N163" s="9">
        <v>0</v>
      </c>
      <c r="O163" s="5">
        <v>2</v>
      </c>
      <c r="P163" s="5">
        <v>12</v>
      </c>
      <c r="Q163" s="5">
        <v>0</v>
      </c>
      <c r="R163" s="9">
        <v>0</v>
      </c>
      <c r="S163" s="5">
        <v>0</v>
      </c>
      <c r="T163" s="5">
        <v>0</v>
      </c>
    </row>
    <row r="164" spans="1:20" x14ac:dyDescent="0.2">
      <c r="A164" s="5" t="s">
        <v>274</v>
      </c>
      <c r="B164" s="9" t="s">
        <v>69</v>
      </c>
      <c r="C164" s="5" t="s">
        <v>714</v>
      </c>
      <c r="D164" s="7">
        <f t="shared" si="0"/>
        <v>3.2</v>
      </c>
      <c r="E164" s="5">
        <v>0</v>
      </c>
      <c r="F164" s="5">
        <v>0</v>
      </c>
      <c r="G164" s="5">
        <v>0</v>
      </c>
      <c r="H164" s="5">
        <v>0</v>
      </c>
      <c r="I164" s="5">
        <v>0</v>
      </c>
      <c r="J164" s="9">
        <v>0</v>
      </c>
      <c r="K164" s="5">
        <v>0</v>
      </c>
      <c r="L164" s="5">
        <v>0</v>
      </c>
      <c r="M164" s="5">
        <v>0</v>
      </c>
      <c r="N164" s="9">
        <v>0</v>
      </c>
      <c r="O164" s="5">
        <v>2</v>
      </c>
      <c r="P164" s="5">
        <v>12</v>
      </c>
      <c r="Q164" s="5">
        <v>0</v>
      </c>
      <c r="R164" s="9">
        <v>0</v>
      </c>
      <c r="S164" s="5">
        <v>0</v>
      </c>
      <c r="T164" s="5">
        <v>0</v>
      </c>
    </row>
    <row r="165" spans="1:20" x14ac:dyDescent="0.2">
      <c r="A165" s="5" t="s">
        <v>50</v>
      </c>
      <c r="B165" s="9" t="s">
        <v>17</v>
      </c>
      <c r="C165" s="5" t="s">
        <v>711</v>
      </c>
      <c r="D165" s="7">
        <f t="shared" si="0"/>
        <v>3.1000000000000005</v>
      </c>
      <c r="E165" s="5">
        <v>10</v>
      </c>
      <c r="F165" s="5">
        <v>7</v>
      </c>
      <c r="G165" s="5">
        <v>70</v>
      </c>
      <c r="H165" s="5">
        <v>0</v>
      </c>
      <c r="I165" s="5">
        <v>0</v>
      </c>
      <c r="J165" s="9">
        <v>0</v>
      </c>
      <c r="K165" s="5">
        <v>3</v>
      </c>
      <c r="L165" s="5">
        <v>3</v>
      </c>
      <c r="M165" s="5">
        <v>0</v>
      </c>
      <c r="N165" s="9">
        <v>0</v>
      </c>
      <c r="O165" s="5">
        <v>0</v>
      </c>
      <c r="P165" s="5">
        <v>0</v>
      </c>
      <c r="Q165" s="5">
        <v>0</v>
      </c>
      <c r="R165" s="9">
        <v>0</v>
      </c>
      <c r="S165" s="5">
        <v>0</v>
      </c>
      <c r="T165" s="5">
        <v>0</v>
      </c>
    </row>
    <row r="166" spans="1:20" x14ac:dyDescent="0.2">
      <c r="A166" s="5" t="s">
        <v>716</v>
      </c>
      <c r="B166" s="9" t="s">
        <v>75</v>
      </c>
      <c r="C166" s="5" t="s">
        <v>709</v>
      </c>
      <c r="D166" s="7">
        <f t="shared" si="0"/>
        <v>3.1</v>
      </c>
      <c r="E166" s="5">
        <v>0</v>
      </c>
      <c r="F166" s="5">
        <v>0</v>
      </c>
      <c r="G166" s="5">
        <v>0</v>
      </c>
      <c r="H166" s="5">
        <v>0</v>
      </c>
      <c r="I166" s="5">
        <v>0</v>
      </c>
      <c r="J166" s="9">
        <v>0</v>
      </c>
      <c r="K166" s="5">
        <v>0</v>
      </c>
      <c r="L166" s="5">
        <v>0</v>
      </c>
      <c r="M166" s="5">
        <v>0</v>
      </c>
      <c r="N166" s="9">
        <v>0</v>
      </c>
      <c r="O166" s="5">
        <v>2</v>
      </c>
      <c r="P166" s="5">
        <v>11</v>
      </c>
      <c r="Q166" s="5">
        <v>0</v>
      </c>
      <c r="R166" s="9">
        <v>0</v>
      </c>
      <c r="S166" s="5">
        <v>0</v>
      </c>
      <c r="T166" s="5">
        <v>0</v>
      </c>
    </row>
    <row r="167" spans="1:20" x14ac:dyDescent="0.2">
      <c r="A167" s="5" t="s">
        <v>583</v>
      </c>
      <c r="B167" s="9" t="s">
        <v>69</v>
      </c>
      <c r="C167" s="5" t="s">
        <v>711</v>
      </c>
      <c r="D167" s="7">
        <f t="shared" si="0"/>
        <v>3.1</v>
      </c>
      <c r="E167" s="5">
        <v>0</v>
      </c>
      <c r="F167" s="5">
        <v>0</v>
      </c>
      <c r="G167" s="5">
        <v>0</v>
      </c>
      <c r="H167" s="5">
        <v>0</v>
      </c>
      <c r="I167" s="5">
        <v>0</v>
      </c>
      <c r="J167" s="9">
        <v>0</v>
      </c>
      <c r="K167" s="5">
        <v>0</v>
      </c>
      <c r="L167" s="5">
        <v>0</v>
      </c>
      <c r="M167" s="5">
        <v>0</v>
      </c>
      <c r="N167" s="9">
        <v>0</v>
      </c>
      <c r="O167" s="5">
        <v>1</v>
      </c>
      <c r="P167" s="5">
        <v>21</v>
      </c>
      <c r="Q167" s="5">
        <v>0</v>
      </c>
      <c r="R167" s="9">
        <v>0</v>
      </c>
      <c r="S167" s="5">
        <v>0</v>
      </c>
      <c r="T167" s="5">
        <v>0</v>
      </c>
    </row>
    <row r="168" spans="1:20" x14ac:dyDescent="0.2">
      <c r="A168" s="5" t="s">
        <v>348</v>
      </c>
      <c r="B168" s="9" t="s">
        <v>69</v>
      </c>
      <c r="C168" s="5" t="s">
        <v>715</v>
      </c>
      <c r="D168" s="7">
        <f t="shared" si="0"/>
        <v>3</v>
      </c>
      <c r="E168" s="5">
        <v>0</v>
      </c>
      <c r="F168" s="5">
        <v>0</v>
      </c>
      <c r="G168" s="5">
        <v>0</v>
      </c>
      <c r="H168" s="5">
        <v>0</v>
      </c>
      <c r="I168" s="5">
        <v>0</v>
      </c>
      <c r="J168" s="9">
        <v>0</v>
      </c>
      <c r="K168" s="5">
        <v>0</v>
      </c>
      <c r="L168" s="5">
        <v>0</v>
      </c>
      <c r="M168" s="5">
        <v>0</v>
      </c>
      <c r="N168" s="9">
        <v>0</v>
      </c>
      <c r="O168" s="5">
        <v>2</v>
      </c>
      <c r="P168" s="5">
        <v>10</v>
      </c>
      <c r="Q168" s="5">
        <v>0</v>
      </c>
      <c r="R168" s="9">
        <v>0</v>
      </c>
      <c r="S168" s="5">
        <v>0</v>
      </c>
      <c r="T168" s="5">
        <v>0</v>
      </c>
    </row>
    <row r="169" spans="1:20" x14ac:dyDescent="0.2">
      <c r="A169" s="5" t="s">
        <v>516</v>
      </c>
      <c r="B169" s="9" t="s">
        <v>69</v>
      </c>
      <c r="C169" s="5" t="s">
        <v>711</v>
      </c>
      <c r="D169" s="7">
        <f t="shared" si="0"/>
        <v>3</v>
      </c>
      <c r="E169" s="5">
        <v>0</v>
      </c>
      <c r="F169" s="5">
        <v>0</v>
      </c>
      <c r="G169" s="5">
        <v>0</v>
      </c>
      <c r="H169" s="5">
        <v>0</v>
      </c>
      <c r="I169" s="5">
        <v>0</v>
      </c>
      <c r="J169" s="9">
        <v>0</v>
      </c>
      <c r="K169" s="5">
        <v>0</v>
      </c>
      <c r="L169" s="5">
        <v>0</v>
      </c>
      <c r="M169" s="5">
        <v>0</v>
      </c>
      <c r="N169" s="9">
        <v>0</v>
      </c>
      <c r="O169" s="5">
        <v>2</v>
      </c>
      <c r="P169" s="5">
        <v>10</v>
      </c>
      <c r="Q169" s="5">
        <v>0</v>
      </c>
      <c r="R169" s="9">
        <v>0</v>
      </c>
      <c r="S169" s="5">
        <v>0</v>
      </c>
      <c r="T169" s="5">
        <v>0</v>
      </c>
    </row>
    <row r="170" spans="1:20" x14ac:dyDescent="0.2">
      <c r="A170" s="5" t="s">
        <v>87</v>
      </c>
      <c r="B170" s="9" t="s">
        <v>75</v>
      </c>
      <c r="C170" s="5" t="s">
        <v>714</v>
      </c>
      <c r="D170" s="7">
        <f t="shared" si="0"/>
        <v>2.9000000000000004</v>
      </c>
      <c r="E170" s="5">
        <v>0</v>
      </c>
      <c r="F170" s="5">
        <v>0</v>
      </c>
      <c r="G170" s="5">
        <v>0</v>
      </c>
      <c r="H170" s="5">
        <v>0</v>
      </c>
      <c r="I170" s="5">
        <v>0</v>
      </c>
      <c r="J170" s="9">
        <v>0</v>
      </c>
      <c r="K170" s="5">
        <v>9</v>
      </c>
      <c r="L170" s="5">
        <v>39</v>
      </c>
      <c r="M170" s="5">
        <v>0</v>
      </c>
      <c r="N170" s="9">
        <v>0</v>
      </c>
      <c r="O170" s="5">
        <v>1</v>
      </c>
      <c r="P170" s="5">
        <v>0</v>
      </c>
      <c r="Q170" s="5">
        <v>0</v>
      </c>
      <c r="R170" s="9">
        <v>0</v>
      </c>
      <c r="S170" s="5">
        <v>1</v>
      </c>
      <c r="T170" s="5">
        <v>0</v>
      </c>
    </row>
    <row r="171" spans="1:20" x14ac:dyDescent="0.2">
      <c r="A171" s="5" t="s">
        <v>158</v>
      </c>
      <c r="B171" s="9" t="s">
        <v>75</v>
      </c>
      <c r="C171" s="5" t="s">
        <v>704</v>
      </c>
      <c r="D171" s="7">
        <f t="shared" si="0"/>
        <v>2.9000000000000004</v>
      </c>
      <c r="E171" s="5">
        <v>0</v>
      </c>
      <c r="F171" s="5">
        <v>0</v>
      </c>
      <c r="G171" s="5">
        <v>0</v>
      </c>
      <c r="H171" s="5">
        <v>0</v>
      </c>
      <c r="I171" s="5">
        <v>0</v>
      </c>
      <c r="J171" s="9">
        <v>0</v>
      </c>
      <c r="K171" s="5">
        <v>7</v>
      </c>
      <c r="L171" s="5">
        <v>29</v>
      </c>
      <c r="M171" s="5">
        <v>0</v>
      </c>
      <c r="N171" s="9">
        <v>0</v>
      </c>
      <c r="O171" s="5">
        <v>0</v>
      </c>
      <c r="P171" s="5">
        <v>0</v>
      </c>
      <c r="Q171" s="5">
        <v>0</v>
      </c>
      <c r="R171" s="9">
        <v>0</v>
      </c>
      <c r="S171" s="5">
        <v>0</v>
      </c>
      <c r="T171" s="5">
        <v>0</v>
      </c>
    </row>
    <row r="172" spans="1:20" x14ac:dyDescent="0.2">
      <c r="A172" s="5" t="s">
        <v>140</v>
      </c>
      <c r="B172" s="9" t="s">
        <v>75</v>
      </c>
      <c r="C172" s="5" t="s">
        <v>708</v>
      </c>
      <c r="D172" s="7">
        <f t="shared" si="0"/>
        <v>2.9000000000000004</v>
      </c>
      <c r="E172" s="5">
        <v>0</v>
      </c>
      <c r="F172" s="5">
        <v>0</v>
      </c>
      <c r="G172" s="5">
        <v>0</v>
      </c>
      <c r="H172" s="5">
        <v>0</v>
      </c>
      <c r="I172" s="5">
        <v>0</v>
      </c>
      <c r="J172" s="9">
        <v>0</v>
      </c>
      <c r="K172" s="5">
        <v>2</v>
      </c>
      <c r="L172" s="5">
        <v>29</v>
      </c>
      <c r="M172" s="5">
        <v>0</v>
      </c>
      <c r="N172" s="9">
        <v>0</v>
      </c>
      <c r="O172" s="5">
        <v>0</v>
      </c>
      <c r="P172" s="5">
        <v>0</v>
      </c>
      <c r="Q172" s="5">
        <v>0</v>
      </c>
      <c r="R172" s="9">
        <v>0</v>
      </c>
      <c r="S172" s="5">
        <v>0</v>
      </c>
      <c r="T172" s="5">
        <v>0</v>
      </c>
    </row>
    <row r="173" spans="1:20" x14ac:dyDescent="0.2">
      <c r="A173" s="5" t="s">
        <v>629</v>
      </c>
      <c r="B173" s="9" t="s">
        <v>162</v>
      </c>
      <c r="C173" s="5" t="s">
        <v>711</v>
      </c>
      <c r="D173" s="7">
        <f t="shared" si="0"/>
        <v>2.9000000000000004</v>
      </c>
      <c r="E173" s="5">
        <v>0</v>
      </c>
      <c r="F173" s="5">
        <v>0</v>
      </c>
      <c r="G173" s="5">
        <v>0</v>
      </c>
      <c r="H173" s="5">
        <v>0</v>
      </c>
      <c r="I173" s="5">
        <v>0</v>
      </c>
      <c r="J173" s="9">
        <v>0</v>
      </c>
      <c r="K173" s="5">
        <v>0</v>
      </c>
      <c r="L173" s="5">
        <v>0</v>
      </c>
      <c r="M173" s="5">
        <v>0</v>
      </c>
      <c r="N173" s="9">
        <v>0</v>
      </c>
      <c r="O173" s="5">
        <v>1</v>
      </c>
      <c r="P173" s="5">
        <v>19</v>
      </c>
      <c r="Q173" s="5">
        <v>0</v>
      </c>
      <c r="R173" s="9">
        <v>0</v>
      </c>
      <c r="S173" s="5">
        <v>0</v>
      </c>
      <c r="T173" s="5">
        <v>0</v>
      </c>
    </row>
    <row r="174" spans="1:20" x14ac:dyDescent="0.2">
      <c r="A174" s="5" t="s">
        <v>528</v>
      </c>
      <c r="B174" s="9" t="s">
        <v>75</v>
      </c>
      <c r="C174" s="5" t="s">
        <v>715</v>
      </c>
      <c r="D174" s="7">
        <f t="shared" si="0"/>
        <v>2.7</v>
      </c>
      <c r="E174" s="5">
        <v>0</v>
      </c>
      <c r="F174" s="5">
        <v>0</v>
      </c>
      <c r="G174" s="5">
        <v>0</v>
      </c>
      <c r="H174" s="5">
        <v>0</v>
      </c>
      <c r="I174" s="5">
        <v>0</v>
      </c>
      <c r="J174" s="9">
        <v>0</v>
      </c>
      <c r="K174" s="5">
        <v>5</v>
      </c>
      <c r="L174" s="5">
        <v>11</v>
      </c>
      <c r="M174" s="5">
        <v>0</v>
      </c>
      <c r="N174" s="9">
        <v>0</v>
      </c>
      <c r="O174" s="5">
        <v>1</v>
      </c>
      <c r="P174" s="5">
        <v>6</v>
      </c>
      <c r="Q174" s="5">
        <v>0</v>
      </c>
      <c r="R174" s="9">
        <v>0</v>
      </c>
      <c r="S174" s="5">
        <v>0</v>
      </c>
      <c r="T174" s="5">
        <v>0</v>
      </c>
    </row>
    <row r="175" spans="1:20" x14ac:dyDescent="0.2">
      <c r="A175" s="5" t="s">
        <v>361</v>
      </c>
      <c r="B175" s="9" t="s">
        <v>162</v>
      </c>
      <c r="C175" s="5" t="s">
        <v>701</v>
      </c>
      <c r="D175" s="7">
        <f t="shared" si="0"/>
        <v>2.7</v>
      </c>
      <c r="E175" s="5">
        <v>0</v>
      </c>
      <c r="F175" s="5">
        <v>0</v>
      </c>
      <c r="G175" s="5">
        <v>0</v>
      </c>
      <c r="H175" s="5">
        <v>0</v>
      </c>
      <c r="I175" s="5">
        <v>0</v>
      </c>
      <c r="J175" s="9">
        <v>0</v>
      </c>
      <c r="K175" s="5">
        <v>0</v>
      </c>
      <c r="L175" s="5">
        <v>0</v>
      </c>
      <c r="M175" s="5">
        <v>0</v>
      </c>
      <c r="N175" s="9">
        <v>0</v>
      </c>
      <c r="O175" s="5">
        <v>1</v>
      </c>
      <c r="P175" s="5">
        <v>17</v>
      </c>
      <c r="Q175" s="5">
        <v>0</v>
      </c>
      <c r="R175" s="9">
        <v>0</v>
      </c>
      <c r="S175" s="5">
        <v>0</v>
      </c>
      <c r="T175" s="5">
        <v>0</v>
      </c>
    </row>
    <row r="176" spans="1:20" x14ac:dyDescent="0.2">
      <c r="A176" s="5" t="s">
        <v>78</v>
      </c>
      <c r="B176" s="9" t="s">
        <v>75</v>
      </c>
      <c r="C176" s="5" t="s">
        <v>715</v>
      </c>
      <c r="D176" s="7">
        <f t="shared" si="0"/>
        <v>2.6</v>
      </c>
      <c r="E176" s="5">
        <v>0</v>
      </c>
      <c r="F176" s="5">
        <v>0</v>
      </c>
      <c r="G176" s="5">
        <v>0</v>
      </c>
      <c r="H176" s="5">
        <v>0</v>
      </c>
      <c r="I176" s="5">
        <v>0</v>
      </c>
      <c r="J176" s="9">
        <v>0</v>
      </c>
      <c r="K176" s="5">
        <v>8</v>
      </c>
      <c r="L176" s="5">
        <v>26</v>
      </c>
      <c r="M176" s="5">
        <v>0</v>
      </c>
      <c r="N176" s="9">
        <v>0</v>
      </c>
      <c r="O176" s="5">
        <v>0</v>
      </c>
      <c r="P176" s="5">
        <v>0</v>
      </c>
      <c r="Q176" s="5">
        <v>0</v>
      </c>
      <c r="R176" s="9">
        <v>0</v>
      </c>
      <c r="S176" s="5">
        <v>0</v>
      </c>
      <c r="T176" s="5">
        <v>0</v>
      </c>
    </row>
    <row r="177" spans="1:20" x14ac:dyDescent="0.2">
      <c r="A177" s="5" t="s">
        <v>98</v>
      </c>
      <c r="B177" s="9" t="s">
        <v>75</v>
      </c>
      <c r="C177" s="5" t="s">
        <v>703</v>
      </c>
      <c r="D177" s="7">
        <f t="shared" si="0"/>
        <v>2.6</v>
      </c>
      <c r="E177" s="5">
        <v>0</v>
      </c>
      <c r="F177" s="5">
        <v>0</v>
      </c>
      <c r="G177" s="5">
        <v>0</v>
      </c>
      <c r="H177" s="5">
        <v>0</v>
      </c>
      <c r="I177" s="5">
        <v>0</v>
      </c>
      <c r="J177" s="9">
        <v>0</v>
      </c>
      <c r="K177" s="5">
        <v>1</v>
      </c>
      <c r="L177" s="5">
        <v>1</v>
      </c>
      <c r="M177" s="5">
        <v>0</v>
      </c>
      <c r="N177" s="9">
        <v>0</v>
      </c>
      <c r="O177" s="5">
        <v>2</v>
      </c>
      <c r="P177" s="5">
        <v>5</v>
      </c>
      <c r="Q177" s="5">
        <v>0</v>
      </c>
      <c r="R177" s="9">
        <v>0</v>
      </c>
      <c r="S177" s="5">
        <v>0</v>
      </c>
      <c r="T177" s="5">
        <v>0</v>
      </c>
    </row>
    <row r="178" spans="1:20" x14ac:dyDescent="0.2">
      <c r="A178" s="5" t="s">
        <v>115</v>
      </c>
      <c r="B178" s="9" t="s">
        <v>75</v>
      </c>
      <c r="C178" s="5" t="s">
        <v>707</v>
      </c>
      <c r="D178" s="7">
        <f t="shared" si="0"/>
        <v>2.6</v>
      </c>
      <c r="E178" s="5">
        <v>0</v>
      </c>
      <c r="F178" s="5">
        <v>0</v>
      </c>
      <c r="G178" s="5">
        <v>0</v>
      </c>
      <c r="H178" s="5">
        <v>0</v>
      </c>
      <c r="I178" s="5">
        <v>0</v>
      </c>
      <c r="J178" s="9">
        <v>0</v>
      </c>
      <c r="K178" s="5">
        <v>5</v>
      </c>
      <c r="L178" s="5">
        <v>10</v>
      </c>
      <c r="M178" s="5">
        <v>0</v>
      </c>
      <c r="N178" s="9">
        <v>0</v>
      </c>
      <c r="O178" s="5">
        <v>1</v>
      </c>
      <c r="P178" s="5">
        <v>6</v>
      </c>
      <c r="Q178" s="5">
        <v>0</v>
      </c>
      <c r="R178" s="9">
        <v>0</v>
      </c>
      <c r="S178" s="5">
        <v>0</v>
      </c>
      <c r="T178" s="5">
        <v>0</v>
      </c>
    </row>
    <row r="179" spans="1:20" x14ac:dyDescent="0.2">
      <c r="A179" s="5" t="s">
        <v>606</v>
      </c>
      <c r="B179" s="9" t="s">
        <v>69</v>
      </c>
      <c r="C179" s="5" t="s">
        <v>706</v>
      </c>
      <c r="D179" s="7">
        <f t="shared" si="0"/>
        <v>2.6</v>
      </c>
      <c r="E179" s="5">
        <v>0</v>
      </c>
      <c r="F179" s="5">
        <v>0</v>
      </c>
      <c r="G179" s="5">
        <v>0</v>
      </c>
      <c r="H179" s="5">
        <v>0</v>
      </c>
      <c r="I179" s="5">
        <v>0</v>
      </c>
      <c r="J179" s="9">
        <v>0</v>
      </c>
      <c r="K179" s="5">
        <v>0</v>
      </c>
      <c r="L179" s="5">
        <v>0</v>
      </c>
      <c r="M179" s="5">
        <v>0</v>
      </c>
      <c r="N179" s="9">
        <v>0</v>
      </c>
      <c r="O179" s="5">
        <v>1</v>
      </c>
      <c r="P179" s="5">
        <v>16</v>
      </c>
      <c r="Q179" s="5">
        <v>0</v>
      </c>
      <c r="R179" s="9">
        <v>0</v>
      </c>
      <c r="S179" s="5">
        <v>0</v>
      </c>
      <c r="T179" s="5">
        <v>0</v>
      </c>
    </row>
    <row r="180" spans="1:20" x14ac:dyDescent="0.2">
      <c r="A180" s="5" t="s">
        <v>474</v>
      </c>
      <c r="B180" s="9" t="s">
        <v>69</v>
      </c>
      <c r="C180" s="5" t="s">
        <v>709</v>
      </c>
      <c r="D180" s="7">
        <f t="shared" si="0"/>
        <v>2.6</v>
      </c>
      <c r="E180" s="5">
        <v>0</v>
      </c>
      <c r="F180" s="5">
        <v>0</v>
      </c>
      <c r="G180" s="5">
        <v>0</v>
      </c>
      <c r="H180" s="5">
        <v>0</v>
      </c>
      <c r="I180" s="5">
        <v>0</v>
      </c>
      <c r="J180" s="9">
        <v>0</v>
      </c>
      <c r="K180" s="5">
        <v>0</v>
      </c>
      <c r="L180" s="5">
        <v>0</v>
      </c>
      <c r="M180" s="5">
        <v>0</v>
      </c>
      <c r="N180" s="9">
        <v>0</v>
      </c>
      <c r="O180" s="5">
        <v>1</v>
      </c>
      <c r="P180" s="5">
        <v>16</v>
      </c>
      <c r="Q180" s="5">
        <v>0</v>
      </c>
      <c r="R180" s="9">
        <v>0</v>
      </c>
      <c r="S180" s="5">
        <v>0</v>
      </c>
      <c r="T180" s="5">
        <v>0</v>
      </c>
    </row>
    <row r="181" spans="1:20" x14ac:dyDescent="0.2">
      <c r="A181" s="5" t="s">
        <v>123</v>
      </c>
      <c r="B181" s="9" t="s">
        <v>75</v>
      </c>
      <c r="C181" s="5" t="s">
        <v>711</v>
      </c>
      <c r="D181" s="7">
        <f t="shared" si="0"/>
        <v>2.5</v>
      </c>
      <c r="E181" s="5">
        <v>0</v>
      </c>
      <c r="F181" s="5">
        <v>0</v>
      </c>
      <c r="G181" s="5">
        <v>0</v>
      </c>
      <c r="H181" s="5">
        <v>0</v>
      </c>
      <c r="I181" s="5">
        <v>0</v>
      </c>
      <c r="J181" s="9">
        <v>0</v>
      </c>
      <c r="K181" s="5">
        <v>4</v>
      </c>
      <c r="L181" s="5">
        <v>25</v>
      </c>
      <c r="M181" s="5">
        <v>0</v>
      </c>
      <c r="N181" s="9">
        <v>0</v>
      </c>
      <c r="O181" s="5">
        <v>0</v>
      </c>
      <c r="P181" s="5">
        <v>0</v>
      </c>
      <c r="Q181" s="5">
        <v>0</v>
      </c>
      <c r="R181" s="9">
        <v>0</v>
      </c>
      <c r="S181" s="5">
        <v>0</v>
      </c>
      <c r="T181" s="5">
        <v>0</v>
      </c>
    </row>
    <row r="182" spans="1:20" x14ac:dyDescent="0.2">
      <c r="A182" s="5" t="s">
        <v>392</v>
      </c>
      <c r="B182" s="9" t="s">
        <v>75</v>
      </c>
      <c r="C182" s="5" t="s">
        <v>703</v>
      </c>
      <c r="D182" s="7">
        <f t="shared" si="0"/>
        <v>2.5</v>
      </c>
      <c r="E182" s="5">
        <v>0</v>
      </c>
      <c r="F182" s="5">
        <v>0</v>
      </c>
      <c r="G182" s="5">
        <v>0</v>
      </c>
      <c r="H182" s="5">
        <v>0</v>
      </c>
      <c r="I182" s="5">
        <v>0</v>
      </c>
      <c r="J182" s="9">
        <v>0</v>
      </c>
      <c r="K182" s="5">
        <v>1</v>
      </c>
      <c r="L182" s="5">
        <v>1</v>
      </c>
      <c r="M182" s="5">
        <v>0</v>
      </c>
      <c r="N182" s="9">
        <v>0</v>
      </c>
      <c r="O182" s="5">
        <v>1</v>
      </c>
      <c r="P182" s="5">
        <v>14</v>
      </c>
      <c r="Q182" s="5">
        <v>0</v>
      </c>
      <c r="R182" s="9">
        <v>0</v>
      </c>
      <c r="S182" s="5">
        <v>0</v>
      </c>
      <c r="T182" s="5">
        <v>0</v>
      </c>
    </row>
    <row r="183" spans="1:20" x14ac:dyDescent="0.2">
      <c r="A183" s="5" t="s">
        <v>679</v>
      </c>
      <c r="B183" s="9" t="s">
        <v>162</v>
      </c>
      <c r="C183" s="5" t="s">
        <v>708</v>
      </c>
      <c r="D183" s="7">
        <f t="shared" si="0"/>
        <v>2.5</v>
      </c>
      <c r="E183" s="5">
        <v>0</v>
      </c>
      <c r="F183" s="5">
        <v>0</v>
      </c>
      <c r="G183" s="5">
        <v>0</v>
      </c>
      <c r="H183" s="5">
        <v>0</v>
      </c>
      <c r="I183" s="5">
        <v>0</v>
      </c>
      <c r="J183" s="9">
        <v>0</v>
      </c>
      <c r="K183" s="5">
        <v>0</v>
      </c>
      <c r="L183" s="5">
        <v>0</v>
      </c>
      <c r="M183" s="5">
        <v>0</v>
      </c>
      <c r="N183" s="9">
        <v>0</v>
      </c>
      <c r="O183" s="5">
        <v>1</v>
      </c>
      <c r="P183" s="5">
        <v>15</v>
      </c>
      <c r="Q183" s="5">
        <v>0</v>
      </c>
      <c r="R183" s="9">
        <v>0</v>
      </c>
      <c r="S183" s="5">
        <v>0</v>
      </c>
      <c r="T183" s="5">
        <v>0</v>
      </c>
    </row>
    <row r="184" spans="1:20" x14ac:dyDescent="0.2">
      <c r="A184" s="5" t="s">
        <v>124</v>
      </c>
      <c r="B184" s="9" t="s">
        <v>75</v>
      </c>
      <c r="C184" s="5" t="s">
        <v>708</v>
      </c>
      <c r="D184" s="7">
        <f t="shared" si="0"/>
        <v>2.4000000000000004</v>
      </c>
      <c r="E184" s="5">
        <v>0</v>
      </c>
      <c r="F184" s="5">
        <v>0</v>
      </c>
      <c r="G184" s="5">
        <v>0</v>
      </c>
      <c r="H184" s="5">
        <v>0</v>
      </c>
      <c r="I184" s="5">
        <v>0</v>
      </c>
      <c r="J184" s="9">
        <v>0</v>
      </c>
      <c r="K184" s="5">
        <v>2</v>
      </c>
      <c r="L184" s="5">
        <v>6</v>
      </c>
      <c r="M184" s="5">
        <v>0</v>
      </c>
      <c r="N184" s="9">
        <v>0</v>
      </c>
      <c r="O184" s="5">
        <v>1</v>
      </c>
      <c r="P184" s="5">
        <v>8</v>
      </c>
      <c r="Q184" s="5">
        <v>0</v>
      </c>
      <c r="R184" s="9">
        <v>0</v>
      </c>
      <c r="S184" s="5">
        <v>0</v>
      </c>
      <c r="T184" s="5">
        <v>0</v>
      </c>
    </row>
    <row r="185" spans="1:20" x14ac:dyDescent="0.2">
      <c r="A185" s="5" t="s">
        <v>355</v>
      </c>
      <c r="B185" s="9" t="s">
        <v>69</v>
      </c>
      <c r="C185" s="5" t="s">
        <v>709</v>
      </c>
      <c r="D185" s="7">
        <f t="shared" si="0"/>
        <v>2.4</v>
      </c>
      <c r="E185" s="5">
        <v>0</v>
      </c>
      <c r="F185" s="5">
        <v>0</v>
      </c>
      <c r="G185" s="5">
        <v>0</v>
      </c>
      <c r="H185" s="5">
        <v>0</v>
      </c>
      <c r="I185" s="5">
        <v>0</v>
      </c>
      <c r="J185" s="9">
        <v>0</v>
      </c>
      <c r="K185" s="5">
        <v>0</v>
      </c>
      <c r="L185" s="5">
        <v>0</v>
      </c>
      <c r="M185" s="5">
        <v>0</v>
      </c>
      <c r="N185" s="9">
        <v>0</v>
      </c>
      <c r="O185" s="5">
        <v>2</v>
      </c>
      <c r="P185" s="5">
        <v>4</v>
      </c>
      <c r="Q185" s="5">
        <v>0</v>
      </c>
      <c r="R185" s="9">
        <v>0</v>
      </c>
      <c r="S185" s="5">
        <v>0</v>
      </c>
      <c r="T185" s="5">
        <v>0</v>
      </c>
    </row>
    <row r="186" spans="1:20" x14ac:dyDescent="0.2">
      <c r="A186" s="5" t="s">
        <v>254</v>
      </c>
      <c r="B186" s="9" t="s">
        <v>162</v>
      </c>
      <c r="C186" s="5" t="s">
        <v>703</v>
      </c>
      <c r="D186" s="7">
        <f t="shared" si="0"/>
        <v>2.2999999999999998</v>
      </c>
      <c r="E186" s="5">
        <v>0</v>
      </c>
      <c r="F186" s="5">
        <v>0</v>
      </c>
      <c r="G186" s="5">
        <v>0</v>
      </c>
      <c r="H186" s="5">
        <v>0</v>
      </c>
      <c r="I186" s="5">
        <v>0</v>
      </c>
      <c r="J186" s="9">
        <v>0</v>
      </c>
      <c r="K186" s="5">
        <v>1</v>
      </c>
      <c r="L186" s="5">
        <v>8</v>
      </c>
      <c r="M186" s="5">
        <v>0</v>
      </c>
      <c r="N186" s="9">
        <v>0</v>
      </c>
      <c r="O186" s="5">
        <v>1</v>
      </c>
      <c r="P186" s="5">
        <v>5</v>
      </c>
      <c r="Q186" s="5">
        <v>0</v>
      </c>
      <c r="R186" s="9">
        <v>0</v>
      </c>
      <c r="S186" s="5">
        <v>0</v>
      </c>
      <c r="T186" s="5">
        <v>0</v>
      </c>
    </row>
    <row r="187" spans="1:20" x14ac:dyDescent="0.2">
      <c r="A187" s="5" t="s">
        <v>204</v>
      </c>
      <c r="B187" s="9" t="s">
        <v>162</v>
      </c>
      <c r="C187" s="5" t="s">
        <v>703</v>
      </c>
      <c r="D187" s="7">
        <f t="shared" si="0"/>
        <v>2.2000000000000002</v>
      </c>
      <c r="E187" s="5">
        <v>0</v>
      </c>
      <c r="F187" s="5">
        <v>0</v>
      </c>
      <c r="G187" s="5">
        <v>0</v>
      </c>
      <c r="H187" s="5">
        <v>0</v>
      </c>
      <c r="I187" s="5">
        <v>0</v>
      </c>
      <c r="J187" s="9">
        <v>0</v>
      </c>
      <c r="K187" s="5">
        <v>0</v>
      </c>
      <c r="L187" s="5">
        <v>0</v>
      </c>
      <c r="M187" s="5">
        <v>0</v>
      </c>
      <c r="N187" s="9">
        <v>0</v>
      </c>
      <c r="O187" s="5">
        <v>1</v>
      </c>
      <c r="P187" s="5">
        <v>12</v>
      </c>
      <c r="Q187" s="5">
        <v>0</v>
      </c>
      <c r="R187" s="9">
        <v>0</v>
      </c>
      <c r="S187" s="5">
        <v>0</v>
      </c>
      <c r="T187" s="5">
        <v>0</v>
      </c>
    </row>
    <row r="188" spans="1:20" x14ac:dyDescent="0.2">
      <c r="A188" s="5" t="s">
        <v>261</v>
      </c>
      <c r="B188" s="9" t="s">
        <v>162</v>
      </c>
      <c r="C188" s="5" t="s">
        <v>708</v>
      </c>
      <c r="D188" s="7">
        <f t="shared" si="0"/>
        <v>2.2000000000000002</v>
      </c>
      <c r="E188" s="5">
        <v>0</v>
      </c>
      <c r="F188" s="5">
        <v>0</v>
      </c>
      <c r="G188" s="5">
        <v>0</v>
      </c>
      <c r="H188" s="5">
        <v>0</v>
      </c>
      <c r="I188" s="5">
        <v>0</v>
      </c>
      <c r="J188" s="9">
        <v>0</v>
      </c>
      <c r="K188" s="5">
        <v>0</v>
      </c>
      <c r="L188" s="5">
        <v>0</v>
      </c>
      <c r="M188" s="5">
        <v>0</v>
      </c>
      <c r="N188" s="9">
        <v>0</v>
      </c>
      <c r="O188" s="5">
        <v>1</v>
      </c>
      <c r="P188" s="5">
        <v>12</v>
      </c>
      <c r="Q188" s="5">
        <v>0</v>
      </c>
      <c r="R188" s="9">
        <v>0</v>
      </c>
      <c r="S188" s="5">
        <v>0</v>
      </c>
      <c r="T188" s="5">
        <v>0</v>
      </c>
    </row>
    <row r="189" spans="1:20" x14ac:dyDescent="0.2">
      <c r="A189" s="5" t="s">
        <v>357</v>
      </c>
      <c r="B189" s="9" t="s">
        <v>162</v>
      </c>
      <c r="C189" s="5" t="s">
        <v>709</v>
      </c>
      <c r="D189" s="7">
        <f t="shared" si="0"/>
        <v>2.2000000000000002</v>
      </c>
      <c r="E189" s="5">
        <v>0</v>
      </c>
      <c r="F189" s="5">
        <v>0</v>
      </c>
      <c r="G189" s="5">
        <v>0</v>
      </c>
      <c r="H189" s="5">
        <v>0</v>
      </c>
      <c r="I189" s="5">
        <v>0</v>
      </c>
      <c r="J189" s="9">
        <v>0</v>
      </c>
      <c r="K189" s="5">
        <v>0</v>
      </c>
      <c r="L189" s="5">
        <v>0</v>
      </c>
      <c r="M189" s="5">
        <v>0</v>
      </c>
      <c r="N189" s="9">
        <v>0</v>
      </c>
      <c r="O189" s="5">
        <v>1</v>
      </c>
      <c r="P189" s="5">
        <v>12</v>
      </c>
      <c r="Q189" s="5">
        <v>0</v>
      </c>
      <c r="R189" s="9">
        <v>0</v>
      </c>
      <c r="S189" s="5">
        <v>0</v>
      </c>
      <c r="T189" s="5">
        <v>0</v>
      </c>
    </row>
    <row r="190" spans="1:20" x14ac:dyDescent="0.2">
      <c r="A190" s="5" t="s">
        <v>191</v>
      </c>
      <c r="B190" s="9" t="s">
        <v>162</v>
      </c>
      <c r="C190" s="5" t="s">
        <v>707</v>
      </c>
      <c r="D190" s="7">
        <f t="shared" si="0"/>
        <v>2.2000000000000002</v>
      </c>
      <c r="E190" s="5">
        <v>0</v>
      </c>
      <c r="F190" s="5">
        <v>0</v>
      </c>
      <c r="G190" s="5">
        <v>0</v>
      </c>
      <c r="H190" s="5">
        <v>0</v>
      </c>
      <c r="I190" s="5">
        <v>0</v>
      </c>
      <c r="J190" s="9">
        <v>0</v>
      </c>
      <c r="K190" s="5">
        <v>0</v>
      </c>
      <c r="L190" s="5">
        <v>0</v>
      </c>
      <c r="M190" s="5">
        <v>0</v>
      </c>
      <c r="N190" s="9">
        <v>0</v>
      </c>
      <c r="O190" s="5">
        <v>1</v>
      </c>
      <c r="P190" s="5">
        <v>12</v>
      </c>
      <c r="Q190" s="5">
        <v>0</v>
      </c>
      <c r="R190" s="9">
        <v>0</v>
      </c>
      <c r="S190" s="5">
        <v>0</v>
      </c>
      <c r="T190" s="5">
        <v>0</v>
      </c>
    </row>
    <row r="191" spans="1:20" x14ac:dyDescent="0.2">
      <c r="A191" s="5" t="s">
        <v>477</v>
      </c>
      <c r="B191" s="9" t="s">
        <v>69</v>
      </c>
      <c r="C191" s="5" t="s">
        <v>715</v>
      </c>
      <c r="D191" s="7">
        <f t="shared" si="0"/>
        <v>2.2000000000000002</v>
      </c>
      <c r="E191" s="5">
        <v>0</v>
      </c>
      <c r="F191" s="5">
        <v>0</v>
      </c>
      <c r="G191" s="5">
        <v>0</v>
      </c>
      <c r="H191" s="5">
        <v>0</v>
      </c>
      <c r="I191" s="5">
        <v>0</v>
      </c>
      <c r="J191" s="9">
        <v>0</v>
      </c>
      <c r="K191" s="5">
        <v>0</v>
      </c>
      <c r="L191" s="5">
        <v>0</v>
      </c>
      <c r="M191" s="5">
        <v>0</v>
      </c>
      <c r="N191" s="9">
        <v>0</v>
      </c>
      <c r="O191" s="5">
        <v>1</v>
      </c>
      <c r="P191" s="5">
        <v>12</v>
      </c>
      <c r="Q191" s="5">
        <v>0</v>
      </c>
      <c r="R191" s="9">
        <v>0</v>
      </c>
      <c r="S191" s="5">
        <v>0</v>
      </c>
      <c r="T191" s="5">
        <v>0</v>
      </c>
    </row>
    <row r="192" spans="1:20" x14ac:dyDescent="0.2">
      <c r="A192" s="5" t="s">
        <v>354</v>
      </c>
      <c r="B192" s="9" t="s">
        <v>69</v>
      </c>
      <c r="C192" s="5" t="s">
        <v>701</v>
      </c>
      <c r="D192" s="7">
        <f t="shared" si="0"/>
        <v>2.2000000000000002</v>
      </c>
      <c r="E192" s="5">
        <v>0</v>
      </c>
      <c r="F192" s="5">
        <v>0</v>
      </c>
      <c r="G192" s="5">
        <v>0</v>
      </c>
      <c r="H192" s="5">
        <v>0</v>
      </c>
      <c r="I192" s="5">
        <v>0</v>
      </c>
      <c r="J192" s="9">
        <v>0</v>
      </c>
      <c r="K192" s="5">
        <v>0</v>
      </c>
      <c r="L192" s="5">
        <v>0</v>
      </c>
      <c r="M192" s="5">
        <v>0</v>
      </c>
      <c r="N192" s="9">
        <v>0</v>
      </c>
      <c r="O192" s="5">
        <v>1</v>
      </c>
      <c r="P192" s="5">
        <v>12</v>
      </c>
      <c r="Q192" s="5">
        <v>0</v>
      </c>
      <c r="R192" s="9">
        <v>0</v>
      </c>
      <c r="S192" s="5">
        <v>0</v>
      </c>
      <c r="T192" s="5">
        <v>0</v>
      </c>
    </row>
    <row r="193" spans="1:20" x14ac:dyDescent="0.2">
      <c r="A193" s="5" t="s">
        <v>437</v>
      </c>
      <c r="B193" s="9" t="s">
        <v>69</v>
      </c>
      <c r="C193" s="5" t="s">
        <v>705</v>
      </c>
      <c r="D193" s="7">
        <f t="shared" si="0"/>
        <v>2.2000000000000002</v>
      </c>
      <c r="E193" s="5">
        <v>0</v>
      </c>
      <c r="F193" s="5">
        <v>0</v>
      </c>
      <c r="G193" s="5">
        <v>0</v>
      </c>
      <c r="H193" s="5">
        <v>0</v>
      </c>
      <c r="I193" s="5">
        <v>0</v>
      </c>
      <c r="J193" s="9">
        <v>0</v>
      </c>
      <c r="K193" s="5">
        <v>0</v>
      </c>
      <c r="L193" s="5">
        <v>0</v>
      </c>
      <c r="M193" s="5">
        <v>0</v>
      </c>
      <c r="N193" s="9">
        <v>0</v>
      </c>
      <c r="O193" s="5">
        <v>1</v>
      </c>
      <c r="P193" s="5">
        <v>12</v>
      </c>
      <c r="Q193" s="5">
        <v>0</v>
      </c>
      <c r="R193" s="9">
        <v>0</v>
      </c>
      <c r="S193" s="5">
        <v>0</v>
      </c>
      <c r="T193" s="5">
        <v>0</v>
      </c>
    </row>
    <row r="194" spans="1:20" x14ac:dyDescent="0.2">
      <c r="A194" s="5" t="s">
        <v>577</v>
      </c>
      <c r="B194" s="9" t="s">
        <v>162</v>
      </c>
      <c r="C194" s="5" t="s">
        <v>714</v>
      </c>
      <c r="D194" s="7">
        <f t="shared" si="0"/>
        <v>2.1</v>
      </c>
      <c r="E194" s="5">
        <v>0</v>
      </c>
      <c r="F194" s="5">
        <v>0</v>
      </c>
      <c r="G194" s="5">
        <v>0</v>
      </c>
      <c r="H194" s="5">
        <v>0</v>
      </c>
      <c r="I194" s="5">
        <v>0</v>
      </c>
      <c r="J194" s="9">
        <v>0</v>
      </c>
      <c r="K194" s="5">
        <v>0</v>
      </c>
      <c r="L194" s="5">
        <v>0</v>
      </c>
      <c r="M194" s="5">
        <v>0</v>
      </c>
      <c r="N194" s="9">
        <v>0</v>
      </c>
      <c r="O194" s="5">
        <v>1</v>
      </c>
      <c r="P194" s="5">
        <v>11</v>
      </c>
      <c r="Q194" s="5">
        <v>0</v>
      </c>
      <c r="R194" s="9">
        <v>0</v>
      </c>
      <c r="S194" s="5">
        <v>0</v>
      </c>
      <c r="T194" s="5">
        <v>0</v>
      </c>
    </row>
    <row r="195" spans="1:20" x14ac:dyDescent="0.2">
      <c r="A195" s="5" t="s">
        <v>216</v>
      </c>
      <c r="B195" s="9" t="s">
        <v>162</v>
      </c>
      <c r="C195" s="5" t="s">
        <v>714</v>
      </c>
      <c r="D195" s="7">
        <f t="shared" si="0"/>
        <v>2.1</v>
      </c>
      <c r="E195" s="5">
        <v>0</v>
      </c>
      <c r="F195" s="5">
        <v>0</v>
      </c>
      <c r="G195" s="5">
        <v>0</v>
      </c>
      <c r="H195" s="5">
        <v>0</v>
      </c>
      <c r="I195" s="5">
        <v>0</v>
      </c>
      <c r="J195" s="9">
        <v>0</v>
      </c>
      <c r="K195" s="5">
        <v>0</v>
      </c>
      <c r="L195" s="5">
        <v>0</v>
      </c>
      <c r="M195" s="5">
        <v>0</v>
      </c>
      <c r="N195" s="9">
        <v>0</v>
      </c>
      <c r="O195" s="5">
        <v>1</v>
      </c>
      <c r="P195" s="5">
        <v>11</v>
      </c>
      <c r="Q195" s="5">
        <v>0</v>
      </c>
      <c r="R195" s="9">
        <v>0</v>
      </c>
      <c r="S195" s="5">
        <v>0</v>
      </c>
      <c r="T195" s="5">
        <v>0</v>
      </c>
    </row>
    <row r="196" spans="1:20" x14ac:dyDescent="0.2">
      <c r="A196" s="5" t="s">
        <v>247</v>
      </c>
      <c r="B196" s="9" t="s">
        <v>162</v>
      </c>
      <c r="C196" s="5" t="s">
        <v>706</v>
      </c>
      <c r="D196" s="7">
        <f t="shared" si="0"/>
        <v>2.1</v>
      </c>
      <c r="E196" s="5">
        <v>0</v>
      </c>
      <c r="F196" s="5">
        <v>0</v>
      </c>
      <c r="G196" s="5">
        <v>0</v>
      </c>
      <c r="H196" s="5">
        <v>0</v>
      </c>
      <c r="I196" s="5">
        <v>0</v>
      </c>
      <c r="J196" s="9">
        <v>0</v>
      </c>
      <c r="K196" s="5">
        <v>2</v>
      </c>
      <c r="L196" s="5">
        <v>7</v>
      </c>
      <c r="M196" s="5">
        <v>0</v>
      </c>
      <c r="N196" s="9">
        <v>0</v>
      </c>
      <c r="O196" s="5">
        <v>1</v>
      </c>
      <c r="P196" s="5">
        <v>4</v>
      </c>
      <c r="Q196" s="5">
        <v>0</v>
      </c>
      <c r="R196" s="9">
        <v>0</v>
      </c>
      <c r="S196" s="5">
        <v>0</v>
      </c>
      <c r="T196" s="5">
        <v>0</v>
      </c>
    </row>
    <row r="197" spans="1:20" x14ac:dyDescent="0.2">
      <c r="A197" s="5" t="s">
        <v>446</v>
      </c>
      <c r="B197" s="9" t="s">
        <v>69</v>
      </c>
      <c r="C197" s="5" t="s">
        <v>705</v>
      </c>
      <c r="D197" s="7">
        <f t="shared" si="0"/>
        <v>2.1</v>
      </c>
      <c r="E197" s="5">
        <v>0</v>
      </c>
      <c r="F197" s="5">
        <v>0</v>
      </c>
      <c r="G197" s="5">
        <v>0</v>
      </c>
      <c r="H197" s="5">
        <v>0</v>
      </c>
      <c r="I197" s="5">
        <v>0</v>
      </c>
      <c r="J197" s="9">
        <v>0</v>
      </c>
      <c r="K197" s="5">
        <v>0</v>
      </c>
      <c r="L197" s="5">
        <v>0</v>
      </c>
      <c r="M197" s="5">
        <v>0</v>
      </c>
      <c r="N197" s="9">
        <v>0</v>
      </c>
      <c r="O197" s="5">
        <v>1</v>
      </c>
      <c r="P197" s="5">
        <v>11</v>
      </c>
      <c r="Q197" s="5">
        <v>0</v>
      </c>
      <c r="R197" s="9">
        <v>0</v>
      </c>
      <c r="S197" s="5">
        <v>0</v>
      </c>
      <c r="T197" s="5">
        <v>0</v>
      </c>
    </row>
    <row r="198" spans="1:20" x14ac:dyDescent="0.2">
      <c r="A198" s="5" t="s">
        <v>356</v>
      </c>
      <c r="B198" s="9" t="s">
        <v>75</v>
      </c>
      <c r="C198" s="5" t="s">
        <v>710</v>
      </c>
      <c r="D198" s="7">
        <f t="shared" si="0"/>
        <v>2</v>
      </c>
      <c r="E198" s="5">
        <v>0</v>
      </c>
      <c r="F198" s="5">
        <v>0</v>
      </c>
      <c r="G198" s="5">
        <v>0</v>
      </c>
      <c r="H198" s="5">
        <v>0</v>
      </c>
      <c r="I198" s="5">
        <v>0</v>
      </c>
      <c r="J198" s="9">
        <v>0</v>
      </c>
      <c r="K198" s="5">
        <v>2</v>
      </c>
      <c r="L198" s="5">
        <v>20</v>
      </c>
      <c r="M198" s="5">
        <v>0</v>
      </c>
      <c r="N198" s="9">
        <v>0</v>
      </c>
      <c r="O198" s="5">
        <v>0</v>
      </c>
      <c r="P198" s="5">
        <v>0</v>
      </c>
      <c r="Q198" s="5">
        <v>0</v>
      </c>
      <c r="R198" s="9">
        <v>0</v>
      </c>
      <c r="S198" s="5">
        <v>0</v>
      </c>
      <c r="T198" s="5">
        <v>0</v>
      </c>
    </row>
    <row r="199" spans="1:20" x14ac:dyDescent="0.2">
      <c r="A199" s="5" t="s">
        <v>202</v>
      </c>
      <c r="B199" s="9" t="s">
        <v>162</v>
      </c>
      <c r="C199" s="5" t="s">
        <v>711</v>
      </c>
      <c r="D199" s="7">
        <f t="shared" si="0"/>
        <v>2</v>
      </c>
      <c r="E199" s="5">
        <v>0</v>
      </c>
      <c r="F199" s="5">
        <v>0</v>
      </c>
      <c r="G199" s="5">
        <v>0</v>
      </c>
      <c r="H199" s="5">
        <v>0</v>
      </c>
      <c r="I199" s="5">
        <v>0</v>
      </c>
      <c r="J199" s="9">
        <v>0</v>
      </c>
      <c r="K199" s="5">
        <v>0</v>
      </c>
      <c r="L199" s="5">
        <v>0</v>
      </c>
      <c r="M199" s="5">
        <v>0</v>
      </c>
      <c r="N199" s="9">
        <v>0</v>
      </c>
      <c r="O199" s="5">
        <v>1</v>
      </c>
      <c r="P199" s="5">
        <v>10</v>
      </c>
      <c r="Q199" s="5">
        <v>0</v>
      </c>
      <c r="R199" s="9">
        <v>0</v>
      </c>
      <c r="S199" s="5">
        <v>0</v>
      </c>
      <c r="T199" s="5">
        <v>0</v>
      </c>
    </row>
    <row r="200" spans="1:20" x14ac:dyDescent="0.2">
      <c r="A200" s="5" t="s">
        <v>201</v>
      </c>
      <c r="B200" s="9" t="s">
        <v>162</v>
      </c>
      <c r="C200" s="5" t="s">
        <v>701</v>
      </c>
      <c r="D200" s="7">
        <f t="shared" si="0"/>
        <v>2</v>
      </c>
      <c r="E200" s="5">
        <v>0</v>
      </c>
      <c r="F200" s="5">
        <v>0</v>
      </c>
      <c r="G200" s="5">
        <v>0</v>
      </c>
      <c r="H200" s="5">
        <v>0</v>
      </c>
      <c r="I200" s="5">
        <v>0</v>
      </c>
      <c r="J200" s="9">
        <v>0</v>
      </c>
      <c r="K200" s="5">
        <v>0</v>
      </c>
      <c r="L200" s="5">
        <v>0</v>
      </c>
      <c r="M200" s="5">
        <v>0</v>
      </c>
      <c r="N200" s="9">
        <v>0</v>
      </c>
      <c r="O200" s="5">
        <v>1</v>
      </c>
      <c r="P200" s="5">
        <v>10</v>
      </c>
      <c r="Q200" s="5">
        <v>0</v>
      </c>
      <c r="R200" s="9">
        <v>0</v>
      </c>
      <c r="S200" s="5">
        <v>0</v>
      </c>
      <c r="T200" s="5">
        <v>0</v>
      </c>
    </row>
    <row r="201" spans="1:20" x14ac:dyDescent="0.2">
      <c r="A201" s="5" t="s">
        <v>282</v>
      </c>
      <c r="B201" s="9" t="s">
        <v>69</v>
      </c>
      <c r="C201" s="5" t="s">
        <v>704</v>
      </c>
      <c r="D201" s="7">
        <f t="shared" si="0"/>
        <v>2</v>
      </c>
      <c r="E201" s="5">
        <v>0</v>
      </c>
      <c r="F201" s="5">
        <v>0</v>
      </c>
      <c r="G201" s="5">
        <v>0</v>
      </c>
      <c r="H201" s="5">
        <v>0</v>
      </c>
      <c r="I201" s="5">
        <v>0</v>
      </c>
      <c r="J201" s="9">
        <v>0</v>
      </c>
      <c r="K201" s="5">
        <v>0</v>
      </c>
      <c r="L201" s="5">
        <v>0</v>
      </c>
      <c r="M201" s="5">
        <v>0</v>
      </c>
      <c r="N201" s="9">
        <v>0</v>
      </c>
      <c r="O201" s="5">
        <v>0</v>
      </c>
      <c r="P201" s="5">
        <v>0</v>
      </c>
      <c r="Q201" s="5">
        <v>0</v>
      </c>
      <c r="R201" s="9">
        <v>1</v>
      </c>
      <c r="S201" s="5">
        <v>0</v>
      </c>
      <c r="T201" s="5">
        <v>0</v>
      </c>
    </row>
    <row r="202" spans="1:20" x14ac:dyDescent="0.2">
      <c r="A202" s="5" t="s">
        <v>154</v>
      </c>
      <c r="B202" s="9" t="s">
        <v>75</v>
      </c>
      <c r="C202" s="5" t="s">
        <v>706</v>
      </c>
      <c r="D202" s="7">
        <f t="shared" si="0"/>
        <v>1.9000000000000001</v>
      </c>
      <c r="E202" s="5">
        <v>0</v>
      </c>
      <c r="F202" s="5">
        <v>0</v>
      </c>
      <c r="G202" s="5">
        <v>0</v>
      </c>
      <c r="H202" s="5">
        <v>0</v>
      </c>
      <c r="I202" s="5">
        <v>0</v>
      </c>
      <c r="J202" s="9">
        <v>0</v>
      </c>
      <c r="K202" s="5">
        <v>2</v>
      </c>
      <c r="L202" s="5">
        <v>7</v>
      </c>
      <c r="M202" s="5">
        <v>0</v>
      </c>
      <c r="N202" s="9">
        <v>0</v>
      </c>
      <c r="O202" s="5">
        <v>1</v>
      </c>
      <c r="P202" s="5">
        <v>2</v>
      </c>
      <c r="Q202" s="5">
        <v>0</v>
      </c>
      <c r="R202" s="9">
        <v>0</v>
      </c>
      <c r="S202" s="5">
        <v>0</v>
      </c>
      <c r="T202" s="5">
        <v>0</v>
      </c>
    </row>
    <row r="203" spans="1:20" x14ac:dyDescent="0.2">
      <c r="A203" s="5" t="s">
        <v>156</v>
      </c>
      <c r="B203" s="9" t="s">
        <v>75</v>
      </c>
      <c r="C203" s="5" t="s">
        <v>705</v>
      </c>
      <c r="D203" s="7">
        <f t="shared" si="0"/>
        <v>1.9</v>
      </c>
      <c r="E203" s="5">
        <v>0</v>
      </c>
      <c r="F203" s="5">
        <v>0</v>
      </c>
      <c r="G203" s="5">
        <v>0</v>
      </c>
      <c r="H203" s="5">
        <v>0</v>
      </c>
      <c r="I203" s="5">
        <v>0</v>
      </c>
      <c r="J203" s="9">
        <v>0</v>
      </c>
      <c r="K203" s="5">
        <v>5</v>
      </c>
      <c r="L203" s="5">
        <v>4</v>
      </c>
      <c r="M203" s="5">
        <v>0</v>
      </c>
      <c r="N203" s="9">
        <v>0</v>
      </c>
      <c r="O203" s="5">
        <v>1</v>
      </c>
      <c r="P203" s="5">
        <v>5</v>
      </c>
      <c r="Q203" s="5">
        <v>0</v>
      </c>
      <c r="R203" s="9">
        <v>0</v>
      </c>
      <c r="S203" s="5">
        <v>0</v>
      </c>
      <c r="T203" s="5">
        <v>0</v>
      </c>
    </row>
    <row r="204" spans="1:20" x14ac:dyDescent="0.2">
      <c r="A204" s="5" t="s">
        <v>176</v>
      </c>
      <c r="B204" s="9" t="s">
        <v>162</v>
      </c>
      <c r="C204" s="5" t="s">
        <v>710</v>
      </c>
      <c r="D204" s="7">
        <f t="shared" si="0"/>
        <v>1.9</v>
      </c>
      <c r="E204" s="5">
        <v>0</v>
      </c>
      <c r="F204" s="5">
        <v>0</v>
      </c>
      <c r="G204" s="5">
        <v>0</v>
      </c>
      <c r="H204" s="5">
        <v>0</v>
      </c>
      <c r="I204" s="5">
        <v>0</v>
      </c>
      <c r="J204" s="9">
        <v>0</v>
      </c>
      <c r="K204" s="5">
        <v>0</v>
      </c>
      <c r="L204" s="5">
        <v>0</v>
      </c>
      <c r="M204" s="5">
        <v>0</v>
      </c>
      <c r="N204" s="9">
        <v>0</v>
      </c>
      <c r="O204" s="5">
        <v>1</v>
      </c>
      <c r="P204" s="5">
        <v>9</v>
      </c>
      <c r="Q204" s="5">
        <v>0</v>
      </c>
      <c r="R204" s="9">
        <v>0</v>
      </c>
      <c r="S204" s="5">
        <v>0</v>
      </c>
      <c r="T204" s="5">
        <v>0</v>
      </c>
    </row>
    <row r="205" spans="1:20" x14ac:dyDescent="0.2">
      <c r="A205" s="5" t="s">
        <v>387</v>
      </c>
      <c r="B205" s="9" t="s">
        <v>162</v>
      </c>
      <c r="C205" s="5" t="s">
        <v>701</v>
      </c>
      <c r="D205" s="7">
        <f t="shared" si="0"/>
        <v>1.9</v>
      </c>
      <c r="E205" s="5">
        <v>0</v>
      </c>
      <c r="F205" s="5">
        <v>0</v>
      </c>
      <c r="G205" s="5">
        <v>0</v>
      </c>
      <c r="H205" s="5">
        <v>0</v>
      </c>
      <c r="I205" s="5">
        <v>0</v>
      </c>
      <c r="J205" s="9">
        <v>0</v>
      </c>
      <c r="K205" s="5">
        <v>0</v>
      </c>
      <c r="L205" s="5">
        <v>0</v>
      </c>
      <c r="M205" s="5">
        <v>0</v>
      </c>
      <c r="N205" s="9">
        <v>0</v>
      </c>
      <c r="O205" s="5">
        <v>1</v>
      </c>
      <c r="P205" s="5">
        <v>9</v>
      </c>
      <c r="Q205" s="5">
        <v>0</v>
      </c>
      <c r="R205" s="9">
        <v>0</v>
      </c>
      <c r="S205" s="5">
        <v>0</v>
      </c>
      <c r="T205" s="5">
        <v>0</v>
      </c>
    </row>
    <row r="206" spans="1:20" x14ac:dyDescent="0.2">
      <c r="A206" s="5" t="s">
        <v>369</v>
      </c>
      <c r="B206" s="9" t="s">
        <v>162</v>
      </c>
      <c r="C206" s="5" t="s">
        <v>703</v>
      </c>
      <c r="D206" s="7">
        <f t="shared" si="0"/>
        <v>1.9</v>
      </c>
      <c r="E206" s="5">
        <v>0</v>
      </c>
      <c r="F206" s="5">
        <v>0</v>
      </c>
      <c r="G206" s="5">
        <v>0</v>
      </c>
      <c r="H206" s="5">
        <v>0</v>
      </c>
      <c r="I206" s="5">
        <v>0</v>
      </c>
      <c r="J206" s="9">
        <v>0</v>
      </c>
      <c r="K206" s="5">
        <v>0</v>
      </c>
      <c r="L206" s="5">
        <v>0</v>
      </c>
      <c r="M206" s="5">
        <v>0</v>
      </c>
      <c r="N206" s="9">
        <v>0</v>
      </c>
      <c r="O206" s="5">
        <v>1</v>
      </c>
      <c r="P206" s="5">
        <v>9</v>
      </c>
      <c r="Q206" s="5">
        <v>0</v>
      </c>
      <c r="R206" s="9">
        <v>0</v>
      </c>
      <c r="S206" s="5">
        <v>0</v>
      </c>
      <c r="T206" s="5">
        <v>0</v>
      </c>
    </row>
    <row r="207" spans="1:20" x14ac:dyDescent="0.2">
      <c r="A207" s="5" t="s">
        <v>449</v>
      </c>
      <c r="B207" s="9" t="s">
        <v>69</v>
      </c>
      <c r="C207" s="5" t="s">
        <v>705</v>
      </c>
      <c r="D207" s="7">
        <f t="shared" si="0"/>
        <v>1.9</v>
      </c>
      <c r="E207" s="5">
        <v>0</v>
      </c>
      <c r="F207" s="5">
        <v>0</v>
      </c>
      <c r="G207" s="5">
        <v>0</v>
      </c>
      <c r="H207" s="5">
        <v>0</v>
      </c>
      <c r="I207" s="5">
        <v>0</v>
      </c>
      <c r="J207" s="9">
        <v>0</v>
      </c>
      <c r="K207" s="5">
        <v>0</v>
      </c>
      <c r="L207" s="5">
        <v>0</v>
      </c>
      <c r="M207" s="5">
        <v>0</v>
      </c>
      <c r="N207" s="9">
        <v>0</v>
      </c>
      <c r="O207" s="5">
        <v>1</v>
      </c>
      <c r="P207" s="5">
        <v>9</v>
      </c>
      <c r="Q207" s="5">
        <v>0</v>
      </c>
      <c r="R207" s="9">
        <v>0</v>
      </c>
      <c r="S207" s="5">
        <v>0</v>
      </c>
      <c r="T207" s="5">
        <v>0</v>
      </c>
    </row>
    <row r="208" spans="1:20" x14ac:dyDescent="0.2">
      <c r="A208" s="5" t="s">
        <v>339</v>
      </c>
      <c r="B208" s="9" t="s">
        <v>162</v>
      </c>
      <c r="C208" s="5" t="s">
        <v>715</v>
      </c>
      <c r="D208" s="7">
        <f t="shared" si="0"/>
        <v>1.8</v>
      </c>
      <c r="E208" s="5">
        <v>0</v>
      </c>
      <c r="F208" s="5">
        <v>0</v>
      </c>
      <c r="G208" s="5">
        <v>0</v>
      </c>
      <c r="H208" s="5">
        <v>0</v>
      </c>
      <c r="I208" s="5">
        <v>0</v>
      </c>
      <c r="J208" s="9">
        <v>0</v>
      </c>
      <c r="K208" s="5">
        <v>0</v>
      </c>
      <c r="L208" s="5">
        <v>0</v>
      </c>
      <c r="M208" s="5">
        <v>0</v>
      </c>
      <c r="N208" s="9">
        <v>0</v>
      </c>
      <c r="O208" s="5">
        <v>1</v>
      </c>
      <c r="P208" s="5">
        <v>8</v>
      </c>
      <c r="Q208" s="5">
        <v>0</v>
      </c>
      <c r="R208" s="9">
        <v>0</v>
      </c>
      <c r="S208" s="5">
        <v>0</v>
      </c>
      <c r="T208" s="5">
        <v>0</v>
      </c>
    </row>
    <row r="209" spans="1:20" x14ac:dyDescent="0.2">
      <c r="A209" s="5" t="s">
        <v>310</v>
      </c>
      <c r="B209" s="9" t="s">
        <v>69</v>
      </c>
      <c r="C209" s="5" t="s">
        <v>707</v>
      </c>
      <c r="D209" s="7">
        <f t="shared" si="0"/>
        <v>1.8</v>
      </c>
      <c r="E209" s="5">
        <v>0</v>
      </c>
      <c r="F209" s="5">
        <v>0</v>
      </c>
      <c r="G209" s="5">
        <v>0</v>
      </c>
      <c r="H209" s="5">
        <v>0</v>
      </c>
      <c r="I209" s="5">
        <v>0</v>
      </c>
      <c r="J209" s="9">
        <v>0</v>
      </c>
      <c r="K209" s="5">
        <v>0</v>
      </c>
      <c r="L209" s="5">
        <v>0</v>
      </c>
      <c r="M209" s="5">
        <v>0</v>
      </c>
      <c r="N209" s="9">
        <v>0</v>
      </c>
      <c r="O209" s="5">
        <v>1</v>
      </c>
      <c r="P209" s="5">
        <v>8</v>
      </c>
      <c r="Q209" s="5">
        <v>0</v>
      </c>
      <c r="R209" s="9">
        <v>0</v>
      </c>
      <c r="S209" s="5">
        <v>0</v>
      </c>
      <c r="T209" s="5">
        <v>0</v>
      </c>
    </row>
    <row r="210" spans="1:20" x14ac:dyDescent="0.2">
      <c r="A210" s="5" t="s">
        <v>431</v>
      </c>
      <c r="B210" s="9" t="s">
        <v>17</v>
      </c>
      <c r="C210" s="5" t="s">
        <v>707</v>
      </c>
      <c r="D210" s="7">
        <f t="shared" si="0"/>
        <v>1.6400000000000001</v>
      </c>
      <c r="E210" s="5">
        <v>5</v>
      </c>
      <c r="F210" s="5">
        <v>2</v>
      </c>
      <c r="G210" s="5">
        <v>41</v>
      </c>
      <c r="H210" s="5">
        <v>0</v>
      </c>
      <c r="I210" s="5">
        <v>0</v>
      </c>
      <c r="J210" s="9">
        <v>0</v>
      </c>
      <c r="K210" s="5">
        <v>0</v>
      </c>
      <c r="L210" s="5">
        <v>0</v>
      </c>
      <c r="M210" s="5">
        <v>0</v>
      </c>
      <c r="N210" s="9">
        <v>0</v>
      </c>
      <c r="O210" s="5">
        <v>0</v>
      </c>
      <c r="P210" s="5">
        <v>0</v>
      </c>
      <c r="Q210" s="5">
        <v>0</v>
      </c>
      <c r="R210" s="9">
        <v>0</v>
      </c>
      <c r="S210" s="5">
        <v>0</v>
      </c>
      <c r="T210" s="5">
        <v>0</v>
      </c>
    </row>
    <row r="211" spans="1:20" x14ac:dyDescent="0.2">
      <c r="A211" s="5" t="s">
        <v>215</v>
      </c>
      <c r="B211" s="9" t="s">
        <v>162</v>
      </c>
      <c r="C211" s="5" t="s">
        <v>711</v>
      </c>
      <c r="D211" s="7">
        <f t="shared" si="0"/>
        <v>1.6</v>
      </c>
      <c r="E211" s="5">
        <v>0</v>
      </c>
      <c r="F211" s="5">
        <v>0</v>
      </c>
      <c r="G211" s="5">
        <v>0</v>
      </c>
      <c r="H211" s="5">
        <v>0</v>
      </c>
      <c r="I211" s="5">
        <v>0</v>
      </c>
      <c r="J211" s="9">
        <v>0</v>
      </c>
      <c r="K211" s="5">
        <v>0</v>
      </c>
      <c r="L211" s="5">
        <v>0</v>
      </c>
      <c r="M211" s="5">
        <v>0</v>
      </c>
      <c r="N211" s="9">
        <v>0</v>
      </c>
      <c r="O211" s="5">
        <v>1</v>
      </c>
      <c r="P211" s="5">
        <v>6</v>
      </c>
      <c r="Q211" s="5">
        <v>0</v>
      </c>
      <c r="R211" s="9">
        <v>0</v>
      </c>
      <c r="S211" s="5">
        <v>0</v>
      </c>
      <c r="T211" s="5">
        <v>0</v>
      </c>
    </row>
    <row r="212" spans="1:20" x14ac:dyDescent="0.2">
      <c r="A212" s="5" t="s">
        <v>311</v>
      </c>
      <c r="B212" s="9" t="s">
        <v>69</v>
      </c>
      <c r="C212" s="5" t="s">
        <v>710</v>
      </c>
      <c r="D212" s="7">
        <f t="shared" si="0"/>
        <v>1.6</v>
      </c>
      <c r="E212" s="5">
        <v>0</v>
      </c>
      <c r="F212" s="5">
        <v>0</v>
      </c>
      <c r="G212" s="5">
        <v>0</v>
      </c>
      <c r="H212" s="5">
        <v>0</v>
      </c>
      <c r="I212" s="5">
        <v>0</v>
      </c>
      <c r="J212" s="9">
        <v>0</v>
      </c>
      <c r="K212" s="5">
        <v>0</v>
      </c>
      <c r="L212" s="5">
        <v>0</v>
      </c>
      <c r="M212" s="5">
        <v>0</v>
      </c>
      <c r="N212" s="9">
        <v>0</v>
      </c>
      <c r="O212" s="5">
        <v>1</v>
      </c>
      <c r="P212" s="5">
        <v>6</v>
      </c>
      <c r="Q212" s="5">
        <v>0</v>
      </c>
      <c r="R212" s="9">
        <v>0</v>
      </c>
      <c r="S212" s="5">
        <v>0</v>
      </c>
      <c r="T212" s="5">
        <v>0</v>
      </c>
    </row>
    <row r="213" spans="1:20" x14ac:dyDescent="0.2">
      <c r="A213" s="5" t="s">
        <v>445</v>
      </c>
      <c r="B213" s="9" t="s">
        <v>69</v>
      </c>
      <c r="C213" s="5" t="s">
        <v>706</v>
      </c>
      <c r="D213" s="7">
        <f t="shared" si="0"/>
        <v>1.6</v>
      </c>
      <c r="E213" s="5">
        <v>0</v>
      </c>
      <c r="F213" s="5">
        <v>0</v>
      </c>
      <c r="G213" s="5">
        <v>0</v>
      </c>
      <c r="H213" s="5">
        <v>0</v>
      </c>
      <c r="I213" s="5">
        <v>0</v>
      </c>
      <c r="J213" s="9">
        <v>0</v>
      </c>
      <c r="K213" s="5">
        <v>0</v>
      </c>
      <c r="L213" s="5">
        <v>0</v>
      </c>
      <c r="M213" s="5">
        <v>0</v>
      </c>
      <c r="N213" s="9">
        <v>0</v>
      </c>
      <c r="O213" s="5">
        <v>1</v>
      </c>
      <c r="P213" s="5">
        <v>6</v>
      </c>
      <c r="Q213" s="5">
        <v>0</v>
      </c>
      <c r="R213" s="9">
        <v>0</v>
      </c>
      <c r="S213" s="5">
        <v>0</v>
      </c>
      <c r="T213" s="5">
        <v>0</v>
      </c>
    </row>
    <row r="214" spans="1:20" x14ac:dyDescent="0.2">
      <c r="A214" s="5" t="s">
        <v>283</v>
      </c>
      <c r="B214" s="9" t="s">
        <v>69</v>
      </c>
      <c r="C214" s="5" t="s">
        <v>703</v>
      </c>
      <c r="D214" s="7">
        <f t="shared" si="0"/>
        <v>1.6</v>
      </c>
      <c r="E214" s="5">
        <v>0</v>
      </c>
      <c r="F214" s="5">
        <v>0</v>
      </c>
      <c r="G214" s="5">
        <v>0</v>
      </c>
      <c r="H214" s="5">
        <v>0</v>
      </c>
      <c r="I214" s="5">
        <v>0</v>
      </c>
      <c r="J214" s="9">
        <v>0</v>
      </c>
      <c r="K214" s="5">
        <v>0</v>
      </c>
      <c r="L214" s="5">
        <v>0</v>
      </c>
      <c r="M214" s="5">
        <v>0</v>
      </c>
      <c r="N214" s="9">
        <v>0</v>
      </c>
      <c r="O214" s="5">
        <v>1</v>
      </c>
      <c r="P214" s="5">
        <v>6</v>
      </c>
      <c r="Q214" s="5">
        <v>0</v>
      </c>
      <c r="R214" s="9">
        <v>0</v>
      </c>
      <c r="S214" s="5">
        <v>0</v>
      </c>
      <c r="T214" s="5">
        <v>0</v>
      </c>
    </row>
    <row r="215" spans="1:20" x14ac:dyDescent="0.2">
      <c r="A215" s="5" t="s">
        <v>394</v>
      </c>
      <c r="B215" s="9" t="s">
        <v>75</v>
      </c>
      <c r="C215" s="5" t="s">
        <v>703</v>
      </c>
      <c r="D215" s="7">
        <f t="shared" si="0"/>
        <v>1.5</v>
      </c>
      <c r="E215" s="5">
        <v>0</v>
      </c>
      <c r="F215" s="5">
        <v>0</v>
      </c>
      <c r="G215" s="5">
        <v>0</v>
      </c>
      <c r="H215" s="5">
        <v>0</v>
      </c>
      <c r="I215" s="5">
        <v>0</v>
      </c>
      <c r="J215" s="9">
        <v>0</v>
      </c>
      <c r="K215" s="5">
        <v>0</v>
      </c>
      <c r="L215" s="5">
        <v>0</v>
      </c>
      <c r="M215" s="5">
        <v>0</v>
      </c>
      <c r="N215" s="9">
        <v>0</v>
      </c>
      <c r="O215" s="5">
        <v>1</v>
      </c>
      <c r="P215" s="5">
        <v>5</v>
      </c>
      <c r="Q215" s="5">
        <v>0</v>
      </c>
      <c r="R215" s="9">
        <v>0</v>
      </c>
      <c r="S215" s="5">
        <v>0</v>
      </c>
      <c r="T215" s="5">
        <v>0</v>
      </c>
    </row>
    <row r="216" spans="1:20" x14ac:dyDescent="0.2">
      <c r="A216" s="5" t="s">
        <v>646</v>
      </c>
      <c r="B216" s="9" t="s">
        <v>162</v>
      </c>
      <c r="C216" s="5" t="s">
        <v>714</v>
      </c>
      <c r="D216" s="7">
        <f t="shared" si="0"/>
        <v>1.5</v>
      </c>
      <c r="E216" s="5">
        <v>0</v>
      </c>
      <c r="F216" s="5">
        <v>0</v>
      </c>
      <c r="G216" s="5">
        <v>0</v>
      </c>
      <c r="H216" s="5">
        <v>0</v>
      </c>
      <c r="I216" s="5">
        <v>0</v>
      </c>
      <c r="J216" s="9">
        <v>0</v>
      </c>
      <c r="K216" s="5">
        <v>0</v>
      </c>
      <c r="L216" s="5">
        <v>0</v>
      </c>
      <c r="M216" s="5">
        <v>0</v>
      </c>
      <c r="N216" s="9">
        <v>0</v>
      </c>
      <c r="O216" s="5">
        <v>1</v>
      </c>
      <c r="P216" s="5">
        <v>5</v>
      </c>
      <c r="Q216" s="5">
        <v>0</v>
      </c>
      <c r="R216" s="9">
        <v>0</v>
      </c>
      <c r="S216" s="5">
        <v>0</v>
      </c>
      <c r="T216" s="5">
        <v>0</v>
      </c>
    </row>
    <row r="217" spans="1:20" x14ac:dyDescent="0.2">
      <c r="A217" s="5" t="s">
        <v>270</v>
      </c>
      <c r="B217" s="9" t="s">
        <v>162</v>
      </c>
      <c r="C217" s="5" t="s">
        <v>708</v>
      </c>
      <c r="D217" s="7">
        <f t="shared" si="0"/>
        <v>1.5</v>
      </c>
      <c r="E217" s="5">
        <v>0</v>
      </c>
      <c r="F217" s="5">
        <v>0</v>
      </c>
      <c r="G217" s="5">
        <v>0</v>
      </c>
      <c r="H217" s="5">
        <v>0</v>
      </c>
      <c r="I217" s="5">
        <v>0</v>
      </c>
      <c r="J217" s="9">
        <v>0</v>
      </c>
      <c r="K217" s="5">
        <v>0</v>
      </c>
      <c r="L217" s="5">
        <v>0</v>
      </c>
      <c r="M217" s="5">
        <v>0</v>
      </c>
      <c r="N217" s="9">
        <v>0</v>
      </c>
      <c r="O217" s="5">
        <v>1</v>
      </c>
      <c r="P217" s="5">
        <v>5</v>
      </c>
      <c r="Q217" s="5">
        <v>0</v>
      </c>
      <c r="R217" s="9">
        <v>0</v>
      </c>
      <c r="S217" s="5">
        <v>0</v>
      </c>
      <c r="T217" s="5">
        <v>0</v>
      </c>
    </row>
    <row r="218" spans="1:20" x14ac:dyDescent="0.2">
      <c r="A218" s="5" t="s">
        <v>717</v>
      </c>
      <c r="B218" s="9" t="s">
        <v>69</v>
      </c>
      <c r="C218" s="5" t="s">
        <v>703</v>
      </c>
      <c r="D218" s="7">
        <f t="shared" si="0"/>
        <v>1.5</v>
      </c>
      <c r="E218" s="5">
        <v>0</v>
      </c>
      <c r="F218" s="5">
        <v>0</v>
      </c>
      <c r="G218" s="5">
        <v>0</v>
      </c>
      <c r="H218" s="5">
        <v>0</v>
      </c>
      <c r="I218" s="5">
        <v>0</v>
      </c>
      <c r="J218" s="9">
        <v>0</v>
      </c>
      <c r="K218" s="5">
        <v>0</v>
      </c>
      <c r="L218" s="5">
        <v>0</v>
      </c>
      <c r="M218" s="5">
        <v>0</v>
      </c>
      <c r="N218" s="9">
        <v>0</v>
      </c>
      <c r="O218" s="5">
        <v>1</v>
      </c>
      <c r="P218" s="5">
        <v>5</v>
      </c>
      <c r="Q218" s="5">
        <v>0</v>
      </c>
      <c r="R218" s="9">
        <v>0</v>
      </c>
      <c r="S218" s="5">
        <v>0</v>
      </c>
      <c r="T218" s="5">
        <v>0</v>
      </c>
    </row>
    <row r="219" spans="1:20" x14ac:dyDescent="0.2">
      <c r="A219" s="5" t="s">
        <v>718</v>
      </c>
      <c r="B219" s="9" t="s">
        <v>17</v>
      </c>
      <c r="C219" s="5" t="s">
        <v>715</v>
      </c>
      <c r="D219" s="7">
        <f t="shared" si="0"/>
        <v>1.4400000000000004</v>
      </c>
      <c r="E219" s="5">
        <v>13</v>
      </c>
      <c r="F219" s="5">
        <v>5</v>
      </c>
      <c r="G219" s="5">
        <v>66</v>
      </c>
      <c r="H219" s="5">
        <v>0</v>
      </c>
      <c r="I219" s="5">
        <v>0</v>
      </c>
      <c r="J219" s="9">
        <v>0</v>
      </c>
      <c r="K219" s="5">
        <v>1</v>
      </c>
      <c r="L219" s="5">
        <v>8</v>
      </c>
      <c r="M219" s="5">
        <v>0</v>
      </c>
      <c r="N219" s="9">
        <v>0</v>
      </c>
      <c r="O219" s="5">
        <v>0</v>
      </c>
      <c r="P219" s="5">
        <v>0</v>
      </c>
      <c r="Q219" s="5">
        <v>0</v>
      </c>
      <c r="R219" s="9">
        <v>0</v>
      </c>
      <c r="S219" s="5">
        <v>1</v>
      </c>
      <c r="T219" s="5">
        <v>0</v>
      </c>
    </row>
    <row r="220" spans="1:20" x14ac:dyDescent="0.2">
      <c r="A220" s="5" t="s">
        <v>148</v>
      </c>
      <c r="B220" s="9" t="s">
        <v>75</v>
      </c>
      <c r="C220" s="5" t="s">
        <v>702</v>
      </c>
      <c r="D220" s="7">
        <f t="shared" si="0"/>
        <v>1.3</v>
      </c>
      <c r="E220" s="5">
        <v>0</v>
      </c>
      <c r="F220" s="5">
        <v>0</v>
      </c>
      <c r="G220" s="5">
        <v>0</v>
      </c>
      <c r="H220" s="5">
        <v>0</v>
      </c>
      <c r="I220" s="5">
        <v>0</v>
      </c>
      <c r="J220" s="9">
        <v>0</v>
      </c>
      <c r="K220" s="5">
        <v>3</v>
      </c>
      <c r="L220" s="5">
        <v>13</v>
      </c>
      <c r="M220" s="5">
        <v>0</v>
      </c>
      <c r="N220" s="9">
        <v>0</v>
      </c>
      <c r="O220" s="5">
        <v>0</v>
      </c>
      <c r="P220" s="5">
        <v>0</v>
      </c>
      <c r="Q220" s="5">
        <v>0</v>
      </c>
      <c r="R220" s="9">
        <v>0</v>
      </c>
      <c r="S220" s="5">
        <v>0</v>
      </c>
      <c r="T220" s="5">
        <v>0</v>
      </c>
    </row>
    <row r="221" spans="1:20" x14ac:dyDescent="0.2">
      <c r="A221" s="5" t="s">
        <v>719</v>
      </c>
      <c r="B221" s="9" t="s">
        <v>17</v>
      </c>
      <c r="C221" s="5" t="s">
        <v>702</v>
      </c>
      <c r="D221" s="7">
        <f t="shared" si="0"/>
        <v>1.2400000000000002</v>
      </c>
      <c r="E221" s="5">
        <v>3</v>
      </c>
      <c r="F221" s="5">
        <v>2</v>
      </c>
      <c r="G221" s="5">
        <v>16</v>
      </c>
      <c r="H221" s="5">
        <v>0</v>
      </c>
      <c r="I221" s="5">
        <v>0</v>
      </c>
      <c r="J221" s="9">
        <v>0</v>
      </c>
      <c r="K221" s="5">
        <v>2</v>
      </c>
      <c r="L221" s="5">
        <v>6</v>
      </c>
      <c r="M221" s="5">
        <v>0</v>
      </c>
      <c r="N221" s="9">
        <v>0</v>
      </c>
      <c r="O221" s="5">
        <v>0</v>
      </c>
      <c r="P221" s="5">
        <v>0</v>
      </c>
      <c r="Q221" s="5">
        <v>0</v>
      </c>
      <c r="R221" s="9">
        <v>0</v>
      </c>
      <c r="S221" s="5">
        <v>0</v>
      </c>
      <c r="T221" s="5">
        <v>0</v>
      </c>
    </row>
    <row r="222" spans="1:20" x14ac:dyDescent="0.2">
      <c r="A222" s="5" t="s">
        <v>314</v>
      </c>
      <c r="B222" s="9" t="s">
        <v>69</v>
      </c>
      <c r="C222" s="5" t="s">
        <v>704</v>
      </c>
      <c r="D222" s="7">
        <f t="shared" si="0"/>
        <v>1.2</v>
      </c>
      <c r="E222" s="5">
        <v>0</v>
      </c>
      <c r="F222" s="5">
        <v>0</v>
      </c>
      <c r="G222" s="5">
        <v>0</v>
      </c>
      <c r="H222" s="5">
        <v>0</v>
      </c>
      <c r="I222" s="5">
        <v>0</v>
      </c>
      <c r="J222" s="9">
        <v>0</v>
      </c>
      <c r="K222" s="5">
        <v>0</v>
      </c>
      <c r="L222" s="5">
        <v>0</v>
      </c>
      <c r="M222" s="5">
        <v>0</v>
      </c>
      <c r="N222" s="9">
        <v>0</v>
      </c>
      <c r="O222" s="5">
        <v>1</v>
      </c>
      <c r="P222" s="5">
        <v>2</v>
      </c>
      <c r="Q222" s="5">
        <v>0</v>
      </c>
      <c r="R222" s="9">
        <v>0</v>
      </c>
      <c r="S222" s="5">
        <v>0</v>
      </c>
      <c r="T222" s="5">
        <v>0</v>
      </c>
    </row>
    <row r="223" spans="1:20" x14ac:dyDescent="0.2">
      <c r="A223" s="5" t="s">
        <v>580</v>
      </c>
      <c r="B223" s="9" t="s">
        <v>75</v>
      </c>
      <c r="C223" s="5" t="s">
        <v>704</v>
      </c>
      <c r="D223" s="7">
        <f t="shared" si="0"/>
        <v>1.1000000000000001</v>
      </c>
      <c r="E223" s="5">
        <v>0</v>
      </c>
      <c r="F223" s="5">
        <v>0</v>
      </c>
      <c r="G223" s="5">
        <v>0</v>
      </c>
      <c r="H223" s="5">
        <v>0</v>
      </c>
      <c r="I223" s="5">
        <v>0</v>
      </c>
      <c r="J223" s="9">
        <v>0</v>
      </c>
      <c r="K223" s="5">
        <v>4</v>
      </c>
      <c r="L223" s="5">
        <v>11</v>
      </c>
      <c r="M223" s="5">
        <v>0</v>
      </c>
      <c r="N223" s="9">
        <v>0</v>
      </c>
      <c r="O223" s="5">
        <v>0</v>
      </c>
      <c r="P223" s="5">
        <v>0</v>
      </c>
      <c r="Q223" s="5">
        <v>0</v>
      </c>
      <c r="R223" s="9">
        <v>0</v>
      </c>
      <c r="S223" s="5">
        <v>0</v>
      </c>
      <c r="T223" s="5">
        <v>0</v>
      </c>
    </row>
    <row r="224" spans="1:20" x14ac:dyDescent="0.2">
      <c r="A224" s="5" t="s">
        <v>451</v>
      </c>
      <c r="B224" s="9" t="s">
        <v>75</v>
      </c>
      <c r="C224" s="5" t="s">
        <v>702</v>
      </c>
      <c r="D224" s="7">
        <f t="shared" si="0"/>
        <v>1</v>
      </c>
      <c r="E224" s="5">
        <v>0</v>
      </c>
      <c r="F224" s="5">
        <v>0</v>
      </c>
      <c r="G224" s="5">
        <v>0</v>
      </c>
      <c r="H224" s="5">
        <v>0</v>
      </c>
      <c r="I224" s="5">
        <v>0</v>
      </c>
      <c r="J224" s="9">
        <v>0</v>
      </c>
      <c r="K224" s="5">
        <v>2</v>
      </c>
      <c r="L224" s="5">
        <v>10</v>
      </c>
      <c r="M224" s="5">
        <v>0</v>
      </c>
      <c r="N224" s="9">
        <v>0</v>
      </c>
      <c r="O224" s="5">
        <v>0</v>
      </c>
      <c r="P224" s="5">
        <v>0</v>
      </c>
      <c r="Q224" s="5">
        <v>0</v>
      </c>
      <c r="R224" s="9">
        <v>0</v>
      </c>
      <c r="S224" s="5">
        <v>0</v>
      </c>
      <c r="T224" s="5">
        <v>0</v>
      </c>
    </row>
    <row r="225" spans="1:20" x14ac:dyDescent="0.2">
      <c r="A225" s="5" t="s">
        <v>720</v>
      </c>
      <c r="B225" s="9" t="s">
        <v>75</v>
      </c>
      <c r="C225" s="5" t="s">
        <v>708</v>
      </c>
      <c r="D225" s="7">
        <f t="shared" si="0"/>
        <v>1</v>
      </c>
      <c r="E225" s="5">
        <v>0</v>
      </c>
      <c r="F225" s="5">
        <v>0</v>
      </c>
      <c r="G225" s="5">
        <v>0</v>
      </c>
      <c r="H225" s="5">
        <v>0</v>
      </c>
      <c r="I225" s="5">
        <v>0</v>
      </c>
      <c r="J225" s="9">
        <v>0</v>
      </c>
      <c r="K225" s="5">
        <v>1</v>
      </c>
      <c r="L225" s="5">
        <v>2</v>
      </c>
      <c r="M225" s="5">
        <v>0</v>
      </c>
      <c r="N225" s="9">
        <v>0</v>
      </c>
      <c r="O225" s="5">
        <v>1</v>
      </c>
      <c r="P225" s="5">
        <v>-2</v>
      </c>
      <c r="Q225" s="5">
        <v>0</v>
      </c>
      <c r="R225" s="9">
        <v>0</v>
      </c>
      <c r="S225" s="5">
        <v>0</v>
      </c>
      <c r="T225" s="5">
        <v>0</v>
      </c>
    </row>
    <row r="226" spans="1:20" x14ac:dyDescent="0.2">
      <c r="A226" s="5" t="s">
        <v>359</v>
      </c>
      <c r="B226" s="9" t="s">
        <v>162</v>
      </c>
      <c r="C226" s="5" t="s">
        <v>704</v>
      </c>
      <c r="D226" s="7">
        <f t="shared" si="0"/>
        <v>1</v>
      </c>
      <c r="E226" s="5">
        <v>0</v>
      </c>
      <c r="F226" s="5">
        <v>0</v>
      </c>
      <c r="G226" s="5">
        <v>0</v>
      </c>
      <c r="H226" s="5">
        <v>0</v>
      </c>
      <c r="I226" s="5">
        <v>0</v>
      </c>
      <c r="J226" s="9">
        <v>0</v>
      </c>
      <c r="K226" s="5">
        <v>0</v>
      </c>
      <c r="L226" s="5">
        <v>0</v>
      </c>
      <c r="M226" s="5">
        <v>0</v>
      </c>
      <c r="N226" s="9">
        <v>0</v>
      </c>
      <c r="O226" s="5">
        <v>1</v>
      </c>
      <c r="P226" s="5">
        <v>0</v>
      </c>
      <c r="Q226" s="5">
        <v>0</v>
      </c>
      <c r="R226" s="9">
        <v>0</v>
      </c>
      <c r="S226" s="5">
        <v>0</v>
      </c>
      <c r="T226" s="5">
        <v>0</v>
      </c>
    </row>
    <row r="227" spans="1:20" x14ac:dyDescent="0.2">
      <c r="A227" s="5" t="s">
        <v>243</v>
      </c>
      <c r="B227" s="9" t="s">
        <v>162</v>
      </c>
      <c r="C227" s="5" t="s">
        <v>707</v>
      </c>
      <c r="D227" s="7">
        <f t="shared" si="0"/>
        <v>0.9</v>
      </c>
      <c r="E227" s="5">
        <v>0</v>
      </c>
      <c r="F227" s="5">
        <v>0</v>
      </c>
      <c r="G227" s="5">
        <v>0</v>
      </c>
      <c r="H227" s="5">
        <v>0</v>
      </c>
      <c r="I227" s="5">
        <v>0</v>
      </c>
      <c r="J227" s="9">
        <v>0</v>
      </c>
      <c r="K227" s="5">
        <v>1</v>
      </c>
      <c r="L227" s="5">
        <v>9</v>
      </c>
      <c r="M227" s="5">
        <v>0</v>
      </c>
      <c r="N227" s="9">
        <v>0</v>
      </c>
      <c r="O227" s="5">
        <v>0</v>
      </c>
      <c r="P227" s="5">
        <v>0</v>
      </c>
      <c r="Q227" s="5">
        <v>0</v>
      </c>
      <c r="R227" s="9">
        <v>0</v>
      </c>
      <c r="S227" s="5">
        <v>0</v>
      </c>
      <c r="T227" s="5">
        <v>0</v>
      </c>
    </row>
    <row r="228" spans="1:20" x14ac:dyDescent="0.2">
      <c r="A228" s="5" t="s">
        <v>652</v>
      </c>
      <c r="B228" s="9" t="s">
        <v>162</v>
      </c>
      <c r="C228" s="5" t="s">
        <v>707</v>
      </c>
      <c r="D228" s="7">
        <f t="shared" si="0"/>
        <v>0.89999999999999991</v>
      </c>
      <c r="E228" s="5">
        <v>0</v>
      </c>
      <c r="F228" s="5">
        <v>0</v>
      </c>
      <c r="G228" s="5">
        <v>0</v>
      </c>
      <c r="H228" s="5">
        <v>0</v>
      </c>
      <c r="I228" s="5">
        <v>0</v>
      </c>
      <c r="J228" s="9">
        <v>0</v>
      </c>
      <c r="K228" s="5">
        <v>2</v>
      </c>
      <c r="L228" s="5">
        <v>-6</v>
      </c>
      <c r="M228" s="5">
        <v>0</v>
      </c>
      <c r="N228" s="9">
        <v>0</v>
      </c>
      <c r="O228" s="5">
        <v>1</v>
      </c>
      <c r="P228" s="5">
        <v>5</v>
      </c>
      <c r="Q228" s="5">
        <v>0</v>
      </c>
      <c r="R228" s="9">
        <v>0</v>
      </c>
      <c r="S228" s="5">
        <v>0</v>
      </c>
      <c r="T228" s="5">
        <v>0</v>
      </c>
    </row>
    <row r="229" spans="1:20" x14ac:dyDescent="0.2">
      <c r="A229" s="5" t="s">
        <v>673</v>
      </c>
      <c r="B229" s="9" t="s">
        <v>17</v>
      </c>
      <c r="C229" s="5" t="s">
        <v>703</v>
      </c>
      <c r="D229" s="7">
        <f t="shared" si="0"/>
        <v>0.72</v>
      </c>
      <c r="E229" s="5">
        <v>1</v>
      </c>
      <c r="F229" s="5">
        <v>1</v>
      </c>
      <c r="G229" s="5">
        <v>18</v>
      </c>
      <c r="H229" s="5">
        <v>0</v>
      </c>
      <c r="I229" s="5">
        <v>0</v>
      </c>
      <c r="J229" s="9">
        <v>0</v>
      </c>
      <c r="K229" s="5">
        <v>0</v>
      </c>
      <c r="L229" s="5">
        <v>0</v>
      </c>
      <c r="M229" s="5">
        <v>0</v>
      </c>
      <c r="N229" s="9">
        <v>0</v>
      </c>
      <c r="O229" s="5">
        <v>0</v>
      </c>
      <c r="P229" s="5">
        <v>0</v>
      </c>
      <c r="Q229" s="5">
        <v>0</v>
      </c>
      <c r="R229" s="9">
        <v>0</v>
      </c>
      <c r="S229" s="5">
        <v>0</v>
      </c>
      <c r="T229" s="5">
        <v>0</v>
      </c>
    </row>
    <row r="230" spans="1:20" x14ac:dyDescent="0.2">
      <c r="A230" s="5" t="s">
        <v>118</v>
      </c>
      <c r="B230" s="9" t="s">
        <v>75</v>
      </c>
      <c r="C230" s="5" t="s">
        <v>704</v>
      </c>
      <c r="D230" s="7">
        <f t="shared" si="0"/>
        <v>0.7</v>
      </c>
      <c r="E230" s="5">
        <v>0</v>
      </c>
      <c r="F230" s="5">
        <v>0</v>
      </c>
      <c r="G230" s="5">
        <v>0</v>
      </c>
      <c r="H230" s="5">
        <v>0</v>
      </c>
      <c r="I230" s="5">
        <v>0</v>
      </c>
      <c r="J230" s="9">
        <v>0</v>
      </c>
      <c r="K230" s="5">
        <v>0</v>
      </c>
      <c r="L230" s="5">
        <v>0</v>
      </c>
      <c r="M230" s="5">
        <v>0</v>
      </c>
      <c r="N230" s="9">
        <v>0</v>
      </c>
      <c r="O230" s="5">
        <v>1</v>
      </c>
      <c r="P230" s="5">
        <v>-3</v>
      </c>
      <c r="Q230" s="5">
        <v>0</v>
      </c>
      <c r="R230" s="9">
        <v>0</v>
      </c>
      <c r="S230" s="5">
        <v>0</v>
      </c>
      <c r="T230" s="5">
        <v>0</v>
      </c>
    </row>
    <row r="231" spans="1:20" x14ac:dyDescent="0.2">
      <c r="A231" s="5" t="s">
        <v>554</v>
      </c>
      <c r="B231" s="9" t="s">
        <v>75</v>
      </c>
      <c r="C231" s="5" t="s">
        <v>706</v>
      </c>
      <c r="D231" s="7">
        <f t="shared" si="0"/>
        <v>0.60000000000000009</v>
      </c>
      <c r="E231" s="5">
        <v>0</v>
      </c>
      <c r="F231" s="5">
        <v>0</v>
      </c>
      <c r="G231" s="5">
        <v>0</v>
      </c>
      <c r="H231" s="5">
        <v>0</v>
      </c>
      <c r="I231" s="5">
        <v>0</v>
      </c>
      <c r="J231" s="9">
        <v>0</v>
      </c>
      <c r="K231" s="5">
        <v>1</v>
      </c>
      <c r="L231" s="5">
        <v>6</v>
      </c>
      <c r="M231" s="5">
        <v>0</v>
      </c>
      <c r="N231" s="9">
        <v>0</v>
      </c>
      <c r="O231" s="5">
        <v>0</v>
      </c>
      <c r="P231" s="5">
        <v>0</v>
      </c>
      <c r="Q231" s="5">
        <v>0</v>
      </c>
      <c r="R231" s="9">
        <v>0</v>
      </c>
      <c r="S231" s="5">
        <v>0</v>
      </c>
      <c r="T231" s="5">
        <v>0</v>
      </c>
    </row>
    <row r="232" spans="1:20" x14ac:dyDescent="0.2">
      <c r="A232" s="5" t="s">
        <v>133</v>
      </c>
      <c r="B232" s="9" t="s">
        <v>75</v>
      </c>
      <c r="C232" s="5" t="s">
        <v>701</v>
      </c>
      <c r="D232" s="7">
        <f t="shared" si="0"/>
        <v>0.60000000000000009</v>
      </c>
      <c r="E232" s="5">
        <v>0</v>
      </c>
      <c r="F232" s="5">
        <v>0</v>
      </c>
      <c r="G232" s="5">
        <v>0</v>
      </c>
      <c r="H232" s="5">
        <v>0</v>
      </c>
      <c r="I232" s="5">
        <v>0</v>
      </c>
      <c r="J232" s="9">
        <v>0</v>
      </c>
      <c r="K232" s="5">
        <v>1</v>
      </c>
      <c r="L232" s="5">
        <v>6</v>
      </c>
      <c r="M232" s="5">
        <v>0</v>
      </c>
      <c r="N232" s="9">
        <v>0</v>
      </c>
      <c r="O232" s="5">
        <v>0</v>
      </c>
      <c r="P232" s="5">
        <v>0</v>
      </c>
      <c r="Q232" s="5">
        <v>0</v>
      </c>
      <c r="R232" s="9">
        <v>0</v>
      </c>
      <c r="S232" s="5">
        <v>0</v>
      </c>
      <c r="T232" s="5">
        <v>0</v>
      </c>
    </row>
    <row r="233" spans="1:20" x14ac:dyDescent="0.2">
      <c r="A233" s="5" t="s">
        <v>267</v>
      </c>
      <c r="B233" s="9" t="s">
        <v>162</v>
      </c>
      <c r="C233" s="5" t="s">
        <v>708</v>
      </c>
      <c r="D233" s="7">
        <f t="shared" si="0"/>
        <v>0.60000000000000009</v>
      </c>
      <c r="E233" s="5">
        <v>0</v>
      </c>
      <c r="F233" s="5">
        <v>0</v>
      </c>
      <c r="G233" s="5">
        <v>0</v>
      </c>
      <c r="H233" s="5">
        <v>0</v>
      </c>
      <c r="I233" s="5">
        <v>0</v>
      </c>
      <c r="J233" s="9">
        <v>0</v>
      </c>
      <c r="K233" s="5">
        <v>1</v>
      </c>
      <c r="L233" s="5">
        <v>6</v>
      </c>
      <c r="M233" s="5">
        <v>0</v>
      </c>
      <c r="N233" s="9">
        <v>0</v>
      </c>
      <c r="O233" s="5">
        <v>0</v>
      </c>
      <c r="P233" s="5">
        <v>0</v>
      </c>
      <c r="Q233" s="5">
        <v>0</v>
      </c>
      <c r="R233" s="9">
        <v>0</v>
      </c>
      <c r="S233" s="5">
        <v>0</v>
      </c>
      <c r="T233" s="5">
        <v>0</v>
      </c>
    </row>
    <row r="234" spans="1:20" x14ac:dyDescent="0.2">
      <c r="A234" s="5" t="s">
        <v>143</v>
      </c>
      <c r="B234" s="9" t="s">
        <v>75</v>
      </c>
      <c r="C234" s="5" t="s">
        <v>703</v>
      </c>
      <c r="D234" s="7">
        <f t="shared" si="0"/>
        <v>0.4</v>
      </c>
      <c r="E234" s="5">
        <v>0</v>
      </c>
      <c r="F234" s="5">
        <v>0</v>
      </c>
      <c r="G234" s="5">
        <v>0</v>
      </c>
      <c r="H234" s="5">
        <v>0</v>
      </c>
      <c r="I234" s="5">
        <v>0</v>
      </c>
      <c r="J234" s="9">
        <v>0</v>
      </c>
      <c r="K234" s="5">
        <v>1</v>
      </c>
      <c r="L234" s="5">
        <v>4</v>
      </c>
      <c r="M234" s="5">
        <v>0</v>
      </c>
      <c r="N234" s="9">
        <v>0</v>
      </c>
      <c r="O234" s="5">
        <v>0</v>
      </c>
      <c r="P234" s="5">
        <v>0</v>
      </c>
      <c r="Q234" s="5">
        <v>0</v>
      </c>
      <c r="R234" s="9">
        <v>0</v>
      </c>
      <c r="S234" s="5">
        <v>0</v>
      </c>
      <c r="T234" s="5">
        <v>0</v>
      </c>
    </row>
    <row r="235" spans="1:20" x14ac:dyDescent="0.2">
      <c r="A235" s="5" t="s">
        <v>139</v>
      </c>
      <c r="B235" s="9" t="s">
        <v>162</v>
      </c>
      <c r="C235" s="5" t="s">
        <v>714</v>
      </c>
      <c r="D235" s="7">
        <f t="shared" si="0"/>
        <v>0.2</v>
      </c>
      <c r="E235" s="5">
        <v>0</v>
      </c>
      <c r="F235" s="5">
        <v>0</v>
      </c>
      <c r="G235" s="5">
        <v>0</v>
      </c>
      <c r="H235" s="5">
        <v>0</v>
      </c>
      <c r="I235" s="5">
        <v>0</v>
      </c>
      <c r="J235" s="9">
        <v>0</v>
      </c>
      <c r="K235" s="5">
        <v>1</v>
      </c>
      <c r="L235" s="5">
        <v>2</v>
      </c>
      <c r="M235" s="5">
        <v>0</v>
      </c>
      <c r="N235" s="9">
        <v>0</v>
      </c>
      <c r="O235" s="5">
        <v>0</v>
      </c>
      <c r="P235" s="5">
        <v>0</v>
      </c>
      <c r="Q235" s="5">
        <v>0</v>
      </c>
      <c r="R235" s="9">
        <v>0</v>
      </c>
      <c r="S235" s="5">
        <v>0</v>
      </c>
      <c r="T235" s="5">
        <v>0</v>
      </c>
    </row>
    <row r="236" spans="1:20" x14ac:dyDescent="0.2">
      <c r="A236" s="5" t="s">
        <v>425</v>
      </c>
      <c r="B236" s="9" t="s">
        <v>17</v>
      </c>
      <c r="C236" s="5" t="s">
        <v>704</v>
      </c>
      <c r="D236" s="7">
        <f t="shared" si="0"/>
        <v>0.12</v>
      </c>
      <c r="E236" s="5">
        <v>1</v>
      </c>
      <c r="F236" s="5">
        <v>1</v>
      </c>
      <c r="G236" s="5">
        <v>3</v>
      </c>
      <c r="H236" s="5">
        <v>0</v>
      </c>
      <c r="I236" s="5">
        <v>0</v>
      </c>
      <c r="J236" s="9">
        <v>0</v>
      </c>
      <c r="K236" s="5">
        <v>0</v>
      </c>
      <c r="L236" s="5">
        <v>0</v>
      </c>
      <c r="M236" s="5">
        <v>0</v>
      </c>
      <c r="N236" s="9">
        <v>0</v>
      </c>
      <c r="O236" s="5">
        <v>0</v>
      </c>
      <c r="P236" s="5">
        <v>0</v>
      </c>
      <c r="Q236" s="5">
        <v>0</v>
      </c>
      <c r="R236" s="9">
        <v>0</v>
      </c>
      <c r="S236" s="5">
        <v>0</v>
      </c>
      <c r="T236" s="5">
        <v>0</v>
      </c>
    </row>
    <row r="237" spans="1:20" x14ac:dyDescent="0.2">
      <c r="A237" s="5" t="s">
        <v>575</v>
      </c>
      <c r="B237" s="9" t="s">
        <v>75</v>
      </c>
      <c r="C237" s="5" t="s">
        <v>710</v>
      </c>
      <c r="D237" s="7">
        <f t="shared" si="0"/>
        <v>0</v>
      </c>
      <c r="E237" s="5">
        <v>0</v>
      </c>
      <c r="F237" s="5">
        <v>0</v>
      </c>
      <c r="G237" s="5">
        <v>0</v>
      </c>
      <c r="H237" s="5">
        <v>0</v>
      </c>
      <c r="I237" s="5">
        <v>0</v>
      </c>
      <c r="J237" s="9">
        <v>0</v>
      </c>
      <c r="K237" s="5">
        <v>1</v>
      </c>
      <c r="L237" s="5">
        <v>0</v>
      </c>
      <c r="M237" s="5">
        <v>0</v>
      </c>
      <c r="N237" s="9">
        <v>0</v>
      </c>
      <c r="O237" s="5">
        <v>0</v>
      </c>
      <c r="P237" s="5">
        <v>0</v>
      </c>
      <c r="Q237" s="5">
        <v>0</v>
      </c>
      <c r="R237" s="9">
        <v>0</v>
      </c>
      <c r="S237" s="5">
        <v>0</v>
      </c>
      <c r="T237" s="5">
        <v>0</v>
      </c>
    </row>
    <row r="238" spans="1:20" x14ac:dyDescent="0.2">
      <c r="A238" s="5" t="s">
        <v>67</v>
      </c>
      <c r="B238" s="9" t="s">
        <v>17</v>
      </c>
      <c r="C238" s="5" t="s">
        <v>702</v>
      </c>
      <c r="D238" s="7">
        <f t="shared" si="0"/>
        <v>-0.1</v>
      </c>
      <c r="E238" s="5">
        <v>0</v>
      </c>
      <c r="F238" s="5">
        <v>0</v>
      </c>
      <c r="G238" s="5">
        <v>0</v>
      </c>
      <c r="H238" s="5">
        <v>0</v>
      </c>
      <c r="I238" s="5">
        <v>0</v>
      </c>
      <c r="J238" s="9">
        <v>0</v>
      </c>
      <c r="K238" s="5">
        <v>1</v>
      </c>
      <c r="L238" s="5">
        <v>-1</v>
      </c>
      <c r="M238" s="5">
        <v>0</v>
      </c>
      <c r="N238" s="9">
        <v>0</v>
      </c>
      <c r="O238" s="5">
        <v>0</v>
      </c>
      <c r="P238" s="5">
        <v>0</v>
      </c>
      <c r="Q238" s="5">
        <v>0</v>
      </c>
      <c r="R238" s="9">
        <v>0</v>
      </c>
      <c r="S238" s="5">
        <v>0</v>
      </c>
      <c r="T238" s="5">
        <v>0</v>
      </c>
    </row>
    <row r="239" spans="1:20" x14ac:dyDescent="0.2">
      <c r="A239" s="5"/>
      <c r="B239" s="24"/>
      <c r="C239" s="9"/>
      <c r="D239" s="7"/>
      <c r="E239" s="8"/>
      <c r="F239" s="5"/>
      <c r="G239" s="5"/>
      <c r="H239" s="5"/>
      <c r="I239" s="5"/>
      <c r="J239" s="9"/>
      <c r="K239" s="8"/>
      <c r="L239" s="5"/>
      <c r="M239" s="5"/>
      <c r="N239" s="9"/>
      <c r="O239" s="8"/>
      <c r="P239" s="5"/>
      <c r="Q239" s="5"/>
      <c r="R239" s="9"/>
      <c r="S239" s="8"/>
      <c r="T239" s="9"/>
    </row>
    <row r="240" spans="1:20" x14ac:dyDescent="0.2">
      <c r="A240" s="5"/>
      <c r="B240" s="24"/>
      <c r="C240" s="24"/>
      <c r="D240" s="7"/>
      <c r="E240" s="8"/>
      <c r="F240" s="5"/>
      <c r="G240" s="5"/>
      <c r="H240" s="5"/>
      <c r="I240" s="5"/>
      <c r="J240" s="9"/>
      <c r="K240" s="8"/>
      <c r="L240" s="5"/>
      <c r="M240" s="5"/>
      <c r="N240" s="9"/>
      <c r="O240" s="8"/>
      <c r="P240" s="5"/>
      <c r="Q240" s="5"/>
      <c r="R240" s="9"/>
      <c r="S240" s="8"/>
      <c r="T240" s="9"/>
    </row>
    <row r="241" spans="1:20" x14ac:dyDescent="0.2">
      <c r="A241" s="5"/>
      <c r="B241" s="24"/>
      <c r="C241" s="24"/>
      <c r="D241" s="7"/>
      <c r="E241" s="8"/>
      <c r="F241" s="5"/>
      <c r="G241" s="5"/>
      <c r="H241" s="5"/>
      <c r="I241" s="5"/>
      <c r="J241" s="9"/>
      <c r="K241" s="8"/>
      <c r="L241" s="5"/>
      <c r="M241" s="5"/>
      <c r="N241" s="9"/>
      <c r="O241" s="8"/>
      <c r="P241" s="5"/>
      <c r="Q241" s="5"/>
      <c r="R241" s="9"/>
      <c r="S241" s="8"/>
      <c r="T241" s="9"/>
    </row>
    <row r="242" spans="1:20" x14ac:dyDescent="0.2">
      <c r="A242" s="5"/>
      <c r="B242" s="24"/>
      <c r="C242" s="9"/>
      <c r="D242" s="7"/>
      <c r="E242" s="8"/>
      <c r="F242" s="5"/>
      <c r="G242" s="5"/>
      <c r="H242" s="5"/>
      <c r="I242" s="5"/>
      <c r="J242" s="9"/>
      <c r="K242" s="8"/>
      <c r="L242" s="5"/>
      <c r="M242" s="5"/>
      <c r="N242" s="9"/>
      <c r="O242" s="8"/>
      <c r="P242" s="5"/>
      <c r="Q242" s="5"/>
      <c r="R242" s="9"/>
      <c r="S242" s="8"/>
      <c r="T242" s="9"/>
    </row>
    <row r="243" spans="1:20" x14ac:dyDescent="0.2">
      <c r="A243" s="5"/>
      <c r="B243" s="24"/>
      <c r="C243" s="24"/>
      <c r="D243" s="7"/>
      <c r="E243" s="8"/>
      <c r="F243" s="5"/>
      <c r="G243" s="5"/>
      <c r="H243" s="5"/>
      <c r="I243" s="5"/>
      <c r="J243" s="9"/>
      <c r="K243" s="8"/>
      <c r="L243" s="5"/>
      <c r="M243" s="5"/>
      <c r="N243" s="9"/>
      <c r="O243" s="8"/>
      <c r="P243" s="5"/>
      <c r="Q243" s="5"/>
      <c r="R243" s="9"/>
      <c r="S243" s="8"/>
      <c r="T243" s="9"/>
    </row>
    <row r="244" spans="1:20" x14ac:dyDescent="0.2">
      <c r="A244" s="5"/>
      <c r="B244" s="24"/>
      <c r="C244" s="24"/>
      <c r="D244" s="7"/>
      <c r="E244" s="8"/>
      <c r="F244" s="5"/>
      <c r="G244" s="5"/>
      <c r="H244" s="5"/>
      <c r="I244" s="5"/>
      <c r="J244" s="9"/>
      <c r="K244" s="8"/>
      <c r="L244" s="5"/>
      <c r="M244" s="5"/>
      <c r="N244" s="9"/>
      <c r="O244" s="8"/>
      <c r="P244" s="5"/>
      <c r="Q244" s="5"/>
      <c r="R244" s="9"/>
      <c r="S244" s="8"/>
      <c r="T244" s="9"/>
    </row>
    <row r="245" spans="1:20" x14ac:dyDescent="0.2">
      <c r="A245" s="5"/>
      <c r="B245" s="24"/>
      <c r="C245" s="24"/>
      <c r="D245" s="7"/>
      <c r="E245" s="8"/>
      <c r="F245" s="5"/>
      <c r="G245" s="5"/>
      <c r="H245" s="5"/>
      <c r="I245" s="5"/>
      <c r="J245" s="9"/>
      <c r="K245" s="8"/>
      <c r="L245" s="5"/>
      <c r="M245" s="5"/>
      <c r="N245" s="9"/>
      <c r="O245" s="8"/>
      <c r="P245" s="5"/>
      <c r="Q245" s="5"/>
      <c r="R245" s="9"/>
      <c r="S245" s="8"/>
      <c r="T245" s="9"/>
    </row>
    <row r="246" spans="1:20" x14ac:dyDescent="0.2">
      <c r="A246" s="5"/>
      <c r="B246" s="24"/>
      <c r="C246" s="24"/>
      <c r="D246" s="7"/>
      <c r="E246" s="8"/>
      <c r="F246" s="5"/>
      <c r="G246" s="5"/>
      <c r="H246" s="5"/>
      <c r="I246" s="5"/>
      <c r="J246" s="9"/>
      <c r="K246" s="8"/>
      <c r="L246" s="5"/>
      <c r="M246" s="5"/>
      <c r="N246" s="9"/>
      <c r="O246" s="8"/>
      <c r="P246" s="5"/>
      <c r="Q246" s="5"/>
      <c r="R246" s="9"/>
      <c r="S246" s="8"/>
      <c r="T246" s="9"/>
    </row>
    <row r="247" spans="1:20" x14ac:dyDescent="0.2">
      <c r="A247" s="5"/>
      <c r="B247" s="24"/>
      <c r="C247" s="24"/>
      <c r="D247" s="7"/>
      <c r="E247" s="8"/>
      <c r="F247" s="5"/>
      <c r="G247" s="5"/>
      <c r="H247" s="5"/>
      <c r="I247" s="5"/>
      <c r="J247" s="9"/>
      <c r="K247" s="8"/>
      <c r="L247" s="5"/>
      <c r="M247" s="5"/>
      <c r="N247" s="9"/>
      <c r="O247" s="8"/>
      <c r="P247" s="5"/>
      <c r="Q247" s="5"/>
      <c r="R247" s="9"/>
      <c r="S247" s="8"/>
      <c r="T247" s="9"/>
    </row>
    <row r="248" spans="1:20" x14ac:dyDescent="0.2">
      <c r="A248" s="5"/>
      <c r="B248" s="24"/>
      <c r="C248" s="9"/>
      <c r="D248" s="7"/>
      <c r="E248" s="8"/>
      <c r="F248" s="5"/>
      <c r="G248" s="5"/>
      <c r="H248" s="5"/>
      <c r="I248" s="5"/>
      <c r="J248" s="9"/>
      <c r="K248" s="8"/>
      <c r="L248" s="5"/>
      <c r="M248" s="5"/>
      <c r="N248" s="9"/>
      <c r="O248" s="8"/>
      <c r="P248" s="5"/>
      <c r="Q248" s="5"/>
      <c r="R248" s="9"/>
      <c r="S248" s="8"/>
      <c r="T248" s="9"/>
    </row>
    <row r="249" spans="1:20" x14ac:dyDescent="0.2">
      <c r="A249" s="5"/>
      <c r="B249" s="24"/>
      <c r="C249" s="9"/>
      <c r="D249" s="7"/>
      <c r="E249" s="8"/>
      <c r="F249" s="5"/>
      <c r="G249" s="5"/>
      <c r="H249" s="5"/>
      <c r="I249" s="5"/>
      <c r="J249" s="9"/>
      <c r="K249" s="8"/>
      <c r="L249" s="5"/>
      <c r="M249" s="5"/>
      <c r="N249" s="9"/>
      <c r="O249" s="8"/>
      <c r="P249" s="5"/>
      <c r="Q249" s="5"/>
      <c r="R249" s="9"/>
      <c r="S249" s="8"/>
      <c r="T249" s="9"/>
    </row>
    <row r="250" spans="1:20" x14ac:dyDescent="0.2">
      <c r="A250" s="5"/>
      <c r="B250" s="24"/>
      <c r="C250" s="9"/>
      <c r="D250" s="7"/>
      <c r="E250" s="8"/>
      <c r="F250" s="5"/>
      <c r="G250" s="5"/>
      <c r="H250" s="5"/>
      <c r="I250" s="5"/>
      <c r="J250" s="9"/>
      <c r="K250" s="8"/>
      <c r="L250" s="5"/>
      <c r="M250" s="5"/>
      <c r="N250" s="9"/>
      <c r="O250" s="8"/>
      <c r="P250" s="5"/>
      <c r="Q250" s="5"/>
      <c r="R250" s="9"/>
      <c r="S250" s="8"/>
      <c r="T250" s="9"/>
    </row>
    <row r="251" spans="1:20" x14ac:dyDescent="0.2">
      <c r="A251" s="5"/>
      <c r="B251" s="24"/>
      <c r="C251" s="24"/>
      <c r="D251" s="7"/>
      <c r="E251" s="8"/>
      <c r="F251" s="5"/>
      <c r="G251" s="5"/>
      <c r="H251" s="5"/>
      <c r="I251" s="5"/>
      <c r="J251" s="9"/>
      <c r="K251" s="8"/>
      <c r="L251" s="5"/>
      <c r="M251" s="5"/>
      <c r="N251" s="9"/>
      <c r="O251" s="8"/>
      <c r="P251" s="5"/>
      <c r="Q251" s="5"/>
      <c r="R251" s="9"/>
      <c r="S251" s="8"/>
      <c r="T251" s="9"/>
    </row>
    <row r="252" spans="1:20" x14ac:dyDescent="0.2">
      <c r="A252" s="5"/>
      <c r="B252" s="24"/>
      <c r="C252" s="24"/>
      <c r="D252" s="7"/>
      <c r="E252" s="8"/>
      <c r="F252" s="5"/>
      <c r="G252" s="5"/>
      <c r="H252" s="5"/>
      <c r="I252" s="5"/>
      <c r="J252" s="9"/>
      <c r="K252" s="8"/>
      <c r="L252" s="5"/>
      <c r="M252" s="5"/>
      <c r="N252" s="9"/>
      <c r="O252" s="8"/>
      <c r="P252" s="5"/>
      <c r="Q252" s="5"/>
      <c r="R252" s="9"/>
      <c r="S252" s="8"/>
      <c r="T252" s="9"/>
    </row>
    <row r="253" spans="1:20" x14ac:dyDescent="0.2">
      <c r="A253" s="5"/>
      <c r="B253" s="24"/>
      <c r="C253" s="9"/>
      <c r="D253" s="7"/>
      <c r="E253" s="8"/>
      <c r="F253" s="5"/>
      <c r="G253" s="5"/>
      <c r="H253" s="5"/>
      <c r="I253" s="5"/>
      <c r="J253" s="9"/>
      <c r="K253" s="8"/>
      <c r="L253" s="5"/>
      <c r="M253" s="5"/>
      <c r="N253" s="9"/>
      <c r="O253" s="8"/>
      <c r="P253" s="5"/>
      <c r="Q253" s="5"/>
      <c r="R253" s="9"/>
      <c r="S253" s="8"/>
      <c r="T253" s="9"/>
    </row>
    <row r="254" spans="1:20" x14ac:dyDescent="0.2">
      <c r="A254" s="5"/>
      <c r="B254" s="24"/>
      <c r="C254" s="9"/>
      <c r="D254" s="7"/>
      <c r="E254" s="8"/>
      <c r="F254" s="5"/>
      <c r="G254" s="5"/>
      <c r="H254" s="5"/>
      <c r="I254" s="5"/>
      <c r="J254" s="9"/>
      <c r="K254" s="8"/>
      <c r="L254" s="5"/>
      <c r="M254" s="5"/>
      <c r="N254" s="9"/>
      <c r="O254" s="8"/>
      <c r="P254" s="5"/>
      <c r="Q254" s="5"/>
      <c r="R254" s="9"/>
      <c r="S254" s="8"/>
      <c r="T254" s="9"/>
    </row>
    <row r="255" spans="1:20" x14ac:dyDescent="0.2">
      <c r="A255" s="5"/>
      <c r="B255" s="24"/>
      <c r="C255" s="9"/>
      <c r="D255" s="7"/>
      <c r="E255" s="8"/>
      <c r="F255" s="5"/>
      <c r="G255" s="5"/>
      <c r="H255" s="5"/>
      <c r="I255" s="5"/>
      <c r="J255" s="9"/>
      <c r="K255" s="8"/>
      <c r="L255" s="5"/>
      <c r="M255" s="5"/>
      <c r="N255" s="9"/>
      <c r="O255" s="8"/>
      <c r="P255" s="5"/>
      <c r="Q255" s="5"/>
      <c r="R255" s="9"/>
      <c r="S255" s="8"/>
      <c r="T255" s="9"/>
    </row>
    <row r="256" spans="1:20" x14ac:dyDescent="0.2">
      <c r="A256" s="5"/>
      <c r="B256" s="24"/>
      <c r="C256" s="24"/>
      <c r="D256" s="7"/>
      <c r="E256" s="8"/>
      <c r="F256" s="5"/>
      <c r="G256" s="5"/>
      <c r="H256" s="5"/>
      <c r="I256" s="5"/>
      <c r="J256" s="9"/>
      <c r="K256" s="8"/>
      <c r="L256" s="5"/>
      <c r="M256" s="5"/>
      <c r="N256" s="9"/>
      <c r="O256" s="8"/>
      <c r="P256" s="5"/>
      <c r="Q256" s="5"/>
      <c r="R256" s="9"/>
      <c r="S256" s="8"/>
      <c r="T256" s="9"/>
    </row>
    <row r="257" spans="1:20" x14ac:dyDescent="0.2">
      <c r="A257" s="5"/>
      <c r="B257" s="24"/>
      <c r="C257" s="24"/>
      <c r="D257" s="7"/>
      <c r="E257" s="8"/>
      <c r="F257" s="5"/>
      <c r="G257" s="5"/>
      <c r="H257" s="5"/>
      <c r="I257" s="5"/>
      <c r="J257" s="9"/>
      <c r="K257" s="8"/>
      <c r="L257" s="5"/>
      <c r="M257" s="5"/>
      <c r="N257" s="9"/>
      <c r="O257" s="8"/>
      <c r="P257" s="5"/>
      <c r="Q257" s="5"/>
      <c r="R257" s="9"/>
      <c r="S257" s="8"/>
      <c r="T257" s="9"/>
    </row>
    <row r="258" spans="1:20" x14ac:dyDescent="0.2">
      <c r="A258" s="5"/>
      <c r="B258" s="24"/>
      <c r="C258" s="24"/>
      <c r="D258" s="7"/>
      <c r="E258" s="8"/>
      <c r="F258" s="5"/>
      <c r="G258" s="5"/>
      <c r="H258" s="5"/>
      <c r="I258" s="5"/>
      <c r="J258" s="9"/>
      <c r="K258" s="8"/>
      <c r="L258" s="5"/>
      <c r="M258" s="5"/>
      <c r="N258" s="9"/>
      <c r="O258" s="8"/>
      <c r="P258" s="5"/>
      <c r="Q258" s="5"/>
      <c r="R258" s="9"/>
      <c r="S258" s="8"/>
      <c r="T258" s="9"/>
    </row>
    <row r="259" spans="1:20" x14ac:dyDescent="0.2">
      <c r="A259" s="5"/>
      <c r="B259" s="24"/>
      <c r="C259" s="24"/>
      <c r="D259" s="7"/>
      <c r="E259" s="8"/>
      <c r="F259" s="5"/>
      <c r="G259" s="5"/>
      <c r="H259" s="5"/>
      <c r="I259" s="5"/>
      <c r="J259" s="9"/>
      <c r="K259" s="8"/>
      <c r="L259" s="5"/>
      <c r="M259" s="5"/>
      <c r="N259" s="9"/>
      <c r="O259" s="8"/>
      <c r="P259" s="5"/>
      <c r="Q259" s="5"/>
      <c r="R259" s="9"/>
      <c r="S259" s="8"/>
      <c r="T259" s="9"/>
    </row>
    <row r="260" spans="1:20" x14ac:dyDescent="0.2">
      <c r="A260" s="5"/>
      <c r="B260" s="24"/>
      <c r="C260" s="24"/>
      <c r="D260" s="7"/>
      <c r="E260" s="8"/>
      <c r="F260" s="5"/>
      <c r="G260" s="5"/>
      <c r="H260" s="5"/>
      <c r="I260" s="5"/>
      <c r="J260" s="9"/>
      <c r="K260" s="8"/>
      <c r="L260" s="5"/>
      <c r="M260" s="5"/>
      <c r="N260" s="9"/>
      <c r="O260" s="8"/>
      <c r="P260" s="5"/>
      <c r="Q260" s="5"/>
      <c r="R260" s="9"/>
      <c r="S260" s="8"/>
      <c r="T260" s="9"/>
    </row>
    <row r="261" spans="1:20" x14ac:dyDescent="0.2">
      <c r="A261" s="5"/>
      <c r="B261" s="24"/>
      <c r="C261" s="24"/>
      <c r="D261" s="7"/>
      <c r="E261" s="8"/>
      <c r="F261" s="5"/>
      <c r="G261" s="5"/>
      <c r="H261" s="5"/>
      <c r="I261" s="5"/>
      <c r="J261" s="9"/>
      <c r="K261" s="8"/>
      <c r="L261" s="5"/>
      <c r="M261" s="5"/>
      <c r="N261" s="9"/>
      <c r="O261" s="8"/>
      <c r="P261" s="5"/>
      <c r="Q261" s="5"/>
      <c r="R261" s="9"/>
      <c r="S261" s="8"/>
      <c r="T261" s="9"/>
    </row>
    <row r="262" spans="1:20" x14ac:dyDescent="0.2">
      <c r="A262" s="5"/>
      <c r="B262" s="24"/>
      <c r="C262" s="24"/>
      <c r="D262" s="7"/>
      <c r="E262" s="8"/>
      <c r="F262" s="5"/>
      <c r="G262" s="5"/>
      <c r="H262" s="5"/>
      <c r="I262" s="5"/>
      <c r="J262" s="9"/>
      <c r="K262" s="8"/>
      <c r="L262" s="5"/>
      <c r="M262" s="5"/>
      <c r="N262" s="9"/>
      <c r="O262" s="8"/>
      <c r="P262" s="5"/>
      <c r="Q262" s="5"/>
      <c r="R262" s="9"/>
      <c r="S262" s="8"/>
      <c r="T262" s="9"/>
    </row>
    <row r="263" spans="1:20" x14ac:dyDescent="0.2">
      <c r="A263" s="5"/>
      <c r="B263" s="24"/>
      <c r="C263" s="9"/>
      <c r="D263" s="7"/>
      <c r="E263" s="8"/>
      <c r="F263" s="5"/>
      <c r="G263" s="5"/>
      <c r="H263" s="5"/>
      <c r="I263" s="5"/>
      <c r="J263" s="9"/>
      <c r="K263" s="8"/>
      <c r="L263" s="5"/>
      <c r="M263" s="5"/>
      <c r="N263" s="9"/>
      <c r="O263" s="8"/>
      <c r="P263" s="5"/>
      <c r="Q263" s="5"/>
      <c r="R263" s="9"/>
      <c r="S263" s="8"/>
      <c r="T263" s="9"/>
    </row>
    <row r="264" spans="1:20" x14ac:dyDescent="0.2">
      <c r="A264" s="5"/>
      <c r="B264" s="24"/>
      <c r="C264" s="24"/>
      <c r="D264" s="7"/>
      <c r="E264" s="8"/>
      <c r="F264" s="5"/>
      <c r="G264" s="5"/>
      <c r="H264" s="5"/>
      <c r="I264" s="5"/>
      <c r="J264" s="9"/>
      <c r="K264" s="8"/>
      <c r="L264" s="5"/>
      <c r="M264" s="5"/>
      <c r="N264" s="9"/>
      <c r="O264" s="8"/>
      <c r="P264" s="5"/>
      <c r="Q264" s="5"/>
      <c r="R264" s="9"/>
      <c r="S264" s="8"/>
      <c r="T264" s="9"/>
    </row>
    <row r="265" spans="1:20" x14ac:dyDescent="0.2">
      <c r="A265" s="5"/>
      <c r="B265" s="24"/>
      <c r="C265" s="9"/>
      <c r="D265" s="7"/>
      <c r="E265" s="8"/>
      <c r="F265" s="5"/>
      <c r="G265" s="5"/>
      <c r="H265" s="5"/>
      <c r="I265" s="5"/>
      <c r="J265" s="9"/>
      <c r="K265" s="8"/>
      <c r="L265" s="5"/>
      <c r="M265" s="5"/>
      <c r="N265" s="9"/>
      <c r="O265" s="8"/>
      <c r="P265" s="5"/>
      <c r="Q265" s="5"/>
      <c r="R265" s="9"/>
      <c r="S265" s="8"/>
      <c r="T265" s="9"/>
    </row>
    <row r="266" spans="1:20" x14ac:dyDescent="0.2">
      <c r="A266" s="5"/>
      <c r="B266" s="24"/>
      <c r="C266" s="9"/>
      <c r="D266" s="7"/>
      <c r="E266" s="8"/>
      <c r="F266" s="5"/>
      <c r="G266" s="5"/>
      <c r="H266" s="5"/>
      <c r="I266" s="5"/>
      <c r="J266" s="9"/>
      <c r="K266" s="8"/>
      <c r="L266" s="5"/>
      <c r="M266" s="5"/>
      <c r="N266" s="9"/>
      <c r="O266" s="8"/>
      <c r="P266" s="5"/>
      <c r="Q266" s="5"/>
      <c r="R266" s="9"/>
      <c r="S266" s="8"/>
      <c r="T266" s="9"/>
    </row>
    <row r="267" spans="1:20" x14ac:dyDescent="0.2">
      <c r="A267" s="5"/>
      <c r="B267" s="24"/>
      <c r="C267" s="9"/>
      <c r="D267" s="7"/>
      <c r="E267" s="8"/>
      <c r="F267" s="5"/>
      <c r="G267" s="5"/>
      <c r="H267" s="5"/>
      <c r="I267" s="5"/>
      <c r="J267" s="9"/>
      <c r="K267" s="8"/>
      <c r="L267" s="5"/>
      <c r="M267" s="5"/>
      <c r="N267" s="9"/>
      <c r="O267" s="8"/>
      <c r="P267" s="5"/>
      <c r="Q267" s="5"/>
      <c r="R267" s="9"/>
      <c r="S267" s="8"/>
      <c r="T267" s="9"/>
    </row>
    <row r="268" spans="1:20" x14ac:dyDescent="0.2">
      <c r="A268" s="5"/>
      <c r="B268" s="24"/>
      <c r="C268" s="24"/>
      <c r="D268" s="7"/>
      <c r="E268" s="8"/>
      <c r="F268" s="5"/>
      <c r="G268" s="5"/>
      <c r="H268" s="5"/>
      <c r="I268" s="5"/>
      <c r="J268" s="9"/>
      <c r="K268" s="8"/>
      <c r="L268" s="5"/>
      <c r="M268" s="5"/>
      <c r="N268" s="9"/>
      <c r="O268" s="8"/>
      <c r="P268" s="5"/>
      <c r="Q268" s="5"/>
      <c r="R268" s="9"/>
      <c r="S268" s="8"/>
      <c r="T268" s="9"/>
    </row>
    <row r="269" spans="1:20" x14ac:dyDescent="0.2">
      <c r="A269" s="5"/>
      <c r="B269" s="24"/>
      <c r="C269" s="24"/>
      <c r="D269" s="7"/>
      <c r="E269" s="8"/>
      <c r="F269" s="5"/>
      <c r="G269" s="5"/>
      <c r="H269" s="5"/>
      <c r="I269" s="5"/>
      <c r="J269" s="9"/>
      <c r="K269" s="8"/>
      <c r="L269" s="5"/>
      <c r="M269" s="5"/>
      <c r="N269" s="9"/>
      <c r="O269" s="8"/>
      <c r="P269" s="5"/>
      <c r="Q269" s="5"/>
      <c r="R269" s="9"/>
      <c r="S269" s="8"/>
      <c r="T269" s="9"/>
    </row>
    <row r="270" spans="1:20" x14ac:dyDescent="0.2">
      <c r="A270" s="5"/>
      <c r="B270" s="24"/>
      <c r="C270" s="9"/>
      <c r="D270" s="7"/>
      <c r="E270" s="8"/>
      <c r="F270" s="5"/>
      <c r="G270" s="5"/>
      <c r="H270" s="5"/>
      <c r="I270" s="5"/>
      <c r="J270" s="9"/>
      <c r="K270" s="8"/>
      <c r="L270" s="5"/>
      <c r="M270" s="5"/>
      <c r="N270" s="9"/>
      <c r="O270" s="8"/>
      <c r="P270" s="5"/>
      <c r="Q270" s="5"/>
      <c r="R270" s="9"/>
      <c r="S270" s="8"/>
      <c r="T270" s="9"/>
    </row>
    <row r="271" spans="1:20" x14ac:dyDescent="0.2">
      <c r="A271" s="5"/>
      <c r="B271" s="24"/>
      <c r="C271" s="9"/>
      <c r="D271" s="7"/>
      <c r="E271" s="8"/>
      <c r="F271" s="5"/>
      <c r="G271" s="5"/>
      <c r="H271" s="5"/>
      <c r="I271" s="5"/>
      <c r="J271" s="9"/>
      <c r="K271" s="8"/>
      <c r="L271" s="5"/>
      <c r="M271" s="5"/>
      <c r="N271" s="9"/>
      <c r="O271" s="8"/>
      <c r="P271" s="5"/>
      <c r="Q271" s="5"/>
      <c r="R271" s="9"/>
      <c r="S271" s="8"/>
      <c r="T271" s="9"/>
    </row>
    <row r="272" spans="1:20" x14ac:dyDescent="0.2">
      <c r="A272" s="5"/>
      <c r="B272" s="24"/>
      <c r="C272" s="9"/>
      <c r="D272" s="7"/>
      <c r="E272" s="8"/>
      <c r="F272" s="5"/>
      <c r="G272" s="5"/>
      <c r="H272" s="5"/>
      <c r="I272" s="5"/>
      <c r="J272" s="9"/>
      <c r="K272" s="8"/>
      <c r="L272" s="5"/>
      <c r="M272" s="5"/>
      <c r="N272" s="9"/>
      <c r="O272" s="8"/>
      <c r="P272" s="5"/>
      <c r="Q272" s="5"/>
      <c r="R272" s="9"/>
      <c r="S272" s="8"/>
      <c r="T272" s="9"/>
    </row>
    <row r="273" spans="1:20" x14ac:dyDescent="0.2">
      <c r="A273" s="5"/>
      <c r="B273" s="24"/>
      <c r="C273" s="9"/>
      <c r="D273" s="7"/>
      <c r="E273" s="8"/>
      <c r="F273" s="5"/>
      <c r="G273" s="5"/>
      <c r="H273" s="5"/>
      <c r="I273" s="5"/>
      <c r="J273" s="9"/>
      <c r="K273" s="8"/>
      <c r="L273" s="5"/>
      <c r="M273" s="5"/>
      <c r="N273" s="9"/>
      <c r="O273" s="8"/>
      <c r="P273" s="5"/>
      <c r="Q273" s="5"/>
      <c r="R273" s="9"/>
      <c r="S273" s="8"/>
      <c r="T273" s="9"/>
    </row>
    <row r="274" spans="1:20" x14ac:dyDescent="0.2">
      <c r="A274" s="5"/>
      <c r="B274" s="24"/>
      <c r="C274" s="9"/>
      <c r="D274" s="7"/>
      <c r="E274" s="8"/>
      <c r="F274" s="5"/>
      <c r="G274" s="5"/>
      <c r="H274" s="5"/>
      <c r="I274" s="5"/>
      <c r="J274" s="9"/>
      <c r="K274" s="8"/>
      <c r="L274" s="5"/>
      <c r="M274" s="5"/>
      <c r="N274" s="9"/>
      <c r="O274" s="8"/>
      <c r="P274" s="5"/>
      <c r="Q274" s="5"/>
      <c r="R274" s="9"/>
      <c r="S274" s="8"/>
      <c r="T274" s="9"/>
    </row>
    <row r="275" spans="1:20" x14ac:dyDescent="0.2">
      <c r="A275" s="5"/>
      <c r="B275" s="24"/>
      <c r="C275" s="9"/>
      <c r="D275" s="7"/>
      <c r="E275" s="8"/>
      <c r="F275" s="5"/>
      <c r="G275" s="5"/>
      <c r="H275" s="5"/>
      <c r="I275" s="5"/>
      <c r="J275" s="9"/>
      <c r="K275" s="8"/>
      <c r="L275" s="5"/>
      <c r="M275" s="5"/>
      <c r="N275" s="9"/>
      <c r="O275" s="8"/>
      <c r="P275" s="5"/>
      <c r="Q275" s="5"/>
      <c r="R275" s="9"/>
      <c r="S275" s="8"/>
      <c r="T275" s="9"/>
    </row>
    <row r="276" spans="1:20" x14ac:dyDescent="0.2">
      <c r="A276" s="5"/>
      <c r="B276" s="24"/>
      <c r="C276" s="24"/>
      <c r="D276" s="7"/>
      <c r="E276" s="8"/>
      <c r="F276" s="5"/>
      <c r="G276" s="5"/>
      <c r="H276" s="5"/>
      <c r="I276" s="5"/>
      <c r="J276" s="9"/>
      <c r="K276" s="8"/>
      <c r="L276" s="5"/>
      <c r="M276" s="5"/>
      <c r="N276" s="9"/>
      <c r="O276" s="8"/>
      <c r="P276" s="5"/>
      <c r="Q276" s="5"/>
      <c r="R276" s="9"/>
      <c r="S276" s="8"/>
      <c r="T276" s="9"/>
    </row>
    <row r="277" spans="1:20" x14ac:dyDescent="0.2">
      <c r="A277" s="5"/>
      <c r="B277" s="24"/>
      <c r="C277" s="24"/>
      <c r="D277" s="7"/>
      <c r="E277" s="8"/>
      <c r="F277" s="5"/>
      <c r="G277" s="5"/>
      <c r="H277" s="5"/>
      <c r="I277" s="5"/>
      <c r="J277" s="9"/>
      <c r="K277" s="8"/>
      <c r="L277" s="5"/>
      <c r="M277" s="5"/>
      <c r="N277" s="9"/>
      <c r="O277" s="8"/>
      <c r="P277" s="5"/>
      <c r="Q277" s="5"/>
      <c r="R277" s="9"/>
      <c r="S277" s="8"/>
      <c r="T277" s="9"/>
    </row>
    <row r="278" spans="1:20" x14ac:dyDescent="0.2">
      <c r="A278" s="5"/>
      <c r="B278" s="24"/>
      <c r="C278" s="24"/>
      <c r="D278" s="7"/>
      <c r="E278" s="8"/>
      <c r="F278" s="5"/>
      <c r="G278" s="5"/>
      <c r="H278" s="5"/>
      <c r="I278" s="5"/>
      <c r="J278" s="9"/>
      <c r="K278" s="8"/>
      <c r="L278" s="5"/>
      <c r="M278" s="5"/>
      <c r="N278" s="9"/>
      <c r="O278" s="8"/>
      <c r="P278" s="5"/>
      <c r="Q278" s="5"/>
      <c r="R278" s="9"/>
      <c r="S278" s="8"/>
      <c r="T278" s="9"/>
    </row>
    <row r="279" spans="1:20" x14ac:dyDescent="0.2">
      <c r="A279" s="5"/>
      <c r="B279" s="24"/>
      <c r="C279" s="9"/>
      <c r="D279" s="7"/>
      <c r="E279" s="8"/>
      <c r="F279" s="5"/>
      <c r="G279" s="5"/>
      <c r="H279" s="5"/>
      <c r="I279" s="5"/>
      <c r="J279" s="9"/>
      <c r="K279" s="8"/>
      <c r="L279" s="5"/>
      <c r="M279" s="5"/>
      <c r="N279" s="9"/>
      <c r="O279" s="8"/>
      <c r="P279" s="5"/>
      <c r="Q279" s="5"/>
      <c r="R279" s="9"/>
      <c r="S279" s="8"/>
      <c r="T279" s="9"/>
    </row>
    <row r="280" spans="1:20" x14ac:dyDescent="0.2">
      <c r="A280" s="5"/>
      <c r="B280" s="24"/>
      <c r="C280" s="9"/>
      <c r="D280" s="7"/>
      <c r="E280" s="8"/>
      <c r="F280" s="5"/>
      <c r="G280" s="5"/>
      <c r="H280" s="5"/>
      <c r="I280" s="5"/>
      <c r="J280" s="9"/>
      <c r="K280" s="8"/>
      <c r="L280" s="5"/>
      <c r="M280" s="5"/>
      <c r="N280" s="9"/>
      <c r="O280" s="8"/>
      <c r="P280" s="5"/>
      <c r="Q280" s="5"/>
      <c r="R280" s="9"/>
      <c r="S280" s="8"/>
      <c r="T280" s="9"/>
    </row>
    <row r="281" spans="1:20" x14ac:dyDescent="0.2">
      <c r="A281" s="5"/>
      <c r="B281" s="24"/>
      <c r="C281" s="24"/>
      <c r="D281" s="7"/>
      <c r="E281" s="8"/>
      <c r="F281" s="5"/>
      <c r="G281" s="5"/>
      <c r="H281" s="5"/>
      <c r="I281" s="5"/>
      <c r="J281" s="9"/>
      <c r="K281" s="8"/>
      <c r="L281" s="5"/>
      <c r="M281" s="5"/>
      <c r="N281" s="9"/>
      <c r="O281" s="8"/>
      <c r="P281" s="5"/>
      <c r="Q281" s="5"/>
      <c r="R281" s="9"/>
      <c r="S281" s="8"/>
      <c r="T281" s="9"/>
    </row>
    <row r="282" spans="1:20" x14ac:dyDescent="0.2">
      <c r="A282" s="5"/>
      <c r="B282" s="24"/>
      <c r="C282" s="9"/>
      <c r="D282" s="7"/>
      <c r="E282" s="8"/>
      <c r="F282" s="5"/>
      <c r="G282" s="5"/>
      <c r="H282" s="5"/>
      <c r="I282" s="5"/>
      <c r="J282" s="9"/>
      <c r="K282" s="8"/>
      <c r="L282" s="5"/>
      <c r="M282" s="5"/>
      <c r="N282" s="9"/>
      <c r="O282" s="8"/>
      <c r="P282" s="5"/>
      <c r="Q282" s="5"/>
      <c r="R282" s="9"/>
      <c r="S282" s="8"/>
      <c r="T282" s="9"/>
    </row>
    <row r="283" spans="1:20" x14ac:dyDescent="0.2">
      <c r="A283" s="5"/>
      <c r="B283" s="24"/>
      <c r="C283" s="9"/>
      <c r="D283" s="7"/>
      <c r="E283" s="8"/>
      <c r="F283" s="5"/>
      <c r="G283" s="5"/>
      <c r="H283" s="5"/>
      <c r="I283" s="5"/>
      <c r="J283" s="9"/>
      <c r="K283" s="8"/>
      <c r="L283" s="5"/>
      <c r="M283" s="5"/>
      <c r="N283" s="9"/>
      <c r="O283" s="8"/>
      <c r="P283" s="5"/>
      <c r="Q283" s="5"/>
      <c r="R283" s="9"/>
      <c r="S283" s="8"/>
      <c r="T283" s="9"/>
    </row>
    <row r="284" spans="1:20" x14ac:dyDescent="0.2">
      <c r="A284" s="5"/>
      <c r="B284" s="24"/>
      <c r="C284" s="24"/>
      <c r="D284" s="7"/>
      <c r="E284" s="8"/>
      <c r="F284" s="5"/>
      <c r="G284" s="5"/>
      <c r="H284" s="5"/>
      <c r="I284" s="5"/>
      <c r="J284" s="9"/>
      <c r="K284" s="8"/>
      <c r="L284" s="5"/>
      <c r="M284" s="5"/>
      <c r="N284" s="9"/>
      <c r="O284" s="8"/>
      <c r="P284" s="5"/>
      <c r="Q284" s="5"/>
      <c r="R284" s="9"/>
      <c r="S284" s="8"/>
      <c r="T284" s="9"/>
    </row>
    <row r="285" spans="1:20" x14ac:dyDescent="0.2">
      <c r="A285" s="5"/>
      <c r="B285" s="24"/>
      <c r="C285" s="9"/>
      <c r="D285" s="7"/>
      <c r="E285" s="8"/>
      <c r="F285" s="5"/>
      <c r="G285" s="5"/>
      <c r="H285" s="5"/>
      <c r="I285" s="5"/>
      <c r="J285" s="9"/>
      <c r="K285" s="8"/>
      <c r="L285" s="5"/>
      <c r="M285" s="5"/>
      <c r="N285" s="9"/>
      <c r="O285" s="8"/>
      <c r="P285" s="5"/>
      <c r="Q285" s="5"/>
      <c r="R285" s="9"/>
      <c r="S285" s="8"/>
      <c r="T285" s="9"/>
    </row>
    <row r="286" spans="1:20" x14ac:dyDescent="0.2">
      <c r="A286" s="5"/>
      <c r="B286" s="24"/>
      <c r="C286" s="24"/>
      <c r="D286" s="7"/>
      <c r="E286" s="8"/>
      <c r="F286" s="5"/>
      <c r="G286" s="5"/>
      <c r="H286" s="5"/>
      <c r="I286" s="5"/>
      <c r="J286" s="9"/>
      <c r="K286" s="8"/>
      <c r="L286" s="5"/>
      <c r="M286" s="5"/>
      <c r="N286" s="9"/>
      <c r="O286" s="8"/>
      <c r="P286" s="5"/>
      <c r="Q286" s="5"/>
      <c r="R286" s="9"/>
      <c r="S286" s="8"/>
      <c r="T286" s="9"/>
    </row>
    <row r="287" spans="1:20" x14ac:dyDescent="0.2">
      <c r="A287" s="5"/>
      <c r="B287" s="24"/>
      <c r="C287" s="24"/>
      <c r="D287" s="7"/>
      <c r="E287" s="8"/>
      <c r="F287" s="5"/>
      <c r="G287" s="5"/>
      <c r="H287" s="5"/>
      <c r="I287" s="5"/>
      <c r="J287" s="9"/>
      <c r="K287" s="8"/>
      <c r="L287" s="5"/>
      <c r="M287" s="5"/>
      <c r="N287" s="9"/>
      <c r="O287" s="8"/>
      <c r="P287" s="5"/>
      <c r="Q287" s="5"/>
      <c r="R287" s="9"/>
      <c r="S287" s="8"/>
      <c r="T287" s="9"/>
    </row>
    <row r="288" spans="1:20" x14ac:dyDescent="0.2">
      <c r="A288" s="5"/>
      <c r="B288" s="24"/>
      <c r="C288" s="24"/>
      <c r="D288" s="7"/>
      <c r="E288" s="8"/>
      <c r="F288" s="5"/>
      <c r="G288" s="5"/>
      <c r="H288" s="5"/>
      <c r="I288" s="5"/>
      <c r="J288" s="9"/>
      <c r="K288" s="8"/>
      <c r="L288" s="5"/>
      <c r="M288" s="5"/>
      <c r="N288" s="9"/>
      <c r="O288" s="8"/>
      <c r="P288" s="5"/>
      <c r="Q288" s="5"/>
      <c r="R288" s="9"/>
      <c r="S288" s="8"/>
      <c r="T288" s="9"/>
    </row>
    <row r="289" spans="1:20" x14ac:dyDescent="0.2">
      <c r="A289" s="5"/>
      <c r="B289" s="24"/>
      <c r="C289" s="9"/>
      <c r="D289" s="7"/>
      <c r="E289" s="8"/>
      <c r="F289" s="5"/>
      <c r="G289" s="5"/>
      <c r="H289" s="5"/>
      <c r="I289" s="5"/>
      <c r="J289" s="9"/>
      <c r="K289" s="8"/>
      <c r="L289" s="5"/>
      <c r="M289" s="5"/>
      <c r="N289" s="9"/>
      <c r="O289" s="8"/>
      <c r="P289" s="5"/>
      <c r="Q289" s="5"/>
      <c r="R289" s="9"/>
      <c r="S289" s="8"/>
      <c r="T289" s="9"/>
    </row>
    <row r="290" spans="1:20" x14ac:dyDescent="0.2">
      <c r="A290" s="5"/>
      <c r="B290" s="24"/>
      <c r="C290" s="24"/>
      <c r="D290" s="7"/>
      <c r="E290" s="8"/>
      <c r="F290" s="5"/>
      <c r="G290" s="5"/>
      <c r="H290" s="5"/>
      <c r="I290" s="5"/>
      <c r="J290" s="9"/>
      <c r="K290" s="8"/>
      <c r="L290" s="5"/>
      <c r="M290" s="5"/>
      <c r="N290" s="9"/>
      <c r="O290" s="8"/>
      <c r="P290" s="5"/>
      <c r="Q290" s="5"/>
      <c r="R290" s="9"/>
      <c r="S290" s="8"/>
      <c r="T290" s="9"/>
    </row>
    <row r="291" spans="1:20" x14ac:dyDescent="0.2">
      <c r="A291" s="5"/>
      <c r="B291" s="24"/>
      <c r="C291" s="9"/>
      <c r="D291" s="7"/>
      <c r="E291" s="8"/>
      <c r="F291" s="5"/>
      <c r="G291" s="5"/>
      <c r="H291" s="5"/>
      <c r="I291" s="5"/>
      <c r="J291" s="9"/>
      <c r="K291" s="8"/>
      <c r="L291" s="5"/>
      <c r="M291" s="5"/>
      <c r="N291" s="9"/>
      <c r="O291" s="8"/>
      <c r="P291" s="5"/>
      <c r="Q291" s="5"/>
      <c r="R291" s="9"/>
      <c r="S291" s="8"/>
      <c r="T291" s="9"/>
    </row>
    <row r="292" spans="1:20" x14ac:dyDescent="0.2">
      <c r="A292" s="5"/>
      <c r="B292" s="24"/>
      <c r="C292" s="9"/>
      <c r="D292" s="7"/>
      <c r="E292" s="8"/>
      <c r="F292" s="5"/>
      <c r="G292" s="5"/>
      <c r="H292" s="5"/>
      <c r="I292" s="5"/>
      <c r="J292" s="9"/>
      <c r="K292" s="8"/>
      <c r="L292" s="5"/>
      <c r="M292" s="5"/>
      <c r="N292" s="9"/>
      <c r="O292" s="8"/>
      <c r="P292" s="5"/>
      <c r="Q292" s="5"/>
      <c r="R292" s="9"/>
      <c r="S292" s="8"/>
      <c r="T292" s="9"/>
    </row>
    <row r="293" spans="1:20" x14ac:dyDescent="0.2">
      <c r="A293" s="5"/>
      <c r="B293" s="24"/>
      <c r="C293" s="9"/>
      <c r="D293" s="7"/>
      <c r="E293" s="8"/>
      <c r="F293" s="5"/>
      <c r="G293" s="5"/>
      <c r="H293" s="5"/>
      <c r="I293" s="5"/>
      <c r="J293" s="9"/>
      <c r="K293" s="8"/>
      <c r="L293" s="5"/>
      <c r="M293" s="5"/>
      <c r="N293" s="9"/>
      <c r="O293" s="8"/>
      <c r="P293" s="5"/>
      <c r="Q293" s="5"/>
      <c r="R293" s="9"/>
      <c r="S293" s="8"/>
      <c r="T293" s="9"/>
    </row>
    <row r="294" spans="1:20" x14ac:dyDescent="0.2">
      <c r="A294" s="5"/>
      <c r="B294" s="24"/>
      <c r="C294" s="9"/>
      <c r="D294" s="7"/>
      <c r="E294" s="8"/>
      <c r="F294" s="5"/>
      <c r="G294" s="5"/>
      <c r="H294" s="5"/>
      <c r="I294" s="5"/>
      <c r="J294" s="9"/>
      <c r="K294" s="8"/>
      <c r="L294" s="5"/>
      <c r="M294" s="5"/>
      <c r="N294" s="9"/>
      <c r="O294" s="8"/>
      <c r="P294" s="5"/>
      <c r="Q294" s="5"/>
      <c r="R294" s="9"/>
      <c r="S294" s="8"/>
      <c r="T294" s="9"/>
    </row>
    <row r="295" spans="1:20" x14ac:dyDescent="0.2">
      <c r="A295" s="5"/>
      <c r="B295" s="24"/>
      <c r="C295" s="9"/>
      <c r="D295" s="7"/>
      <c r="E295" s="8"/>
      <c r="F295" s="5"/>
      <c r="G295" s="5"/>
      <c r="H295" s="5"/>
      <c r="I295" s="5"/>
      <c r="J295" s="9"/>
      <c r="K295" s="8"/>
      <c r="L295" s="5"/>
      <c r="M295" s="5"/>
      <c r="N295" s="9"/>
      <c r="O295" s="8"/>
      <c r="P295" s="5"/>
      <c r="Q295" s="5"/>
      <c r="R295" s="9"/>
      <c r="S295" s="8"/>
      <c r="T295" s="9"/>
    </row>
    <row r="296" spans="1:20" x14ac:dyDescent="0.2">
      <c r="A296" s="5"/>
      <c r="B296" s="24"/>
      <c r="C296" s="24"/>
      <c r="D296" s="7"/>
      <c r="E296" s="8"/>
      <c r="F296" s="5"/>
      <c r="G296" s="5"/>
      <c r="H296" s="5"/>
      <c r="I296" s="5"/>
      <c r="J296" s="9"/>
      <c r="K296" s="8"/>
      <c r="L296" s="5"/>
      <c r="M296" s="5"/>
      <c r="N296" s="9"/>
      <c r="O296" s="8"/>
      <c r="P296" s="5"/>
      <c r="Q296" s="5"/>
      <c r="R296" s="9"/>
      <c r="S296" s="8"/>
      <c r="T296" s="9"/>
    </row>
    <row r="297" spans="1:20" x14ac:dyDescent="0.2">
      <c r="A297" s="5"/>
      <c r="B297" s="24"/>
      <c r="C297" s="24"/>
      <c r="D297" s="7"/>
      <c r="E297" s="8"/>
      <c r="F297" s="5"/>
      <c r="G297" s="5"/>
      <c r="H297" s="5"/>
      <c r="I297" s="5"/>
      <c r="J297" s="9"/>
      <c r="K297" s="8"/>
      <c r="L297" s="5"/>
      <c r="M297" s="5"/>
      <c r="N297" s="9"/>
      <c r="O297" s="8"/>
      <c r="P297" s="5"/>
      <c r="Q297" s="5"/>
      <c r="R297" s="9"/>
      <c r="S297" s="8"/>
      <c r="T297" s="9"/>
    </row>
    <row r="298" spans="1:20" x14ac:dyDescent="0.2">
      <c r="A298" s="5"/>
      <c r="B298" s="24"/>
      <c r="C298" s="9"/>
      <c r="D298" s="7"/>
      <c r="E298" s="8"/>
      <c r="F298" s="5"/>
      <c r="G298" s="5"/>
      <c r="H298" s="5"/>
      <c r="I298" s="5"/>
      <c r="J298" s="9"/>
      <c r="K298" s="8"/>
      <c r="L298" s="5"/>
      <c r="M298" s="5"/>
      <c r="N298" s="9"/>
      <c r="O298" s="8"/>
      <c r="P298" s="5"/>
      <c r="Q298" s="5"/>
      <c r="R298" s="9"/>
      <c r="S298" s="8"/>
      <c r="T298" s="9"/>
    </row>
    <row r="299" spans="1:20" x14ac:dyDescent="0.2">
      <c r="A299" s="5"/>
      <c r="B299" s="24"/>
      <c r="C299" s="24"/>
      <c r="D299" s="7"/>
      <c r="E299" s="8"/>
      <c r="F299" s="5"/>
      <c r="G299" s="5"/>
      <c r="H299" s="5"/>
      <c r="I299" s="5"/>
      <c r="J299" s="9"/>
      <c r="K299" s="8"/>
      <c r="L299" s="5"/>
      <c r="M299" s="5"/>
      <c r="N299" s="9"/>
      <c r="O299" s="8"/>
      <c r="P299" s="5"/>
      <c r="Q299" s="5"/>
      <c r="R299" s="9"/>
      <c r="S299" s="8"/>
      <c r="T299" s="9"/>
    </row>
    <row r="300" spans="1:20" x14ac:dyDescent="0.2">
      <c r="A300" s="5"/>
      <c r="B300" s="24"/>
      <c r="C300" s="9"/>
      <c r="D300" s="7"/>
      <c r="E300" s="8"/>
      <c r="F300" s="5"/>
      <c r="G300" s="5"/>
      <c r="H300" s="5"/>
      <c r="I300" s="5"/>
      <c r="J300" s="9"/>
      <c r="K300" s="8"/>
      <c r="L300" s="5"/>
      <c r="M300" s="5"/>
      <c r="N300" s="9"/>
      <c r="O300" s="8"/>
      <c r="P300" s="5"/>
      <c r="Q300" s="5"/>
      <c r="R300" s="9"/>
      <c r="S300" s="8"/>
      <c r="T300" s="9"/>
    </row>
    <row r="301" spans="1:20" x14ac:dyDescent="0.2">
      <c r="A301" s="5"/>
      <c r="B301" s="9"/>
      <c r="C301" s="9"/>
      <c r="D301" s="9"/>
      <c r="E301" s="8"/>
      <c r="F301" s="5"/>
      <c r="G301" s="5"/>
      <c r="H301" s="5"/>
      <c r="I301" s="5"/>
      <c r="J301" s="9"/>
      <c r="K301" s="8"/>
      <c r="L301" s="5"/>
      <c r="M301" s="5"/>
      <c r="N301" s="9"/>
      <c r="O301" s="8"/>
      <c r="P301" s="5"/>
      <c r="Q301" s="5"/>
      <c r="R301" s="9"/>
      <c r="S301" s="8"/>
      <c r="T301" s="9"/>
    </row>
    <row r="302" spans="1:20" x14ac:dyDescent="0.2">
      <c r="A302" s="5"/>
      <c r="B302" s="9"/>
      <c r="C302" s="9"/>
      <c r="D302" s="9"/>
      <c r="E302" s="8"/>
      <c r="F302" s="5"/>
      <c r="G302" s="5"/>
      <c r="H302" s="5"/>
      <c r="I302" s="5"/>
      <c r="J302" s="9"/>
      <c r="K302" s="8"/>
      <c r="L302" s="5"/>
      <c r="M302" s="5"/>
      <c r="N302" s="9"/>
      <c r="O302" s="8"/>
      <c r="P302" s="5"/>
      <c r="Q302" s="5"/>
      <c r="R302" s="9"/>
      <c r="S302" s="8"/>
      <c r="T302" s="9"/>
    </row>
    <row r="303" spans="1:20" x14ac:dyDescent="0.2">
      <c r="A303" s="5"/>
      <c r="B303" s="9"/>
      <c r="C303" s="9"/>
      <c r="D303" s="9"/>
      <c r="E303" s="8"/>
      <c r="F303" s="5"/>
      <c r="G303" s="5"/>
      <c r="H303" s="5"/>
      <c r="I303" s="5"/>
      <c r="J303" s="9"/>
      <c r="K303" s="8"/>
      <c r="L303" s="5"/>
      <c r="M303" s="5"/>
      <c r="N303" s="9"/>
      <c r="O303" s="8"/>
      <c r="P303" s="5"/>
      <c r="Q303" s="5"/>
      <c r="R303" s="9"/>
      <c r="S303" s="8"/>
      <c r="T303" s="9"/>
    </row>
    <row r="304" spans="1:20" x14ac:dyDescent="0.2">
      <c r="A304" s="5"/>
      <c r="B304" s="9"/>
      <c r="C304" s="9"/>
      <c r="D304" s="9"/>
      <c r="E304" s="8"/>
      <c r="F304" s="5"/>
      <c r="G304" s="5"/>
      <c r="H304" s="5"/>
      <c r="I304" s="5"/>
      <c r="J304" s="9"/>
      <c r="K304" s="8"/>
      <c r="L304" s="5"/>
      <c r="M304" s="5"/>
      <c r="N304" s="9"/>
      <c r="O304" s="8"/>
      <c r="P304" s="5"/>
      <c r="Q304" s="5"/>
      <c r="R304" s="9"/>
      <c r="S304" s="8"/>
      <c r="T304" s="9"/>
    </row>
    <row r="305" spans="1:20" x14ac:dyDescent="0.2">
      <c r="A305" s="5"/>
      <c r="B305" s="9"/>
      <c r="C305" s="9"/>
      <c r="D305" s="9"/>
      <c r="E305" s="8"/>
      <c r="F305" s="5"/>
      <c r="G305" s="5"/>
      <c r="H305" s="5"/>
      <c r="I305" s="5"/>
      <c r="J305" s="9"/>
      <c r="K305" s="8"/>
      <c r="L305" s="5"/>
      <c r="M305" s="5"/>
      <c r="N305" s="9"/>
      <c r="O305" s="8"/>
      <c r="P305" s="5"/>
      <c r="Q305" s="5"/>
      <c r="R305" s="9"/>
      <c r="S305" s="8"/>
      <c r="T305" s="9"/>
    </row>
    <row r="306" spans="1:20" x14ac:dyDescent="0.2">
      <c r="A306" s="5"/>
      <c r="B306" s="9"/>
      <c r="C306" s="9"/>
      <c r="D306" s="9"/>
      <c r="E306" s="8"/>
      <c r="F306" s="5"/>
      <c r="G306" s="5"/>
      <c r="H306" s="5"/>
      <c r="I306" s="5"/>
      <c r="J306" s="9"/>
      <c r="K306" s="8"/>
      <c r="L306" s="5"/>
      <c r="M306" s="5"/>
      <c r="N306" s="9"/>
      <c r="O306" s="8"/>
      <c r="P306" s="5"/>
      <c r="Q306" s="5"/>
      <c r="R306" s="9"/>
      <c r="S306" s="8"/>
      <c r="T306" s="9"/>
    </row>
    <row r="307" spans="1:20" x14ac:dyDescent="0.2">
      <c r="A307" s="5"/>
      <c r="B307" s="9"/>
      <c r="C307" s="9"/>
      <c r="D307" s="9"/>
      <c r="E307" s="8"/>
      <c r="F307" s="5"/>
      <c r="G307" s="5"/>
      <c r="H307" s="5"/>
      <c r="I307" s="5"/>
      <c r="J307" s="9"/>
      <c r="K307" s="8"/>
      <c r="L307" s="5"/>
      <c r="M307" s="5"/>
      <c r="N307" s="9"/>
      <c r="O307" s="8"/>
      <c r="P307" s="5"/>
      <c r="Q307" s="5"/>
      <c r="R307" s="9"/>
      <c r="S307" s="8"/>
      <c r="T307" s="9"/>
    </row>
    <row r="308" spans="1:20" x14ac:dyDescent="0.2">
      <c r="A308" s="5"/>
      <c r="B308" s="9"/>
      <c r="C308" s="9"/>
      <c r="D308" s="9"/>
      <c r="E308" s="8"/>
      <c r="F308" s="5"/>
      <c r="G308" s="5"/>
      <c r="H308" s="5"/>
      <c r="I308" s="5"/>
      <c r="J308" s="9"/>
      <c r="K308" s="8"/>
      <c r="L308" s="5"/>
      <c r="M308" s="5"/>
      <c r="N308" s="9"/>
      <c r="O308" s="8"/>
      <c r="P308" s="5"/>
      <c r="Q308" s="5"/>
      <c r="R308" s="9"/>
      <c r="S308" s="8"/>
      <c r="T308" s="9"/>
    </row>
    <row r="309" spans="1:20" x14ac:dyDescent="0.2">
      <c r="A309" s="5"/>
      <c r="B309" s="9"/>
      <c r="C309" s="9"/>
      <c r="D309" s="9"/>
      <c r="E309" s="8"/>
      <c r="F309" s="5"/>
      <c r="G309" s="5"/>
      <c r="H309" s="5"/>
      <c r="I309" s="5"/>
      <c r="J309" s="9"/>
      <c r="K309" s="8"/>
      <c r="L309" s="5"/>
      <c r="M309" s="5"/>
      <c r="N309" s="9"/>
      <c r="O309" s="8"/>
      <c r="P309" s="5"/>
      <c r="Q309" s="5"/>
      <c r="R309" s="9"/>
      <c r="S309" s="8"/>
      <c r="T309" s="9"/>
    </row>
    <row r="310" spans="1:20" x14ac:dyDescent="0.2">
      <c r="A310" s="5"/>
      <c r="B310" s="9"/>
      <c r="C310" s="9"/>
      <c r="D310" s="9"/>
      <c r="E310" s="8"/>
      <c r="F310" s="5"/>
      <c r="G310" s="5"/>
      <c r="H310" s="5"/>
      <c r="I310" s="5"/>
      <c r="J310" s="9"/>
      <c r="K310" s="8"/>
      <c r="L310" s="5"/>
      <c r="M310" s="5"/>
      <c r="N310" s="9"/>
      <c r="O310" s="8"/>
      <c r="P310" s="5"/>
      <c r="Q310" s="5"/>
      <c r="R310" s="9"/>
      <c r="S310" s="8"/>
      <c r="T310" s="9"/>
    </row>
  </sheetData>
  <autoFilter ref="A2:T300" xr:uid="{00000000-0009-0000-0000-00000C000000}">
    <sortState xmlns:xlrd2="http://schemas.microsoft.com/office/spreadsheetml/2017/richdata2" ref="A2:T300">
      <sortCondition descending="1" ref="D2:D300"/>
    </sortState>
  </autoFilter>
  <mergeCells count="4">
    <mergeCell ref="E1:J1"/>
    <mergeCell ref="K1:N1"/>
    <mergeCell ref="O1:R1"/>
    <mergeCell ref="S1:T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140625" customWidth="1"/>
    <col min="4" max="4" width="6.42578125" customWidth="1"/>
    <col min="5" max="5" width="6.85546875" customWidth="1"/>
    <col min="6" max="6" width="7.140625" customWidth="1"/>
    <col min="7" max="7" width="6.28515625" customWidth="1"/>
    <col min="8" max="8" width="5.5703125" customWidth="1"/>
    <col min="9" max="9" width="5.42578125" customWidth="1"/>
    <col min="10" max="10" width="6" customWidth="1"/>
    <col min="11" max="11" width="6.85546875" customWidth="1"/>
    <col min="12" max="12" width="6.28515625" customWidth="1"/>
    <col min="13" max="13" width="5.5703125" customWidth="1"/>
    <col min="14" max="14" width="6" customWidth="1"/>
    <col min="15" max="15" width="7.85546875" customWidth="1"/>
    <col min="16" max="16" width="6.28515625" customWidth="1"/>
    <col min="17" max="17" width="5.5703125" customWidth="1"/>
    <col min="18" max="18" width="6" customWidth="1"/>
    <col min="19" max="19" width="7.28515625" customWidth="1"/>
    <col min="20" max="20" width="5.5703125" customWidth="1"/>
  </cols>
  <sheetData>
    <row r="1" spans="1:20" x14ac:dyDescent="0.2">
      <c r="A1" s="2"/>
      <c r="B1" s="21"/>
      <c r="C1" s="25"/>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6"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200</v>
      </c>
      <c r="B3" s="5" t="s">
        <v>162</v>
      </c>
      <c r="C3" s="8" t="s">
        <v>721</v>
      </c>
      <c r="D3" s="7">
        <f t="shared" ref="D3:D257" si="0">0.04*G3+4*H3-2*I3+2*J3+0.1*L3+6*M3+2*N3+1*O3+0.1*P3+6*Q3+2*R3-2*S3</f>
        <v>34</v>
      </c>
      <c r="E3" s="5">
        <v>0</v>
      </c>
      <c r="F3" s="5">
        <v>0</v>
      </c>
      <c r="G3" s="5">
        <v>0</v>
      </c>
      <c r="H3" s="5">
        <v>0</v>
      </c>
      <c r="I3" s="5">
        <v>0</v>
      </c>
      <c r="J3" s="9">
        <v>0</v>
      </c>
      <c r="K3" s="5">
        <v>1</v>
      </c>
      <c r="L3" s="5">
        <v>1</v>
      </c>
      <c r="M3" s="5">
        <v>1</v>
      </c>
      <c r="N3" s="9">
        <v>0</v>
      </c>
      <c r="O3" s="5">
        <v>7</v>
      </c>
      <c r="P3" s="5">
        <v>149</v>
      </c>
      <c r="Q3" s="5">
        <v>1</v>
      </c>
      <c r="R3" s="9">
        <v>0</v>
      </c>
      <c r="S3" s="5">
        <v>0</v>
      </c>
      <c r="T3" s="5">
        <v>0</v>
      </c>
    </row>
    <row r="4" spans="1:20" x14ac:dyDescent="0.2">
      <c r="A4" s="5" t="s">
        <v>276</v>
      </c>
      <c r="B4" s="5" t="s">
        <v>69</v>
      </c>
      <c r="C4" s="8" t="s">
        <v>722</v>
      </c>
      <c r="D4" s="7">
        <f t="shared" si="0"/>
        <v>32.5</v>
      </c>
      <c r="E4" s="5">
        <v>0</v>
      </c>
      <c r="F4" s="5">
        <v>0</v>
      </c>
      <c r="G4" s="5">
        <v>0</v>
      </c>
      <c r="H4" s="5">
        <v>0</v>
      </c>
      <c r="I4" s="5">
        <v>0</v>
      </c>
      <c r="J4" s="9">
        <v>0</v>
      </c>
      <c r="K4" s="5">
        <v>0</v>
      </c>
      <c r="L4" s="5">
        <v>0</v>
      </c>
      <c r="M4" s="5">
        <v>0</v>
      </c>
      <c r="N4" s="9">
        <v>0</v>
      </c>
      <c r="O4" s="5">
        <v>11</v>
      </c>
      <c r="P4" s="5">
        <v>95</v>
      </c>
      <c r="Q4" s="5">
        <v>2</v>
      </c>
      <c r="R4" s="9">
        <v>0</v>
      </c>
      <c r="S4" s="5">
        <v>0</v>
      </c>
      <c r="T4" s="5">
        <v>0</v>
      </c>
    </row>
    <row r="5" spans="1:20" x14ac:dyDescent="0.2">
      <c r="A5" s="5" t="s">
        <v>58</v>
      </c>
      <c r="B5" s="5" t="s">
        <v>17</v>
      </c>
      <c r="C5" s="8" t="s">
        <v>723</v>
      </c>
      <c r="D5" s="7">
        <f t="shared" si="0"/>
        <v>31.64</v>
      </c>
      <c r="E5" s="5">
        <v>43</v>
      </c>
      <c r="F5" s="5">
        <v>24</v>
      </c>
      <c r="G5" s="5">
        <v>316</v>
      </c>
      <c r="H5" s="5">
        <v>3</v>
      </c>
      <c r="I5" s="5">
        <v>1</v>
      </c>
      <c r="J5" s="9">
        <v>1</v>
      </c>
      <c r="K5" s="5">
        <v>11</v>
      </c>
      <c r="L5" s="5">
        <v>70</v>
      </c>
      <c r="M5" s="5">
        <v>0</v>
      </c>
      <c r="N5" s="9">
        <v>0</v>
      </c>
      <c r="O5" s="5">
        <v>0</v>
      </c>
      <c r="P5" s="5">
        <v>0</v>
      </c>
      <c r="Q5" s="5">
        <v>0</v>
      </c>
      <c r="R5" s="9">
        <v>0</v>
      </c>
      <c r="S5" s="5">
        <v>0</v>
      </c>
      <c r="T5" s="5">
        <v>0</v>
      </c>
    </row>
    <row r="6" spans="1:20" x14ac:dyDescent="0.2">
      <c r="A6" s="5" t="s">
        <v>339</v>
      </c>
      <c r="B6" s="5" t="s">
        <v>162</v>
      </c>
      <c r="C6" s="8" t="s">
        <v>724</v>
      </c>
      <c r="D6" s="7">
        <f t="shared" si="0"/>
        <v>29.2</v>
      </c>
      <c r="E6" s="5">
        <v>0</v>
      </c>
      <c r="F6" s="5">
        <v>0</v>
      </c>
      <c r="G6" s="5">
        <v>0</v>
      </c>
      <c r="H6" s="5">
        <v>0</v>
      </c>
      <c r="I6" s="5">
        <v>0</v>
      </c>
      <c r="J6" s="9">
        <v>0</v>
      </c>
      <c r="K6" s="5">
        <v>0</v>
      </c>
      <c r="L6" s="5">
        <v>0</v>
      </c>
      <c r="M6" s="5">
        <v>0</v>
      </c>
      <c r="N6" s="9">
        <v>0</v>
      </c>
      <c r="O6" s="5">
        <v>10</v>
      </c>
      <c r="P6" s="5">
        <v>172</v>
      </c>
      <c r="Q6" s="5">
        <v>0</v>
      </c>
      <c r="R6" s="9">
        <v>1</v>
      </c>
      <c r="S6" s="5">
        <v>0</v>
      </c>
      <c r="T6" s="5">
        <v>0</v>
      </c>
    </row>
    <row r="7" spans="1:20" x14ac:dyDescent="0.2">
      <c r="A7" s="5" t="s">
        <v>300</v>
      </c>
      <c r="B7" s="5" t="s">
        <v>69</v>
      </c>
      <c r="C7" s="8" t="s">
        <v>722</v>
      </c>
      <c r="D7" s="7">
        <f t="shared" si="0"/>
        <v>27.1</v>
      </c>
      <c r="E7" s="5">
        <v>0</v>
      </c>
      <c r="F7" s="5">
        <v>0</v>
      </c>
      <c r="G7" s="5">
        <v>0</v>
      </c>
      <c r="H7" s="5">
        <v>0</v>
      </c>
      <c r="I7" s="5">
        <v>0</v>
      </c>
      <c r="J7" s="9">
        <v>0</v>
      </c>
      <c r="K7" s="5">
        <v>0</v>
      </c>
      <c r="L7" s="5">
        <v>0</v>
      </c>
      <c r="M7" s="5">
        <v>0</v>
      </c>
      <c r="N7" s="9">
        <v>0</v>
      </c>
      <c r="O7" s="5">
        <v>6</v>
      </c>
      <c r="P7" s="5">
        <v>91</v>
      </c>
      <c r="Q7" s="5">
        <v>2</v>
      </c>
      <c r="R7" s="9">
        <v>0</v>
      </c>
      <c r="S7" s="5">
        <v>0</v>
      </c>
      <c r="T7" s="5">
        <v>0</v>
      </c>
    </row>
    <row r="8" spans="1:20" x14ac:dyDescent="0.2">
      <c r="A8" s="5" t="s">
        <v>110</v>
      </c>
      <c r="B8" s="5" t="s">
        <v>75</v>
      </c>
      <c r="C8" s="8" t="s">
        <v>725</v>
      </c>
      <c r="D8" s="7">
        <f t="shared" si="0"/>
        <v>27</v>
      </c>
      <c r="E8" s="5">
        <v>0</v>
      </c>
      <c r="F8" s="5">
        <v>0</v>
      </c>
      <c r="G8" s="5">
        <v>0</v>
      </c>
      <c r="H8" s="5">
        <v>0</v>
      </c>
      <c r="I8" s="5">
        <v>0</v>
      </c>
      <c r="J8" s="9">
        <v>0</v>
      </c>
      <c r="K8" s="5">
        <v>22</v>
      </c>
      <c r="L8" s="5">
        <v>68</v>
      </c>
      <c r="M8" s="5">
        <v>0</v>
      </c>
      <c r="N8" s="9">
        <v>0</v>
      </c>
      <c r="O8" s="5">
        <v>7</v>
      </c>
      <c r="P8" s="5">
        <v>72</v>
      </c>
      <c r="Q8" s="5">
        <v>1</v>
      </c>
      <c r="R8" s="9">
        <v>0</v>
      </c>
      <c r="S8" s="5">
        <v>0</v>
      </c>
      <c r="T8" s="5">
        <v>0</v>
      </c>
    </row>
    <row r="9" spans="1:20" x14ac:dyDescent="0.2">
      <c r="A9" s="5" t="s">
        <v>235</v>
      </c>
      <c r="B9" s="5" t="s">
        <v>162</v>
      </c>
      <c r="C9" s="8" t="s">
        <v>726</v>
      </c>
      <c r="D9" s="7">
        <f t="shared" si="0"/>
        <v>26.8</v>
      </c>
      <c r="E9" s="5">
        <v>0</v>
      </c>
      <c r="F9" s="5">
        <v>0</v>
      </c>
      <c r="G9" s="5">
        <v>0</v>
      </c>
      <c r="H9" s="5">
        <v>0</v>
      </c>
      <c r="I9" s="5">
        <v>0</v>
      </c>
      <c r="J9" s="9">
        <v>0</v>
      </c>
      <c r="K9" s="5">
        <v>3</v>
      </c>
      <c r="L9" s="5">
        <v>20</v>
      </c>
      <c r="M9" s="5">
        <v>1</v>
      </c>
      <c r="N9" s="9">
        <v>0</v>
      </c>
      <c r="O9" s="5">
        <v>6</v>
      </c>
      <c r="P9" s="5">
        <v>68</v>
      </c>
      <c r="Q9" s="5">
        <v>1</v>
      </c>
      <c r="R9" s="9">
        <v>0</v>
      </c>
      <c r="S9" s="5">
        <v>0</v>
      </c>
      <c r="T9" s="5">
        <v>0</v>
      </c>
    </row>
    <row r="10" spans="1:20" x14ac:dyDescent="0.2">
      <c r="A10" s="5" t="s">
        <v>85</v>
      </c>
      <c r="B10" s="5" t="s">
        <v>75</v>
      </c>
      <c r="C10" s="8" t="s">
        <v>727</v>
      </c>
      <c r="D10" s="7">
        <f t="shared" si="0"/>
        <v>26.6</v>
      </c>
      <c r="E10" s="5">
        <v>0</v>
      </c>
      <c r="F10" s="5">
        <v>0</v>
      </c>
      <c r="G10" s="5">
        <v>0</v>
      </c>
      <c r="H10" s="5">
        <v>0</v>
      </c>
      <c r="I10" s="5">
        <v>0</v>
      </c>
      <c r="J10" s="9">
        <v>0</v>
      </c>
      <c r="K10" s="5">
        <v>10</v>
      </c>
      <c r="L10" s="5">
        <v>40</v>
      </c>
      <c r="M10" s="5">
        <v>0</v>
      </c>
      <c r="N10" s="9">
        <v>0</v>
      </c>
      <c r="O10" s="5">
        <v>8</v>
      </c>
      <c r="P10" s="5">
        <v>86</v>
      </c>
      <c r="Q10" s="5">
        <v>1</v>
      </c>
      <c r="R10" s="9">
        <v>0</v>
      </c>
      <c r="S10" s="5">
        <v>0</v>
      </c>
      <c r="T10" s="5">
        <v>0</v>
      </c>
    </row>
    <row r="11" spans="1:20" x14ac:dyDescent="0.2">
      <c r="A11" s="5" t="s">
        <v>513</v>
      </c>
      <c r="B11" s="5" t="s">
        <v>162</v>
      </c>
      <c r="C11" s="8" t="s">
        <v>723</v>
      </c>
      <c r="D11" s="7">
        <f t="shared" si="0"/>
        <v>25.5</v>
      </c>
      <c r="E11" s="5">
        <v>0</v>
      </c>
      <c r="F11" s="5">
        <v>0</v>
      </c>
      <c r="G11" s="5">
        <v>0</v>
      </c>
      <c r="H11" s="5">
        <v>0</v>
      </c>
      <c r="I11" s="5">
        <v>0</v>
      </c>
      <c r="J11" s="9">
        <v>0</v>
      </c>
      <c r="K11" s="5">
        <v>0</v>
      </c>
      <c r="L11" s="5">
        <v>0</v>
      </c>
      <c r="M11" s="5">
        <v>0</v>
      </c>
      <c r="N11" s="9">
        <v>0</v>
      </c>
      <c r="O11" s="5">
        <v>8</v>
      </c>
      <c r="P11" s="5">
        <v>115</v>
      </c>
      <c r="Q11" s="5">
        <v>1</v>
      </c>
      <c r="R11" s="9">
        <v>0</v>
      </c>
      <c r="S11" s="5">
        <v>0</v>
      </c>
      <c r="T11" s="5">
        <v>0</v>
      </c>
    </row>
    <row r="12" spans="1:20" x14ac:dyDescent="0.2">
      <c r="A12" s="5" t="s">
        <v>187</v>
      </c>
      <c r="B12" s="5" t="s">
        <v>162</v>
      </c>
      <c r="C12" s="8" t="s">
        <v>728</v>
      </c>
      <c r="D12" s="7">
        <f t="shared" si="0"/>
        <v>25.4</v>
      </c>
      <c r="E12" s="5">
        <v>0</v>
      </c>
      <c r="F12" s="5">
        <v>0</v>
      </c>
      <c r="G12" s="5">
        <v>0</v>
      </c>
      <c r="H12" s="5">
        <v>0</v>
      </c>
      <c r="I12" s="5">
        <v>0</v>
      </c>
      <c r="J12" s="9">
        <v>0</v>
      </c>
      <c r="K12" s="5">
        <v>0</v>
      </c>
      <c r="L12" s="5">
        <v>0</v>
      </c>
      <c r="M12" s="5">
        <v>0</v>
      </c>
      <c r="N12" s="9">
        <v>0</v>
      </c>
      <c r="O12" s="5">
        <v>7</v>
      </c>
      <c r="P12" s="5">
        <v>124</v>
      </c>
      <c r="Q12" s="5">
        <v>1</v>
      </c>
      <c r="R12" s="9">
        <v>0</v>
      </c>
      <c r="S12" s="5">
        <v>0</v>
      </c>
      <c r="T12" s="5">
        <v>0</v>
      </c>
    </row>
    <row r="13" spans="1:20" x14ac:dyDescent="0.2">
      <c r="A13" s="5" t="s">
        <v>51</v>
      </c>
      <c r="B13" s="5" t="s">
        <v>17</v>
      </c>
      <c r="C13" s="8" t="s">
        <v>724</v>
      </c>
      <c r="D13" s="7">
        <f t="shared" si="0"/>
        <v>25.380000000000003</v>
      </c>
      <c r="E13" s="5">
        <v>40</v>
      </c>
      <c r="F13" s="5">
        <v>26</v>
      </c>
      <c r="G13" s="5">
        <v>347</v>
      </c>
      <c r="H13" s="5">
        <v>1</v>
      </c>
      <c r="I13" s="5">
        <v>1</v>
      </c>
      <c r="J13" s="9">
        <v>1</v>
      </c>
      <c r="K13" s="5">
        <v>4</v>
      </c>
      <c r="L13" s="5">
        <v>15</v>
      </c>
      <c r="M13" s="5">
        <v>1</v>
      </c>
      <c r="N13" s="9">
        <v>0</v>
      </c>
      <c r="O13" s="5">
        <v>0</v>
      </c>
      <c r="P13" s="5">
        <v>0</v>
      </c>
      <c r="Q13" s="5">
        <v>0</v>
      </c>
      <c r="R13" s="9">
        <v>0</v>
      </c>
      <c r="S13" s="5">
        <v>0</v>
      </c>
      <c r="T13" s="5">
        <v>0</v>
      </c>
    </row>
    <row r="14" spans="1:20" x14ac:dyDescent="0.2">
      <c r="A14" s="5" t="s">
        <v>102</v>
      </c>
      <c r="B14" s="5" t="s">
        <v>75</v>
      </c>
      <c r="C14" s="8" t="s">
        <v>729</v>
      </c>
      <c r="D14" s="7">
        <f t="shared" si="0"/>
        <v>25.1</v>
      </c>
      <c r="E14" s="5">
        <v>0</v>
      </c>
      <c r="F14" s="5">
        <v>0</v>
      </c>
      <c r="G14" s="5">
        <v>0</v>
      </c>
      <c r="H14" s="5">
        <v>0</v>
      </c>
      <c r="I14" s="5">
        <v>0</v>
      </c>
      <c r="J14" s="9">
        <v>0</v>
      </c>
      <c r="K14" s="5">
        <v>10</v>
      </c>
      <c r="L14" s="5">
        <v>58</v>
      </c>
      <c r="M14" s="5">
        <v>0</v>
      </c>
      <c r="N14" s="9">
        <v>0</v>
      </c>
      <c r="O14" s="5">
        <v>5</v>
      </c>
      <c r="P14" s="5">
        <v>83</v>
      </c>
      <c r="Q14" s="5">
        <v>1</v>
      </c>
      <c r="R14" s="9">
        <v>0</v>
      </c>
      <c r="S14" s="5">
        <v>0</v>
      </c>
      <c r="T14" s="5">
        <v>0</v>
      </c>
    </row>
    <row r="15" spans="1:20" x14ac:dyDescent="0.2">
      <c r="A15" s="5" t="s">
        <v>43</v>
      </c>
      <c r="B15" s="5" t="s">
        <v>17</v>
      </c>
      <c r="C15" s="8" t="s">
        <v>726</v>
      </c>
      <c r="D15" s="7">
        <f t="shared" si="0"/>
        <v>24.72</v>
      </c>
      <c r="E15" s="5">
        <v>33</v>
      </c>
      <c r="F15" s="5">
        <v>19</v>
      </c>
      <c r="G15" s="5">
        <v>223</v>
      </c>
      <c r="H15" s="5">
        <v>1</v>
      </c>
      <c r="I15" s="5">
        <v>0</v>
      </c>
      <c r="J15" s="9">
        <v>0</v>
      </c>
      <c r="K15" s="5">
        <v>12</v>
      </c>
      <c r="L15" s="5">
        <v>58</v>
      </c>
      <c r="M15" s="5">
        <v>1</v>
      </c>
      <c r="N15" s="9">
        <v>0</v>
      </c>
      <c r="O15" s="5">
        <v>0</v>
      </c>
      <c r="P15" s="5">
        <v>0</v>
      </c>
      <c r="Q15" s="5">
        <v>0</v>
      </c>
      <c r="R15" s="9">
        <v>0</v>
      </c>
      <c r="S15" s="5">
        <v>0</v>
      </c>
      <c r="T15" s="5">
        <v>0</v>
      </c>
    </row>
    <row r="16" spans="1:20" x14ac:dyDescent="0.2">
      <c r="A16" s="5" t="s">
        <v>65</v>
      </c>
      <c r="B16" s="5" t="s">
        <v>17</v>
      </c>
      <c r="C16" s="8" t="s">
        <v>730</v>
      </c>
      <c r="D16" s="7">
        <f t="shared" si="0"/>
        <v>23.7</v>
      </c>
      <c r="E16" s="5">
        <v>24</v>
      </c>
      <c r="F16" s="5">
        <v>18</v>
      </c>
      <c r="G16" s="5">
        <v>275</v>
      </c>
      <c r="H16" s="5">
        <v>2</v>
      </c>
      <c r="I16" s="5">
        <v>1</v>
      </c>
      <c r="J16" s="9">
        <v>0</v>
      </c>
      <c r="K16" s="5">
        <v>3</v>
      </c>
      <c r="L16" s="5">
        <v>7</v>
      </c>
      <c r="M16" s="5">
        <v>1</v>
      </c>
      <c r="N16" s="9">
        <v>0</v>
      </c>
      <c r="O16" s="5">
        <v>0</v>
      </c>
      <c r="P16" s="5">
        <v>0</v>
      </c>
      <c r="Q16" s="5">
        <v>0</v>
      </c>
      <c r="R16" s="9">
        <v>0</v>
      </c>
      <c r="S16" s="5">
        <v>0</v>
      </c>
      <c r="T16" s="5">
        <v>0</v>
      </c>
    </row>
    <row r="17" spans="1:20" x14ac:dyDescent="0.2">
      <c r="A17" s="5" t="s">
        <v>46</v>
      </c>
      <c r="B17" s="5" t="s">
        <v>17</v>
      </c>
      <c r="C17" s="8" t="s">
        <v>723</v>
      </c>
      <c r="D17" s="7">
        <f t="shared" si="0"/>
        <v>23.659999999999997</v>
      </c>
      <c r="E17" s="5">
        <v>41</v>
      </c>
      <c r="F17" s="5">
        <v>23</v>
      </c>
      <c r="G17" s="5">
        <v>294</v>
      </c>
      <c r="H17" s="5">
        <v>3</v>
      </c>
      <c r="I17" s="5">
        <v>0</v>
      </c>
      <c r="J17" s="9">
        <v>0</v>
      </c>
      <c r="K17" s="5">
        <v>1</v>
      </c>
      <c r="L17" s="5">
        <v>-1</v>
      </c>
      <c r="M17" s="5">
        <v>0</v>
      </c>
      <c r="N17" s="9">
        <v>0</v>
      </c>
      <c r="O17" s="5">
        <v>0</v>
      </c>
      <c r="P17" s="5">
        <v>0</v>
      </c>
      <c r="Q17" s="5">
        <v>0</v>
      </c>
      <c r="R17" s="9">
        <v>0</v>
      </c>
      <c r="S17" s="5">
        <v>0</v>
      </c>
      <c r="T17" s="5">
        <v>0</v>
      </c>
    </row>
    <row r="18" spans="1:20" x14ac:dyDescent="0.2">
      <c r="A18" s="5" t="s">
        <v>101</v>
      </c>
      <c r="B18" s="5" t="s">
        <v>75</v>
      </c>
      <c r="C18" s="8" t="s">
        <v>731</v>
      </c>
      <c r="D18" s="7">
        <f t="shared" si="0"/>
        <v>23.1</v>
      </c>
      <c r="E18" s="5">
        <v>0</v>
      </c>
      <c r="F18" s="5">
        <v>0</v>
      </c>
      <c r="G18" s="5">
        <v>0</v>
      </c>
      <c r="H18" s="5">
        <v>0</v>
      </c>
      <c r="I18" s="5">
        <v>0</v>
      </c>
      <c r="J18" s="9">
        <v>0</v>
      </c>
      <c r="K18" s="5">
        <v>20</v>
      </c>
      <c r="L18" s="5">
        <v>86</v>
      </c>
      <c r="M18" s="5">
        <v>2</v>
      </c>
      <c r="N18" s="9">
        <v>0</v>
      </c>
      <c r="O18" s="5">
        <v>3</v>
      </c>
      <c r="P18" s="5">
        <v>15</v>
      </c>
      <c r="Q18" s="5">
        <v>0</v>
      </c>
      <c r="R18" s="9">
        <v>0</v>
      </c>
      <c r="S18" s="5">
        <v>1</v>
      </c>
      <c r="T18" s="5">
        <v>0</v>
      </c>
    </row>
    <row r="19" spans="1:20" x14ac:dyDescent="0.2">
      <c r="A19" s="5" t="s">
        <v>92</v>
      </c>
      <c r="B19" s="5" t="s">
        <v>75</v>
      </c>
      <c r="C19" s="8" t="s">
        <v>728</v>
      </c>
      <c r="D19" s="7">
        <f t="shared" si="0"/>
        <v>23</v>
      </c>
      <c r="E19" s="5">
        <v>0</v>
      </c>
      <c r="F19" s="5">
        <v>0</v>
      </c>
      <c r="G19" s="5">
        <v>0</v>
      </c>
      <c r="H19" s="5">
        <v>0</v>
      </c>
      <c r="I19" s="5">
        <v>0</v>
      </c>
      <c r="J19" s="9">
        <v>0</v>
      </c>
      <c r="K19" s="5">
        <v>21</v>
      </c>
      <c r="L19" s="5">
        <v>96</v>
      </c>
      <c r="M19" s="5">
        <v>2</v>
      </c>
      <c r="N19" s="9">
        <v>0</v>
      </c>
      <c r="O19" s="5">
        <v>1</v>
      </c>
      <c r="P19" s="5">
        <v>4</v>
      </c>
      <c r="Q19" s="5">
        <v>0</v>
      </c>
      <c r="R19" s="9">
        <v>0</v>
      </c>
      <c r="S19" s="5">
        <v>0</v>
      </c>
      <c r="T19" s="5">
        <v>0</v>
      </c>
    </row>
    <row r="20" spans="1:20" x14ac:dyDescent="0.2">
      <c r="A20" s="5" t="s">
        <v>114</v>
      </c>
      <c r="B20" s="5" t="s">
        <v>75</v>
      </c>
      <c r="C20" s="8" t="s">
        <v>724</v>
      </c>
      <c r="D20" s="7">
        <f t="shared" si="0"/>
        <v>21.5</v>
      </c>
      <c r="E20" s="5">
        <v>0</v>
      </c>
      <c r="F20" s="5">
        <v>0</v>
      </c>
      <c r="G20" s="5">
        <v>0</v>
      </c>
      <c r="H20" s="5">
        <v>0</v>
      </c>
      <c r="I20" s="5">
        <v>0</v>
      </c>
      <c r="J20" s="9">
        <v>0</v>
      </c>
      <c r="K20" s="5">
        <v>25</v>
      </c>
      <c r="L20" s="5">
        <v>102</v>
      </c>
      <c r="M20" s="5">
        <v>0</v>
      </c>
      <c r="N20" s="9">
        <v>0</v>
      </c>
      <c r="O20" s="5">
        <v>2</v>
      </c>
      <c r="P20" s="5">
        <v>33</v>
      </c>
      <c r="Q20" s="5">
        <v>1</v>
      </c>
      <c r="R20" s="9">
        <v>0</v>
      </c>
      <c r="S20" s="5">
        <v>0</v>
      </c>
      <c r="T20" s="5">
        <v>0</v>
      </c>
    </row>
    <row r="21" spans="1:20" x14ac:dyDescent="0.2">
      <c r="A21" s="5" t="s">
        <v>103</v>
      </c>
      <c r="B21" s="5" t="s">
        <v>75</v>
      </c>
      <c r="C21" s="8" t="s">
        <v>730</v>
      </c>
      <c r="D21" s="7">
        <f t="shared" si="0"/>
        <v>21.5</v>
      </c>
      <c r="E21" s="5">
        <v>0</v>
      </c>
      <c r="F21" s="5">
        <v>0</v>
      </c>
      <c r="G21" s="5">
        <v>0</v>
      </c>
      <c r="H21" s="5">
        <v>0</v>
      </c>
      <c r="I21" s="5">
        <v>0</v>
      </c>
      <c r="J21" s="9">
        <v>0</v>
      </c>
      <c r="K21" s="5">
        <v>21</v>
      </c>
      <c r="L21" s="5">
        <v>79</v>
      </c>
      <c r="M21" s="5">
        <v>1</v>
      </c>
      <c r="N21" s="9">
        <v>0</v>
      </c>
      <c r="O21" s="5">
        <v>3</v>
      </c>
      <c r="P21" s="5">
        <v>46</v>
      </c>
      <c r="Q21" s="5">
        <v>0</v>
      </c>
      <c r="R21" s="9">
        <v>0</v>
      </c>
      <c r="S21" s="5">
        <v>0</v>
      </c>
      <c r="T21" s="5">
        <v>0</v>
      </c>
    </row>
    <row r="22" spans="1:20" x14ac:dyDescent="0.2">
      <c r="A22" s="5" t="s">
        <v>33</v>
      </c>
      <c r="B22" s="5" t="s">
        <v>17</v>
      </c>
      <c r="C22" s="8" t="s">
        <v>721</v>
      </c>
      <c r="D22" s="7">
        <f t="shared" si="0"/>
        <v>21.419999999999998</v>
      </c>
      <c r="E22" s="5">
        <v>27</v>
      </c>
      <c r="F22" s="5">
        <v>19</v>
      </c>
      <c r="G22" s="5">
        <v>368</v>
      </c>
      <c r="H22" s="5">
        <v>2</v>
      </c>
      <c r="I22" s="5">
        <v>1</v>
      </c>
      <c r="J22" s="9">
        <v>0</v>
      </c>
      <c r="K22" s="5">
        <v>2</v>
      </c>
      <c r="L22" s="5">
        <v>7</v>
      </c>
      <c r="M22" s="5">
        <v>0</v>
      </c>
      <c r="N22" s="9">
        <v>0</v>
      </c>
      <c r="O22" s="5">
        <v>0</v>
      </c>
      <c r="P22" s="5">
        <v>0</v>
      </c>
      <c r="Q22" s="5">
        <v>0</v>
      </c>
      <c r="R22" s="9">
        <v>0</v>
      </c>
      <c r="S22" s="5">
        <v>0</v>
      </c>
      <c r="T22" s="5">
        <v>0</v>
      </c>
    </row>
    <row r="23" spans="1:20" x14ac:dyDescent="0.2">
      <c r="A23" s="5" t="s">
        <v>76</v>
      </c>
      <c r="B23" s="5" t="s">
        <v>75</v>
      </c>
      <c r="C23" s="8" t="s">
        <v>732</v>
      </c>
      <c r="D23" s="7">
        <f t="shared" si="0"/>
        <v>21</v>
      </c>
      <c r="E23" s="5">
        <v>0</v>
      </c>
      <c r="F23" s="5">
        <v>0</v>
      </c>
      <c r="G23" s="5">
        <v>0</v>
      </c>
      <c r="H23" s="5">
        <v>0</v>
      </c>
      <c r="I23" s="5">
        <v>0</v>
      </c>
      <c r="J23" s="9">
        <v>0</v>
      </c>
      <c r="K23" s="5">
        <v>10</v>
      </c>
      <c r="L23" s="5">
        <v>51</v>
      </c>
      <c r="M23" s="5">
        <v>1</v>
      </c>
      <c r="N23" s="9">
        <v>0</v>
      </c>
      <c r="O23" s="5">
        <v>5</v>
      </c>
      <c r="P23" s="5">
        <v>49</v>
      </c>
      <c r="Q23" s="5">
        <v>0</v>
      </c>
      <c r="R23" s="9">
        <v>0</v>
      </c>
      <c r="S23" s="5">
        <v>0</v>
      </c>
      <c r="T23" s="5">
        <v>0</v>
      </c>
    </row>
    <row r="24" spans="1:20" x14ac:dyDescent="0.2">
      <c r="A24" s="5" t="s">
        <v>488</v>
      </c>
      <c r="B24" s="5" t="s">
        <v>17</v>
      </c>
      <c r="C24" s="8" t="s">
        <v>725</v>
      </c>
      <c r="D24" s="7">
        <f t="shared" si="0"/>
        <v>20.900000000000002</v>
      </c>
      <c r="E24" s="5">
        <v>28</v>
      </c>
      <c r="F24" s="5">
        <v>19</v>
      </c>
      <c r="G24" s="5">
        <v>240</v>
      </c>
      <c r="H24" s="5">
        <v>3</v>
      </c>
      <c r="I24" s="5">
        <v>1</v>
      </c>
      <c r="J24" s="9">
        <v>0</v>
      </c>
      <c r="K24" s="5">
        <v>3</v>
      </c>
      <c r="L24" s="5">
        <v>13</v>
      </c>
      <c r="M24" s="5">
        <v>0</v>
      </c>
      <c r="N24" s="9">
        <v>0</v>
      </c>
      <c r="O24" s="5">
        <v>0</v>
      </c>
      <c r="P24" s="5">
        <v>0</v>
      </c>
      <c r="Q24" s="5">
        <v>0</v>
      </c>
      <c r="R24" s="9">
        <v>0</v>
      </c>
      <c r="S24" s="5">
        <v>0</v>
      </c>
      <c r="T24" s="5">
        <v>0</v>
      </c>
    </row>
    <row r="25" spans="1:20" x14ac:dyDescent="0.2">
      <c r="A25" s="5" t="s">
        <v>498</v>
      </c>
      <c r="B25" s="5" t="s">
        <v>17</v>
      </c>
      <c r="C25" s="8" t="s">
        <v>725</v>
      </c>
      <c r="D25" s="7">
        <f t="shared" si="0"/>
        <v>20.6</v>
      </c>
      <c r="E25" s="5">
        <v>35</v>
      </c>
      <c r="F25" s="5">
        <v>22</v>
      </c>
      <c r="G25" s="5">
        <v>190</v>
      </c>
      <c r="H25" s="5">
        <v>1</v>
      </c>
      <c r="I25" s="5">
        <v>1</v>
      </c>
      <c r="J25" s="9">
        <v>1</v>
      </c>
      <c r="K25" s="5">
        <v>8</v>
      </c>
      <c r="L25" s="5">
        <v>30</v>
      </c>
      <c r="M25" s="5">
        <v>1</v>
      </c>
      <c r="N25" s="9">
        <v>0</v>
      </c>
      <c r="O25" s="5">
        <v>0</v>
      </c>
      <c r="P25" s="5">
        <v>0</v>
      </c>
      <c r="Q25" s="5">
        <v>0</v>
      </c>
      <c r="R25" s="9">
        <v>0</v>
      </c>
      <c r="S25" s="5">
        <v>0</v>
      </c>
      <c r="T25" s="5">
        <v>0</v>
      </c>
    </row>
    <row r="26" spans="1:20" x14ac:dyDescent="0.2">
      <c r="A26" s="5" t="s">
        <v>48</v>
      </c>
      <c r="B26" s="5" t="s">
        <v>17</v>
      </c>
      <c r="C26" s="8" t="s">
        <v>729</v>
      </c>
      <c r="D26" s="7">
        <f t="shared" si="0"/>
        <v>20.52</v>
      </c>
      <c r="E26" s="5">
        <v>42</v>
      </c>
      <c r="F26" s="5">
        <v>23</v>
      </c>
      <c r="G26" s="5">
        <v>233</v>
      </c>
      <c r="H26" s="5">
        <v>1</v>
      </c>
      <c r="I26" s="5">
        <v>1</v>
      </c>
      <c r="J26" s="9">
        <v>0</v>
      </c>
      <c r="K26" s="5">
        <v>10</v>
      </c>
      <c r="L26" s="5">
        <v>32</v>
      </c>
      <c r="M26" s="5">
        <v>1</v>
      </c>
      <c r="N26" s="9">
        <v>0</v>
      </c>
      <c r="O26" s="5">
        <v>0</v>
      </c>
      <c r="P26" s="5">
        <v>0</v>
      </c>
      <c r="Q26" s="5">
        <v>0</v>
      </c>
      <c r="R26" s="9">
        <v>0</v>
      </c>
      <c r="S26" s="5">
        <v>0</v>
      </c>
      <c r="T26" s="5">
        <v>0</v>
      </c>
    </row>
    <row r="27" spans="1:20" x14ac:dyDescent="0.2">
      <c r="A27" s="5" t="s">
        <v>225</v>
      </c>
      <c r="B27" s="5" t="s">
        <v>162</v>
      </c>
      <c r="C27" s="8" t="s">
        <v>731</v>
      </c>
      <c r="D27" s="7">
        <f t="shared" si="0"/>
        <v>20.5</v>
      </c>
      <c r="E27" s="5">
        <v>0</v>
      </c>
      <c r="F27" s="5">
        <v>0</v>
      </c>
      <c r="G27" s="5">
        <v>0</v>
      </c>
      <c r="H27" s="5">
        <v>0</v>
      </c>
      <c r="I27" s="5">
        <v>0</v>
      </c>
      <c r="J27" s="9">
        <v>0</v>
      </c>
      <c r="K27" s="5">
        <v>4</v>
      </c>
      <c r="L27" s="5">
        <v>38</v>
      </c>
      <c r="M27" s="5">
        <v>1</v>
      </c>
      <c r="N27" s="9">
        <v>0</v>
      </c>
      <c r="O27" s="5">
        <v>8</v>
      </c>
      <c r="P27" s="5">
        <v>27</v>
      </c>
      <c r="Q27" s="5">
        <v>0</v>
      </c>
      <c r="R27" s="9">
        <v>0</v>
      </c>
      <c r="S27" s="5">
        <v>0</v>
      </c>
      <c r="T27" s="5">
        <v>0</v>
      </c>
    </row>
    <row r="28" spans="1:20" x14ac:dyDescent="0.2">
      <c r="A28" s="5" t="s">
        <v>713</v>
      </c>
      <c r="B28" s="5" t="s">
        <v>17</v>
      </c>
      <c r="C28" s="8" t="s">
        <v>722</v>
      </c>
      <c r="D28" s="7">
        <f t="shared" si="0"/>
        <v>20.339999999999996</v>
      </c>
      <c r="E28" s="5">
        <v>45</v>
      </c>
      <c r="F28" s="5">
        <v>26</v>
      </c>
      <c r="G28" s="5">
        <v>311</v>
      </c>
      <c r="H28" s="5">
        <v>3</v>
      </c>
      <c r="I28" s="5">
        <v>1</v>
      </c>
      <c r="J28" s="9">
        <v>0</v>
      </c>
      <c r="K28" s="5">
        <v>4</v>
      </c>
      <c r="L28" s="5">
        <v>-1</v>
      </c>
      <c r="M28" s="5">
        <v>0</v>
      </c>
      <c r="N28" s="9">
        <v>0</v>
      </c>
      <c r="O28" s="5">
        <v>0</v>
      </c>
      <c r="P28" s="5">
        <v>0</v>
      </c>
      <c r="Q28" s="5">
        <v>0</v>
      </c>
      <c r="R28" s="9">
        <v>0</v>
      </c>
      <c r="S28" s="5">
        <v>1</v>
      </c>
      <c r="T28" s="5">
        <v>0</v>
      </c>
    </row>
    <row r="29" spans="1:20" x14ac:dyDescent="0.2">
      <c r="A29" s="5" t="s">
        <v>184</v>
      </c>
      <c r="B29" s="5" t="s">
        <v>162</v>
      </c>
      <c r="C29" s="8" t="s">
        <v>727</v>
      </c>
      <c r="D29" s="7">
        <f t="shared" si="0"/>
        <v>20.100000000000001</v>
      </c>
      <c r="E29" s="5">
        <v>0</v>
      </c>
      <c r="F29" s="5">
        <v>0</v>
      </c>
      <c r="G29" s="5">
        <v>0</v>
      </c>
      <c r="H29" s="5">
        <v>0</v>
      </c>
      <c r="I29" s="5">
        <v>0</v>
      </c>
      <c r="J29" s="9">
        <v>0</v>
      </c>
      <c r="K29" s="5">
        <v>1</v>
      </c>
      <c r="L29" s="5">
        <v>3</v>
      </c>
      <c r="M29" s="5">
        <v>0</v>
      </c>
      <c r="N29" s="9">
        <v>0</v>
      </c>
      <c r="O29" s="5">
        <v>9</v>
      </c>
      <c r="P29" s="5">
        <v>108</v>
      </c>
      <c r="Q29" s="5">
        <v>0</v>
      </c>
      <c r="R29" s="9">
        <v>0</v>
      </c>
      <c r="S29" s="5">
        <v>0</v>
      </c>
      <c r="T29" s="5">
        <v>0</v>
      </c>
    </row>
    <row r="30" spans="1:20" x14ac:dyDescent="0.2">
      <c r="A30" s="5" t="s">
        <v>37</v>
      </c>
      <c r="B30" s="5" t="s">
        <v>17</v>
      </c>
      <c r="C30" s="8" t="s">
        <v>724</v>
      </c>
      <c r="D30" s="7">
        <f t="shared" si="0"/>
        <v>20.060000000000002</v>
      </c>
      <c r="E30" s="5">
        <v>29</v>
      </c>
      <c r="F30" s="5">
        <v>14</v>
      </c>
      <c r="G30" s="5">
        <v>144</v>
      </c>
      <c r="H30" s="5">
        <v>2</v>
      </c>
      <c r="I30" s="5">
        <v>0</v>
      </c>
      <c r="J30" s="9">
        <v>0</v>
      </c>
      <c r="K30" s="5">
        <v>3</v>
      </c>
      <c r="L30" s="5">
        <v>3</v>
      </c>
      <c r="M30" s="5">
        <v>1</v>
      </c>
      <c r="N30" s="9">
        <v>0</v>
      </c>
      <c r="O30" s="5">
        <v>0</v>
      </c>
      <c r="P30" s="5">
        <v>0</v>
      </c>
      <c r="Q30" s="5">
        <v>0</v>
      </c>
      <c r="R30" s="9">
        <v>0</v>
      </c>
      <c r="S30" s="5">
        <v>0</v>
      </c>
      <c r="T30" s="5">
        <v>0</v>
      </c>
    </row>
    <row r="31" spans="1:20" x14ac:dyDescent="0.2">
      <c r="A31" s="5" t="s">
        <v>179</v>
      </c>
      <c r="B31" s="5" t="s">
        <v>162</v>
      </c>
      <c r="C31" s="8" t="s">
        <v>723</v>
      </c>
      <c r="D31" s="7">
        <f t="shared" si="0"/>
        <v>20</v>
      </c>
      <c r="E31" s="5">
        <v>0</v>
      </c>
      <c r="F31" s="5">
        <v>0</v>
      </c>
      <c r="G31" s="5">
        <v>0</v>
      </c>
      <c r="H31" s="5">
        <v>0</v>
      </c>
      <c r="I31" s="5">
        <v>0</v>
      </c>
      <c r="J31" s="9">
        <v>0</v>
      </c>
      <c r="K31" s="5">
        <v>0</v>
      </c>
      <c r="L31" s="5">
        <v>0</v>
      </c>
      <c r="M31" s="5">
        <v>0</v>
      </c>
      <c r="N31" s="9">
        <v>0</v>
      </c>
      <c r="O31" s="5">
        <v>6</v>
      </c>
      <c r="P31" s="5">
        <v>60</v>
      </c>
      <c r="Q31" s="5">
        <v>1</v>
      </c>
      <c r="R31" s="9">
        <v>1</v>
      </c>
      <c r="S31" s="5">
        <v>0</v>
      </c>
      <c r="T31" s="5">
        <v>0</v>
      </c>
    </row>
    <row r="32" spans="1:20" x14ac:dyDescent="0.2">
      <c r="A32" s="5" t="s">
        <v>81</v>
      </c>
      <c r="B32" s="5" t="s">
        <v>75</v>
      </c>
      <c r="C32" s="8" t="s">
        <v>724</v>
      </c>
      <c r="D32" s="7">
        <f t="shared" si="0"/>
        <v>19.8</v>
      </c>
      <c r="E32" s="5">
        <v>0</v>
      </c>
      <c r="F32" s="5">
        <v>0</v>
      </c>
      <c r="G32" s="5">
        <v>0</v>
      </c>
      <c r="H32" s="5">
        <v>0</v>
      </c>
      <c r="I32" s="5">
        <v>0</v>
      </c>
      <c r="J32" s="9">
        <v>0</v>
      </c>
      <c r="K32" s="5">
        <v>10</v>
      </c>
      <c r="L32" s="5">
        <v>34</v>
      </c>
      <c r="M32" s="5">
        <v>1</v>
      </c>
      <c r="N32" s="9">
        <v>0</v>
      </c>
      <c r="O32" s="5">
        <v>5</v>
      </c>
      <c r="P32" s="5">
        <v>54</v>
      </c>
      <c r="Q32" s="5">
        <v>0</v>
      </c>
      <c r="R32" s="9">
        <v>0</v>
      </c>
      <c r="S32" s="5">
        <v>0</v>
      </c>
      <c r="T32" s="5">
        <v>0</v>
      </c>
    </row>
    <row r="33" spans="1:20" x14ac:dyDescent="0.2">
      <c r="A33" s="5" t="s">
        <v>228</v>
      </c>
      <c r="B33" s="5" t="s">
        <v>162</v>
      </c>
      <c r="C33" s="8" t="s">
        <v>723</v>
      </c>
      <c r="D33" s="7">
        <f t="shared" si="0"/>
        <v>19.700000000000003</v>
      </c>
      <c r="E33" s="5">
        <v>0</v>
      </c>
      <c r="F33" s="5">
        <v>0</v>
      </c>
      <c r="G33" s="5">
        <v>0</v>
      </c>
      <c r="H33" s="5">
        <v>0</v>
      </c>
      <c r="I33" s="5">
        <v>0</v>
      </c>
      <c r="J33" s="9">
        <v>0</v>
      </c>
      <c r="K33" s="5">
        <v>0</v>
      </c>
      <c r="L33" s="5">
        <v>0</v>
      </c>
      <c r="M33" s="5">
        <v>0</v>
      </c>
      <c r="N33" s="9">
        <v>0</v>
      </c>
      <c r="O33" s="5">
        <v>4</v>
      </c>
      <c r="P33" s="5">
        <v>97</v>
      </c>
      <c r="Q33" s="5">
        <v>1</v>
      </c>
      <c r="R33" s="9">
        <v>0</v>
      </c>
      <c r="S33" s="5">
        <v>0</v>
      </c>
      <c r="T33" s="5">
        <v>0</v>
      </c>
    </row>
    <row r="34" spans="1:20" x14ac:dyDescent="0.2">
      <c r="A34" s="5" t="s">
        <v>169</v>
      </c>
      <c r="B34" s="5" t="s">
        <v>162</v>
      </c>
      <c r="C34" s="8" t="s">
        <v>730</v>
      </c>
      <c r="D34" s="7">
        <f t="shared" si="0"/>
        <v>19.5</v>
      </c>
      <c r="E34" s="5">
        <v>0</v>
      </c>
      <c r="F34" s="5">
        <v>0</v>
      </c>
      <c r="G34" s="5">
        <v>0</v>
      </c>
      <c r="H34" s="5">
        <v>0</v>
      </c>
      <c r="I34" s="5">
        <v>0</v>
      </c>
      <c r="J34" s="9">
        <v>0</v>
      </c>
      <c r="K34" s="5">
        <v>0</v>
      </c>
      <c r="L34" s="5">
        <v>0</v>
      </c>
      <c r="M34" s="5">
        <v>0</v>
      </c>
      <c r="N34" s="9">
        <v>0</v>
      </c>
      <c r="O34" s="5">
        <v>8</v>
      </c>
      <c r="P34" s="5">
        <v>95</v>
      </c>
      <c r="Q34" s="5">
        <v>0</v>
      </c>
      <c r="R34" s="9">
        <v>1</v>
      </c>
      <c r="S34" s="5">
        <v>0</v>
      </c>
      <c r="T34" s="5">
        <v>0</v>
      </c>
    </row>
    <row r="35" spans="1:20" x14ac:dyDescent="0.2">
      <c r="A35" s="5" t="s">
        <v>395</v>
      </c>
      <c r="B35" s="5" t="s">
        <v>75</v>
      </c>
      <c r="C35" s="8" t="s">
        <v>730</v>
      </c>
      <c r="D35" s="7">
        <f t="shared" si="0"/>
        <v>19.5</v>
      </c>
      <c r="E35" s="5">
        <v>0</v>
      </c>
      <c r="F35" s="5">
        <v>0</v>
      </c>
      <c r="G35" s="5">
        <v>0</v>
      </c>
      <c r="H35" s="5">
        <v>0</v>
      </c>
      <c r="I35" s="5">
        <v>0</v>
      </c>
      <c r="J35" s="9">
        <v>0</v>
      </c>
      <c r="K35" s="5">
        <v>8</v>
      </c>
      <c r="L35" s="5">
        <v>25</v>
      </c>
      <c r="M35" s="5">
        <v>0</v>
      </c>
      <c r="N35" s="9">
        <v>0</v>
      </c>
      <c r="O35" s="5">
        <v>3</v>
      </c>
      <c r="P35" s="5">
        <v>80</v>
      </c>
      <c r="Q35" s="5">
        <v>1</v>
      </c>
      <c r="R35" s="9">
        <v>0</v>
      </c>
      <c r="S35" s="5">
        <v>0</v>
      </c>
      <c r="T35" s="5">
        <v>0</v>
      </c>
    </row>
    <row r="36" spans="1:20" x14ac:dyDescent="0.2">
      <c r="A36" s="5" t="s">
        <v>317</v>
      </c>
      <c r="B36" s="5" t="s">
        <v>69</v>
      </c>
      <c r="C36" s="8" t="s">
        <v>723</v>
      </c>
      <c r="D36" s="7">
        <f t="shared" si="0"/>
        <v>19.3</v>
      </c>
      <c r="E36" s="5">
        <v>0</v>
      </c>
      <c r="F36" s="5">
        <v>0</v>
      </c>
      <c r="G36" s="5">
        <v>0</v>
      </c>
      <c r="H36" s="5">
        <v>0</v>
      </c>
      <c r="I36" s="5">
        <v>0</v>
      </c>
      <c r="J36" s="9">
        <v>0</v>
      </c>
      <c r="K36" s="5">
        <v>0</v>
      </c>
      <c r="L36" s="5">
        <v>0</v>
      </c>
      <c r="M36" s="5">
        <v>0</v>
      </c>
      <c r="N36" s="9">
        <v>0</v>
      </c>
      <c r="O36" s="5">
        <v>5</v>
      </c>
      <c r="P36" s="5">
        <v>83</v>
      </c>
      <c r="Q36" s="5">
        <v>1</v>
      </c>
      <c r="R36" s="9">
        <v>0</v>
      </c>
      <c r="S36" s="5">
        <v>0</v>
      </c>
      <c r="T36" s="5">
        <v>0</v>
      </c>
    </row>
    <row r="37" spans="1:20" x14ac:dyDescent="0.2">
      <c r="A37" s="5" t="s">
        <v>56</v>
      </c>
      <c r="B37" s="5" t="s">
        <v>17</v>
      </c>
      <c r="C37" s="8" t="s">
        <v>727</v>
      </c>
      <c r="D37" s="7">
        <f t="shared" si="0"/>
        <v>19.239999999999998</v>
      </c>
      <c r="E37" s="5">
        <v>36</v>
      </c>
      <c r="F37" s="5">
        <v>27</v>
      </c>
      <c r="G37" s="5">
        <v>301</v>
      </c>
      <c r="H37" s="5">
        <v>2</v>
      </c>
      <c r="I37" s="5">
        <v>0</v>
      </c>
      <c r="J37" s="9">
        <v>0</v>
      </c>
      <c r="K37" s="5">
        <v>3</v>
      </c>
      <c r="L37" s="5">
        <v>12</v>
      </c>
      <c r="M37" s="5">
        <v>0</v>
      </c>
      <c r="N37" s="9">
        <v>0</v>
      </c>
      <c r="O37" s="5">
        <v>0</v>
      </c>
      <c r="P37" s="5">
        <v>0</v>
      </c>
      <c r="Q37" s="5">
        <v>0</v>
      </c>
      <c r="R37" s="9">
        <v>0</v>
      </c>
      <c r="S37" s="5">
        <v>1</v>
      </c>
      <c r="T37" s="5">
        <v>0</v>
      </c>
    </row>
    <row r="38" spans="1:20" x14ac:dyDescent="0.2">
      <c r="A38" s="5" t="s">
        <v>192</v>
      </c>
      <c r="B38" s="5" t="s">
        <v>162</v>
      </c>
      <c r="C38" s="8" t="s">
        <v>733</v>
      </c>
      <c r="D38" s="7">
        <f t="shared" si="0"/>
        <v>19.100000000000001</v>
      </c>
      <c r="E38" s="5">
        <v>0</v>
      </c>
      <c r="F38" s="5">
        <v>0</v>
      </c>
      <c r="G38" s="5">
        <v>0</v>
      </c>
      <c r="H38" s="5">
        <v>0</v>
      </c>
      <c r="I38" s="5">
        <v>0</v>
      </c>
      <c r="J38" s="9">
        <v>0</v>
      </c>
      <c r="K38" s="5">
        <v>0</v>
      </c>
      <c r="L38" s="5">
        <v>0</v>
      </c>
      <c r="M38" s="5">
        <v>0</v>
      </c>
      <c r="N38" s="9">
        <v>0</v>
      </c>
      <c r="O38" s="5">
        <v>6</v>
      </c>
      <c r="P38" s="5">
        <v>71</v>
      </c>
      <c r="Q38" s="5">
        <v>1</v>
      </c>
      <c r="R38" s="9">
        <v>0</v>
      </c>
      <c r="S38" s="5">
        <v>0</v>
      </c>
      <c r="T38" s="5">
        <v>0</v>
      </c>
    </row>
    <row r="39" spans="1:20" x14ac:dyDescent="0.2">
      <c r="A39" s="5" t="s">
        <v>271</v>
      </c>
      <c r="B39" s="5" t="s">
        <v>69</v>
      </c>
      <c r="C39" s="8" t="s">
        <v>725</v>
      </c>
      <c r="D39" s="7">
        <f t="shared" si="0"/>
        <v>19</v>
      </c>
      <c r="E39" s="5">
        <v>0</v>
      </c>
      <c r="F39" s="5">
        <v>0</v>
      </c>
      <c r="G39" s="5">
        <v>0</v>
      </c>
      <c r="H39" s="5">
        <v>0</v>
      </c>
      <c r="I39" s="5">
        <v>0</v>
      </c>
      <c r="J39" s="9">
        <v>0</v>
      </c>
      <c r="K39" s="5">
        <v>0</v>
      </c>
      <c r="L39" s="5">
        <v>0</v>
      </c>
      <c r="M39" s="5">
        <v>0</v>
      </c>
      <c r="N39" s="9">
        <v>0</v>
      </c>
      <c r="O39" s="5">
        <v>3</v>
      </c>
      <c r="P39" s="5">
        <v>40</v>
      </c>
      <c r="Q39" s="5">
        <v>2</v>
      </c>
      <c r="R39" s="9">
        <v>0</v>
      </c>
      <c r="S39" s="5">
        <v>0</v>
      </c>
      <c r="T39" s="5">
        <v>0</v>
      </c>
    </row>
    <row r="40" spans="1:20" x14ac:dyDescent="0.2">
      <c r="A40" s="5" t="s">
        <v>193</v>
      </c>
      <c r="B40" s="5" t="s">
        <v>162</v>
      </c>
      <c r="C40" s="8" t="s">
        <v>729</v>
      </c>
      <c r="D40" s="7">
        <f t="shared" si="0"/>
        <v>18.2</v>
      </c>
      <c r="E40" s="5">
        <v>0</v>
      </c>
      <c r="F40" s="5">
        <v>0</v>
      </c>
      <c r="G40" s="5">
        <v>0</v>
      </c>
      <c r="H40" s="5">
        <v>0</v>
      </c>
      <c r="I40" s="5">
        <v>0</v>
      </c>
      <c r="J40" s="9">
        <v>0</v>
      </c>
      <c r="K40" s="5">
        <v>0</v>
      </c>
      <c r="L40" s="5">
        <v>0</v>
      </c>
      <c r="M40" s="5">
        <v>0</v>
      </c>
      <c r="N40" s="9">
        <v>0</v>
      </c>
      <c r="O40" s="5">
        <v>7</v>
      </c>
      <c r="P40" s="5">
        <v>72</v>
      </c>
      <c r="Q40" s="5">
        <v>1</v>
      </c>
      <c r="R40" s="9">
        <v>0</v>
      </c>
      <c r="S40" s="5">
        <v>1</v>
      </c>
      <c r="T40" s="5">
        <v>0</v>
      </c>
    </row>
    <row r="41" spans="1:20" x14ac:dyDescent="0.2">
      <c r="A41" s="5" t="s">
        <v>105</v>
      </c>
      <c r="B41" s="5" t="s">
        <v>75</v>
      </c>
      <c r="C41" s="8" t="s">
        <v>732</v>
      </c>
      <c r="D41" s="7">
        <f t="shared" si="0"/>
        <v>18.100000000000001</v>
      </c>
      <c r="E41" s="5">
        <v>0</v>
      </c>
      <c r="F41" s="5">
        <v>0</v>
      </c>
      <c r="G41" s="5">
        <v>0</v>
      </c>
      <c r="H41" s="5">
        <v>0</v>
      </c>
      <c r="I41" s="5">
        <v>0</v>
      </c>
      <c r="J41" s="9">
        <v>0</v>
      </c>
      <c r="K41" s="5">
        <v>17</v>
      </c>
      <c r="L41" s="5">
        <v>66</v>
      </c>
      <c r="M41" s="5">
        <v>1</v>
      </c>
      <c r="N41" s="9">
        <v>0</v>
      </c>
      <c r="O41" s="5">
        <v>3</v>
      </c>
      <c r="P41" s="5">
        <v>25</v>
      </c>
      <c r="Q41" s="5">
        <v>0</v>
      </c>
      <c r="R41" s="9">
        <v>0</v>
      </c>
      <c r="S41" s="5">
        <v>0</v>
      </c>
      <c r="T41" s="5">
        <v>0</v>
      </c>
    </row>
    <row r="42" spans="1:20" x14ac:dyDescent="0.2">
      <c r="A42" s="5" t="s">
        <v>88</v>
      </c>
      <c r="B42" s="5" t="s">
        <v>75</v>
      </c>
      <c r="C42" s="8" t="s">
        <v>728</v>
      </c>
      <c r="D42" s="7">
        <f t="shared" si="0"/>
        <v>18.099999999999998</v>
      </c>
      <c r="E42" s="5">
        <v>0</v>
      </c>
      <c r="F42" s="5">
        <v>0</v>
      </c>
      <c r="G42" s="5">
        <v>0</v>
      </c>
      <c r="H42" s="5">
        <v>0</v>
      </c>
      <c r="I42" s="5">
        <v>0</v>
      </c>
      <c r="J42" s="9">
        <v>0</v>
      </c>
      <c r="K42" s="5">
        <v>17</v>
      </c>
      <c r="L42" s="5">
        <v>34</v>
      </c>
      <c r="M42" s="5">
        <v>2</v>
      </c>
      <c r="N42" s="9">
        <v>0</v>
      </c>
      <c r="O42" s="5">
        <v>1</v>
      </c>
      <c r="P42" s="5">
        <v>17</v>
      </c>
      <c r="Q42" s="5">
        <v>0</v>
      </c>
      <c r="R42" s="9">
        <v>0</v>
      </c>
      <c r="S42" s="5">
        <v>0</v>
      </c>
      <c r="T42" s="5">
        <v>0</v>
      </c>
    </row>
    <row r="43" spans="1:20" x14ac:dyDescent="0.2">
      <c r="A43" s="5" t="s">
        <v>59</v>
      </c>
      <c r="B43" s="5" t="s">
        <v>17</v>
      </c>
      <c r="C43" s="8" t="s">
        <v>733</v>
      </c>
      <c r="D43" s="7">
        <f t="shared" si="0"/>
        <v>17.940000000000001</v>
      </c>
      <c r="E43" s="5">
        <v>39</v>
      </c>
      <c r="F43" s="5">
        <v>24</v>
      </c>
      <c r="G43" s="5">
        <v>271</v>
      </c>
      <c r="H43" s="5">
        <v>2</v>
      </c>
      <c r="I43" s="5">
        <v>0</v>
      </c>
      <c r="J43" s="9">
        <v>0</v>
      </c>
      <c r="K43" s="5">
        <v>3</v>
      </c>
      <c r="L43" s="5">
        <v>11</v>
      </c>
      <c r="M43" s="5">
        <v>0</v>
      </c>
      <c r="N43" s="9">
        <v>0</v>
      </c>
      <c r="O43" s="5">
        <v>0</v>
      </c>
      <c r="P43" s="5">
        <v>0</v>
      </c>
      <c r="Q43" s="5">
        <v>0</v>
      </c>
      <c r="R43" s="9">
        <v>0</v>
      </c>
      <c r="S43" s="5">
        <v>1</v>
      </c>
      <c r="T43" s="5">
        <v>0</v>
      </c>
    </row>
    <row r="44" spans="1:20" x14ac:dyDescent="0.2">
      <c r="A44" s="5" t="s">
        <v>129</v>
      </c>
      <c r="B44" s="5" t="s">
        <v>75</v>
      </c>
      <c r="C44" s="8" t="s">
        <v>728</v>
      </c>
      <c r="D44" s="7">
        <f t="shared" si="0"/>
        <v>17.8</v>
      </c>
      <c r="E44" s="5">
        <v>0</v>
      </c>
      <c r="F44" s="5">
        <v>0</v>
      </c>
      <c r="G44" s="5">
        <v>0</v>
      </c>
      <c r="H44" s="5">
        <v>0</v>
      </c>
      <c r="I44" s="5">
        <v>0</v>
      </c>
      <c r="J44" s="9">
        <v>0</v>
      </c>
      <c r="K44" s="5">
        <v>7</v>
      </c>
      <c r="L44" s="5">
        <v>29</v>
      </c>
      <c r="M44" s="5">
        <v>0</v>
      </c>
      <c r="N44" s="9">
        <v>0</v>
      </c>
      <c r="O44" s="5">
        <v>6</v>
      </c>
      <c r="P44" s="5">
        <v>89</v>
      </c>
      <c r="Q44" s="5">
        <v>0</v>
      </c>
      <c r="R44" s="9">
        <v>0</v>
      </c>
      <c r="S44" s="5">
        <v>0</v>
      </c>
      <c r="T44" s="5">
        <v>0</v>
      </c>
    </row>
    <row r="45" spans="1:20" x14ac:dyDescent="0.2">
      <c r="A45" s="5" t="s">
        <v>427</v>
      </c>
      <c r="B45" s="5" t="s">
        <v>162</v>
      </c>
      <c r="C45" s="8" t="s">
        <v>731</v>
      </c>
      <c r="D45" s="7">
        <f t="shared" si="0"/>
        <v>17.5</v>
      </c>
      <c r="E45" s="5">
        <v>0</v>
      </c>
      <c r="F45" s="5">
        <v>0</v>
      </c>
      <c r="G45" s="5">
        <v>0</v>
      </c>
      <c r="H45" s="5">
        <v>0</v>
      </c>
      <c r="I45" s="5">
        <v>0</v>
      </c>
      <c r="J45" s="9">
        <v>0</v>
      </c>
      <c r="K45" s="5">
        <v>2</v>
      </c>
      <c r="L45" s="5">
        <v>36</v>
      </c>
      <c r="M45" s="5">
        <v>0</v>
      </c>
      <c r="N45" s="9">
        <v>0</v>
      </c>
      <c r="O45" s="5">
        <v>6</v>
      </c>
      <c r="P45" s="5">
        <v>79</v>
      </c>
      <c r="Q45" s="5">
        <v>0</v>
      </c>
      <c r="R45" s="9">
        <v>0</v>
      </c>
      <c r="S45" s="5">
        <v>0</v>
      </c>
      <c r="T45" s="5">
        <v>0</v>
      </c>
    </row>
    <row r="46" spans="1:20" x14ac:dyDescent="0.2">
      <c r="A46" s="5" t="s">
        <v>605</v>
      </c>
      <c r="B46" s="5" t="s">
        <v>17</v>
      </c>
      <c r="C46" s="8" t="s">
        <v>731</v>
      </c>
      <c r="D46" s="7">
        <f t="shared" si="0"/>
        <v>17.420000000000002</v>
      </c>
      <c r="E46" s="5">
        <v>21</v>
      </c>
      <c r="F46" s="5">
        <v>17</v>
      </c>
      <c r="G46" s="5">
        <v>158</v>
      </c>
      <c r="H46" s="5">
        <v>1</v>
      </c>
      <c r="I46" s="5">
        <v>0</v>
      </c>
      <c r="J46" s="9">
        <v>0</v>
      </c>
      <c r="K46" s="5">
        <v>10</v>
      </c>
      <c r="L46" s="5">
        <v>71</v>
      </c>
      <c r="M46" s="5">
        <v>0</v>
      </c>
      <c r="N46" s="9">
        <v>0</v>
      </c>
      <c r="O46" s="5">
        <v>0</v>
      </c>
      <c r="P46" s="5">
        <v>0</v>
      </c>
      <c r="Q46" s="5">
        <v>0</v>
      </c>
      <c r="R46" s="9">
        <v>0</v>
      </c>
      <c r="S46" s="5">
        <v>0</v>
      </c>
      <c r="T46" s="5">
        <v>0</v>
      </c>
    </row>
    <row r="47" spans="1:20" x14ac:dyDescent="0.2">
      <c r="A47" s="5" t="s">
        <v>32</v>
      </c>
      <c r="B47" s="5" t="s">
        <v>17</v>
      </c>
      <c r="C47" s="8" t="s">
        <v>722</v>
      </c>
      <c r="D47" s="7">
        <f t="shared" si="0"/>
        <v>17.380000000000003</v>
      </c>
      <c r="E47" s="5">
        <v>50</v>
      </c>
      <c r="F47" s="5">
        <v>28</v>
      </c>
      <c r="G47" s="5">
        <v>257</v>
      </c>
      <c r="H47" s="5">
        <v>3</v>
      </c>
      <c r="I47" s="5">
        <v>3</v>
      </c>
      <c r="J47" s="9">
        <v>0</v>
      </c>
      <c r="K47" s="5">
        <v>3</v>
      </c>
      <c r="L47" s="5">
        <v>11</v>
      </c>
      <c r="M47" s="5">
        <v>0</v>
      </c>
      <c r="N47" s="9">
        <v>0</v>
      </c>
      <c r="O47" s="5">
        <v>0</v>
      </c>
      <c r="P47" s="5">
        <v>0</v>
      </c>
      <c r="Q47" s="5">
        <v>0</v>
      </c>
      <c r="R47" s="9">
        <v>0</v>
      </c>
      <c r="S47" s="5">
        <v>0</v>
      </c>
      <c r="T47" s="5">
        <v>0</v>
      </c>
    </row>
    <row r="48" spans="1:20" x14ac:dyDescent="0.2">
      <c r="A48" s="5" t="s">
        <v>111</v>
      </c>
      <c r="B48" s="5" t="s">
        <v>75</v>
      </c>
      <c r="C48" s="8" t="s">
        <v>726</v>
      </c>
      <c r="D48" s="7">
        <f t="shared" si="0"/>
        <v>17.200000000000003</v>
      </c>
      <c r="E48" s="5">
        <v>0</v>
      </c>
      <c r="F48" s="5">
        <v>0</v>
      </c>
      <c r="G48" s="5">
        <v>0</v>
      </c>
      <c r="H48" s="5">
        <v>0</v>
      </c>
      <c r="I48" s="5">
        <v>0</v>
      </c>
      <c r="J48" s="9">
        <v>0</v>
      </c>
      <c r="K48" s="5">
        <v>11</v>
      </c>
      <c r="L48" s="5">
        <v>66</v>
      </c>
      <c r="M48" s="5">
        <v>1</v>
      </c>
      <c r="N48" s="9">
        <v>0</v>
      </c>
      <c r="O48" s="5">
        <v>3</v>
      </c>
      <c r="P48" s="5">
        <v>16</v>
      </c>
      <c r="Q48" s="5">
        <v>0</v>
      </c>
      <c r="R48" s="9">
        <v>0</v>
      </c>
      <c r="S48" s="5">
        <v>0</v>
      </c>
      <c r="T48" s="5">
        <v>0</v>
      </c>
    </row>
    <row r="49" spans="1:20" x14ac:dyDescent="0.2">
      <c r="A49" s="5" t="s">
        <v>80</v>
      </c>
      <c r="B49" s="5" t="s">
        <v>75</v>
      </c>
      <c r="C49" s="8" t="s">
        <v>722</v>
      </c>
      <c r="D49" s="7">
        <f t="shared" si="0"/>
        <v>17.2</v>
      </c>
      <c r="E49" s="5">
        <v>0</v>
      </c>
      <c r="F49" s="5">
        <v>0</v>
      </c>
      <c r="G49" s="5">
        <v>0</v>
      </c>
      <c r="H49" s="5">
        <v>0</v>
      </c>
      <c r="I49" s="5">
        <v>0</v>
      </c>
      <c r="J49" s="9">
        <v>0</v>
      </c>
      <c r="K49" s="5">
        <v>14</v>
      </c>
      <c r="L49" s="5">
        <v>35</v>
      </c>
      <c r="M49" s="5">
        <v>1</v>
      </c>
      <c r="N49" s="9">
        <v>0</v>
      </c>
      <c r="O49" s="5">
        <v>4</v>
      </c>
      <c r="P49" s="5">
        <v>37</v>
      </c>
      <c r="Q49" s="5">
        <v>0</v>
      </c>
      <c r="R49" s="9">
        <v>0</v>
      </c>
      <c r="S49" s="5">
        <v>0</v>
      </c>
      <c r="T49" s="5">
        <v>0</v>
      </c>
    </row>
    <row r="50" spans="1:20" x14ac:dyDescent="0.2">
      <c r="A50" s="5" t="s">
        <v>298</v>
      </c>
      <c r="B50" s="5" t="s">
        <v>69</v>
      </c>
      <c r="C50" s="8" t="s">
        <v>721</v>
      </c>
      <c r="D50" s="7">
        <f t="shared" si="0"/>
        <v>16.600000000000001</v>
      </c>
      <c r="E50" s="5">
        <v>0</v>
      </c>
      <c r="F50" s="5">
        <v>0</v>
      </c>
      <c r="G50" s="5">
        <v>0</v>
      </c>
      <c r="H50" s="5">
        <v>0</v>
      </c>
      <c r="I50" s="5">
        <v>0</v>
      </c>
      <c r="J50" s="9">
        <v>0</v>
      </c>
      <c r="K50" s="5">
        <v>0</v>
      </c>
      <c r="L50" s="5">
        <v>0</v>
      </c>
      <c r="M50" s="5">
        <v>0</v>
      </c>
      <c r="N50" s="9">
        <v>0</v>
      </c>
      <c r="O50" s="5">
        <v>3</v>
      </c>
      <c r="P50" s="5">
        <v>76</v>
      </c>
      <c r="Q50" s="5">
        <v>1</v>
      </c>
      <c r="R50" s="9">
        <v>0</v>
      </c>
      <c r="S50" s="5">
        <v>0</v>
      </c>
      <c r="T50" s="5">
        <v>0</v>
      </c>
    </row>
    <row r="51" spans="1:20" x14ac:dyDescent="0.2">
      <c r="A51" s="5" t="s">
        <v>163</v>
      </c>
      <c r="B51" s="5" t="s">
        <v>162</v>
      </c>
      <c r="C51" s="8" t="s">
        <v>721</v>
      </c>
      <c r="D51" s="7">
        <f t="shared" si="0"/>
        <v>16.600000000000001</v>
      </c>
      <c r="E51" s="5">
        <v>0</v>
      </c>
      <c r="F51" s="5">
        <v>0</v>
      </c>
      <c r="G51" s="5">
        <v>0</v>
      </c>
      <c r="H51" s="5">
        <v>0</v>
      </c>
      <c r="I51" s="5">
        <v>0</v>
      </c>
      <c r="J51" s="9">
        <v>0</v>
      </c>
      <c r="K51" s="5">
        <v>0</v>
      </c>
      <c r="L51" s="5">
        <v>0</v>
      </c>
      <c r="M51" s="5">
        <v>0</v>
      </c>
      <c r="N51" s="9">
        <v>0</v>
      </c>
      <c r="O51" s="5">
        <v>6</v>
      </c>
      <c r="P51" s="5">
        <v>126</v>
      </c>
      <c r="Q51" s="5">
        <v>0</v>
      </c>
      <c r="R51" s="9">
        <v>0</v>
      </c>
      <c r="S51" s="5">
        <v>1</v>
      </c>
      <c r="T51" s="5">
        <v>0</v>
      </c>
    </row>
    <row r="52" spans="1:20" x14ac:dyDescent="0.2">
      <c r="A52" s="5" t="s">
        <v>79</v>
      </c>
      <c r="B52" s="5" t="s">
        <v>75</v>
      </c>
      <c r="C52" s="8" t="s">
        <v>733</v>
      </c>
      <c r="D52" s="7">
        <f t="shared" si="0"/>
        <v>16.600000000000001</v>
      </c>
      <c r="E52" s="5">
        <v>0</v>
      </c>
      <c r="F52" s="5">
        <v>0</v>
      </c>
      <c r="G52" s="5">
        <v>0</v>
      </c>
      <c r="H52" s="5">
        <v>0</v>
      </c>
      <c r="I52" s="5">
        <v>0</v>
      </c>
      <c r="J52" s="9">
        <v>0</v>
      </c>
      <c r="K52" s="5">
        <v>16</v>
      </c>
      <c r="L52" s="5">
        <v>59</v>
      </c>
      <c r="M52" s="5">
        <v>0</v>
      </c>
      <c r="N52" s="9">
        <v>0</v>
      </c>
      <c r="O52" s="5">
        <v>7</v>
      </c>
      <c r="P52" s="5">
        <v>37</v>
      </c>
      <c r="Q52" s="5">
        <v>0</v>
      </c>
      <c r="R52" s="9">
        <v>0</v>
      </c>
      <c r="S52" s="5">
        <v>0</v>
      </c>
      <c r="T52" s="5">
        <v>0</v>
      </c>
    </row>
    <row r="53" spans="1:20" x14ac:dyDescent="0.2">
      <c r="A53" s="5" t="s">
        <v>594</v>
      </c>
      <c r="B53" s="5" t="s">
        <v>17</v>
      </c>
      <c r="C53" s="8" t="s">
        <v>728</v>
      </c>
      <c r="D53" s="7">
        <f t="shared" si="0"/>
        <v>16.579999999999998</v>
      </c>
      <c r="E53" s="5">
        <v>38</v>
      </c>
      <c r="F53" s="5">
        <v>23</v>
      </c>
      <c r="G53" s="5">
        <v>327</v>
      </c>
      <c r="H53" s="5">
        <v>1</v>
      </c>
      <c r="I53" s="5">
        <v>1</v>
      </c>
      <c r="J53" s="9">
        <v>1</v>
      </c>
      <c r="K53" s="5">
        <v>4</v>
      </c>
      <c r="L53" s="5">
        <v>15</v>
      </c>
      <c r="M53" s="5">
        <v>0</v>
      </c>
      <c r="N53" s="9">
        <v>0</v>
      </c>
      <c r="O53" s="5">
        <v>0</v>
      </c>
      <c r="P53" s="5">
        <v>0</v>
      </c>
      <c r="Q53" s="5">
        <v>0</v>
      </c>
      <c r="R53" s="9">
        <v>0</v>
      </c>
      <c r="S53" s="5">
        <v>1</v>
      </c>
      <c r="T53" s="5">
        <v>0</v>
      </c>
    </row>
    <row r="54" spans="1:20" x14ac:dyDescent="0.2">
      <c r="A54" s="5" t="s">
        <v>182</v>
      </c>
      <c r="B54" s="5" t="s">
        <v>162</v>
      </c>
      <c r="C54" s="8" t="s">
        <v>733</v>
      </c>
      <c r="D54" s="7">
        <f t="shared" si="0"/>
        <v>16.399999999999999</v>
      </c>
      <c r="E54" s="5">
        <v>0</v>
      </c>
      <c r="F54" s="5">
        <v>0</v>
      </c>
      <c r="G54" s="5">
        <v>0</v>
      </c>
      <c r="H54" s="5">
        <v>0</v>
      </c>
      <c r="I54" s="5">
        <v>0</v>
      </c>
      <c r="J54" s="9">
        <v>0</v>
      </c>
      <c r="K54" s="5">
        <v>0</v>
      </c>
      <c r="L54" s="5">
        <v>0</v>
      </c>
      <c r="M54" s="5">
        <v>0</v>
      </c>
      <c r="N54" s="9">
        <v>0</v>
      </c>
      <c r="O54" s="5">
        <v>9</v>
      </c>
      <c r="P54" s="5">
        <v>94</v>
      </c>
      <c r="Q54" s="5">
        <v>0</v>
      </c>
      <c r="R54" s="9">
        <v>0</v>
      </c>
      <c r="S54" s="5">
        <v>1</v>
      </c>
      <c r="T54" s="5">
        <v>0</v>
      </c>
    </row>
    <row r="55" spans="1:20" x14ac:dyDescent="0.2">
      <c r="A55" s="5" t="s">
        <v>77</v>
      </c>
      <c r="B55" s="5" t="s">
        <v>75</v>
      </c>
      <c r="C55" s="8" t="s">
        <v>721</v>
      </c>
      <c r="D55" s="7">
        <f t="shared" si="0"/>
        <v>16.3</v>
      </c>
      <c r="E55" s="5">
        <v>0</v>
      </c>
      <c r="F55" s="5">
        <v>0</v>
      </c>
      <c r="G55" s="5">
        <v>0</v>
      </c>
      <c r="H55" s="5">
        <v>0</v>
      </c>
      <c r="I55" s="5">
        <v>0</v>
      </c>
      <c r="J55" s="9">
        <v>0</v>
      </c>
      <c r="K55" s="5">
        <v>16</v>
      </c>
      <c r="L55" s="5">
        <v>145</v>
      </c>
      <c r="M55" s="5">
        <v>0</v>
      </c>
      <c r="N55" s="9">
        <v>0</v>
      </c>
      <c r="O55" s="5">
        <v>1</v>
      </c>
      <c r="P55" s="5">
        <v>8</v>
      </c>
      <c r="Q55" s="5">
        <v>0</v>
      </c>
      <c r="R55" s="9">
        <v>0</v>
      </c>
      <c r="S55" s="5">
        <v>0</v>
      </c>
      <c r="T55" s="5">
        <v>0</v>
      </c>
    </row>
    <row r="56" spans="1:20" x14ac:dyDescent="0.2">
      <c r="A56" s="5" t="s">
        <v>38</v>
      </c>
      <c r="B56" s="5" t="s">
        <v>17</v>
      </c>
      <c r="C56" s="8" t="s">
        <v>732</v>
      </c>
      <c r="D56" s="7">
        <f t="shared" si="0"/>
        <v>15.46</v>
      </c>
      <c r="E56" s="5">
        <v>33</v>
      </c>
      <c r="F56" s="5">
        <v>21</v>
      </c>
      <c r="G56" s="5">
        <v>224</v>
      </c>
      <c r="H56" s="5">
        <v>2</v>
      </c>
      <c r="I56" s="5">
        <v>1</v>
      </c>
      <c r="J56" s="9">
        <v>0</v>
      </c>
      <c r="K56" s="5">
        <v>6</v>
      </c>
      <c r="L56" s="5">
        <v>5</v>
      </c>
      <c r="M56" s="5">
        <v>0</v>
      </c>
      <c r="N56" s="9">
        <v>0</v>
      </c>
      <c r="O56" s="5">
        <v>0</v>
      </c>
      <c r="P56" s="5">
        <v>0</v>
      </c>
      <c r="Q56" s="5">
        <v>0</v>
      </c>
      <c r="R56" s="9">
        <v>0</v>
      </c>
      <c r="S56" s="5">
        <v>0</v>
      </c>
      <c r="T56" s="5">
        <v>0</v>
      </c>
    </row>
    <row r="57" spans="1:20" x14ac:dyDescent="0.2">
      <c r="A57" s="5" t="s">
        <v>480</v>
      </c>
      <c r="B57" s="5" t="s">
        <v>17</v>
      </c>
      <c r="C57" s="8" t="s">
        <v>721</v>
      </c>
      <c r="D57" s="7">
        <f t="shared" si="0"/>
        <v>15.259999999999998</v>
      </c>
      <c r="E57" s="5">
        <v>31</v>
      </c>
      <c r="F57" s="5">
        <v>22</v>
      </c>
      <c r="G57" s="5">
        <v>269</v>
      </c>
      <c r="H57" s="5">
        <v>2</v>
      </c>
      <c r="I57" s="5">
        <v>2</v>
      </c>
      <c r="J57" s="9">
        <v>0</v>
      </c>
      <c r="K57" s="5">
        <v>3</v>
      </c>
      <c r="L57" s="5">
        <v>5</v>
      </c>
      <c r="M57" s="5">
        <v>0</v>
      </c>
      <c r="N57" s="9">
        <v>0</v>
      </c>
      <c r="O57" s="5">
        <v>0</v>
      </c>
      <c r="P57" s="5">
        <v>0</v>
      </c>
      <c r="Q57" s="5">
        <v>0</v>
      </c>
      <c r="R57" s="9">
        <v>0</v>
      </c>
      <c r="S57" s="5">
        <v>0</v>
      </c>
      <c r="T57" s="5">
        <v>0</v>
      </c>
    </row>
    <row r="58" spans="1:20" x14ac:dyDescent="0.2">
      <c r="A58" s="5" t="s">
        <v>189</v>
      </c>
      <c r="B58" s="5" t="s">
        <v>162</v>
      </c>
      <c r="C58" s="8" t="s">
        <v>732</v>
      </c>
      <c r="D58" s="7">
        <f t="shared" si="0"/>
        <v>15.2</v>
      </c>
      <c r="E58" s="5">
        <v>0</v>
      </c>
      <c r="F58" s="5">
        <v>0</v>
      </c>
      <c r="G58" s="5">
        <v>0</v>
      </c>
      <c r="H58" s="5">
        <v>0</v>
      </c>
      <c r="I58" s="5">
        <v>0</v>
      </c>
      <c r="J58" s="9">
        <v>0</v>
      </c>
      <c r="K58" s="5">
        <v>0</v>
      </c>
      <c r="L58" s="5">
        <v>0</v>
      </c>
      <c r="M58" s="5">
        <v>0</v>
      </c>
      <c r="N58" s="9">
        <v>0</v>
      </c>
      <c r="O58" s="5">
        <v>3</v>
      </c>
      <c r="P58" s="5">
        <v>62</v>
      </c>
      <c r="Q58" s="5">
        <v>1</v>
      </c>
      <c r="R58" s="9">
        <v>0</v>
      </c>
      <c r="S58" s="5">
        <v>0</v>
      </c>
      <c r="T58" s="5">
        <v>0</v>
      </c>
    </row>
    <row r="59" spans="1:20" x14ac:dyDescent="0.2">
      <c r="A59" s="5" t="s">
        <v>699</v>
      </c>
      <c r="B59" s="5" t="s">
        <v>69</v>
      </c>
      <c r="C59" s="8" t="s">
        <v>723</v>
      </c>
      <c r="D59" s="7">
        <f t="shared" si="0"/>
        <v>15</v>
      </c>
      <c r="E59" s="5">
        <v>0</v>
      </c>
      <c r="F59" s="5">
        <v>0</v>
      </c>
      <c r="G59" s="5">
        <v>0</v>
      </c>
      <c r="H59" s="5">
        <v>0</v>
      </c>
      <c r="I59" s="5">
        <v>0</v>
      </c>
      <c r="J59" s="9">
        <v>0</v>
      </c>
      <c r="K59" s="5">
        <v>0</v>
      </c>
      <c r="L59" s="5">
        <v>0</v>
      </c>
      <c r="M59" s="5">
        <v>0</v>
      </c>
      <c r="N59" s="9">
        <v>0</v>
      </c>
      <c r="O59" s="5">
        <v>4</v>
      </c>
      <c r="P59" s="5">
        <v>50</v>
      </c>
      <c r="Q59" s="5">
        <v>1</v>
      </c>
      <c r="R59" s="9">
        <v>0</v>
      </c>
      <c r="S59" s="5">
        <v>0</v>
      </c>
      <c r="T59" s="5">
        <v>0</v>
      </c>
    </row>
    <row r="60" spans="1:20" x14ac:dyDescent="0.2">
      <c r="A60" s="5" t="s">
        <v>241</v>
      </c>
      <c r="B60" s="5" t="s">
        <v>162</v>
      </c>
      <c r="C60" s="8" t="s">
        <v>721</v>
      </c>
      <c r="D60" s="7">
        <f t="shared" si="0"/>
        <v>14.9</v>
      </c>
      <c r="E60" s="5">
        <v>0</v>
      </c>
      <c r="F60" s="5">
        <v>0</v>
      </c>
      <c r="G60" s="5">
        <v>0</v>
      </c>
      <c r="H60" s="5">
        <v>0</v>
      </c>
      <c r="I60" s="5">
        <v>0</v>
      </c>
      <c r="J60" s="9">
        <v>0</v>
      </c>
      <c r="K60" s="5">
        <v>0</v>
      </c>
      <c r="L60" s="5">
        <v>0</v>
      </c>
      <c r="M60" s="5">
        <v>0</v>
      </c>
      <c r="N60" s="9">
        <v>0</v>
      </c>
      <c r="O60" s="5">
        <v>6</v>
      </c>
      <c r="P60" s="5">
        <v>89</v>
      </c>
      <c r="Q60" s="5">
        <v>0</v>
      </c>
      <c r="R60" s="9">
        <v>0</v>
      </c>
      <c r="S60" s="5">
        <v>0</v>
      </c>
      <c r="T60" s="5">
        <v>0</v>
      </c>
    </row>
    <row r="61" spans="1:20" x14ac:dyDescent="0.2">
      <c r="A61" s="5" t="s">
        <v>293</v>
      </c>
      <c r="B61" s="5" t="s">
        <v>69</v>
      </c>
      <c r="C61" s="8" t="s">
        <v>724</v>
      </c>
      <c r="D61" s="7">
        <f t="shared" si="0"/>
        <v>14.7</v>
      </c>
      <c r="E61" s="5">
        <v>0</v>
      </c>
      <c r="F61" s="5">
        <v>0</v>
      </c>
      <c r="G61" s="5">
        <v>0</v>
      </c>
      <c r="H61" s="5">
        <v>0</v>
      </c>
      <c r="I61" s="5">
        <v>0</v>
      </c>
      <c r="J61" s="9">
        <v>0</v>
      </c>
      <c r="K61" s="5">
        <v>0</v>
      </c>
      <c r="L61" s="5">
        <v>0</v>
      </c>
      <c r="M61" s="5">
        <v>0</v>
      </c>
      <c r="N61" s="9">
        <v>0</v>
      </c>
      <c r="O61" s="5">
        <v>3</v>
      </c>
      <c r="P61" s="5">
        <v>57</v>
      </c>
      <c r="Q61" s="5">
        <v>1</v>
      </c>
      <c r="R61" s="9">
        <v>0</v>
      </c>
      <c r="S61" s="5">
        <v>0</v>
      </c>
      <c r="T61" s="5">
        <v>0</v>
      </c>
    </row>
    <row r="62" spans="1:20" x14ac:dyDescent="0.2">
      <c r="A62" s="5" t="s">
        <v>214</v>
      </c>
      <c r="B62" s="5" t="s">
        <v>162</v>
      </c>
      <c r="C62" s="8" t="s">
        <v>725</v>
      </c>
      <c r="D62" s="7">
        <f t="shared" si="0"/>
        <v>14.7</v>
      </c>
      <c r="E62" s="5">
        <v>0</v>
      </c>
      <c r="F62" s="5">
        <v>0</v>
      </c>
      <c r="G62" s="5">
        <v>0</v>
      </c>
      <c r="H62" s="5">
        <v>0</v>
      </c>
      <c r="I62" s="5">
        <v>0</v>
      </c>
      <c r="J62" s="9">
        <v>0</v>
      </c>
      <c r="K62" s="5">
        <v>0</v>
      </c>
      <c r="L62" s="5">
        <v>0</v>
      </c>
      <c r="M62" s="5">
        <v>0</v>
      </c>
      <c r="N62" s="9">
        <v>0</v>
      </c>
      <c r="O62" s="5">
        <v>3</v>
      </c>
      <c r="P62" s="5">
        <v>57</v>
      </c>
      <c r="Q62" s="5">
        <v>1</v>
      </c>
      <c r="R62" s="9">
        <v>0</v>
      </c>
      <c r="S62" s="5">
        <v>0</v>
      </c>
      <c r="T62" s="5">
        <v>0</v>
      </c>
    </row>
    <row r="63" spans="1:20" x14ac:dyDescent="0.2">
      <c r="A63" s="5" t="s">
        <v>343</v>
      </c>
      <c r="B63" s="5" t="s">
        <v>69</v>
      </c>
      <c r="C63" s="8" t="s">
        <v>729</v>
      </c>
      <c r="D63" s="7">
        <f t="shared" si="0"/>
        <v>14.3</v>
      </c>
      <c r="E63" s="5">
        <v>0</v>
      </c>
      <c r="F63" s="5">
        <v>0</v>
      </c>
      <c r="G63" s="5">
        <v>0</v>
      </c>
      <c r="H63" s="5">
        <v>0</v>
      </c>
      <c r="I63" s="5">
        <v>0</v>
      </c>
      <c r="J63" s="9">
        <v>0</v>
      </c>
      <c r="K63" s="5">
        <v>0</v>
      </c>
      <c r="L63" s="5">
        <v>0</v>
      </c>
      <c r="M63" s="5">
        <v>0</v>
      </c>
      <c r="N63" s="9">
        <v>0</v>
      </c>
      <c r="O63" s="5">
        <v>6</v>
      </c>
      <c r="P63" s="5">
        <v>83</v>
      </c>
      <c r="Q63" s="5">
        <v>0</v>
      </c>
      <c r="R63" s="9">
        <v>0</v>
      </c>
      <c r="S63" s="5">
        <v>0</v>
      </c>
      <c r="T63" s="5">
        <v>0</v>
      </c>
    </row>
    <row r="64" spans="1:20" x14ac:dyDescent="0.2">
      <c r="A64" s="5" t="s">
        <v>83</v>
      </c>
      <c r="B64" s="5" t="s">
        <v>75</v>
      </c>
      <c r="C64" s="8" t="s">
        <v>723</v>
      </c>
      <c r="D64" s="7">
        <f t="shared" si="0"/>
        <v>14.3</v>
      </c>
      <c r="E64" s="5">
        <v>0</v>
      </c>
      <c r="F64" s="5">
        <v>0</v>
      </c>
      <c r="G64" s="5">
        <v>0</v>
      </c>
      <c r="H64" s="5">
        <v>0</v>
      </c>
      <c r="I64" s="5">
        <v>0</v>
      </c>
      <c r="J64" s="9">
        <v>0</v>
      </c>
      <c r="K64" s="5">
        <v>25</v>
      </c>
      <c r="L64" s="5">
        <v>114</v>
      </c>
      <c r="M64" s="5">
        <v>0</v>
      </c>
      <c r="N64" s="9">
        <v>0</v>
      </c>
      <c r="O64" s="5">
        <v>3</v>
      </c>
      <c r="P64" s="5">
        <v>-1</v>
      </c>
      <c r="Q64" s="5">
        <v>0</v>
      </c>
      <c r="R64" s="9">
        <v>0</v>
      </c>
      <c r="S64" s="5">
        <v>0</v>
      </c>
      <c r="T64" s="5">
        <v>0</v>
      </c>
    </row>
    <row r="65" spans="1:20" x14ac:dyDescent="0.2">
      <c r="A65" s="5" t="s">
        <v>70</v>
      </c>
      <c r="B65" s="5" t="s">
        <v>17</v>
      </c>
      <c r="C65" s="8" t="s">
        <v>730</v>
      </c>
      <c r="D65" s="7">
        <f t="shared" si="0"/>
        <v>14.1</v>
      </c>
      <c r="E65" s="5">
        <v>39</v>
      </c>
      <c r="F65" s="5">
        <v>26</v>
      </c>
      <c r="G65" s="5">
        <v>240</v>
      </c>
      <c r="H65" s="5">
        <v>1</v>
      </c>
      <c r="I65" s="5">
        <v>1</v>
      </c>
      <c r="J65" s="9">
        <v>1</v>
      </c>
      <c r="K65" s="5">
        <v>2</v>
      </c>
      <c r="L65" s="5">
        <v>5</v>
      </c>
      <c r="M65" s="5">
        <v>0</v>
      </c>
      <c r="N65" s="9">
        <v>0</v>
      </c>
      <c r="O65" s="5">
        <v>0</v>
      </c>
      <c r="P65" s="5">
        <v>0</v>
      </c>
      <c r="Q65" s="5">
        <v>0</v>
      </c>
      <c r="R65" s="9">
        <v>0</v>
      </c>
      <c r="S65" s="5">
        <v>0</v>
      </c>
      <c r="T65" s="5">
        <v>0</v>
      </c>
    </row>
    <row r="66" spans="1:20" x14ac:dyDescent="0.2">
      <c r="A66" s="5" t="s">
        <v>170</v>
      </c>
      <c r="B66" s="5" t="s">
        <v>162</v>
      </c>
      <c r="C66" s="8" t="s">
        <v>723</v>
      </c>
      <c r="D66" s="7">
        <f t="shared" si="0"/>
        <v>14</v>
      </c>
      <c r="E66" s="5">
        <v>0</v>
      </c>
      <c r="F66" s="5">
        <v>0</v>
      </c>
      <c r="G66" s="5">
        <v>0</v>
      </c>
      <c r="H66" s="5">
        <v>0</v>
      </c>
      <c r="I66" s="5">
        <v>0</v>
      </c>
      <c r="J66" s="9">
        <v>0</v>
      </c>
      <c r="K66" s="5">
        <v>1</v>
      </c>
      <c r="L66" s="5">
        <v>6</v>
      </c>
      <c r="M66" s="5">
        <v>0</v>
      </c>
      <c r="N66" s="9">
        <v>0</v>
      </c>
      <c r="O66" s="5">
        <v>5</v>
      </c>
      <c r="P66" s="5">
        <v>84</v>
      </c>
      <c r="Q66" s="5">
        <v>0</v>
      </c>
      <c r="R66" s="9">
        <v>0</v>
      </c>
      <c r="S66" s="5">
        <v>0</v>
      </c>
      <c r="T66" s="5">
        <v>0</v>
      </c>
    </row>
    <row r="67" spans="1:20" x14ac:dyDescent="0.2">
      <c r="A67" s="5" t="s">
        <v>196</v>
      </c>
      <c r="B67" s="5" t="s">
        <v>162</v>
      </c>
      <c r="C67" s="8" t="s">
        <v>728</v>
      </c>
      <c r="D67" s="7">
        <f t="shared" si="0"/>
        <v>13.9</v>
      </c>
      <c r="E67" s="5">
        <v>0</v>
      </c>
      <c r="F67" s="5">
        <v>0</v>
      </c>
      <c r="G67" s="5">
        <v>0</v>
      </c>
      <c r="H67" s="5">
        <v>0</v>
      </c>
      <c r="I67" s="5">
        <v>0</v>
      </c>
      <c r="J67" s="9">
        <v>0</v>
      </c>
      <c r="K67" s="5">
        <v>0</v>
      </c>
      <c r="L67" s="5">
        <v>0</v>
      </c>
      <c r="M67" s="5">
        <v>0</v>
      </c>
      <c r="N67" s="9">
        <v>0</v>
      </c>
      <c r="O67" s="5">
        <v>6</v>
      </c>
      <c r="P67" s="5">
        <v>79</v>
      </c>
      <c r="Q67" s="5">
        <v>0</v>
      </c>
      <c r="R67" s="9">
        <v>0</v>
      </c>
      <c r="S67" s="5">
        <v>0</v>
      </c>
      <c r="T67" s="5">
        <v>0</v>
      </c>
    </row>
    <row r="68" spans="1:20" x14ac:dyDescent="0.2">
      <c r="A68" s="5" t="s">
        <v>251</v>
      </c>
      <c r="B68" s="5" t="s">
        <v>162</v>
      </c>
      <c r="C68" s="8" t="s">
        <v>733</v>
      </c>
      <c r="D68" s="7">
        <f t="shared" si="0"/>
        <v>13.8</v>
      </c>
      <c r="E68" s="5">
        <v>0</v>
      </c>
      <c r="F68" s="5">
        <v>0</v>
      </c>
      <c r="G68" s="5">
        <v>0</v>
      </c>
      <c r="H68" s="5">
        <v>0</v>
      </c>
      <c r="I68" s="5">
        <v>0</v>
      </c>
      <c r="J68" s="9">
        <v>0</v>
      </c>
      <c r="K68" s="5">
        <v>0</v>
      </c>
      <c r="L68" s="5">
        <v>0</v>
      </c>
      <c r="M68" s="5">
        <v>0</v>
      </c>
      <c r="N68" s="9">
        <v>0</v>
      </c>
      <c r="O68" s="5">
        <v>3</v>
      </c>
      <c r="P68" s="5">
        <v>48</v>
      </c>
      <c r="Q68" s="5">
        <v>1</v>
      </c>
      <c r="R68" s="9">
        <v>0</v>
      </c>
      <c r="S68" s="5">
        <v>0</v>
      </c>
      <c r="T68" s="5">
        <v>0</v>
      </c>
    </row>
    <row r="69" spans="1:20" x14ac:dyDescent="0.2">
      <c r="A69" s="5" t="s">
        <v>23</v>
      </c>
      <c r="B69" s="5" t="s">
        <v>17</v>
      </c>
      <c r="C69" s="8" t="s">
        <v>729</v>
      </c>
      <c r="D69" s="7">
        <f t="shared" si="0"/>
        <v>13.64</v>
      </c>
      <c r="E69" s="5">
        <v>43</v>
      </c>
      <c r="F69" s="5">
        <v>25</v>
      </c>
      <c r="G69" s="5">
        <v>271</v>
      </c>
      <c r="H69" s="5">
        <v>1</v>
      </c>
      <c r="I69" s="5">
        <v>1</v>
      </c>
      <c r="J69" s="9">
        <v>0</v>
      </c>
      <c r="K69" s="5">
        <v>1</v>
      </c>
      <c r="L69" s="5">
        <v>8</v>
      </c>
      <c r="M69" s="5">
        <v>0</v>
      </c>
      <c r="N69" s="9">
        <v>0</v>
      </c>
      <c r="O69" s="5">
        <v>0</v>
      </c>
      <c r="P69" s="5">
        <v>0</v>
      </c>
      <c r="Q69" s="5">
        <v>0</v>
      </c>
      <c r="R69" s="9">
        <v>0</v>
      </c>
      <c r="S69" s="5">
        <v>0</v>
      </c>
      <c r="T69" s="5">
        <v>0</v>
      </c>
    </row>
    <row r="70" spans="1:20" x14ac:dyDescent="0.2">
      <c r="A70" s="5" t="s">
        <v>627</v>
      </c>
      <c r="B70" s="5" t="s">
        <v>162</v>
      </c>
      <c r="C70" s="8" t="s">
        <v>723</v>
      </c>
      <c r="D70" s="7">
        <f t="shared" si="0"/>
        <v>13.600000000000001</v>
      </c>
      <c r="E70" s="5">
        <v>0</v>
      </c>
      <c r="F70" s="5">
        <v>0</v>
      </c>
      <c r="G70" s="5">
        <v>0</v>
      </c>
      <c r="H70" s="5">
        <v>0</v>
      </c>
      <c r="I70" s="5">
        <v>0</v>
      </c>
      <c r="J70" s="9">
        <v>0</v>
      </c>
      <c r="K70" s="5">
        <v>0</v>
      </c>
      <c r="L70" s="5">
        <v>0</v>
      </c>
      <c r="M70" s="5">
        <v>0</v>
      </c>
      <c r="N70" s="9">
        <v>0</v>
      </c>
      <c r="O70" s="5">
        <v>3</v>
      </c>
      <c r="P70" s="5">
        <v>46</v>
      </c>
      <c r="Q70" s="5">
        <v>1</v>
      </c>
      <c r="R70" s="9">
        <v>0</v>
      </c>
      <c r="S70" s="5">
        <v>0</v>
      </c>
      <c r="T70" s="5">
        <v>0</v>
      </c>
    </row>
    <row r="71" spans="1:20" x14ac:dyDescent="0.2">
      <c r="A71" s="5" t="s">
        <v>470</v>
      </c>
      <c r="B71" s="5" t="s">
        <v>75</v>
      </c>
      <c r="C71" s="8" t="s">
        <v>734</v>
      </c>
      <c r="D71" s="7">
        <f t="shared" si="0"/>
        <v>13.500000000000002</v>
      </c>
      <c r="E71" s="5">
        <v>0</v>
      </c>
      <c r="F71" s="5">
        <v>0</v>
      </c>
      <c r="G71" s="5">
        <v>0</v>
      </c>
      <c r="H71" s="5">
        <v>0</v>
      </c>
      <c r="I71" s="5">
        <v>0</v>
      </c>
      <c r="J71" s="9">
        <v>0</v>
      </c>
      <c r="K71" s="5">
        <v>12</v>
      </c>
      <c r="L71" s="5">
        <v>56</v>
      </c>
      <c r="M71" s="5">
        <v>1</v>
      </c>
      <c r="N71" s="9">
        <v>0</v>
      </c>
      <c r="O71" s="5">
        <v>3</v>
      </c>
      <c r="P71" s="5">
        <v>-11</v>
      </c>
      <c r="Q71" s="5">
        <v>0</v>
      </c>
      <c r="R71" s="9">
        <v>0</v>
      </c>
      <c r="S71" s="5">
        <v>0</v>
      </c>
      <c r="T71" s="5">
        <v>0</v>
      </c>
    </row>
    <row r="72" spans="1:20" x14ac:dyDescent="0.2">
      <c r="A72" s="5" t="s">
        <v>191</v>
      </c>
      <c r="B72" s="5" t="s">
        <v>162</v>
      </c>
      <c r="C72" s="8" t="s">
        <v>726</v>
      </c>
      <c r="D72" s="7">
        <f t="shared" si="0"/>
        <v>13.4</v>
      </c>
      <c r="E72" s="5">
        <v>0</v>
      </c>
      <c r="F72" s="5">
        <v>0</v>
      </c>
      <c r="G72" s="5">
        <v>0</v>
      </c>
      <c r="H72" s="5">
        <v>0</v>
      </c>
      <c r="I72" s="5">
        <v>0</v>
      </c>
      <c r="J72" s="9">
        <v>0</v>
      </c>
      <c r="K72" s="5">
        <v>0</v>
      </c>
      <c r="L72" s="5">
        <v>0</v>
      </c>
      <c r="M72" s="5">
        <v>0</v>
      </c>
      <c r="N72" s="9">
        <v>0</v>
      </c>
      <c r="O72" s="5">
        <v>3</v>
      </c>
      <c r="P72" s="5">
        <v>44</v>
      </c>
      <c r="Q72" s="5">
        <v>1</v>
      </c>
      <c r="R72" s="9">
        <v>0</v>
      </c>
      <c r="S72" s="5">
        <v>0</v>
      </c>
      <c r="T72" s="5">
        <v>0</v>
      </c>
    </row>
    <row r="73" spans="1:20" x14ac:dyDescent="0.2">
      <c r="A73" s="5" t="s">
        <v>136</v>
      </c>
      <c r="B73" s="5" t="s">
        <v>75</v>
      </c>
      <c r="C73" s="8" t="s">
        <v>722</v>
      </c>
      <c r="D73" s="7">
        <f t="shared" si="0"/>
        <v>13.200000000000001</v>
      </c>
      <c r="E73" s="5">
        <v>0</v>
      </c>
      <c r="F73" s="5">
        <v>0</v>
      </c>
      <c r="G73" s="5">
        <v>0</v>
      </c>
      <c r="H73" s="5">
        <v>0</v>
      </c>
      <c r="I73" s="5">
        <v>0</v>
      </c>
      <c r="J73" s="9">
        <v>0</v>
      </c>
      <c r="K73" s="5">
        <v>12</v>
      </c>
      <c r="L73" s="5">
        <v>51</v>
      </c>
      <c r="M73" s="5">
        <v>0</v>
      </c>
      <c r="N73" s="9">
        <v>0</v>
      </c>
      <c r="O73" s="5">
        <v>5</v>
      </c>
      <c r="P73" s="5">
        <v>31</v>
      </c>
      <c r="Q73" s="5">
        <v>0</v>
      </c>
      <c r="R73" s="9">
        <v>0</v>
      </c>
      <c r="S73" s="5">
        <v>0</v>
      </c>
      <c r="T73" s="5">
        <v>0</v>
      </c>
    </row>
    <row r="74" spans="1:20" x14ac:dyDescent="0.2">
      <c r="A74" s="5" t="s">
        <v>188</v>
      </c>
      <c r="B74" s="5" t="s">
        <v>162</v>
      </c>
      <c r="C74" s="8" t="s">
        <v>721</v>
      </c>
      <c r="D74" s="7">
        <f t="shared" si="0"/>
        <v>13.2</v>
      </c>
      <c r="E74" s="5">
        <v>0</v>
      </c>
      <c r="F74" s="5">
        <v>0</v>
      </c>
      <c r="G74" s="5">
        <v>0</v>
      </c>
      <c r="H74" s="5">
        <v>0</v>
      </c>
      <c r="I74" s="5">
        <v>0</v>
      </c>
      <c r="J74" s="9">
        <v>0</v>
      </c>
      <c r="K74" s="5">
        <v>0</v>
      </c>
      <c r="L74" s="5">
        <v>0</v>
      </c>
      <c r="M74" s="5">
        <v>0</v>
      </c>
      <c r="N74" s="9">
        <v>0</v>
      </c>
      <c r="O74" s="5">
        <v>2</v>
      </c>
      <c r="P74" s="5">
        <v>52</v>
      </c>
      <c r="Q74" s="5">
        <v>1</v>
      </c>
      <c r="R74" s="9">
        <v>0</v>
      </c>
      <c r="S74" s="5">
        <v>0</v>
      </c>
      <c r="T74" s="5">
        <v>0</v>
      </c>
    </row>
    <row r="75" spans="1:20" x14ac:dyDescent="0.2">
      <c r="A75" s="5" t="s">
        <v>216</v>
      </c>
      <c r="B75" s="5" t="s">
        <v>162</v>
      </c>
      <c r="C75" s="8" t="s">
        <v>725</v>
      </c>
      <c r="D75" s="7">
        <f t="shared" si="0"/>
        <v>13</v>
      </c>
      <c r="E75" s="5">
        <v>0</v>
      </c>
      <c r="F75" s="5">
        <v>0</v>
      </c>
      <c r="G75" s="5">
        <v>0</v>
      </c>
      <c r="H75" s="5">
        <v>0</v>
      </c>
      <c r="I75" s="5">
        <v>0</v>
      </c>
      <c r="J75" s="9">
        <v>0</v>
      </c>
      <c r="K75" s="5">
        <v>0</v>
      </c>
      <c r="L75" s="5">
        <v>0</v>
      </c>
      <c r="M75" s="5">
        <v>0</v>
      </c>
      <c r="N75" s="9">
        <v>0</v>
      </c>
      <c r="O75" s="5">
        <v>4</v>
      </c>
      <c r="P75" s="5">
        <v>90</v>
      </c>
      <c r="Q75" s="5">
        <v>0</v>
      </c>
      <c r="R75" s="9">
        <v>0</v>
      </c>
      <c r="S75" s="5">
        <v>0</v>
      </c>
      <c r="T75" s="5">
        <v>0</v>
      </c>
    </row>
    <row r="76" spans="1:20" x14ac:dyDescent="0.2">
      <c r="A76" s="5" t="s">
        <v>185</v>
      </c>
      <c r="B76" s="5" t="s">
        <v>162</v>
      </c>
      <c r="C76" s="8" t="s">
        <v>732</v>
      </c>
      <c r="D76" s="7">
        <f t="shared" si="0"/>
        <v>12.8</v>
      </c>
      <c r="E76" s="5">
        <v>1</v>
      </c>
      <c r="F76" s="5">
        <v>0</v>
      </c>
      <c r="G76" s="5">
        <v>0</v>
      </c>
      <c r="H76" s="5">
        <v>0</v>
      </c>
      <c r="I76" s="5">
        <v>0</v>
      </c>
      <c r="J76" s="9">
        <v>0</v>
      </c>
      <c r="K76" s="5">
        <v>0</v>
      </c>
      <c r="L76" s="5">
        <v>0</v>
      </c>
      <c r="M76" s="5">
        <v>0</v>
      </c>
      <c r="N76" s="9">
        <v>0</v>
      </c>
      <c r="O76" s="5">
        <v>6</v>
      </c>
      <c r="P76" s="5">
        <v>68</v>
      </c>
      <c r="Q76" s="5">
        <v>0</v>
      </c>
      <c r="R76" s="9">
        <v>0</v>
      </c>
      <c r="S76" s="5">
        <v>0</v>
      </c>
      <c r="T76" s="5">
        <v>0</v>
      </c>
    </row>
    <row r="77" spans="1:20" x14ac:dyDescent="0.2">
      <c r="A77" s="5" t="s">
        <v>171</v>
      </c>
      <c r="B77" s="5" t="s">
        <v>162</v>
      </c>
      <c r="C77" s="8" t="s">
        <v>734</v>
      </c>
      <c r="D77" s="7">
        <f t="shared" si="0"/>
        <v>12.8</v>
      </c>
      <c r="E77" s="5">
        <v>0</v>
      </c>
      <c r="F77" s="5">
        <v>0</v>
      </c>
      <c r="G77" s="5">
        <v>0</v>
      </c>
      <c r="H77" s="5">
        <v>0</v>
      </c>
      <c r="I77" s="5">
        <v>0</v>
      </c>
      <c r="J77" s="9">
        <v>0</v>
      </c>
      <c r="K77" s="5">
        <v>0</v>
      </c>
      <c r="L77" s="5">
        <v>0</v>
      </c>
      <c r="M77" s="5">
        <v>0</v>
      </c>
      <c r="N77" s="9">
        <v>0</v>
      </c>
      <c r="O77" s="5">
        <v>4</v>
      </c>
      <c r="P77" s="5">
        <v>28</v>
      </c>
      <c r="Q77" s="5">
        <v>1</v>
      </c>
      <c r="R77" s="9">
        <v>0</v>
      </c>
      <c r="S77" s="5">
        <v>0</v>
      </c>
      <c r="T77" s="5">
        <v>0</v>
      </c>
    </row>
    <row r="78" spans="1:20" x14ac:dyDescent="0.2">
      <c r="A78" s="5" t="s">
        <v>138</v>
      </c>
      <c r="B78" s="5" t="s">
        <v>75</v>
      </c>
      <c r="C78" s="8" t="s">
        <v>729</v>
      </c>
      <c r="D78" s="7">
        <f t="shared" si="0"/>
        <v>12.700000000000001</v>
      </c>
      <c r="E78" s="5">
        <v>0</v>
      </c>
      <c r="F78" s="5">
        <v>0</v>
      </c>
      <c r="G78" s="5">
        <v>0</v>
      </c>
      <c r="H78" s="5">
        <v>0</v>
      </c>
      <c r="I78" s="5">
        <v>0</v>
      </c>
      <c r="J78" s="9">
        <v>0</v>
      </c>
      <c r="K78" s="5">
        <v>4</v>
      </c>
      <c r="L78" s="5">
        <v>19</v>
      </c>
      <c r="M78" s="5">
        <v>1</v>
      </c>
      <c r="N78" s="9">
        <v>0</v>
      </c>
      <c r="O78" s="5">
        <v>3</v>
      </c>
      <c r="P78" s="5">
        <v>18</v>
      </c>
      <c r="Q78" s="5">
        <v>0</v>
      </c>
      <c r="R78" s="9">
        <v>0</v>
      </c>
      <c r="S78" s="5">
        <v>0</v>
      </c>
      <c r="T78" s="5">
        <v>0</v>
      </c>
    </row>
    <row r="79" spans="1:20" x14ac:dyDescent="0.2">
      <c r="A79" s="5" t="s">
        <v>218</v>
      </c>
      <c r="B79" s="5" t="s">
        <v>162</v>
      </c>
      <c r="C79" s="8" t="s">
        <v>722</v>
      </c>
      <c r="D79" s="7">
        <f t="shared" si="0"/>
        <v>12.7</v>
      </c>
      <c r="E79" s="5">
        <v>0</v>
      </c>
      <c r="F79" s="5">
        <v>0</v>
      </c>
      <c r="G79" s="5">
        <v>0</v>
      </c>
      <c r="H79" s="5">
        <v>0</v>
      </c>
      <c r="I79" s="5">
        <v>0</v>
      </c>
      <c r="J79" s="9">
        <v>0</v>
      </c>
      <c r="K79" s="5">
        <v>0</v>
      </c>
      <c r="L79" s="5">
        <v>0</v>
      </c>
      <c r="M79" s="5">
        <v>0</v>
      </c>
      <c r="N79" s="9">
        <v>0</v>
      </c>
      <c r="O79" s="5">
        <v>7</v>
      </c>
      <c r="P79" s="5">
        <v>77</v>
      </c>
      <c r="Q79" s="5">
        <v>0</v>
      </c>
      <c r="R79" s="9">
        <v>0</v>
      </c>
      <c r="S79" s="5">
        <v>1</v>
      </c>
      <c r="T79" s="5">
        <v>0</v>
      </c>
    </row>
    <row r="80" spans="1:20" x14ac:dyDescent="0.2">
      <c r="A80" s="5" t="s">
        <v>151</v>
      </c>
      <c r="B80" s="5" t="s">
        <v>75</v>
      </c>
      <c r="C80" s="8" t="s">
        <v>727</v>
      </c>
      <c r="D80" s="7">
        <f t="shared" si="0"/>
        <v>12.5</v>
      </c>
      <c r="E80" s="5">
        <v>0</v>
      </c>
      <c r="F80" s="5">
        <v>0</v>
      </c>
      <c r="G80" s="5">
        <v>0</v>
      </c>
      <c r="H80" s="5">
        <v>0</v>
      </c>
      <c r="I80" s="5">
        <v>0</v>
      </c>
      <c r="J80" s="9">
        <v>0</v>
      </c>
      <c r="K80" s="5">
        <v>13</v>
      </c>
      <c r="L80" s="5">
        <v>65</v>
      </c>
      <c r="M80" s="5">
        <v>1</v>
      </c>
      <c r="N80" s="9">
        <v>0</v>
      </c>
      <c r="O80" s="5">
        <v>0</v>
      </c>
      <c r="P80" s="5">
        <v>0</v>
      </c>
      <c r="Q80" s="5">
        <v>0</v>
      </c>
      <c r="R80" s="9">
        <v>0</v>
      </c>
      <c r="S80" s="5">
        <v>0</v>
      </c>
      <c r="T80" s="5">
        <v>0</v>
      </c>
    </row>
    <row r="81" spans="1:20" x14ac:dyDescent="0.2">
      <c r="A81" s="5" t="s">
        <v>246</v>
      </c>
      <c r="B81" s="5" t="s">
        <v>162</v>
      </c>
      <c r="C81" s="8" t="s">
        <v>734</v>
      </c>
      <c r="D81" s="7">
        <f t="shared" si="0"/>
        <v>12.4</v>
      </c>
      <c r="E81" s="5">
        <v>0</v>
      </c>
      <c r="F81" s="5">
        <v>0</v>
      </c>
      <c r="G81" s="5">
        <v>0</v>
      </c>
      <c r="H81" s="5">
        <v>0</v>
      </c>
      <c r="I81" s="5">
        <v>0</v>
      </c>
      <c r="J81" s="9">
        <v>0</v>
      </c>
      <c r="K81" s="5">
        <v>0</v>
      </c>
      <c r="L81" s="5">
        <v>0</v>
      </c>
      <c r="M81" s="5">
        <v>0</v>
      </c>
      <c r="N81" s="9">
        <v>0</v>
      </c>
      <c r="O81" s="5">
        <v>5</v>
      </c>
      <c r="P81" s="5">
        <v>74</v>
      </c>
      <c r="Q81" s="5">
        <v>0</v>
      </c>
      <c r="R81" s="9">
        <v>0</v>
      </c>
      <c r="S81" s="5">
        <v>0</v>
      </c>
      <c r="T81" s="5">
        <v>0</v>
      </c>
    </row>
    <row r="82" spans="1:20" x14ac:dyDescent="0.2">
      <c r="A82" s="5" t="s">
        <v>190</v>
      </c>
      <c r="B82" s="5" t="s">
        <v>162</v>
      </c>
      <c r="C82" s="8" t="s">
        <v>735</v>
      </c>
      <c r="D82" s="7">
        <f t="shared" si="0"/>
        <v>12.3</v>
      </c>
      <c r="E82" s="5">
        <v>0</v>
      </c>
      <c r="F82" s="5">
        <v>0</v>
      </c>
      <c r="G82" s="5">
        <v>0</v>
      </c>
      <c r="H82" s="5">
        <v>0</v>
      </c>
      <c r="I82" s="5">
        <v>0</v>
      </c>
      <c r="J82" s="9">
        <v>0</v>
      </c>
      <c r="K82" s="5">
        <v>0</v>
      </c>
      <c r="L82" s="5">
        <v>0</v>
      </c>
      <c r="M82" s="5">
        <v>0</v>
      </c>
      <c r="N82" s="9">
        <v>0</v>
      </c>
      <c r="O82" s="5">
        <v>7</v>
      </c>
      <c r="P82" s="5">
        <v>53</v>
      </c>
      <c r="Q82" s="5">
        <v>0</v>
      </c>
      <c r="R82" s="9">
        <v>0</v>
      </c>
      <c r="S82" s="5">
        <v>0</v>
      </c>
      <c r="T82" s="5">
        <v>0</v>
      </c>
    </row>
    <row r="83" spans="1:20" x14ac:dyDescent="0.2">
      <c r="A83" s="5" t="s">
        <v>134</v>
      </c>
      <c r="B83" s="5" t="s">
        <v>75</v>
      </c>
      <c r="C83" s="8" t="s">
        <v>733</v>
      </c>
      <c r="D83" s="7">
        <f t="shared" si="0"/>
        <v>12.200000000000001</v>
      </c>
      <c r="E83" s="5">
        <v>0</v>
      </c>
      <c r="F83" s="5">
        <v>0</v>
      </c>
      <c r="G83" s="5">
        <v>0</v>
      </c>
      <c r="H83" s="5">
        <v>0</v>
      </c>
      <c r="I83" s="5">
        <v>0</v>
      </c>
      <c r="J83" s="9">
        <v>0</v>
      </c>
      <c r="K83" s="5">
        <v>12</v>
      </c>
      <c r="L83" s="5">
        <v>46</v>
      </c>
      <c r="M83" s="5">
        <v>1</v>
      </c>
      <c r="N83" s="9">
        <v>0</v>
      </c>
      <c r="O83" s="5">
        <v>1</v>
      </c>
      <c r="P83" s="5">
        <v>6</v>
      </c>
      <c r="Q83" s="5">
        <v>0</v>
      </c>
      <c r="R83" s="9">
        <v>0</v>
      </c>
      <c r="S83" s="5">
        <v>0</v>
      </c>
      <c r="T83" s="5">
        <v>0</v>
      </c>
    </row>
    <row r="84" spans="1:20" x14ac:dyDescent="0.2">
      <c r="A84" s="5" t="s">
        <v>304</v>
      </c>
      <c r="B84" s="5" t="s">
        <v>69</v>
      </c>
      <c r="C84" s="8" t="s">
        <v>733</v>
      </c>
      <c r="D84" s="7">
        <f t="shared" si="0"/>
        <v>12.2</v>
      </c>
      <c r="E84" s="5">
        <v>0</v>
      </c>
      <c r="F84" s="5">
        <v>0</v>
      </c>
      <c r="G84" s="5">
        <v>0</v>
      </c>
      <c r="H84" s="5">
        <v>0</v>
      </c>
      <c r="I84" s="5">
        <v>0</v>
      </c>
      <c r="J84" s="9">
        <v>0</v>
      </c>
      <c r="K84" s="5">
        <v>0</v>
      </c>
      <c r="L84" s="5">
        <v>0</v>
      </c>
      <c r="M84" s="5">
        <v>0</v>
      </c>
      <c r="N84" s="9">
        <v>0</v>
      </c>
      <c r="O84" s="5">
        <v>5</v>
      </c>
      <c r="P84" s="5">
        <v>72</v>
      </c>
      <c r="Q84" s="5">
        <v>0</v>
      </c>
      <c r="R84" s="9">
        <v>0</v>
      </c>
      <c r="S84" s="5">
        <v>0</v>
      </c>
      <c r="T84" s="5">
        <v>0</v>
      </c>
    </row>
    <row r="85" spans="1:20" x14ac:dyDescent="0.2">
      <c r="A85" s="5" t="s">
        <v>253</v>
      </c>
      <c r="B85" s="5" t="s">
        <v>162</v>
      </c>
      <c r="C85" s="8" t="s">
        <v>732</v>
      </c>
      <c r="D85" s="7">
        <f t="shared" si="0"/>
        <v>12.1</v>
      </c>
      <c r="E85" s="5">
        <v>0</v>
      </c>
      <c r="F85" s="5">
        <v>0</v>
      </c>
      <c r="G85" s="5">
        <v>0</v>
      </c>
      <c r="H85" s="5">
        <v>0</v>
      </c>
      <c r="I85" s="5">
        <v>0</v>
      </c>
      <c r="J85" s="9">
        <v>0</v>
      </c>
      <c r="K85" s="5">
        <v>0</v>
      </c>
      <c r="L85" s="5">
        <v>0</v>
      </c>
      <c r="M85" s="5">
        <v>0</v>
      </c>
      <c r="N85" s="9">
        <v>0</v>
      </c>
      <c r="O85" s="5">
        <v>3</v>
      </c>
      <c r="P85" s="5">
        <v>91</v>
      </c>
      <c r="Q85" s="5">
        <v>0</v>
      </c>
      <c r="R85" s="9">
        <v>0</v>
      </c>
      <c r="S85" s="5">
        <v>0</v>
      </c>
      <c r="T85" s="5">
        <v>0</v>
      </c>
    </row>
    <row r="86" spans="1:20" x14ac:dyDescent="0.2">
      <c r="A86" s="5" t="s">
        <v>375</v>
      </c>
      <c r="B86" s="5" t="s">
        <v>75</v>
      </c>
      <c r="C86" s="8" t="s">
        <v>728</v>
      </c>
      <c r="D86" s="7">
        <f t="shared" si="0"/>
        <v>12.1</v>
      </c>
      <c r="E86" s="5">
        <v>0</v>
      </c>
      <c r="F86" s="5">
        <v>0</v>
      </c>
      <c r="G86" s="5">
        <v>0</v>
      </c>
      <c r="H86" s="5">
        <v>0</v>
      </c>
      <c r="I86" s="5">
        <v>0</v>
      </c>
      <c r="J86" s="9">
        <v>0</v>
      </c>
      <c r="K86" s="5">
        <v>7</v>
      </c>
      <c r="L86" s="5">
        <v>47</v>
      </c>
      <c r="M86" s="5">
        <v>0</v>
      </c>
      <c r="N86" s="9">
        <v>0</v>
      </c>
      <c r="O86" s="5">
        <v>5</v>
      </c>
      <c r="P86" s="5">
        <v>24</v>
      </c>
      <c r="Q86" s="5">
        <v>0</v>
      </c>
      <c r="R86" s="9">
        <v>0</v>
      </c>
      <c r="S86" s="5">
        <v>0</v>
      </c>
      <c r="T86" s="5">
        <v>0</v>
      </c>
    </row>
    <row r="87" spans="1:20" x14ac:dyDescent="0.2">
      <c r="A87" s="5" t="s">
        <v>277</v>
      </c>
      <c r="B87" s="5" t="s">
        <v>69</v>
      </c>
      <c r="C87" s="8" t="s">
        <v>726</v>
      </c>
      <c r="D87" s="7">
        <f t="shared" si="0"/>
        <v>11.600000000000001</v>
      </c>
      <c r="E87" s="5">
        <v>0</v>
      </c>
      <c r="F87" s="5">
        <v>0</v>
      </c>
      <c r="G87" s="5">
        <v>0</v>
      </c>
      <c r="H87" s="5">
        <v>0</v>
      </c>
      <c r="I87" s="5">
        <v>0</v>
      </c>
      <c r="J87" s="9">
        <v>0</v>
      </c>
      <c r="K87" s="5">
        <v>0</v>
      </c>
      <c r="L87" s="5">
        <v>0</v>
      </c>
      <c r="M87" s="5">
        <v>0</v>
      </c>
      <c r="N87" s="9">
        <v>0</v>
      </c>
      <c r="O87" s="5">
        <v>5</v>
      </c>
      <c r="P87" s="5">
        <v>66</v>
      </c>
      <c r="Q87" s="5">
        <v>0</v>
      </c>
      <c r="R87" s="9">
        <v>0</v>
      </c>
      <c r="S87" s="5">
        <v>0</v>
      </c>
      <c r="T87" s="5">
        <v>0</v>
      </c>
    </row>
    <row r="88" spans="1:20" x14ac:dyDescent="0.2">
      <c r="A88" s="5" t="s">
        <v>108</v>
      </c>
      <c r="B88" s="5" t="s">
        <v>75</v>
      </c>
      <c r="C88" s="8" t="s">
        <v>734</v>
      </c>
      <c r="D88" s="7">
        <f t="shared" si="0"/>
        <v>11.600000000000001</v>
      </c>
      <c r="E88" s="5">
        <v>0</v>
      </c>
      <c r="F88" s="5">
        <v>0</v>
      </c>
      <c r="G88" s="5">
        <v>0</v>
      </c>
      <c r="H88" s="5">
        <v>0</v>
      </c>
      <c r="I88" s="5">
        <v>0</v>
      </c>
      <c r="J88" s="9">
        <v>0</v>
      </c>
      <c r="K88" s="5">
        <v>23</v>
      </c>
      <c r="L88" s="5">
        <v>87</v>
      </c>
      <c r="M88" s="5">
        <v>0</v>
      </c>
      <c r="N88" s="9">
        <v>0</v>
      </c>
      <c r="O88" s="5">
        <v>2</v>
      </c>
      <c r="P88" s="5">
        <v>9</v>
      </c>
      <c r="Q88" s="5">
        <v>0</v>
      </c>
      <c r="R88" s="9">
        <v>0</v>
      </c>
      <c r="S88" s="5">
        <v>0</v>
      </c>
      <c r="T88" s="5">
        <v>0</v>
      </c>
    </row>
    <row r="89" spans="1:20" x14ac:dyDescent="0.2">
      <c r="A89" s="5" t="s">
        <v>90</v>
      </c>
      <c r="B89" s="5" t="s">
        <v>75</v>
      </c>
      <c r="C89" s="8" t="s">
        <v>726</v>
      </c>
      <c r="D89" s="7">
        <f t="shared" si="0"/>
        <v>11.500000000000002</v>
      </c>
      <c r="E89" s="5">
        <v>0</v>
      </c>
      <c r="F89" s="5">
        <v>0</v>
      </c>
      <c r="G89" s="5">
        <v>0</v>
      </c>
      <c r="H89" s="5">
        <v>0</v>
      </c>
      <c r="I89" s="5">
        <v>0</v>
      </c>
      <c r="J89" s="9">
        <v>0</v>
      </c>
      <c r="K89" s="5">
        <v>10</v>
      </c>
      <c r="L89" s="5">
        <v>66</v>
      </c>
      <c r="M89" s="5">
        <v>0</v>
      </c>
      <c r="N89" s="9">
        <v>0</v>
      </c>
      <c r="O89" s="5">
        <v>3</v>
      </c>
      <c r="P89" s="5">
        <v>19</v>
      </c>
      <c r="Q89" s="5">
        <v>0</v>
      </c>
      <c r="R89" s="9">
        <v>0</v>
      </c>
      <c r="S89" s="5">
        <v>0</v>
      </c>
      <c r="T89" s="5">
        <v>0</v>
      </c>
    </row>
    <row r="90" spans="1:20" x14ac:dyDescent="0.2">
      <c r="A90" s="5" t="s">
        <v>358</v>
      </c>
      <c r="B90" s="5" t="s">
        <v>162</v>
      </c>
      <c r="C90" s="8" t="s">
        <v>722</v>
      </c>
      <c r="D90" s="7">
        <f t="shared" si="0"/>
        <v>11.100000000000001</v>
      </c>
      <c r="E90" s="5">
        <v>0</v>
      </c>
      <c r="F90" s="5">
        <v>0</v>
      </c>
      <c r="G90" s="5">
        <v>0</v>
      </c>
      <c r="H90" s="5">
        <v>0</v>
      </c>
      <c r="I90" s="5">
        <v>0</v>
      </c>
      <c r="J90" s="9">
        <v>0</v>
      </c>
      <c r="K90" s="5">
        <v>0</v>
      </c>
      <c r="L90" s="5">
        <v>0</v>
      </c>
      <c r="M90" s="5">
        <v>0</v>
      </c>
      <c r="N90" s="9">
        <v>0</v>
      </c>
      <c r="O90" s="5">
        <v>1</v>
      </c>
      <c r="P90" s="5">
        <v>41</v>
      </c>
      <c r="Q90" s="5">
        <v>1</v>
      </c>
      <c r="R90" s="9">
        <v>0</v>
      </c>
      <c r="S90" s="5">
        <v>0</v>
      </c>
      <c r="T90" s="5">
        <v>0</v>
      </c>
    </row>
    <row r="91" spans="1:20" x14ac:dyDescent="0.2">
      <c r="A91" s="5" t="s">
        <v>318</v>
      </c>
      <c r="B91" s="5" t="s">
        <v>69</v>
      </c>
      <c r="C91" s="8" t="s">
        <v>721</v>
      </c>
      <c r="D91" s="7">
        <f t="shared" si="0"/>
        <v>10.8</v>
      </c>
      <c r="E91" s="5">
        <v>0</v>
      </c>
      <c r="F91" s="5">
        <v>0</v>
      </c>
      <c r="G91" s="5">
        <v>0</v>
      </c>
      <c r="H91" s="5">
        <v>0</v>
      </c>
      <c r="I91" s="5">
        <v>0</v>
      </c>
      <c r="J91" s="9">
        <v>0</v>
      </c>
      <c r="K91" s="5">
        <v>0</v>
      </c>
      <c r="L91" s="5">
        <v>0</v>
      </c>
      <c r="M91" s="5">
        <v>0</v>
      </c>
      <c r="N91" s="9">
        <v>0</v>
      </c>
      <c r="O91" s="5">
        <v>2</v>
      </c>
      <c r="P91" s="5">
        <v>28</v>
      </c>
      <c r="Q91" s="5">
        <v>1</v>
      </c>
      <c r="R91" s="9">
        <v>0</v>
      </c>
      <c r="S91" s="5">
        <v>0</v>
      </c>
      <c r="T91" s="5">
        <v>0</v>
      </c>
    </row>
    <row r="92" spans="1:20" x14ac:dyDescent="0.2">
      <c r="A92" s="5" t="s">
        <v>41</v>
      </c>
      <c r="B92" s="5" t="s">
        <v>17</v>
      </c>
      <c r="C92" s="8" t="s">
        <v>734</v>
      </c>
      <c r="D92" s="7">
        <f t="shared" si="0"/>
        <v>10.76</v>
      </c>
      <c r="E92" s="5">
        <v>26</v>
      </c>
      <c r="F92" s="5">
        <v>18</v>
      </c>
      <c r="G92" s="5">
        <v>119</v>
      </c>
      <c r="H92" s="5">
        <v>2</v>
      </c>
      <c r="I92" s="5">
        <v>1</v>
      </c>
      <c r="J92" s="9">
        <v>0</v>
      </c>
      <c r="K92" s="5">
        <v>0</v>
      </c>
      <c r="L92" s="5">
        <v>0</v>
      </c>
      <c r="M92" s="5">
        <v>0</v>
      </c>
      <c r="N92" s="9">
        <v>0</v>
      </c>
      <c r="O92" s="5">
        <v>0</v>
      </c>
      <c r="P92" s="5">
        <v>0</v>
      </c>
      <c r="Q92" s="5">
        <v>0</v>
      </c>
      <c r="R92" s="9">
        <v>0</v>
      </c>
      <c r="S92" s="5">
        <v>0</v>
      </c>
      <c r="T92" s="5">
        <v>0</v>
      </c>
    </row>
    <row r="93" spans="1:20" x14ac:dyDescent="0.2">
      <c r="A93" s="5" t="s">
        <v>486</v>
      </c>
      <c r="B93" s="5" t="s">
        <v>69</v>
      </c>
      <c r="C93" s="8" t="s">
        <v>731</v>
      </c>
      <c r="D93" s="7">
        <f t="shared" si="0"/>
        <v>10.4</v>
      </c>
      <c r="E93" s="5">
        <v>0</v>
      </c>
      <c r="F93" s="5">
        <v>0</v>
      </c>
      <c r="G93" s="5">
        <v>0</v>
      </c>
      <c r="H93" s="5">
        <v>0</v>
      </c>
      <c r="I93" s="5">
        <v>0</v>
      </c>
      <c r="J93" s="9">
        <v>0</v>
      </c>
      <c r="K93" s="5">
        <v>0</v>
      </c>
      <c r="L93" s="5">
        <v>0</v>
      </c>
      <c r="M93" s="5">
        <v>0</v>
      </c>
      <c r="N93" s="9">
        <v>0</v>
      </c>
      <c r="O93" s="5">
        <v>4</v>
      </c>
      <c r="P93" s="5">
        <v>64</v>
      </c>
      <c r="Q93" s="5">
        <v>0</v>
      </c>
      <c r="R93" s="9">
        <v>0</v>
      </c>
      <c r="S93" s="5">
        <v>0</v>
      </c>
      <c r="T93" s="5">
        <v>0</v>
      </c>
    </row>
    <row r="94" spans="1:20" x14ac:dyDescent="0.2">
      <c r="A94" s="5" t="s">
        <v>273</v>
      </c>
      <c r="B94" s="5" t="s">
        <v>69</v>
      </c>
      <c r="C94" s="8" t="s">
        <v>735</v>
      </c>
      <c r="D94" s="7">
        <f t="shared" si="0"/>
        <v>10.3</v>
      </c>
      <c r="E94" s="5">
        <v>0</v>
      </c>
      <c r="F94" s="5">
        <v>0</v>
      </c>
      <c r="G94" s="5">
        <v>0</v>
      </c>
      <c r="H94" s="5">
        <v>0</v>
      </c>
      <c r="I94" s="5">
        <v>0</v>
      </c>
      <c r="J94" s="9">
        <v>0</v>
      </c>
      <c r="K94" s="5">
        <v>0</v>
      </c>
      <c r="L94" s="5">
        <v>0</v>
      </c>
      <c r="M94" s="5">
        <v>0</v>
      </c>
      <c r="N94" s="9">
        <v>0</v>
      </c>
      <c r="O94" s="5">
        <v>5</v>
      </c>
      <c r="P94" s="5">
        <v>53</v>
      </c>
      <c r="Q94" s="5">
        <v>0</v>
      </c>
      <c r="R94" s="9">
        <v>0</v>
      </c>
      <c r="S94" s="5">
        <v>0</v>
      </c>
      <c r="T94" s="5">
        <v>0</v>
      </c>
    </row>
    <row r="95" spans="1:20" x14ac:dyDescent="0.2">
      <c r="A95" s="5" t="s">
        <v>177</v>
      </c>
      <c r="B95" s="5" t="s">
        <v>162</v>
      </c>
      <c r="C95" s="8" t="s">
        <v>733</v>
      </c>
      <c r="D95" s="7">
        <f t="shared" si="0"/>
        <v>10.3</v>
      </c>
      <c r="E95" s="5">
        <v>0</v>
      </c>
      <c r="F95" s="5">
        <v>0</v>
      </c>
      <c r="G95" s="5">
        <v>0</v>
      </c>
      <c r="H95" s="5">
        <v>0</v>
      </c>
      <c r="I95" s="5">
        <v>0</v>
      </c>
      <c r="J95" s="9">
        <v>0</v>
      </c>
      <c r="K95" s="5">
        <v>0</v>
      </c>
      <c r="L95" s="5">
        <v>0</v>
      </c>
      <c r="M95" s="5">
        <v>0</v>
      </c>
      <c r="N95" s="9">
        <v>0</v>
      </c>
      <c r="O95" s="5">
        <v>5</v>
      </c>
      <c r="P95" s="5">
        <v>73</v>
      </c>
      <c r="Q95" s="5">
        <v>0</v>
      </c>
      <c r="R95" s="9">
        <v>0</v>
      </c>
      <c r="S95" s="5">
        <v>1</v>
      </c>
      <c r="T95" s="5">
        <v>0</v>
      </c>
    </row>
    <row r="96" spans="1:20" x14ac:dyDescent="0.2">
      <c r="A96" s="5" t="s">
        <v>198</v>
      </c>
      <c r="B96" s="5" t="s">
        <v>162</v>
      </c>
      <c r="C96" s="8" t="s">
        <v>724</v>
      </c>
      <c r="D96" s="7">
        <f t="shared" si="0"/>
        <v>10.3</v>
      </c>
      <c r="E96" s="5">
        <v>0</v>
      </c>
      <c r="F96" s="5">
        <v>0</v>
      </c>
      <c r="G96" s="5">
        <v>0</v>
      </c>
      <c r="H96" s="5">
        <v>0</v>
      </c>
      <c r="I96" s="5">
        <v>0</v>
      </c>
      <c r="J96" s="9">
        <v>0</v>
      </c>
      <c r="K96" s="5">
        <v>0</v>
      </c>
      <c r="L96" s="5">
        <v>0</v>
      </c>
      <c r="M96" s="5">
        <v>0</v>
      </c>
      <c r="N96" s="9">
        <v>0</v>
      </c>
      <c r="O96" s="5">
        <v>5</v>
      </c>
      <c r="P96" s="5">
        <v>53</v>
      </c>
      <c r="Q96" s="5">
        <v>0</v>
      </c>
      <c r="R96" s="9">
        <v>0</v>
      </c>
      <c r="S96" s="5">
        <v>0</v>
      </c>
      <c r="T96" s="5">
        <v>0</v>
      </c>
    </row>
    <row r="97" spans="1:20" x14ac:dyDescent="0.2">
      <c r="A97" s="5" t="s">
        <v>252</v>
      </c>
      <c r="B97" s="5" t="s">
        <v>162</v>
      </c>
      <c r="C97" s="8" t="s">
        <v>731</v>
      </c>
      <c r="D97" s="7">
        <f t="shared" si="0"/>
        <v>10.199999999999999</v>
      </c>
      <c r="E97" s="5">
        <v>0</v>
      </c>
      <c r="F97" s="5">
        <v>0</v>
      </c>
      <c r="G97" s="5">
        <v>0</v>
      </c>
      <c r="H97" s="5">
        <v>0</v>
      </c>
      <c r="I97" s="5">
        <v>0</v>
      </c>
      <c r="J97" s="9">
        <v>0</v>
      </c>
      <c r="K97" s="5">
        <v>0</v>
      </c>
      <c r="L97" s="5">
        <v>0</v>
      </c>
      <c r="M97" s="5">
        <v>0</v>
      </c>
      <c r="N97" s="9">
        <v>0</v>
      </c>
      <c r="O97" s="5">
        <v>2</v>
      </c>
      <c r="P97" s="5">
        <v>22</v>
      </c>
      <c r="Q97" s="5">
        <v>1</v>
      </c>
      <c r="R97" s="9">
        <v>0</v>
      </c>
      <c r="S97" s="5">
        <v>0</v>
      </c>
      <c r="T97" s="5">
        <v>0</v>
      </c>
    </row>
    <row r="98" spans="1:20" x14ac:dyDescent="0.2">
      <c r="A98" s="5" t="s">
        <v>161</v>
      </c>
      <c r="B98" s="5" t="s">
        <v>162</v>
      </c>
      <c r="C98" s="8" t="s">
        <v>728</v>
      </c>
      <c r="D98" s="7">
        <f t="shared" si="0"/>
        <v>10.100000000000001</v>
      </c>
      <c r="E98" s="5">
        <v>0</v>
      </c>
      <c r="F98" s="5">
        <v>0</v>
      </c>
      <c r="G98" s="5">
        <v>0</v>
      </c>
      <c r="H98" s="5">
        <v>0</v>
      </c>
      <c r="I98" s="5">
        <v>0</v>
      </c>
      <c r="J98" s="9">
        <v>0</v>
      </c>
      <c r="K98" s="5">
        <v>0</v>
      </c>
      <c r="L98" s="5">
        <v>0</v>
      </c>
      <c r="M98" s="5">
        <v>0</v>
      </c>
      <c r="N98" s="9">
        <v>0</v>
      </c>
      <c r="O98" s="5">
        <v>4</v>
      </c>
      <c r="P98" s="5">
        <v>61</v>
      </c>
      <c r="Q98" s="5">
        <v>0</v>
      </c>
      <c r="R98" s="9">
        <v>0</v>
      </c>
      <c r="S98" s="5">
        <v>0</v>
      </c>
      <c r="T98" s="5">
        <v>0</v>
      </c>
    </row>
    <row r="99" spans="1:20" x14ac:dyDescent="0.2">
      <c r="A99" s="5" t="s">
        <v>429</v>
      </c>
      <c r="B99" s="5" t="s">
        <v>69</v>
      </c>
      <c r="C99" s="8" t="s">
        <v>730</v>
      </c>
      <c r="D99" s="7">
        <f t="shared" si="0"/>
        <v>10.1</v>
      </c>
      <c r="E99" s="5">
        <v>0</v>
      </c>
      <c r="F99" s="5">
        <v>0</v>
      </c>
      <c r="G99" s="5">
        <v>0</v>
      </c>
      <c r="H99" s="5">
        <v>0</v>
      </c>
      <c r="I99" s="5">
        <v>0</v>
      </c>
      <c r="J99" s="9">
        <v>0</v>
      </c>
      <c r="K99" s="5">
        <v>0</v>
      </c>
      <c r="L99" s="5">
        <v>0</v>
      </c>
      <c r="M99" s="5">
        <v>0</v>
      </c>
      <c r="N99" s="9">
        <v>0</v>
      </c>
      <c r="O99" s="5">
        <v>2</v>
      </c>
      <c r="P99" s="5">
        <v>21</v>
      </c>
      <c r="Q99" s="5">
        <v>1</v>
      </c>
      <c r="R99" s="9">
        <v>0</v>
      </c>
      <c r="S99" s="5">
        <v>0</v>
      </c>
      <c r="T99" s="5">
        <v>0</v>
      </c>
    </row>
    <row r="100" spans="1:20" x14ac:dyDescent="0.2">
      <c r="A100" s="5" t="s">
        <v>428</v>
      </c>
      <c r="B100" s="5" t="s">
        <v>75</v>
      </c>
      <c r="C100" s="8" t="s">
        <v>722</v>
      </c>
      <c r="D100" s="7">
        <f t="shared" si="0"/>
        <v>10</v>
      </c>
      <c r="E100" s="5">
        <v>0</v>
      </c>
      <c r="F100" s="5">
        <v>0</v>
      </c>
      <c r="G100" s="5">
        <v>0</v>
      </c>
      <c r="H100" s="5">
        <v>0</v>
      </c>
      <c r="I100" s="5">
        <v>0</v>
      </c>
      <c r="J100" s="9">
        <v>0</v>
      </c>
      <c r="K100" s="5">
        <v>10</v>
      </c>
      <c r="L100" s="5">
        <v>27</v>
      </c>
      <c r="M100" s="5">
        <v>1</v>
      </c>
      <c r="N100" s="9">
        <v>0</v>
      </c>
      <c r="O100" s="5">
        <v>1</v>
      </c>
      <c r="P100" s="5">
        <v>3</v>
      </c>
      <c r="Q100" s="5">
        <v>0</v>
      </c>
      <c r="R100" s="9">
        <v>0</v>
      </c>
      <c r="S100" s="5">
        <v>0</v>
      </c>
      <c r="T100" s="5">
        <v>0</v>
      </c>
    </row>
    <row r="101" spans="1:20" x14ac:dyDescent="0.2">
      <c r="A101" s="5" t="s">
        <v>283</v>
      </c>
      <c r="B101" s="5" t="s">
        <v>69</v>
      </c>
      <c r="C101" s="8" t="s">
        <v>732</v>
      </c>
      <c r="D101" s="7">
        <f t="shared" si="0"/>
        <v>9.9</v>
      </c>
      <c r="E101" s="5">
        <v>0</v>
      </c>
      <c r="F101" s="5">
        <v>0</v>
      </c>
      <c r="G101" s="5">
        <v>0</v>
      </c>
      <c r="H101" s="5">
        <v>0</v>
      </c>
      <c r="I101" s="5">
        <v>0</v>
      </c>
      <c r="J101" s="9">
        <v>0</v>
      </c>
      <c r="K101" s="5">
        <v>0</v>
      </c>
      <c r="L101" s="5">
        <v>0</v>
      </c>
      <c r="M101" s="5">
        <v>0</v>
      </c>
      <c r="N101" s="9">
        <v>0</v>
      </c>
      <c r="O101" s="5">
        <v>2</v>
      </c>
      <c r="P101" s="5">
        <v>19</v>
      </c>
      <c r="Q101" s="5">
        <v>1</v>
      </c>
      <c r="R101" s="9">
        <v>0</v>
      </c>
      <c r="S101" s="5">
        <v>0</v>
      </c>
      <c r="T101" s="5">
        <v>0</v>
      </c>
    </row>
    <row r="102" spans="1:20" x14ac:dyDescent="0.2">
      <c r="A102" s="5" t="s">
        <v>122</v>
      </c>
      <c r="B102" s="5" t="s">
        <v>75</v>
      </c>
      <c r="C102" s="8" t="s">
        <v>731</v>
      </c>
      <c r="D102" s="7">
        <f t="shared" si="0"/>
        <v>9.8000000000000007</v>
      </c>
      <c r="E102" s="5">
        <v>0</v>
      </c>
      <c r="F102" s="5">
        <v>0</v>
      </c>
      <c r="G102" s="5">
        <v>0</v>
      </c>
      <c r="H102" s="5">
        <v>0</v>
      </c>
      <c r="I102" s="5">
        <v>0</v>
      </c>
      <c r="J102" s="9">
        <v>0</v>
      </c>
      <c r="K102" s="5">
        <v>15</v>
      </c>
      <c r="L102" s="5">
        <v>53</v>
      </c>
      <c r="M102" s="5">
        <v>0</v>
      </c>
      <c r="N102" s="9">
        <v>0</v>
      </c>
      <c r="O102" s="5">
        <v>2</v>
      </c>
      <c r="P102" s="5">
        <v>25</v>
      </c>
      <c r="Q102" s="5">
        <v>0</v>
      </c>
      <c r="R102" s="9">
        <v>0</v>
      </c>
      <c r="S102" s="5">
        <v>0</v>
      </c>
      <c r="T102" s="5">
        <v>0</v>
      </c>
    </row>
    <row r="103" spans="1:20" x14ac:dyDescent="0.2">
      <c r="A103" s="5" t="s">
        <v>316</v>
      </c>
      <c r="B103" s="5" t="s">
        <v>69</v>
      </c>
      <c r="C103" s="8" t="s">
        <v>727</v>
      </c>
      <c r="D103" s="7">
        <f t="shared" si="0"/>
        <v>9.6999999999999993</v>
      </c>
      <c r="E103" s="5">
        <v>0</v>
      </c>
      <c r="F103" s="5">
        <v>0</v>
      </c>
      <c r="G103" s="5">
        <v>0</v>
      </c>
      <c r="H103" s="5">
        <v>0</v>
      </c>
      <c r="I103" s="5">
        <v>0</v>
      </c>
      <c r="J103" s="9">
        <v>0</v>
      </c>
      <c r="K103" s="5">
        <v>0</v>
      </c>
      <c r="L103" s="5">
        <v>0</v>
      </c>
      <c r="M103" s="5">
        <v>0</v>
      </c>
      <c r="N103" s="9">
        <v>0</v>
      </c>
      <c r="O103" s="5">
        <v>4</v>
      </c>
      <c r="P103" s="5">
        <v>57</v>
      </c>
      <c r="Q103" s="5">
        <v>0</v>
      </c>
      <c r="R103" s="9">
        <v>0</v>
      </c>
      <c r="S103" s="5">
        <v>0</v>
      </c>
      <c r="T103" s="5">
        <v>0</v>
      </c>
    </row>
    <row r="104" spans="1:20" x14ac:dyDescent="0.2">
      <c r="A104" s="5" t="s">
        <v>355</v>
      </c>
      <c r="B104" s="5" t="s">
        <v>69</v>
      </c>
      <c r="C104" s="8" t="s">
        <v>730</v>
      </c>
      <c r="D104" s="7">
        <f t="shared" si="0"/>
        <v>9.6000000000000014</v>
      </c>
      <c r="E104" s="5">
        <v>0</v>
      </c>
      <c r="F104" s="5">
        <v>0</v>
      </c>
      <c r="G104" s="5">
        <v>0</v>
      </c>
      <c r="H104" s="5">
        <v>0</v>
      </c>
      <c r="I104" s="5">
        <v>0</v>
      </c>
      <c r="J104" s="9">
        <v>0</v>
      </c>
      <c r="K104" s="5">
        <v>0</v>
      </c>
      <c r="L104" s="5">
        <v>0</v>
      </c>
      <c r="M104" s="5">
        <v>0</v>
      </c>
      <c r="N104" s="9">
        <v>0</v>
      </c>
      <c r="O104" s="5">
        <v>5</v>
      </c>
      <c r="P104" s="5">
        <v>46</v>
      </c>
      <c r="Q104" s="5">
        <v>0</v>
      </c>
      <c r="R104" s="9">
        <v>0</v>
      </c>
      <c r="S104" s="5">
        <v>0</v>
      </c>
      <c r="T104" s="5">
        <v>0</v>
      </c>
    </row>
    <row r="105" spans="1:20" x14ac:dyDescent="0.2">
      <c r="A105" s="5" t="s">
        <v>352</v>
      </c>
      <c r="B105" s="5" t="s">
        <v>69</v>
      </c>
      <c r="C105" s="8" t="s">
        <v>728</v>
      </c>
      <c r="D105" s="7">
        <f t="shared" si="0"/>
        <v>9.6000000000000014</v>
      </c>
      <c r="E105" s="5">
        <v>0</v>
      </c>
      <c r="F105" s="5">
        <v>0</v>
      </c>
      <c r="G105" s="5">
        <v>0</v>
      </c>
      <c r="H105" s="5">
        <v>0</v>
      </c>
      <c r="I105" s="5">
        <v>0</v>
      </c>
      <c r="J105" s="9">
        <v>0</v>
      </c>
      <c r="K105" s="5">
        <v>0</v>
      </c>
      <c r="L105" s="5">
        <v>0</v>
      </c>
      <c r="M105" s="5">
        <v>0</v>
      </c>
      <c r="N105" s="9">
        <v>0</v>
      </c>
      <c r="O105" s="5">
        <v>5</v>
      </c>
      <c r="P105" s="5">
        <v>46</v>
      </c>
      <c r="Q105" s="5">
        <v>0</v>
      </c>
      <c r="R105" s="9">
        <v>0</v>
      </c>
      <c r="S105" s="5">
        <v>0</v>
      </c>
      <c r="T105" s="5">
        <v>0</v>
      </c>
    </row>
    <row r="106" spans="1:20" x14ac:dyDescent="0.2">
      <c r="A106" s="5" t="s">
        <v>337</v>
      </c>
      <c r="B106" s="5" t="s">
        <v>75</v>
      </c>
      <c r="C106" s="8" t="s">
        <v>730</v>
      </c>
      <c r="D106" s="7">
        <f t="shared" si="0"/>
        <v>9.6000000000000014</v>
      </c>
      <c r="E106" s="5">
        <v>0</v>
      </c>
      <c r="F106" s="5">
        <v>0</v>
      </c>
      <c r="G106" s="5">
        <v>0</v>
      </c>
      <c r="H106" s="5">
        <v>0</v>
      </c>
      <c r="I106" s="5">
        <v>0</v>
      </c>
      <c r="J106" s="9">
        <v>0</v>
      </c>
      <c r="K106" s="5">
        <v>13</v>
      </c>
      <c r="L106" s="5">
        <v>28</v>
      </c>
      <c r="M106" s="5">
        <v>0</v>
      </c>
      <c r="N106" s="9">
        <v>0</v>
      </c>
      <c r="O106" s="5">
        <v>4</v>
      </c>
      <c r="P106" s="5">
        <v>28</v>
      </c>
      <c r="Q106" s="5">
        <v>0</v>
      </c>
      <c r="R106" s="9">
        <v>0</v>
      </c>
      <c r="S106" s="5">
        <v>0</v>
      </c>
      <c r="T106" s="5">
        <v>0</v>
      </c>
    </row>
    <row r="107" spans="1:20" x14ac:dyDescent="0.2">
      <c r="A107" s="5" t="s">
        <v>422</v>
      </c>
      <c r="B107" s="5" t="s">
        <v>69</v>
      </c>
      <c r="C107" s="8" t="s">
        <v>734</v>
      </c>
      <c r="D107" s="7">
        <f t="shared" si="0"/>
        <v>9.6</v>
      </c>
      <c r="E107" s="5">
        <v>0</v>
      </c>
      <c r="F107" s="5">
        <v>0</v>
      </c>
      <c r="G107" s="5">
        <v>0</v>
      </c>
      <c r="H107" s="5">
        <v>0</v>
      </c>
      <c r="I107" s="5">
        <v>0</v>
      </c>
      <c r="J107" s="9">
        <v>0</v>
      </c>
      <c r="K107" s="5">
        <v>0</v>
      </c>
      <c r="L107" s="5">
        <v>0</v>
      </c>
      <c r="M107" s="5">
        <v>0</v>
      </c>
      <c r="N107" s="9">
        <v>0</v>
      </c>
      <c r="O107" s="5">
        <v>2</v>
      </c>
      <c r="P107" s="5">
        <v>16</v>
      </c>
      <c r="Q107" s="5">
        <v>1</v>
      </c>
      <c r="R107" s="9">
        <v>0</v>
      </c>
      <c r="S107" s="5">
        <v>0</v>
      </c>
      <c r="T107" s="5">
        <v>0</v>
      </c>
    </row>
    <row r="108" spans="1:20" x14ac:dyDescent="0.2">
      <c r="A108" s="5" t="s">
        <v>309</v>
      </c>
      <c r="B108" s="5" t="s">
        <v>69</v>
      </c>
      <c r="C108" s="8" t="s">
        <v>724</v>
      </c>
      <c r="D108" s="7">
        <f t="shared" si="0"/>
        <v>9.6</v>
      </c>
      <c r="E108" s="5">
        <v>0</v>
      </c>
      <c r="F108" s="5">
        <v>0</v>
      </c>
      <c r="G108" s="5">
        <v>0</v>
      </c>
      <c r="H108" s="5">
        <v>0</v>
      </c>
      <c r="I108" s="5">
        <v>0</v>
      </c>
      <c r="J108" s="9">
        <v>0</v>
      </c>
      <c r="K108" s="5">
        <v>0</v>
      </c>
      <c r="L108" s="5">
        <v>0</v>
      </c>
      <c r="M108" s="5">
        <v>0</v>
      </c>
      <c r="N108" s="9">
        <v>0</v>
      </c>
      <c r="O108" s="5">
        <v>2</v>
      </c>
      <c r="P108" s="5">
        <v>16</v>
      </c>
      <c r="Q108" s="5">
        <v>1</v>
      </c>
      <c r="R108" s="9">
        <v>0</v>
      </c>
      <c r="S108" s="5">
        <v>0</v>
      </c>
      <c r="T108" s="5">
        <v>0</v>
      </c>
    </row>
    <row r="109" spans="1:20" x14ac:dyDescent="0.2">
      <c r="A109" s="5" t="s">
        <v>451</v>
      </c>
      <c r="B109" s="5" t="s">
        <v>75</v>
      </c>
      <c r="C109" s="8" t="s">
        <v>721</v>
      </c>
      <c r="D109" s="7">
        <f t="shared" si="0"/>
        <v>9.6</v>
      </c>
      <c r="E109" s="5">
        <v>0</v>
      </c>
      <c r="F109" s="5">
        <v>0</v>
      </c>
      <c r="G109" s="5">
        <v>0</v>
      </c>
      <c r="H109" s="5">
        <v>0</v>
      </c>
      <c r="I109" s="5">
        <v>0</v>
      </c>
      <c r="J109" s="9">
        <v>0</v>
      </c>
      <c r="K109" s="5">
        <v>4</v>
      </c>
      <c r="L109" s="5">
        <v>20</v>
      </c>
      <c r="M109" s="5">
        <v>1</v>
      </c>
      <c r="N109" s="9">
        <v>0</v>
      </c>
      <c r="O109" s="5">
        <v>1</v>
      </c>
      <c r="P109" s="5">
        <v>6</v>
      </c>
      <c r="Q109" s="5">
        <v>0</v>
      </c>
      <c r="R109" s="9">
        <v>0</v>
      </c>
      <c r="S109" s="5">
        <v>0</v>
      </c>
      <c r="T109" s="5">
        <v>0</v>
      </c>
    </row>
    <row r="110" spans="1:20" x14ac:dyDescent="0.2">
      <c r="A110" s="5" t="s">
        <v>100</v>
      </c>
      <c r="B110" s="5" t="s">
        <v>75</v>
      </c>
      <c r="C110" s="8" t="s">
        <v>721</v>
      </c>
      <c r="D110" s="7">
        <f t="shared" si="0"/>
        <v>9.4</v>
      </c>
      <c r="E110" s="5">
        <v>0</v>
      </c>
      <c r="F110" s="5">
        <v>0</v>
      </c>
      <c r="G110" s="5">
        <v>0</v>
      </c>
      <c r="H110" s="5">
        <v>0</v>
      </c>
      <c r="I110" s="5">
        <v>0</v>
      </c>
      <c r="J110" s="9">
        <v>0</v>
      </c>
      <c r="K110" s="5">
        <v>8</v>
      </c>
      <c r="L110" s="5">
        <v>21</v>
      </c>
      <c r="M110" s="5">
        <v>0</v>
      </c>
      <c r="N110" s="9">
        <v>0</v>
      </c>
      <c r="O110" s="5">
        <v>4</v>
      </c>
      <c r="P110" s="5">
        <v>33</v>
      </c>
      <c r="Q110" s="5">
        <v>0</v>
      </c>
      <c r="R110" s="9">
        <v>0</v>
      </c>
      <c r="S110" s="5">
        <v>0</v>
      </c>
      <c r="T110" s="5">
        <v>0</v>
      </c>
    </row>
    <row r="111" spans="1:20" x14ac:dyDescent="0.2">
      <c r="A111" s="5" t="s">
        <v>98</v>
      </c>
      <c r="B111" s="5" t="s">
        <v>75</v>
      </c>
      <c r="C111" s="8" t="s">
        <v>732</v>
      </c>
      <c r="D111" s="7">
        <f t="shared" si="0"/>
        <v>9.4</v>
      </c>
      <c r="E111" s="5">
        <v>0</v>
      </c>
      <c r="F111" s="5">
        <v>0</v>
      </c>
      <c r="G111" s="5">
        <v>0</v>
      </c>
      <c r="H111" s="5">
        <v>0</v>
      </c>
      <c r="I111" s="5">
        <v>0</v>
      </c>
      <c r="J111" s="9">
        <v>0</v>
      </c>
      <c r="K111" s="5">
        <v>2</v>
      </c>
      <c r="L111" s="5">
        <v>8</v>
      </c>
      <c r="M111" s="5">
        <v>0</v>
      </c>
      <c r="N111" s="9">
        <v>0</v>
      </c>
      <c r="O111" s="5">
        <v>5</v>
      </c>
      <c r="P111" s="5">
        <v>36</v>
      </c>
      <c r="Q111" s="5">
        <v>0</v>
      </c>
      <c r="R111" s="9">
        <v>0</v>
      </c>
      <c r="S111" s="5">
        <v>0</v>
      </c>
      <c r="T111" s="5">
        <v>0</v>
      </c>
    </row>
    <row r="112" spans="1:20" x14ac:dyDescent="0.2">
      <c r="A112" s="5" t="s">
        <v>168</v>
      </c>
      <c r="B112" s="5" t="s">
        <v>162</v>
      </c>
      <c r="C112" s="8" t="s">
        <v>722</v>
      </c>
      <c r="D112" s="7">
        <f t="shared" si="0"/>
        <v>9.3000000000000007</v>
      </c>
      <c r="E112" s="5">
        <v>0</v>
      </c>
      <c r="F112" s="5">
        <v>0</v>
      </c>
      <c r="G112" s="5">
        <v>0</v>
      </c>
      <c r="H112" s="5">
        <v>0</v>
      </c>
      <c r="I112" s="5">
        <v>0</v>
      </c>
      <c r="J112" s="9">
        <v>0</v>
      </c>
      <c r="K112" s="5">
        <v>0</v>
      </c>
      <c r="L112" s="5">
        <v>0</v>
      </c>
      <c r="M112" s="5">
        <v>0</v>
      </c>
      <c r="N112" s="9">
        <v>0</v>
      </c>
      <c r="O112" s="5">
        <v>4</v>
      </c>
      <c r="P112" s="5">
        <v>53</v>
      </c>
      <c r="Q112" s="5">
        <v>0</v>
      </c>
      <c r="R112" s="9">
        <v>0</v>
      </c>
      <c r="S112" s="5">
        <v>0</v>
      </c>
      <c r="T112" s="5">
        <v>0</v>
      </c>
    </row>
    <row r="113" spans="1:20" x14ac:dyDescent="0.2">
      <c r="A113" s="5" t="s">
        <v>326</v>
      </c>
      <c r="B113" s="5" t="s">
        <v>162</v>
      </c>
      <c r="C113" s="8" t="s">
        <v>730</v>
      </c>
      <c r="D113" s="7">
        <f t="shared" si="0"/>
        <v>9.1999999999999993</v>
      </c>
      <c r="E113" s="5">
        <v>0</v>
      </c>
      <c r="F113" s="5">
        <v>0</v>
      </c>
      <c r="G113" s="5">
        <v>0</v>
      </c>
      <c r="H113" s="5">
        <v>0</v>
      </c>
      <c r="I113" s="5">
        <v>0</v>
      </c>
      <c r="J113" s="9">
        <v>0</v>
      </c>
      <c r="K113" s="5">
        <v>0</v>
      </c>
      <c r="L113" s="5">
        <v>0</v>
      </c>
      <c r="M113" s="5">
        <v>0</v>
      </c>
      <c r="N113" s="9">
        <v>0</v>
      </c>
      <c r="O113" s="5">
        <v>2</v>
      </c>
      <c r="P113" s="5">
        <v>72</v>
      </c>
      <c r="Q113" s="5">
        <v>0</v>
      </c>
      <c r="R113" s="9">
        <v>0</v>
      </c>
      <c r="S113" s="5">
        <v>0</v>
      </c>
      <c r="T113" s="5">
        <v>0</v>
      </c>
    </row>
    <row r="114" spans="1:20" x14ac:dyDescent="0.2">
      <c r="A114" s="5" t="s">
        <v>125</v>
      </c>
      <c r="B114" s="5" t="s">
        <v>75</v>
      </c>
      <c r="C114" s="8" t="s">
        <v>726</v>
      </c>
      <c r="D114" s="7">
        <f t="shared" si="0"/>
        <v>9.1999999999999993</v>
      </c>
      <c r="E114" s="5">
        <v>0</v>
      </c>
      <c r="F114" s="5">
        <v>0</v>
      </c>
      <c r="G114" s="5">
        <v>0</v>
      </c>
      <c r="H114" s="5">
        <v>0</v>
      </c>
      <c r="I114" s="5">
        <v>0</v>
      </c>
      <c r="J114" s="9">
        <v>0</v>
      </c>
      <c r="K114" s="5">
        <v>11</v>
      </c>
      <c r="L114" s="5">
        <v>50</v>
      </c>
      <c r="M114" s="5">
        <v>0</v>
      </c>
      <c r="N114" s="9">
        <v>0</v>
      </c>
      <c r="O114" s="5">
        <v>2</v>
      </c>
      <c r="P114" s="5">
        <v>22</v>
      </c>
      <c r="Q114" s="5">
        <v>0</v>
      </c>
      <c r="R114" s="9">
        <v>0</v>
      </c>
      <c r="S114" s="5">
        <v>0</v>
      </c>
      <c r="T114" s="5">
        <v>0</v>
      </c>
    </row>
    <row r="115" spans="1:20" x14ac:dyDescent="0.2">
      <c r="A115" s="5" t="s">
        <v>16</v>
      </c>
      <c r="B115" s="5" t="s">
        <v>17</v>
      </c>
      <c r="C115" s="8" t="s">
        <v>728</v>
      </c>
      <c r="D115" s="7">
        <f t="shared" si="0"/>
        <v>9.1</v>
      </c>
      <c r="E115" s="5">
        <v>33</v>
      </c>
      <c r="F115" s="5">
        <v>23</v>
      </c>
      <c r="G115" s="5">
        <v>240</v>
      </c>
      <c r="H115" s="5">
        <v>0</v>
      </c>
      <c r="I115" s="5">
        <v>0</v>
      </c>
      <c r="J115" s="9">
        <v>0</v>
      </c>
      <c r="K115" s="5">
        <v>3</v>
      </c>
      <c r="L115" s="5">
        <v>15</v>
      </c>
      <c r="M115" s="5">
        <v>0</v>
      </c>
      <c r="N115" s="9">
        <v>0</v>
      </c>
      <c r="O115" s="5">
        <v>0</v>
      </c>
      <c r="P115" s="5">
        <v>0</v>
      </c>
      <c r="Q115" s="5">
        <v>0</v>
      </c>
      <c r="R115" s="9">
        <v>0</v>
      </c>
      <c r="S115" s="5">
        <v>1</v>
      </c>
      <c r="T115" s="5">
        <v>0</v>
      </c>
    </row>
    <row r="116" spans="1:20" x14ac:dyDescent="0.2">
      <c r="A116" s="5" t="s">
        <v>21</v>
      </c>
      <c r="B116" s="5" t="s">
        <v>17</v>
      </c>
      <c r="C116" s="8" t="s">
        <v>731</v>
      </c>
      <c r="D116" s="7">
        <f t="shared" si="0"/>
        <v>8.92</v>
      </c>
      <c r="E116" s="5">
        <v>39</v>
      </c>
      <c r="F116" s="5">
        <v>25</v>
      </c>
      <c r="G116" s="5">
        <v>218</v>
      </c>
      <c r="H116" s="5">
        <v>1</v>
      </c>
      <c r="I116" s="5">
        <v>1</v>
      </c>
      <c r="J116" s="9">
        <v>0</v>
      </c>
      <c r="K116" s="5">
        <v>2</v>
      </c>
      <c r="L116" s="5">
        <v>2</v>
      </c>
      <c r="M116" s="5">
        <v>0</v>
      </c>
      <c r="N116" s="9">
        <v>0</v>
      </c>
      <c r="O116" s="5">
        <v>0</v>
      </c>
      <c r="P116" s="5">
        <v>0</v>
      </c>
      <c r="Q116" s="5">
        <v>0</v>
      </c>
      <c r="R116" s="9">
        <v>0</v>
      </c>
      <c r="S116" s="5">
        <v>1</v>
      </c>
      <c r="T116" s="5">
        <v>0</v>
      </c>
    </row>
    <row r="117" spans="1:20" x14ac:dyDescent="0.2">
      <c r="A117" s="5" t="s">
        <v>297</v>
      </c>
      <c r="B117" s="5" t="s">
        <v>69</v>
      </c>
      <c r="C117" s="8" t="s">
        <v>732</v>
      </c>
      <c r="D117" s="7">
        <f t="shared" si="0"/>
        <v>8.9</v>
      </c>
      <c r="E117" s="5">
        <v>0</v>
      </c>
      <c r="F117" s="5">
        <v>0</v>
      </c>
      <c r="G117" s="5">
        <v>0</v>
      </c>
      <c r="H117" s="5">
        <v>0</v>
      </c>
      <c r="I117" s="5">
        <v>0</v>
      </c>
      <c r="J117" s="9">
        <v>0</v>
      </c>
      <c r="K117" s="5">
        <v>0</v>
      </c>
      <c r="L117" s="5">
        <v>0</v>
      </c>
      <c r="M117" s="5">
        <v>0</v>
      </c>
      <c r="N117" s="9">
        <v>0</v>
      </c>
      <c r="O117" s="5">
        <v>5</v>
      </c>
      <c r="P117" s="5">
        <v>39</v>
      </c>
      <c r="Q117" s="5">
        <v>0</v>
      </c>
      <c r="R117" s="9">
        <v>0</v>
      </c>
      <c r="S117" s="5">
        <v>0</v>
      </c>
      <c r="T117" s="5">
        <v>0</v>
      </c>
    </row>
    <row r="118" spans="1:20" x14ac:dyDescent="0.2">
      <c r="A118" s="5" t="s">
        <v>45</v>
      </c>
      <c r="B118" s="5" t="s">
        <v>17</v>
      </c>
      <c r="C118" s="8" t="s">
        <v>733</v>
      </c>
      <c r="D118" s="7">
        <f t="shared" si="0"/>
        <v>8.879999999999999</v>
      </c>
      <c r="E118" s="5">
        <v>27</v>
      </c>
      <c r="F118" s="5">
        <v>18</v>
      </c>
      <c r="G118" s="5">
        <v>197</v>
      </c>
      <c r="H118" s="5">
        <v>0</v>
      </c>
      <c r="I118" s="5">
        <v>0</v>
      </c>
      <c r="J118" s="9">
        <v>0</v>
      </c>
      <c r="K118" s="5">
        <v>5</v>
      </c>
      <c r="L118" s="5">
        <v>30</v>
      </c>
      <c r="M118" s="5">
        <v>0</v>
      </c>
      <c r="N118" s="9">
        <v>0</v>
      </c>
      <c r="O118" s="5">
        <v>0</v>
      </c>
      <c r="P118" s="5">
        <v>0</v>
      </c>
      <c r="Q118" s="5">
        <v>0</v>
      </c>
      <c r="R118" s="9">
        <v>0</v>
      </c>
      <c r="S118" s="5">
        <v>1</v>
      </c>
      <c r="T118" s="5">
        <v>0</v>
      </c>
    </row>
    <row r="119" spans="1:20" x14ac:dyDescent="0.2">
      <c r="A119" s="5" t="s">
        <v>124</v>
      </c>
      <c r="B119" s="5" t="s">
        <v>75</v>
      </c>
      <c r="C119" s="8" t="s">
        <v>729</v>
      </c>
      <c r="D119" s="7">
        <f t="shared" si="0"/>
        <v>8.8000000000000007</v>
      </c>
      <c r="E119" s="5">
        <v>0</v>
      </c>
      <c r="F119" s="5">
        <v>0</v>
      </c>
      <c r="G119" s="5">
        <v>0</v>
      </c>
      <c r="H119" s="5">
        <v>0</v>
      </c>
      <c r="I119" s="5">
        <v>0</v>
      </c>
      <c r="J119" s="9">
        <v>0</v>
      </c>
      <c r="K119" s="5">
        <v>11</v>
      </c>
      <c r="L119" s="5">
        <v>39</v>
      </c>
      <c r="M119" s="5">
        <v>0</v>
      </c>
      <c r="N119" s="9">
        <v>0</v>
      </c>
      <c r="O119" s="5">
        <v>2</v>
      </c>
      <c r="P119" s="5">
        <v>29</v>
      </c>
      <c r="Q119" s="5">
        <v>0</v>
      </c>
      <c r="R119" s="9">
        <v>0</v>
      </c>
      <c r="S119" s="5">
        <v>0</v>
      </c>
      <c r="T119" s="5">
        <v>0</v>
      </c>
    </row>
    <row r="120" spans="1:20" x14ac:dyDescent="0.2">
      <c r="A120" s="5" t="s">
        <v>712</v>
      </c>
      <c r="B120" s="5" t="s">
        <v>162</v>
      </c>
      <c r="C120" s="8" t="s">
        <v>722</v>
      </c>
      <c r="D120" s="7">
        <f t="shared" si="0"/>
        <v>8.6999999999999993</v>
      </c>
      <c r="E120" s="5">
        <v>0</v>
      </c>
      <c r="F120" s="5">
        <v>0</v>
      </c>
      <c r="G120" s="5">
        <v>0</v>
      </c>
      <c r="H120" s="5">
        <v>0</v>
      </c>
      <c r="I120" s="5">
        <v>0</v>
      </c>
      <c r="J120" s="9">
        <v>0</v>
      </c>
      <c r="K120" s="5">
        <v>0</v>
      </c>
      <c r="L120" s="5">
        <v>0</v>
      </c>
      <c r="M120" s="5">
        <v>0</v>
      </c>
      <c r="N120" s="9">
        <v>0</v>
      </c>
      <c r="O120" s="5">
        <v>2</v>
      </c>
      <c r="P120" s="5">
        <v>27</v>
      </c>
      <c r="Q120" s="5">
        <v>1</v>
      </c>
      <c r="R120" s="9">
        <v>0</v>
      </c>
      <c r="S120" s="5">
        <v>1</v>
      </c>
      <c r="T120" s="5">
        <v>0</v>
      </c>
    </row>
    <row r="121" spans="1:20" x14ac:dyDescent="0.2">
      <c r="A121" s="5" t="s">
        <v>441</v>
      </c>
      <c r="B121" s="5" t="s">
        <v>162</v>
      </c>
      <c r="C121" s="8" t="s">
        <v>727</v>
      </c>
      <c r="D121" s="7">
        <f t="shared" si="0"/>
        <v>8.5</v>
      </c>
      <c r="E121" s="5">
        <v>0</v>
      </c>
      <c r="F121" s="5">
        <v>0</v>
      </c>
      <c r="G121" s="5">
        <v>0</v>
      </c>
      <c r="H121" s="5">
        <v>0</v>
      </c>
      <c r="I121" s="5">
        <v>0</v>
      </c>
      <c r="J121" s="9">
        <v>0</v>
      </c>
      <c r="K121" s="5">
        <v>0</v>
      </c>
      <c r="L121" s="5">
        <v>0</v>
      </c>
      <c r="M121" s="5">
        <v>0</v>
      </c>
      <c r="N121" s="9">
        <v>0</v>
      </c>
      <c r="O121" s="5">
        <v>1</v>
      </c>
      <c r="P121" s="5">
        <v>15</v>
      </c>
      <c r="Q121" s="5">
        <v>1</v>
      </c>
      <c r="R121" s="9">
        <v>0</v>
      </c>
      <c r="S121" s="5">
        <v>0</v>
      </c>
      <c r="T121" s="5">
        <v>0</v>
      </c>
    </row>
    <row r="122" spans="1:20" x14ac:dyDescent="0.2">
      <c r="A122" s="5" t="s">
        <v>484</v>
      </c>
      <c r="B122" s="5" t="s">
        <v>162</v>
      </c>
      <c r="C122" s="8" t="s">
        <v>727</v>
      </c>
      <c r="D122" s="7">
        <f t="shared" si="0"/>
        <v>8.2000000000000011</v>
      </c>
      <c r="E122" s="5">
        <v>0</v>
      </c>
      <c r="F122" s="5">
        <v>0</v>
      </c>
      <c r="G122" s="5">
        <v>0</v>
      </c>
      <c r="H122" s="5">
        <v>0</v>
      </c>
      <c r="I122" s="5">
        <v>0</v>
      </c>
      <c r="J122" s="9">
        <v>0</v>
      </c>
      <c r="K122" s="5">
        <v>1</v>
      </c>
      <c r="L122" s="5">
        <v>9</v>
      </c>
      <c r="M122" s="5">
        <v>1</v>
      </c>
      <c r="N122" s="9">
        <v>0</v>
      </c>
      <c r="O122" s="5">
        <v>1</v>
      </c>
      <c r="P122" s="5">
        <v>3</v>
      </c>
      <c r="Q122" s="5">
        <v>0</v>
      </c>
      <c r="R122" s="9">
        <v>0</v>
      </c>
      <c r="S122" s="5">
        <v>0</v>
      </c>
      <c r="T122" s="5">
        <v>0</v>
      </c>
    </row>
    <row r="123" spans="1:20" x14ac:dyDescent="0.2">
      <c r="A123" s="5" t="s">
        <v>340</v>
      </c>
      <c r="B123" s="5" t="s">
        <v>162</v>
      </c>
      <c r="C123" s="8" t="s">
        <v>723</v>
      </c>
      <c r="D123" s="7">
        <f t="shared" si="0"/>
        <v>8.1999999999999993</v>
      </c>
      <c r="E123" s="5">
        <v>0</v>
      </c>
      <c r="F123" s="5">
        <v>0</v>
      </c>
      <c r="G123" s="5">
        <v>0</v>
      </c>
      <c r="H123" s="5">
        <v>0</v>
      </c>
      <c r="I123" s="5">
        <v>0</v>
      </c>
      <c r="J123" s="9">
        <v>0</v>
      </c>
      <c r="K123" s="5">
        <v>0</v>
      </c>
      <c r="L123" s="5">
        <v>0</v>
      </c>
      <c r="M123" s="5">
        <v>0</v>
      </c>
      <c r="N123" s="9">
        <v>0</v>
      </c>
      <c r="O123" s="5">
        <v>5</v>
      </c>
      <c r="P123" s="5">
        <v>32</v>
      </c>
      <c r="Q123" s="5">
        <v>0</v>
      </c>
      <c r="R123" s="9">
        <v>0</v>
      </c>
      <c r="S123" s="5">
        <v>0</v>
      </c>
      <c r="T123" s="5">
        <v>0</v>
      </c>
    </row>
    <row r="124" spans="1:20" x14ac:dyDescent="0.2">
      <c r="A124" s="5" t="s">
        <v>113</v>
      </c>
      <c r="B124" s="5" t="s">
        <v>75</v>
      </c>
      <c r="C124" s="8" t="s">
        <v>725</v>
      </c>
      <c r="D124" s="7">
        <f t="shared" si="0"/>
        <v>8</v>
      </c>
      <c r="E124" s="5">
        <v>0</v>
      </c>
      <c r="F124" s="5">
        <v>0</v>
      </c>
      <c r="G124" s="5">
        <v>0</v>
      </c>
      <c r="H124" s="5">
        <v>0</v>
      </c>
      <c r="I124" s="5">
        <v>0</v>
      </c>
      <c r="J124" s="9">
        <v>0</v>
      </c>
      <c r="K124" s="5">
        <v>7</v>
      </c>
      <c r="L124" s="5">
        <v>11</v>
      </c>
      <c r="M124" s="5">
        <v>0</v>
      </c>
      <c r="N124" s="9">
        <v>0</v>
      </c>
      <c r="O124" s="5">
        <v>4</v>
      </c>
      <c r="P124" s="5">
        <v>29</v>
      </c>
      <c r="Q124" s="5">
        <v>0</v>
      </c>
      <c r="R124" s="9">
        <v>0</v>
      </c>
      <c r="S124" s="5">
        <v>0</v>
      </c>
      <c r="T124" s="5">
        <v>0</v>
      </c>
    </row>
    <row r="125" spans="1:20" x14ac:dyDescent="0.2">
      <c r="A125" s="5" t="s">
        <v>180</v>
      </c>
      <c r="B125" s="5" t="s">
        <v>162</v>
      </c>
      <c r="C125" s="8" t="s">
        <v>722</v>
      </c>
      <c r="D125" s="7">
        <f t="shared" si="0"/>
        <v>7.9</v>
      </c>
      <c r="E125" s="5">
        <v>0</v>
      </c>
      <c r="F125" s="5">
        <v>0</v>
      </c>
      <c r="G125" s="5">
        <v>0</v>
      </c>
      <c r="H125" s="5">
        <v>0</v>
      </c>
      <c r="I125" s="5">
        <v>0</v>
      </c>
      <c r="J125" s="9">
        <v>0</v>
      </c>
      <c r="K125" s="5">
        <v>0</v>
      </c>
      <c r="L125" s="5">
        <v>0</v>
      </c>
      <c r="M125" s="5">
        <v>0</v>
      </c>
      <c r="N125" s="9">
        <v>0</v>
      </c>
      <c r="O125" s="5">
        <v>5</v>
      </c>
      <c r="P125" s="5">
        <v>29</v>
      </c>
      <c r="Q125" s="5">
        <v>0</v>
      </c>
      <c r="R125" s="9">
        <v>0</v>
      </c>
      <c r="S125" s="5">
        <v>0</v>
      </c>
      <c r="T125" s="5">
        <v>0</v>
      </c>
    </row>
    <row r="126" spans="1:20" x14ac:dyDescent="0.2">
      <c r="A126" s="5" t="s">
        <v>117</v>
      </c>
      <c r="B126" s="5" t="s">
        <v>75</v>
      </c>
      <c r="C126" s="8" t="s">
        <v>725</v>
      </c>
      <c r="D126" s="7">
        <f t="shared" si="0"/>
        <v>7.8000000000000007</v>
      </c>
      <c r="E126" s="5">
        <v>0</v>
      </c>
      <c r="F126" s="5">
        <v>0</v>
      </c>
      <c r="G126" s="5">
        <v>0</v>
      </c>
      <c r="H126" s="5">
        <v>0</v>
      </c>
      <c r="I126" s="5">
        <v>0</v>
      </c>
      <c r="J126" s="9">
        <v>0</v>
      </c>
      <c r="K126" s="5">
        <v>12</v>
      </c>
      <c r="L126" s="5">
        <v>29</v>
      </c>
      <c r="M126" s="5">
        <v>0</v>
      </c>
      <c r="N126" s="9">
        <v>0</v>
      </c>
      <c r="O126" s="5">
        <v>3</v>
      </c>
      <c r="P126" s="5">
        <v>19</v>
      </c>
      <c r="Q126" s="5">
        <v>0</v>
      </c>
      <c r="R126" s="9">
        <v>0</v>
      </c>
      <c r="S126" s="5">
        <v>0</v>
      </c>
      <c r="T126" s="5">
        <v>0</v>
      </c>
    </row>
    <row r="127" spans="1:20" x14ac:dyDescent="0.2">
      <c r="A127" s="5" t="s">
        <v>154</v>
      </c>
      <c r="B127" s="5" t="s">
        <v>75</v>
      </c>
      <c r="C127" s="8" t="s">
        <v>724</v>
      </c>
      <c r="D127" s="7">
        <f t="shared" si="0"/>
        <v>7.8</v>
      </c>
      <c r="E127" s="5">
        <v>0</v>
      </c>
      <c r="F127" s="5">
        <v>0</v>
      </c>
      <c r="G127" s="5">
        <v>0</v>
      </c>
      <c r="H127" s="5">
        <v>0</v>
      </c>
      <c r="I127" s="5">
        <v>0</v>
      </c>
      <c r="J127" s="9">
        <v>0</v>
      </c>
      <c r="K127" s="5">
        <v>8</v>
      </c>
      <c r="L127" s="5">
        <v>40</v>
      </c>
      <c r="M127" s="5">
        <v>0</v>
      </c>
      <c r="N127" s="9">
        <v>0</v>
      </c>
      <c r="O127" s="5">
        <v>2</v>
      </c>
      <c r="P127" s="5">
        <v>18</v>
      </c>
      <c r="Q127" s="5">
        <v>0</v>
      </c>
      <c r="R127" s="9">
        <v>0</v>
      </c>
      <c r="S127" s="5">
        <v>0</v>
      </c>
      <c r="T127" s="5">
        <v>0</v>
      </c>
    </row>
    <row r="128" spans="1:20" x14ac:dyDescent="0.2">
      <c r="A128" s="5" t="s">
        <v>679</v>
      </c>
      <c r="B128" s="5" t="s">
        <v>162</v>
      </c>
      <c r="C128" s="8" t="s">
        <v>731</v>
      </c>
      <c r="D128" s="7">
        <f t="shared" si="0"/>
        <v>7.6</v>
      </c>
      <c r="E128" s="5">
        <v>0</v>
      </c>
      <c r="F128" s="5">
        <v>0</v>
      </c>
      <c r="G128" s="5">
        <v>0</v>
      </c>
      <c r="H128" s="5">
        <v>0</v>
      </c>
      <c r="I128" s="5">
        <v>0</v>
      </c>
      <c r="J128" s="9">
        <v>0</v>
      </c>
      <c r="K128" s="5">
        <v>0</v>
      </c>
      <c r="L128" s="5">
        <v>0</v>
      </c>
      <c r="M128" s="5">
        <v>0</v>
      </c>
      <c r="N128" s="9">
        <v>0</v>
      </c>
      <c r="O128" s="5">
        <v>1</v>
      </c>
      <c r="P128" s="5">
        <v>6</v>
      </c>
      <c r="Q128" s="5">
        <v>1</v>
      </c>
      <c r="R128" s="9">
        <v>0</v>
      </c>
      <c r="S128" s="5">
        <v>0</v>
      </c>
      <c r="T128" s="5">
        <v>0</v>
      </c>
    </row>
    <row r="129" spans="1:20" x14ac:dyDescent="0.2">
      <c r="A129" s="5" t="s">
        <v>164</v>
      </c>
      <c r="B129" s="5" t="s">
        <v>162</v>
      </c>
      <c r="C129" s="8" t="s">
        <v>735</v>
      </c>
      <c r="D129" s="7">
        <f t="shared" si="0"/>
        <v>7.5</v>
      </c>
      <c r="E129" s="5">
        <v>0</v>
      </c>
      <c r="F129" s="5">
        <v>0</v>
      </c>
      <c r="G129" s="5">
        <v>0</v>
      </c>
      <c r="H129" s="5">
        <v>0</v>
      </c>
      <c r="I129" s="5">
        <v>0</v>
      </c>
      <c r="J129" s="9">
        <v>0</v>
      </c>
      <c r="K129" s="5">
        <v>0</v>
      </c>
      <c r="L129" s="5">
        <v>0</v>
      </c>
      <c r="M129" s="5">
        <v>0</v>
      </c>
      <c r="N129" s="9">
        <v>0</v>
      </c>
      <c r="O129" s="5">
        <v>5</v>
      </c>
      <c r="P129" s="5">
        <v>25</v>
      </c>
      <c r="Q129" s="5">
        <v>0</v>
      </c>
      <c r="R129" s="9">
        <v>0</v>
      </c>
      <c r="S129" s="5">
        <v>0</v>
      </c>
      <c r="T129" s="5">
        <v>0</v>
      </c>
    </row>
    <row r="130" spans="1:20" x14ac:dyDescent="0.2">
      <c r="A130" s="5" t="s">
        <v>57</v>
      </c>
      <c r="B130" s="5" t="s">
        <v>17</v>
      </c>
      <c r="C130" s="8" t="s">
        <v>734</v>
      </c>
      <c r="D130" s="7">
        <f t="shared" si="0"/>
        <v>7.48</v>
      </c>
      <c r="E130" s="5">
        <v>36</v>
      </c>
      <c r="F130" s="5">
        <v>13</v>
      </c>
      <c r="G130" s="5">
        <v>137</v>
      </c>
      <c r="H130" s="5">
        <v>0</v>
      </c>
      <c r="I130" s="5">
        <v>0</v>
      </c>
      <c r="J130" s="9">
        <v>0</v>
      </c>
      <c r="K130" s="5">
        <v>3</v>
      </c>
      <c r="L130" s="5">
        <v>40</v>
      </c>
      <c r="M130" s="5">
        <v>0</v>
      </c>
      <c r="N130" s="9">
        <v>0</v>
      </c>
      <c r="O130" s="5">
        <v>0</v>
      </c>
      <c r="P130" s="5">
        <v>0</v>
      </c>
      <c r="Q130" s="5">
        <v>0</v>
      </c>
      <c r="R130" s="9">
        <v>0</v>
      </c>
      <c r="S130" s="5">
        <v>1</v>
      </c>
      <c r="T130" s="5">
        <v>0</v>
      </c>
    </row>
    <row r="131" spans="1:20" x14ac:dyDescent="0.2">
      <c r="A131" s="5" t="s">
        <v>94</v>
      </c>
      <c r="B131" s="5" t="s">
        <v>75</v>
      </c>
      <c r="C131" s="8" t="s">
        <v>734</v>
      </c>
      <c r="D131" s="7">
        <f t="shared" si="0"/>
        <v>7.4</v>
      </c>
      <c r="E131" s="5">
        <v>0</v>
      </c>
      <c r="F131" s="5">
        <v>0</v>
      </c>
      <c r="G131" s="5">
        <v>0</v>
      </c>
      <c r="H131" s="5">
        <v>0</v>
      </c>
      <c r="I131" s="5">
        <v>0</v>
      </c>
      <c r="J131" s="9">
        <v>0</v>
      </c>
      <c r="K131" s="5">
        <v>10</v>
      </c>
      <c r="L131" s="5">
        <v>74</v>
      </c>
      <c r="M131" s="5">
        <v>0</v>
      </c>
      <c r="N131" s="9">
        <v>0</v>
      </c>
      <c r="O131" s="5">
        <v>0</v>
      </c>
      <c r="P131" s="5">
        <v>0</v>
      </c>
      <c r="Q131" s="5">
        <v>0</v>
      </c>
      <c r="R131" s="9">
        <v>0</v>
      </c>
      <c r="S131" s="5">
        <v>0</v>
      </c>
      <c r="T131" s="5">
        <v>0</v>
      </c>
    </row>
    <row r="132" spans="1:20" x14ac:dyDescent="0.2">
      <c r="A132" s="5" t="s">
        <v>372</v>
      </c>
      <c r="B132" s="5" t="s">
        <v>69</v>
      </c>
      <c r="C132" s="8" t="s">
        <v>730</v>
      </c>
      <c r="D132" s="7">
        <f t="shared" si="0"/>
        <v>7.2</v>
      </c>
      <c r="E132" s="5">
        <v>0</v>
      </c>
      <c r="F132" s="5">
        <v>0</v>
      </c>
      <c r="G132" s="5">
        <v>0</v>
      </c>
      <c r="H132" s="5">
        <v>0</v>
      </c>
      <c r="I132" s="5">
        <v>0</v>
      </c>
      <c r="J132" s="9">
        <v>0</v>
      </c>
      <c r="K132" s="5">
        <v>0</v>
      </c>
      <c r="L132" s="5">
        <v>0</v>
      </c>
      <c r="M132" s="5">
        <v>0</v>
      </c>
      <c r="N132" s="9">
        <v>0</v>
      </c>
      <c r="O132" s="5">
        <v>1</v>
      </c>
      <c r="P132" s="5">
        <v>2</v>
      </c>
      <c r="Q132" s="5">
        <v>1</v>
      </c>
      <c r="R132" s="9">
        <v>0</v>
      </c>
      <c r="S132" s="5">
        <v>0</v>
      </c>
      <c r="T132" s="5">
        <v>0</v>
      </c>
    </row>
    <row r="133" spans="1:20" x14ac:dyDescent="0.2">
      <c r="A133" s="5" t="s">
        <v>174</v>
      </c>
      <c r="B133" s="5" t="s">
        <v>162</v>
      </c>
      <c r="C133" s="8" t="s">
        <v>731</v>
      </c>
      <c r="D133" s="7">
        <f t="shared" si="0"/>
        <v>7.2</v>
      </c>
      <c r="E133" s="5">
        <v>0</v>
      </c>
      <c r="F133" s="5">
        <v>0</v>
      </c>
      <c r="G133" s="5">
        <v>0</v>
      </c>
      <c r="H133" s="5">
        <v>0</v>
      </c>
      <c r="I133" s="5">
        <v>0</v>
      </c>
      <c r="J133" s="9">
        <v>0</v>
      </c>
      <c r="K133" s="5">
        <v>0</v>
      </c>
      <c r="L133" s="5">
        <v>0</v>
      </c>
      <c r="M133" s="5">
        <v>0</v>
      </c>
      <c r="N133" s="9">
        <v>0</v>
      </c>
      <c r="O133" s="5">
        <v>4</v>
      </c>
      <c r="P133" s="5">
        <v>32</v>
      </c>
      <c r="Q133" s="5">
        <v>0</v>
      </c>
      <c r="R133" s="9">
        <v>0</v>
      </c>
      <c r="S133" s="5">
        <v>0</v>
      </c>
      <c r="T133" s="5">
        <v>0</v>
      </c>
    </row>
    <row r="134" spans="1:20" x14ac:dyDescent="0.2">
      <c r="A134" s="5" t="s">
        <v>208</v>
      </c>
      <c r="B134" s="5" t="s">
        <v>162</v>
      </c>
      <c r="C134" s="8" t="s">
        <v>722</v>
      </c>
      <c r="D134" s="7">
        <f t="shared" si="0"/>
        <v>7.2</v>
      </c>
      <c r="E134" s="5">
        <v>0</v>
      </c>
      <c r="F134" s="5">
        <v>0</v>
      </c>
      <c r="G134" s="5">
        <v>0</v>
      </c>
      <c r="H134" s="5">
        <v>0</v>
      </c>
      <c r="I134" s="5">
        <v>0</v>
      </c>
      <c r="J134" s="9">
        <v>0</v>
      </c>
      <c r="K134" s="5">
        <v>0</v>
      </c>
      <c r="L134" s="5">
        <v>0</v>
      </c>
      <c r="M134" s="5">
        <v>0</v>
      </c>
      <c r="N134" s="9">
        <v>0</v>
      </c>
      <c r="O134" s="5">
        <v>3</v>
      </c>
      <c r="P134" s="5">
        <v>42</v>
      </c>
      <c r="Q134" s="5">
        <v>0</v>
      </c>
      <c r="R134" s="9">
        <v>0</v>
      </c>
      <c r="S134" s="5">
        <v>0</v>
      </c>
      <c r="T134" s="5">
        <v>0</v>
      </c>
    </row>
    <row r="135" spans="1:20" x14ac:dyDescent="0.2">
      <c r="A135" s="5" t="s">
        <v>140</v>
      </c>
      <c r="B135" s="5" t="s">
        <v>75</v>
      </c>
      <c r="C135" s="8" t="s">
        <v>731</v>
      </c>
      <c r="D135" s="7">
        <f t="shared" si="0"/>
        <v>7.2</v>
      </c>
      <c r="E135" s="5">
        <v>0</v>
      </c>
      <c r="F135" s="5">
        <v>0</v>
      </c>
      <c r="G135" s="5">
        <v>0</v>
      </c>
      <c r="H135" s="5">
        <v>0</v>
      </c>
      <c r="I135" s="5">
        <v>0</v>
      </c>
      <c r="J135" s="9">
        <v>0</v>
      </c>
      <c r="K135" s="5">
        <v>4</v>
      </c>
      <c r="L135" s="5">
        <v>30</v>
      </c>
      <c r="M135" s="5">
        <v>0</v>
      </c>
      <c r="N135" s="9">
        <v>0</v>
      </c>
      <c r="O135" s="5">
        <v>2</v>
      </c>
      <c r="P135" s="5">
        <v>22</v>
      </c>
      <c r="Q135" s="5">
        <v>0</v>
      </c>
      <c r="R135" s="9">
        <v>0</v>
      </c>
      <c r="S135" s="5">
        <v>0</v>
      </c>
      <c r="T135" s="5">
        <v>0</v>
      </c>
    </row>
    <row r="136" spans="1:20" x14ac:dyDescent="0.2">
      <c r="A136" s="5" t="s">
        <v>132</v>
      </c>
      <c r="B136" s="5" t="s">
        <v>75</v>
      </c>
      <c r="C136" s="8" t="s">
        <v>735</v>
      </c>
      <c r="D136" s="7">
        <f t="shared" si="0"/>
        <v>7.2</v>
      </c>
      <c r="E136" s="5">
        <v>0</v>
      </c>
      <c r="F136" s="5">
        <v>0</v>
      </c>
      <c r="G136" s="5">
        <v>0</v>
      </c>
      <c r="H136" s="5">
        <v>0</v>
      </c>
      <c r="I136" s="5">
        <v>0</v>
      </c>
      <c r="J136" s="9">
        <v>0</v>
      </c>
      <c r="K136" s="5">
        <v>12</v>
      </c>
      <c r="L136" s="5">
        <v>35</v>
      </c>
      <c r="M136" s="5">
        <v>0</v>
      </c>
      <c r="N136" s="9">
        <v>0</v>
      </c>
      <c r="O136" s="5">
        <v>3</v>
      </c>
      <c r="P136" s="5">
        <v>7</v>
      </c>
      <c r="Q136" s="5">
        <v>0</v>
      </c>
      <c r="R136" s="9">
        <v>0</v>
      </c>
      <c r="S136" s="5">
        <v>0</v>
      </c>
      <c r="T136" s="5">
        <v>0</v>
      </c>
    </row>
    <row r="137" spans="1:20" x14ac:dyDescent="0.2">
      <c r="A137" s="5" t="s">
        <v>578</v>
      </c>
      <c r="B137" s="5" t="s">
        <v>75</v>
      </c>
      <c r="C137" s="8" t="s">
        <v>723</v>
      </c>
      <c r="D137" s="7">
        <f t="shared" si="0"/>
        <v>7.2</v>
      </c>
      <c r="E137" s="5">
        <v>0</v>
      </c>
      <c r="F137" s="5">
        <v>0</v>
      </c>
      <c r="G137" s="5">
        <v>0</v>
      </c>
      <c r="H137" s="5">
        <v>0</v>
      </c>
      <c r="I137" s="5">
        <v>0</v>
      </c>
      <c r="J137" s="9">
        <v>0</v>
      </c>
      <c r="K137" s="5">
        <v>9</v>
      </c>
      <c r="L137" s="5">
        <v>54</v>
      </c>
      <c r="M137" s="5">
        <v>0</v>
      </c>
      <c r="N137" s="9">
        <v>0</v>
      </c>
      <c r="O137" s="5">
        <v>1</v>
      </c>
      <c r="P137" s="5">
        <v>8</v>
      </c>
      <c r="Q137" s="5">
        <v>0</v>
      </c>
      <c r="R137" s="9">
        <v>0</v>
      </c>
      <c r="S137" s="5">
        <v>0</v>
      </c>
      <c r="T137" s="5">
        <v>0</v>
      </c>
    </row>
    <row r="138" spans="1:20" x14ac:dyDescent="0.2">
      <c r="A138" s="5" t="s">
        <v>291</v>
      </c>
      <c r="B138" s="5" t="s">
        <v>69</v>
      </c>
      <c r="C138" s="8" t="s">
        <v>729</v>
      </c>
      <c r="D138" s="7">
        <f t="shared" si="0"/>
        <v>7.1</v>
      </c>
      <c r="E138" s="5">
        <v>0</v>
      </c>
      <c r="F138" s="5">
        <v>0</v>
      </c>
      <c r="G138" s="5">
        <v>0</v>
      </c>
      <c r="H138" s="5">
        <v>0</v>
      </c>
      <c r="I138" s="5">
        <v>0</v>
      </c>
      <c r="J138" s="9">
        <v>0</v>
      </c>
      <c r="K138" s="5">
        <v>0</v>
      </c>
      <c r="L138" s="5">
        <v>0</v>
      </c>
      <c r="M138" s="5">
        <v>0</v>
      </c>
      <c r="N138" s="9">
        <v>0</v>
      </c>
      <c r="O138" s="5">
        <v>5</v>
      </c>
      <c r="P138" s="5">
        <v>21</v>
      </c>
      <c r="Q138" s="5">
        <v>0</v>
      </c>
      <c r="R138" s="9">
        <v>0</v>
      </c>
      <c r="S138" s="5">
        <v>0</v>
      </c>
      <c r="T138" s="5">
        <v>0</v>
      </c>
    </row>
    <row r="139" spans="1:20" x14ac:dyDescent="0.2">
      <c r="A139" s="5" t="s">
        <v>267</v>
      </c>
      <c r="B139" s="5" t="s">
        <v>162</v>
      </c>
      <c r="C139" s="8" t="s">
        <v>729</v>
      </c>
      <c r="D139" s="7">
        <f t="shared" si="0"/>
        <v>7.1</v>
      </c>
      <c r="E139" s="5">
        <v>0</v>
      </c>
      <c r="F139" s="5">
        <v>0</v>
      </c>
      <c r="G139" s="5">
        <v>0</v>
      </c>
      <c r="H139" s="5">
        <v>0</v>
      </c>
      <c r="I139" s="5">
        <v>0</v>
      </c>
      <c r="J139" s="9">
        <v>0</v>
      </c>
      <c r="K139" s="5">
        <v>2</v>
      </c>
      <c r="L139" s="5">
        <v>16</v>
      </c>
      <c r="M139" s="5">
        <v>0</v>
      </c>
      <c r="N139" s="9">
        <v>0</v>
      </c>
      <c r="O139" s="5">
        <v>3</v>
      </c>
      <c r="P139" s="5">
        <v>25</v>
      </c>
      <c r="Q139" s="5">
        <v>0</v>
      </c>
      <c r="R139" s="9">
        <v>0</v>
      </c>
      <c r="S139" s="5">
        <v>0</v>
      </c>
      <c r="T139" s="5">
        <v>0</v>
      </c>
    </row>
    <row r="140" spans="1:20" x14ac:dyDescent="0.2">
      <c r="A140" s="5" t="s">
        <v>349</v>
      </c>
      <c r="B140" s="5" t="s">
        <v>69</v>
      </c>
      <c r="C140" s="8" t="s">
        <v>733</v>
      </c>
      <c r="D140" s="7">
        <f t="shared" si="0"/>
        <v>7</v>
      </c>
      <c r="E140" s="5">
        <v>0</v>
      </c>
      <c r="F140" s="5">
        <v>0</v>
      </c>
      <c r="G140" s="5">
        <v>0</v>
      </c>
      <c r="H140" s="5">
        <v>0</v>
      </c>
      <c r="I140" s="5">
        <v>0</v>
      </c>
      <c r="J140" s="9">
        <v>0</v>
      </c>
      <c r="K140" s="5">
        <v>0</v>
      </c>
      <c r="L140" s="5">
        <v>0</v>
      </c>
      <c r="M140" s="5">
        <v>0</v>
      </c>
      <c r="N140" s="9">
        <v>0</v>
      </c>
      <c r="O140" s="5">
        <v>4</v>
      </c>
      <c r="P140" s="5">
        <v>30</v>
      </c>
      <c r="Q140" s="5">
        <v>0</v>
      </c>
      <c r="R140" s="9">
        <v>0</v>
      </c>
      <c r="S140" s="5">
        <v>0</v>
      </c>
      <c r="T140" s="5">
        <v>0</v>
      </c>
    </row>
    <row r="141" spans="1:20" x14ac:dyDescent="0.2">
      <c r="A141" s="5" t="s">
        <v>109</v>
      </c>
      <c r="B141" s="5" t="s">
        <v>75</v>
      </c>
      <c r="C141" s="8" t="s">
        <v>735</v>
      </c>
      <c r="D141" s="7">
        <f t="shared" si="0"/>
        <v>7</v>
      </c>
      <c r="E141" s="5">
        <v>0</v>
      </c>
      <c r="F141" s="5">
        <v>0</v>
      </c>
      <c r="G141" s="5">
        <v>0</v>
      </c>
      <c r="H141" s="5">
        <v>0</v>
      </c>
      <c r="I141" s="5">
        <v>0</v>
      </c>
      <c r="J141" s="9">
        <v>0</v>
      </c>
      <c r="K141" s="5">
        <v>13</v>
      </c>
      <c r="L141" s="5">
        <v>34</v>
      </c>
      <c r="M141" s="5">
        <v>0</v>
      </c>
      <c r="N141" s="9">
        <v>0</v>
      </c>
      <c r="O141" s="5">
        <v>2</v>
      </c>
      <c r="P141" s="5">
        <v>16</v>
      </c>
      <c r="Q141" s="5">
        <v>0</v>
      </c>
      <c r="R141" s="9">
        <v>0</v>
      </c>
      <c r="S141" s="5">
        <v>0</v>
      </c>
      <c r="T141" s="5">
        <v>0</v>
      </c>
    </row>
    <row r="142" spans="1:20" x14ac:dyDescent="0.2">
      <c r="A142" s="5" t="s">
        <v>210</v>
      </c>
      <c r="B142" s="5" t="s">
        <v>162</v>
      </c>
      <c r="C142" s="8" t="s">
        <v>725</v>
      </c>
      <c r="D142" s="7">
        <f t="shared" si="0"/>
        <v>6.9</v>
      </c>
      <c r="E142" s="5">
        <v>0</v>
      </c>
      <c r="F142" s="5">
        <v>0</v>
      </c>
      <c r="G142" s="5">
        <v>0</v>
      </c>
      <c r="H142" s="5">
        <v>0</v>
      </c>
      <c r="I142" s="5">
        <v>0</v>
      </c>
      <c r="J142" s="9">
        <v>0</v>
      </c>
      <c r="K142" s="5">
        <v>0</v>
      </c>
      <c r="L142" s="5">
        <v>0</v>
      </c>
      <c r="M142" s="5">
        <v>0</v>
      </c>
      <c r="N142" s="9">
        <v>0</v>
      </c>
      <c r="O142" s="5">
        <v>5</v>
      </c>
      <c r="P142" s="5">
        <v>19</v>
      </c>
      <c r="Q142" s="5">
        <v>0</v>
      </c>
      <c r="R142" s="9">
        <v>0</v>
      </c>
      <c r="S142" s="5">
        <v>0</v>
      </c>
      <c r="T142" s="5">
        <v>0</v>
      </c>
    </row>
    <row r="143" spans="1:20" x14ac:dyDescent="0.2">
      <c r="A143" s="5" t="s">
        <v>205</v>
      </c>
      <c r="B143" s="5" t="s">
        <v>162</v>
      </c>
      <c r="C143" s="8" t="s">
        <v>728</v>
      </c>
      <c r="D143" s="7">
        <f t="shared" si="0"/>
        <v>6.8000000000000007</v>
      </c>
      <c r="E143" s="5">
        <v>0</v>
      </c>
      <c r="F143" s="5">
        <v>0</v>
      </c>
      <c r="G143" s="5">
        <v>0</v>
      </c>
      <c r="H143" s="5">
        <v>0</v>
      </c>
      <c r="I143" s="5">
        <v>0</v>
      </c>
      <c r="J143" s="9">
        <v>0</v>
      </c>
      <c r="K143" s="5">
        <v>0</v>
      </c>
      <c r="L143" s="5">
        <v>0</v>
      </c>
      <c r="M143" s="5">
        <v>0</v>
      </c>
      <c r="N143" s="9">
        <v>0</v>
      </c>
      <c r="O143" s="5">
        <v>2</v>
      </c>
      <c r="P143" s="5">
        <v>28</v>
      </c>
      <c r="Q143" s="5">
        <v>0</v>
      </c>
      <c r="R143" s="9">
        <v>1</v>
      </c>
      <c r="S143" s="5">
        <v>0</v>
      </c>
      <c r="T143" s="5">
        <v>0</v>
      </c>
    </row>
    <row r="144" spans="1:20" x14ac:dyDescent="0.2">
      <c r="A144" s="5" t="s">
        <v>284</v>
      </c>
      <c r="B144" s="5" t="s">
        <v>69</v>
      </c>
      <c r="C144" s="8" t="s">
        <v>725</v>
      </c>
      <c r="D144" s="7">
        <f t="shared" si="0"/>
        <v>6.8</v>
      </c>
      <c r="E144" s="5">
        <v>0</v>
      </c>
      <c r="F144" s="5">
        <v>0</v>
      </c>
      <c r="G144" s="5">
        <v>0</v>
      </c>
      <c r="H144" s="5">
        <v>0</v>
      </c>
      <c r="I144" s="5">
        <v>0</v>
      </c>
      <c r="J144" s="9">
        <v>0</v>
      </c>
      <c r="K144" s="5">
        <v>0</v>
      </c>
      <c r="L144" s="5">
        <v>0</v>
      </c>
      <c r="M144" s="5">
        <v>0</v>
      </c>
      <c r="N144" s="9">
        <v>0</v>
      </c>
      <c r="O144" s="5">
        <v>3</v>
      </c>
      <c r="P144" s="5">
        <v>18</v>
      </c>
      <c r="Q144" s="5">
        <v>0</v>
      </c>
      <c r="R144" s="9">
        <v>1</v>
      </c>
      <c r="S144" s="5">
        <v>0</v>
      </c>
      <c r="T144" s="5">
        <v>0</v>
      </c>
    </row>
    <row r="145" spans="1:20" x14ac:dyDescent="0.2">
      <c r="A145" s="5" t="s">
        <v>477</v>
      </c>
      <c r="B145" s="5" t="s">
        <v>69</v>
      </c>
      <c r="C145" s="8" t="s">
        <v>727</v>
      </c>
      <c r="D145" s="7">
        <f t="shared" si="0"/>
        <v>6.7</v>
      </c>
      <c r="E145" s="5">
        <v>0</v>
      </c>
      <c r="F145" s="5">
        <v>0</v>
      </c>
      <c r="G145" s="5">
        <v>0</v>
      </c>
      <c r="H145" s="5">
        <v>0</v>
      </c>
      <c r="I145" s="5">
        <v>0</v>
      </c>
      <c r="J145" s="9">
        <v>0</v>
      </c>
      <c r="K145" s="5">
        <v>0</v>
      </c>
      <c r="L145" s="5">
        <v>0</v>
      </c>
      <c r="M145" s="5">
        <v>0</v>
      </c>
      <c r="N145" s="9">
        <v>0</v>
      </c>
      <c r="O145" s="5">
        <v>3</v>
      </c>
      <c r="P145" s="5">
        <v>37</v>
      </c>
      <c r="Q145" s="5">
        <v>0</v>
      </c>
      <c r="R145" s="9">
        <v>0</v>
      </c>
      <c r="S145" s="5">
        <v>0</v>
      </c>
      <c r="T145" s="5">
        <v>0</v>
      </c>
    </row>
    <row r="146" spans="1:20" x14ac:dyDescent="0.2">
      <c r="A146" s="5" t="s">
        <v>348</v>
      </c>
      <c r="B146" s="5" t="s">
        <v>69</v>
      </c>
      <c r="C146" s="8" t="s">
        <v>724</v>
      </c>
      <c r="D146" s="7">
        <f t="shared" si="0"/>
        <v>6.7</v>
      </c>
      <c r="E146" s="5">
        <v>0</v>
      </c>
      <c r="F146" s="5">
        <v>0</v>
      </c>
      <c r="G146" s="5">
        <v>0</v>
      </c>
      <c r="H146" s="5">
        <v>0</v>
      </c>
      <c r="I146" s="5">
        <v>0</v>
      </c>
      <c r="J146" s="9">
        <v>0</v>
      </c>
      <c r="K146" s="5">
        <v>0</v>
      </c>
      <c r="L146" s="5">
        <v>0</v>
      </c>
      <c r="M146" s="5">
        <v>0</v>
      </c>
      <c r="N146" s="9">
        <v>0</v>
      </c>
      <c r="O146" s="5">
        <v>4</v>
      </c>
      <c r="P146" s="5">
        <v>27</v>
      </c>
      <c r="Q146" s="5">
        <v>0</v>
      </c>
      <c r="R146" s="9">
        <v>0</v>
      </c>
      <c r="S146" s="5">
        <v>0</v>
      </c>
      <c r="T146" s="5">
        <v>0</v>
      </c>
    </row>
    <row r="147" spans="1:20" x14ac:dyDescent="0.2">
      <c r="A147" s="5" t="s">
        <v>89</v>
      </c>
      <c r="B147" s="5" t="s">
        <v>75</v>
      </c>
      <c r="C147" s="8" t="s">
        <v>735</v>
      </c>
      <c r="D147" s="7">
        <f t="shared" si="0"/>
        <v>6.6000000000000005</v>
      </c>
      <c r="E147" s="5">
        <v>0</v>
      </c>
      <c r="F147" s="5">
        <v>0</v>
      </c>
      <c r="G147" s="5">
        <v>0</v>
      </c>
      <c r="H147" s="5">
        <v>0</v>
      </c>
      <c r="I147" s="5">
        <v>0</v>
      </c>
      <c r="J147" s="9">
        <v>0</v>
      </c>
      <c r="K147" s="5">
        <v>10</v>
      </c>
      <c r="L147" s="5">
        <v>66</v>
      </c>
      <c r="M147" s="5">
        <v>0</v>
      </c>
      <c r="N147" s="9">
        <v>0</v>
      </c>
      <c r="O147" s="5">
        <v>0</v>
      </c>
      <c r="P147" s="5">
        <v>0</v>
      </c>
      <c r="Q147" s="5">
        <v>0</v>
      </c>
      <c r="R147" s="9">
        <v>0</v>
      </c>
      <c r="S147" s="5">
        <v>0</v>
      </c>
      <c r="T147" s="5">
        <v>0</v>
      </c>
    </row>
    <row r="148" spans="1:20" x14ac:dyDescent="0.2">
      <c r="A148" s="5" t="s">
        <v>295</v>
      </c>
      <c r="B148" s="5" t="s">
        <v>69</v>
      </c>
      <c r="C148" s="8" t="s">
        <v>729</v>
      </c>
      <c r="D148" s="7">
        <f t="shared" si="0"/>
        <v>6.6</v>
      </c>
      <c r="E148" s="5">
        <v>0</v>
      </c>
      <c r="F148" s="5">
        <v>0</v>
      </c>
      <c r="G148" s="5">
        <v>0</v>
      </c>
      <c r="H148" s="5">
        <v>0</v>
      </c>
      <c r="I148" s="5">
        <v>0</v>
      </c>
      <c r="J148" s="9">
        <v>0</v>
      </c>
      <c r="K148" s="5">
        <v>0</v>
      </c>
      <c r="L148" s="5">
        <v>0</v>
      </c>
      <c r="M148" s="5">
        <v>0</v>
      </c>
      <c r="N148" s="9">
        <v>0</v>
      </c>
      <c r="O148" s="5">
        <v>3</v>
      </c>
      <c r="P148" s="5">
        <v>36</v>
      </c>
      <c r="Q148" s="5">
        <v>0</v>
      </c>
      <c r="R148" s="9">
        <v>0</v>
      </c>
      <c r="S148" s="5">
        <v>0</v>
      </c>
      <c r="T148" s="5">
        <v>0</v>
      </c>
    </row>
    <row r="149" spans="1:20" x14ac:dyDescent="0.2">
      <c r="A149" s="5" t="s">
        <v>362</v>
      </c>
      <c r="B149" s="5" t="s">
        <v>69</v>
      </c>
      <c r="C149" s="8" t="s">
        <v>727</v>
      </c>
      <c r="D149" s="7">
        <f t="shared" si="0"/>
        <v>6.5</v>
      </c>
      <c r="E149" s="5">
        <v>0</v>
      </c>
      <c r="F149" s="5">
        <v>0</v>
      </c>
      <c r="G149" s="5">
        <v>0</v>
      </c>
      <c r="H149" s="5">
        <v>0</v>
      </c>
      <c r="I149" s="5">
        <v>0</v>
      </c>
      <c r="J149" s="9">
        <v>0</v>
      </c>
      <c r="K149" s="5">
        <v>0</v>
      </c>
      <c r="L149" s="5">
        <v>0</v>
      </c>
      <c r="M149" s="5">
        <v>0</v>
      </c>
      <c r="N149" s="9">
        <v>0</v>
      </c>
      <c r="O149" s="5">
        <v>3</v>
      </c>
      <c r="P149" s="5">
        <v>35</v>
      </c>
      <c r="Q149" s="5">
        <v>0</v>
      </c>
      <c r="R149" s="9">
        <v>0</v>
      </c>
      <c r="S149" s="5">
        <v>0</v>
      </c>
      <c r="T149" s="5">
        <v>0</v>
      </c>
    </row>
    <row r="150" spans="1:20" x14ac:dyDescent="0.2">
      <c r="A150" s="5" t="s">
        <v>237</v>
      </c>
      <c r="B150" s="5" t="s">
        <v>162</v>
      </c>
      <c r="C150" s="8" t="s">
        <v>721</v>
      </c>
      <c r="D150" s="7">
        <f t="shared" si="0"/>
        <v>6.5</v>
      </c>
      <c r="E150" s="5">
        <v>0</v>
      </c>
      <c r="F150" s="5">
        <v>0</v>
      </c>
      <c r="G150" s="5">
        <v>0</v>
      </c>
      <c r="H150" s="5">
        <v>0</v>
      </c>
      <c r="I150" s="5">
        <v>0</v>
      </c>
      <c r="J150" s="9">
        <v>0</v>
      </c>
      <c r="K150" s="5">
        <v>0</v>
      </c>
      <c r="L150" s="5">
        <v>0</v>
      </c>
      <c r="M150" s="5">
        <v>0</v>
      </c>
      <c r="N150" s="9">
        <v>0</v>
      </c>
      <c r="O150" s="5">
        <v>4</v>
      </c>
      <c r="P150" s="5">
        <v>25</v>
      </c>
      <c r="Q150" s="5">
        <v>0</v>
      </c>
      <c r="R150" s="9">
        <v>0</v>
      </c>
      <c r="S150" s="5">
        <v>0</v>
      </c>
      <c r="T150" s="5">
        <v>0</v>
      </c>
    </row>
    <row r="151" spans="1:20" x14ac:dyDescent="0.2">
      <c r="A151" s="5" t="s">
        <v>652</v>
      </c>
      <c r="B151" s="5" t="s">
        <v>162</v>
      </c>
      <c r="C151" s="8" t="s">
        <v>734</v>
      </c>
      <c r="D151" s="7">
        <f t="shared" si="0"/>
        <v>6.4</v>
      </c>
      <c r="E151" s="5">
        <v>0</v>
      </c>
      <c r="F151" s="5">
        <v>0</v>
      </c>
      <c r="G151" s="5">
        <v>0</v>
      </c>
      <c r="H151" s="5">
        <v>0</v>
      </c>
      <c r="I151" s="5">
        <v>0</v>
      </c>
      <c r="J151" s="9">
        <v>0</v>
      </c>
      <c r="K151" s="5">
        <v>0</v>
      </c>
      <c r="L151" s="5">
        <v>0</v>
      </c>
      <c r="M151" s="5">
        <v>0</v>
      </c>
      <c r="N151" s="9">
        <v>0</v>
      </c>
      <c r="O151" s="5">
        <v>4</v>
      </c>
      <c r="P151" s="5">
        <v>24</v>
      </c>
      <c r="Q151" s="5">
        <v>0</v>
      </c>
      <c r="R151" s="9">
        <v>0</v>
      </c>
      <c r="S151" s="5">
        <v>0</v>
      </c>
      <c r="T151" s="5">
        <v>0</v>
      </c>
    </row>
    <row r="152" spans="1:20" x14ac:dyDescent="0.2">
      <c r="A152" s="5" t="s">
        <v>165</v>
      </c>
      <c r="B152" s="5" t="s">
        <v>162</v>
      </c>
      <c r="C152" s="8" t="s">
        <v>729</v>
      </c>
      <c r="D152" s="7">
        <f t="shared" si="0"/>
        <v>6.4</v>
      </c>
      <c r="E152" s="5">
        <v>0</v>
      </c>
      <c r="F152" s="5">
        <v>0</v>
      </c>
      <c r="G152" s="5">
        <v>0</v>
      </c>
      <c r="H152" s="5">
        <v>0</v>
      </c>
      <c r="I152" s="5">
        <v>0</v>
      </c>
      <c r="J152" s="9">
        <v>0</v>
      </c>
      <c r="K152" s="5">
        <v>0</v>
      </c>
      <c r="L152" s="5">
        <v>0</v>
      </c>
      <c r="M152" s="5">
        <v>0</v>
      </c>
      <c r="N152" s="9">
        <v>0</v>
      </c>
      <c r="O152" s="5">
        <v>4</v>
      </c>
      <c r="P152" s="5">
        <v>24</v>
      </c>
      <c r="Q152" s="5">
        <v>0</v>
      </c>
      <c r="R152" s="9">
        <v>0</v>
      </c>
      <c r="S152" s="5">
        <v>0</v>
      </c>
      <c r="T152" s="5">
        <v>0</v>
      </c>
    </row>
    <row r="153" spans="1:20" x14ac:dyDescent="0.2">
      <c r="A153" s="5" t="s">
        <v>181</v>
      </c>
      <c r="B153" s="5" t="s">
        <v>162</v>
      </c>
      <c r="C153" s="8" t="s">
        <v>726</v>
      </c>
      <c r="D153" s="7">
        <f t="shared" si="0"/>
        <v>6.4</v>
      </c>
      <c r="E153" s="5">
        <v>0</v>
      </c>
      <c r="F153" s="5">
        <v>0</v>
      </c>
      <c r="G153" s="5">
        <v>0</v>
      </c>
      <c r="H153" s="5">
        <v>0</v>
      </c>
      <c r="I153" s="5">
        <v>0</v>
      </c>
      <c r="J153" s="9">
        <v>0</v>
      </c>
      <c r="K153" s="5">
        <v>0</v>
      </c>
      <c r="L153" s="5">
        <v>0</v>
      </c>
      <c r="M153" s="5">
        <v>0</v>
      </c>
      <c r="N153" s="9">
        <v>0</v>
      </c>
      <c r="O153" s="5">
        <v>2</v>
      </c>
      <c r="P153" s="5">
        <v>44</v>
      </c>
      <c r="Q153" s="5">
        <v>0</v>
      </c>
      <c r="R153" s="9">
        <v>0</v>
      </c>
      <c r="S153" s="5">
        <v>0</v>
      </c>
      <c r="T153" s="5">
        <v>0</v>
      </c>
    </row>
    <row r="154" spans="1:20" x14ac:dyDescent="0.2">
      <c r="A154" s="5" t="s">
        <v>220</v>
      </c>
      <c r="B154" s="5" t="s">
        <v>162</v>
      </c>
      <c r="C154" s="8" t="s">
        <v>730</v>
      </c>
      <c r="D154" s="7">
        <f t="shared" si="0"/>
        <v>6.2</v>
      </c>
      <c r="E154" s="5">
        <v>0</v>
      </c>
      <c r="F154" s="5">
        <v>0</v>
      </c>
      <c r="G154" s="5">
        <v>0</v>
      </c>
      <c r="H154" s="5">
        <v>0</v>
      </c>
      <c r="I154" s="5">
        <v>0</v>
      </c>
      <c r="J154" s="9">
        <v>0</v>
      </c>
      <c r="K154" s="5">
        <v>0</v>
      </c>
      <c r="L154" s="5">
        <v>0</v>
      </c>
      <c r="M154" s="5">
        <v>0</v>
      </c>
      <c r="N154" s="9">
        <v>0</v>
      </c>
      <c r="O154" s="5">
        <v>3</v>
      </c>
      <c r="P154" s="5">
        <v>32</v>
      </c>
      <c r="Q154" s="5">
        <v>0</v>
      </c>
      <c r="R154" s="9">
        <v>0</v>
      </c>
      <c r="S154" s="5">
        <v>0</v>
      </c>
      <c r="T154" s="5">
        <v>0</v>
      </c>
    </row>
    <row r="155" spans="1:20" x14ac:dyDescent="0.2">
      <c r="A155" s="5" t="s">
        <v>206</v>
      </c>
      <c r="B155" s="5" t="s">
        <v>162</v>
      </c>
      <c r="C155" s="8" t="s">
        <v>730</v>
      </c>
      <c r="D155" s="7">
        <f t="shared" si="0"/>
        <v>5.9</v>
      </c>
      <c r="E155" s="5">
        <v>0</v>
      </c>
      <c r="F155" s="5">
        <v>0</v>
      </c>
      <c r="G155" s="5">
        <v>0</v>
      </c>
      <c r="H155" s="5">
        <v>0</v>
      </c>
      <c r="I155" s="5">
        <v>0</v>
      </c>
      <c r="J155" s="9">
        <v>0</v>
      </c>
      <c r="K155" s="5">
        <v>0</v>
      </c>
      <c r="L155" s="5">
        <v>0</v>
      </c>
      <c r="M155" s="5">
        <v>0</v>
      </c>
      <c r="N155" s="9">
        <v>0</v>
      </c>
      <c r="O155" s="5">
        <v>3</v>
      </c>
      <c r="P155" s="5">
        <v>29</v>
      </c>
      <c r="Q155" s="5">
        <v>0</v>
      </c>
      <c r="R155" s="9">
        <v>0</v>
      </c>
      <c r="S155" s="5">
        <v>0</v>
      </c>
      <c r="T155" s="5">
        <v>0</v>
      </c>
    </row>
    <row r="156" spans="1:20" x14ac:dyDescent="0.2">
      <c r="A156" s="5" t="s">
        <v>144</v>
      </c>
      <c r="B156" s="5" t="s">
        <v>75</v>
      </c>
      <c r="C156" s="8" t="s">
        <v>721</v>
      </c>
      <c r="D156" s="7">
        <f t="shared" si="0"/>
        <v>5.8000000000000007</v>
      </c>
      <c r="E156" s="5">
        <v>0</v>
      </c>
      <c r="F156" s="5">
        <v>0</v>
      </c>
      <c r="G156" s="5">
        <v>0</v>
      </c>
      <c r="H156" s="5">
        <v>0</v>
      </c>
      <c r="I156" s="5">
        <v>0</v>
      </c>
      <c r="J156" s="9">
        <v>0</v>
      </c>
      <c r="K156" s="5">
        <v>9</v>
      </c>
      <c r="L156" s="5">
        <v>44</v>
      </c>
      <c r="M156" s="5">
        <v>0</v>
      </c>
      <c r="N156" s="9">
        <v>0</v>
      </c>
      <c r="O156" s="5">
        <v>1</v>
      </c>
      <c r="P156" s="5">
        <v>4</v>
      </c>
      <c r="Q156" s="5">
        <v>0</v>
      </c>
      <c r="R156" s="9">
        <v>0</v>
      </c>
      <c r="S156" s="5">
        <v>0</v>
      </c>
      <c r="T156" s="5">
        <v>0</v>
      </c>
    </row>
    <row r="157" spans="1:20" x14ac:dyDescent="0.2">
      <c r="A157" s="5" t="s">
        <v>233</v>
      </c>
      <c r="B157" s="5" t="s">
        <v>162</v>
      </c>
      <c r="C157" s="8" t="s">
        <v>733</v>
      </c>
      <c r="D157" s="7">
        <f t="shared" si="0"/>
        <v>5.7</v>
      </c>
      <c r="E157" s="5">
        <v>0</v>
      </c>
      <c r="F157" s="5">
        <v>0</v>
      </c>
      <c r="G157" s="5">
        <v>0</v>
      </c>
      <c r="H157" s="5">
        <v>0</v>
      </c>
      <c r="I157" s="5">
        <v>0</v>
      </c>
      <c r="J157" s="9">
        <v>0</v>
      </c>
      <c r="K157" s="5">
        <v>0</v>
      </c>
      <c r="L157" s="5">
        <v>0</v>
      </c>
      <c r="M157" s="5">
        <v>0</v>
      </c>
      <c r="N157" s="9">
        <v>0</v>
      </c>
      <c r="O157" s="5">
        <v>2</v>
      </c>
      <c r="P157" s="5">
        <v>37</v>
      </c>
      <c r="Q157" s="5">
        <v>0</v>
      </c>
      <c r="R157" s="9">
        <v>0</v>
      </c>
      <c r="S157" s="5">
        <v>0</v>
      </c>
      <c r="T157" s="5">
        <v>0</v>
      </c>
    </row>
    <row r="158" spans="1:20" x14ac:dyDescent="0.2">
      <c r="A158" s="5" t="s">
        <v>367</v>
      </c>
      <c r="B158" s="5" t="s">
        <v>162</v>
      </c>
      <c r="C158" s="8" t="s">
        <v>735</v>
      </c>
      <c r="D158" s="7">
        <f t="shared" si="0"/>
        <v>5.6000000000000005</v>
      </c>
      <c r="E158" s="5">
        <v>0</v>
      </c>
      <c r="F158" s="5">
        <v>0</v>
      </c>
      <c r="G158" s="5">
        <v>0</v>
      </c>
      <c r="H158" s="5">
        <v>0</v>
      </c>
      <c r="I158" s="5">
        <v>0</v>
      </c>
      <c r="J158" s="9">
        <v>0</v>
      </c>
      <c r="K158" s="5">
        <v>0</v>
      </c>
      <c r="L158" s="5">
        <v>0</v>
      </c>
      <c r="M158" s="5">
        <v>0</v>
      </c>
      <c r="N158" s="9">
        <v>0</v>
      </c>
      <c r="O158" s="5">
        <v>3</v>
      </c>
      <c r="P158" s="5">
        <v>46</v>
      </c>
      <c r="Q158" s="5">
        <v>0</v>
      </c>
      <c r="R158" s="9">
        <v>0</v>
      </c>
      <c r="S158" s="5">
        <v>1</v>
      </c>
      <c r="T158" s="5">
        <v>0</v>
      </c>
    </row>
    <row r="159" spans="1:20" x14ac:dyDescent="0.2">
      <c r="A159" s="5" t="s">
        <v>347</v>
      </c>
      <c r="B159" s="5" t="s">
        <v>69</v>
      </c>
      <c r="C159" s="8" t="s">
        <v>721</v>
      </c>
      <c r="D159" s="7">
        <f t="shared" si="0"/>
        <v>5.5</v>
      </c>
      <c r="E159" s="5">
        <v>0</v>
      </c>
      <c r="F159" s="5">
        <v>0</v>
      </c>
      <c r="G159" s="5">
        <v>0</v>
      </c>
      <c r="H159" s="5">
        <v>0</v>
      </c>
      <c r="I159" s="5">
        <v>0</v>
      </c>
      <c r="J159" s="9">
        <v>0</v>
      </c>
      <c r="K159" s="5">
        <v>0</v>
      </c>
      <c r="L159" s="5">
        <v>0</v>
      </c>
      <c r="M159" s="5">
        <v>0</v>
      </c>
      <c r="N159" s="9">
        <v>0</v>
      </c>
      <c r="O159" s="5">
        <v>2</v>
      </c>
      <c r="P159" s="5">
        <v>35</v>
      </c>
      <c r="Q159" s="5">
        <v>0</v>
      </c>
      <c r="R159" s="9">
        <v>0</v>
      </c>
      <c r="S159" s="5">
        <v>0</v>
      </c>
      <c r="T159" s="5">
        <v>0</v>
      </c>
    </row>
    <row r="160" spans="1:20" x14ac:dyDescent="0.2">
      <c r="A160" s="5" t="s">
        <v>224</v>
      </c>
      <c r="B160" s="5" t="s">
        <v>162</v>
      </c>
      <c r="C160" s="8" t="s">
        <v>735</v>
      </c>
      <c r="D160" s="7">
        <f t="shared" si="0"/>
        <v>5.5</v>
      </c>
      <c r="E160" s="5">
        <v>0</v>
      </c>
      <c r="F160" s="5">
        <v>0</v>
      </c>
      <c r="G160" s="5">
        <v>0</v>
      </c>
      <c r="H160" s="5">
        <v>0</v>
      </c>
      <c r="I160" s="5">
        <v>0</v>
      </c>
      <c r="J160" s="9">
        <v>0</v>
      </c>
      <c r="K160" s="5">
        <v>0</v>
      </c>
      <c r="L160" s="5">
        <v>0</v>
      </c>
      <c r="M160" s="5">
        <v>0</v>
      </c>
      <c r="N160" s="9">
        <v>0</v>
      </c>
      <c r="O160" s="5">
        <v>4</v>
      </c>
      <c r="P160" s="5">
        <v>15</v>
      </c>
      <c r="Q160" s="5">
        <v>0</v>
      </c>
      <c r="R160" s="9">
        <v>0</v>
      </c>
      <c r="S160" s="5">
        <v>0</v>
      </c>
      <c r="T160" s="5">
        <v>0</v>
      </c>
    </row>
    <row r="161" spans="1:20" x14ac:dyDescent="0.2">
      <c r="A161" s="5" t="s">
        <v>647</v>
      </c>
      <c r="B161" s="5" t="s">
        <v>162</v>
      </c>
      <c r="C161" s="8" t="s">
        <v>734</v>
      </c>
      <c r="D161" s="7">
        <f t="shared" si="0"/>
        <v>5.4</v>
      </c>
      <c r="E161" s="5">
        <v>0</v>
      </c>
      <c r="F161" s="5">
        <v>0</v>
      </c>
      <c r="G161" s="5">
        <v>0</v>
      </c>
      <c r="H161" s="5">
        <v>0</v>
      </c>
      <c r="I161" s="5">
        <v>0</v>
      </c>
      <c r="J161" s="9">
        <v>0</v>
      </c>
      <c r="K161" s="5">
        <v>0</v>
      </c>
      <c r="L161" s="5">
        <v>0</v>
      </c>
      <c r="M161" s="5">
        <v>0</v>
      </c>
      <c r="N161" s="9">
        <v>0</v>
      </c>
      <c r="O161" s="5">
        <v>1</v>
      </c>
      <c r="P161" s="5">
        <v>44</v>
      </c>
      <c r="Q161" s="5">
        <v>0</v>
      </c>
      <c r="R161" s="9">
        <v>0</v>
      </c>
      <c r="S161" s="5">
        <v>0</v>
      </c>
      <c r="T161" s="5">
        <v>0</v>
      </c>
    </row>
    <row r="162" spans="1:20" x14ac:dyDescent="0.2">
      <c r="A162" s="5" t="s">
        <v>736</v>
      </c>
      <c r="B162" s="5" t="s">
        <v>17</v>
      </c>
      <c r="C162" s="8" t="s">
        <v>732</v>
      </c>
      <c r="D162" s="7">
        <f t="shared" si="0"/>
        <v>5.16</v>
      </c>
      <c r="E162" s="5">
        <v>24</v>
      </c>
      <c r="F162" s="5">
        <v>13</v>
      </c>
      <c r="G162" s="5">
        <v>179</v>
      </c>
      <c r="H162" s="5">
        <v>0</v>
      </c>
      <c r="I162" s="5">
        <v>0</v>
      </c>
      <c r="J162" s="9">
        <v>0</v>
      </c>
      <c r="K162" s="5">
        <v>0</v>
      </c>
      <c r="L162" s="5">
        <v>0</v>
      </c>
      <c r="M162" s="5">
        <v>0</v>
      </c>
      <c r="N162" s="9">
        <v>0</v>
      </c>
      <c r="O162" s="5">
        <v>0</v>
      </c>
      <c r="P162" s="5">
        <v>0</v>
      </c>
      <c r="Q162" s="5">
        <v>0</v>
      </c>
      <c r="R162" s="9">
        <v>0</v>
      </c>
      <c r="S162" s="5">
        <v>1</v>
      </c>
      <c r="T162" s="5">
        <v>0</v>
      </c>
    </row>
    <row r="163" spans="1:20" x14ac:dyDescent="0.2">
      <c r="A163" s="5" t="s">
        <v>173</v>
      </c>
      <c r="B163" s="5" t="s">
        <v>162</v>
      </c>
      <c r="C163" s="8" t="s">
        <v>726</v>
      </c>
      <c r="D163" s="7">
        <f t="shared" si="0"/>
        <v>5.0999999999999996</v>
      </c>
      <c r="E163" s="5">
        <v>0</v>
      </c>
      <c r="F163" s="5">
        <v>0</v>
      </c>
      <c r="G163" s="5">
        <v>0</v>
      </c>
      <c r="H163" s="5">
        <v>0</v>
      </c>
      <c r="I163" s="5">
        <v>0</v>
      </c>
      <c r="J163" s="9">
        <v>0</v>
      </c>
      <c r="K163" s="5">
        <v>0</v>
      </c>
      <c r="L163" s="5">
        <v>0</v>
      </c>
      <c r="M163" s="5">
        <v>0</v>
      </c>
      <c r="N163" s="9">
        <v>0</v>
      </c>
      <c r="O163" s="5">
        <v>3</v>
      </c>
      <c r="P163" s="5">
        <v>21</v>
      </c>
      <c r="Q163" s="5">
        <v>0</v>
      </c>
      <c r="R163" s="9">
        <v>0</v>
      </c>
      <c r="S163" s="5">
        <v>0</v>
      </c>
      <c r="T163" s="5">
        <v>0</v>
      </c>
    </row>
    <row r="164" spans="1:20" x14ac:dyDescent="0.2">
      <c r="A164" s="5" t="s">
        <v>476</v>
      </c>
      <c r="B164" s="5" t="s">
        <v>17</v>
      </c>
      <c r="C164" s="8" t="s">
        <v>735</v>
      </c>
      <c r="D164" s="7">
        <f t="shared" si="0"/>
        <v>5.04</v>
      </c>
      <c r="E164" s="5">
        <v>32</v>
      </c>
      <c r="F164" s="5">
        <v>21</v>
      </c>
      <c r="G164" s="5">
        <v>171</v>
      </c>
      <c r="H164" s="5">
        <v>0</v>
      </c>
      <c r="I164" s="5">
        <v>1</v>
      </c>
      <c r="J164" s="9">
        <v>0</v>
      </c>
      <c r="K164" s="5">
        <v>1</v>
      </c>
      <c r="L164" s="5">
        <v>2</v>
      </c>
      <c r="M164" s="5">
        <v>0</v>
      </c>
      <c r="N164" s="9">
        <v>0</v>
      </c>
      <c r="O164" s="5">
        <v>0</v>
      </c>
      <c r="P164" s="5">
        <v>0</v>
      </c>
      <c r="Q164" s="5">
        <v>0</v>
      </c>
      <c r="R164" s="9">
        <v>0</v>
      </c>
      <c r="S164" s="5">
        <v>0</v>
      </c>
      <c r="T164" s="5">
        <v>0</v>
      </c>
    </row>
    <row r="165" spans="1:20" x14ac:dyDescent="0.2">
      <c r="A165" s="5" t="s">
        <v>485</v>
      </c>
      <c r="B165" s="5" t="s">
        <v>162</v>
      </c>
      <c r="C165" s="8" t="s">
        <v>728</v>
      </c>
      <c r="D165" s="7">
        <f t="shared" si="0"/>
        <v>5</v>
      </c>
      <c r="E165" s="5">
        <v>0</v>
      </c>
      <c r="F165" s="5">
        <v>0</v>
      </c>
      <c r="G165" s="5">
        <v>0</v>
      </c>
      <c r="H165" s="5">
        <v>0</v>
      </c>
      <c r="I165" s="5">
        <v>0</v>
      </c>
      <c r="J165" s="9">
        <v>0</v>
      </c>
      <c r="K165" s="5">
        <v>0</v>
      </c>
      <c r="L165" s="5">
        <v>0</v>
      </c>
      <c r="M165" s="5">
        <v>0</v>
      </c>
      <c r="N165" s="9">
        <v>0</v>
      </c>
      <c r="O165" s="5">
        <v>2</v>
      </c>
      <c r="P165" s="5">
        <v>30</v>
      </c>
      <c r="Q165" s="5">
        <v>0</v>
      </c>
      <c r="R165" s="9">
        <v>0</v>
      </c>
      <c r="S165" s="5">
        <v>0</v>
      </c>
      <c r="T165" s="5">
        <v>0</v>
      </c>
    </row>
    <row r="166" spans="1:20" x14ac:dyDescent="0.2">
      <c r="A166" s="5" t="s">
        <v>156</v>
      </c>
      <c r="B166" s="5" t="s">
        <v>75</v>
      </c>
      <c r="C166" s="8" t="s">
        <v>722</v>
      </c>
      <c r="D166" s="7">
        <f t="shared" si="0"/>
        <v>4.8000000000000007</v>
      </c>
      <c r="E166" s="5">
        <v>0</v>
      </c>
      <c r="F166" s="5">
        <v>0</v>
      </c>
      <c r="G166" s="5">
        <v>0</v>
      </c>
      <c r="H166" s="5">
        <v>0</v>
      </c>
      <c r="I166" s="5">
        <v>0</v>
      </c>
      <c r="J166" s="9">
        <v>0</v>
      </c>
      <c r="K166" s="5">
        <v>3</v>
      </c>
      <c r="L166" s="5">
        <v>12</v>
      </c>
      <c r="M166" s="5">
        <v>0</v>
      </c>
      <c r="N166" s="9">
        <v>0</v>
      </c>
      <c r="O166" s="5">
        <v>2</v>
      </c>
      <c r="P166" s="5">
        <v>16</v>
      </c>
      <c r="Q166" s="5">
        <v>0</v>
      </c>
      <c r="R166" s="9">
        <v>0</v>
      </c>
      <c r="S166" s="5">
        <v>0</v>
      </c>
      <c r="T166" s="5">
        <v>0</v>
      </c>
    </row>
    <row r="167" spans="1:20" x14ac:dyDescent="0.2">
      <c r="A167" s="5" t="s">
        <v>280</v>
      </c>
      <c r="B167" s="5" t="s">
        <v>69</v>
      </c>
      <c r="C167" s="8" t="s">
        <v>726</v>
      </c>
      <c r="D167" s="7">
        <f t="shared" si="0"/>
        <v>4.7</v>
      </c>
      <c r="E167" s="5">
        <v>0</v>
      </c>
      <c r="F167" s="5">
        <v>0</v>
      </c>
      <c r="G167" s="5">
        <v>0</v>
      </c>
      <c r="H167" s="5">
        <v>0</v>
      </c>
      <c r="I167" s="5">
        <v>0</v>
      </c>
      <c r="J167" s="9">
        <v>0</v>
      </c>
      <c r="K167" s="5">
        <v>1</v>
      </c>
      <c r="L167" s="5">
        <v>4</v>
      </c>
      <c r="M167" s="5">
        <v>0</v>
      </c>
      <c r="N167" s="9">
        <v>0</v>
      </c>
      <c r="O167" s="5">
        <v>2</v>
      </c>
      <c r="P167" s="5">
        <v>23</v>
      </c>
      <c r="Q167" s="5">
        <v>0</v>
      </c>
      <c r="R167" s="9">
        <v>0</v>
      </c>
      <c r="S167" s="5">
        <v>0</v>
      </c>
      <c r="T167" s="5">
        <v>0</v>
      </c>
    </row>
    <row r="168" spans="1:20" x14ac:dyDescent="0.2">
      <c r="A168" s="5" t="s">
        <v>178</v>
      </c>
      <c r="B168" s="5" t="s">
        <v>162</v>
      </c>
      <c r="C168" s="8" t="s">
        <v>735</v>
      </c>
      <c r="D168" s="7">
        <f t="shared" si="0"/>
        <v>4.7</v>
      </c>
      <c r="E168" s="5">
        <v>0</v>
      </c>
      <c r="F168" s="5">
        <v>0</v>
      </c>
      <c r="G168" s="5">
        <v>0</v>
      </c>
      <c r="H168" s="5">
        <v>0</v>
      </c>
      <c r="I168" s="5">
        <v>0</v>
      </c>
      <c r="J168" s="9">
        <v>0</v>
      </c>
      <c r="K168" s="5">
        <v>0</v>
      </c>
      <c r="L168" s="5">
        <v>0</v>
      </c>
      <c r="M168" s="5">
        <v>0</v>
      </c>
      <c r="N168" s="9">
        <v>0</v>
      </c>
      <c r="O168" s="5">
        <v>2</v>
      </c>
      <c r="P168" s="5">
        <v>27</v>
      </c>
      <c r="Q168" s="5">
        <v>0</v>
      </c>
      <c r="R168" s="9">
        <v>0</v>
      </c>
      <c r="S168" s="5">
        <v>0</v>
      </c>
      <c r="T168" s="5">
        <v>0</v>
      </c>
    </row>
    <row r="169" spans="1:20" x14ac:dyDescent="0.2">
      <c r="A169" s="5" t="s">
        <v>167</v>
      </c>
      <c r="B169" s="5" t="s">
        <v>162</v>
      </c>
      <c r="C169" s="8" t="s">
        <v>735</v>
      </c>
      <c r="D169" s="7">
        <f t="shared" si="0"/>
        <v>4.7</v>
      </c>
      <c r="E169" s="5">
        <v>0</v>
      </c>
      <c r="F169" s="5">
        <v>0</v>
      </c>
      <c r="G169" s="5">
        <v>0</v>
      </c>
      <c r="H169" s="5">
        <v>0</v>
      </c>
      <c r="I169" s="5">
        <v>0</v>
      </c>
      <c r="J169" s="9">
        <v>0</v>
      </c>
      <c r="K169" s="5">
        <v>0</v>
      </c>
      <c r="L169" s="5">
        <v>0</v>
      </c>
      <c r="M169" s="5">
        <v>0</v>
      </c>
      <c r="N169" s="9">
        <v>0</v>
      </c>
      <c r="O169" s="5">
        <v>2</v>
      </c>
      <c r="P169" s="5">
        <v>27</v>
      </c>
      <c r="Q169" s="5">
        <v>0</v>
      </c>
      <c r="R169" s="9">
        <v>0</v>
      </c>
      <c r="S169" s="5">
        <v>0</v>
      </c>
      <c r="T169" s="5">
        <v>0</v>
      </c>
    </row>
    <row r="170" spans="1:20" x14ac:dyDescent="0.2">
      <c r="A170" s="5" t="s">
        <v>557</v>
      </c>
      <c r="B170" s="5" t="s">
        <v>162</v>
      </c>
      <c r="C170" s="8" t="s">
        <v>725</v>
      </c>
      <c r="D170" s="7">
        <f t="shared" si="0"/>
        <v>4.7</v>
      </c>
      <c r="E170" s="5">
        <v>0</v>
      </c>
      <c r="F170" s="5">
        <v>0</v>
      </c>
      <c r="G170" s="5">
        <v>0</v>
      </c>
      <c r="H170" s="5">
        <v>0</v>
      </c>
      <c r="I170" s="5">
        <v>0</v>
      </c>
      <c r="J170" s="9">
        <v>0</v>
      </c>
      <c r="K170" s="5">
        <v>0</v>
      </c>
      <c r="L170" s="5">
        <v>0</v>
      </c>
      <c r="M170" s="5">
        <v>0</v>
      </c>
      <c r="N170" s="9">
        <v>0</v>
      </c>
      <c r="O170" s="5">
        <v>3</v>
      </c>
      <c r="P170" s="5">
        <v>17</v>
      </c>
      <c r="Q170" s="5">
        <v>0</v>
      </c>
      <c r="R170" s="9">
        <v>0</v>
      </c>
      <c r="S170" s="5">
        <v>0</v>
      </c>
      <c r="T170" s="5">
        <v>0</v>
      </c>
    </row>
    <row r="171" spans="1:20" x14ac:dyDescent="0.2">
      <c r="A171" s="5" t="s">
        <v>63</v>
      </c>
      <c r="B171" s="5" t="s">
        <v>17</v>
      </c>
      <c r="C171" s="8" t="s">
        <v>735</v>
      </c>
      <c r="D171" s="7">
        <f t="shared" si="0"/>
        <v>4.62</v>
      </c>
      <c r="E171" s="5">
        <v>23</v>
      </c>
      <c r="F171" s="5">
        <v>10</v>
      </c>
      <c r="G171" s="5">
        <v>63</v>
      </c>
      <c r="H171" s="5">
        <v>0</v>
      </c>
      <c r="I171" s="5">
        <v>0</v>
      </c>
      <c r="J171" s="9">
        <v>0</v>
      </c>
      <c r="K171" s="5">
        <v>5</v>
      </c>
      <c r="L171" s="5">
        <v>21</v>
      </c>
      <c r="M171" s="5">
        <v>0</v>
      </c>
      <c r="N171" s="9">
        <v>0</v>
      </c>
      <c r="O171" s="5">
        <v>0</v>
      </c>
      <c r="P171" s="5">
        <v>0</v>
      </c>
      <c r="Q171" s="5">
        <v>0</v>
      </c>
      <c r="R171" s="9">
        <v>0</v>
      </c>
      <c r="S171" s="5">
        <v>0</v>
      </c>
      <c r="T171" s="5">
        <v>0</v>
      </c>
    </row>
    <row r="172" spans="1:20" x14ac:dyDescent="0.2">
      <c r="A172" s="5" t="s">
        <v>371</v>
      </c>
      <c r="B172" s="5" t="s">
        <v>162</v>
      </c>
      <c r="C172" s="8" t="s">
        <v>734</v>
      </c>
      <c r="D172" s="7">
        <f t="shared" si="0"/>
        <v>4.5999999999999996</v>
      </c>
      <c r="E172" s="5">
        <v>0</v>
      </c>
      <c r="F172" s="5">
        <v>0</v>
      </c>
      <c r="G172" s="5">
        <v>0</v>
      </c>
      <c r="H172" s="5">
        <v>0</v>
      </c>
      <c r="I172" s="5">
        <v>0</v>
      </c>
      <c r="J172" s="9">
        <v>0</v>
      </c>
      <c r="K172" s="5">
        <v>0</v>
      </c>
      <c r="L172" s="5">
        <v>0</v>
      </c>
      <c r="M172" s="5">
        <v>0</v>
      </c>
      <c r="N172" s="9">
        <v>0</v>
      </c>
      <c r="O172" s="5">
        <v>2</v>
      </c>
      <c r="P172" s="5">
        <v>26</v>
      </c>
      <c r="Q172" s="5">
        <v>0</v>
      </c>
      <c r="R172" s="9">
        <v>0</v>
      </c>
      <c r="S172" s="5">
        <v>0</v>
      </c>
      <c r="T172" s="5">
        <v>0</v>
      </c>
    </row>
    <row r="173" spans="1:20" x14ac:dyDescent="0.2">
      <c r="A173" s="5" t="s">
        <v>737</v>
      </c>
      <c r="B173" s="5" t="s">
        <v>69</v>
      </c>
      <c r="C173" s="8" t="s">
        <v>732</v>
      </c>
      <c r="D173" s="7">
        <f t="shared" si="0"/>
        <v>4.5</v>
      </c>
      <c r="E173" s="5">
        <v>0</v>
      </c>
      <c r="F173" s="5">
        <v>0</v>
      </c>
      <c r="G173" s="5">
        <v>0</v>
      </c>
      <c r="H173" s="5">
        <v>0</v>
      </c>
      <c r="I173" s="5">
        <v>0</v>
      </c>
      <c r="J173" s="9">
        <v>0</v>
      </c>
      <c r="K173" s="5">
        <v>0</v>
      </c>
      <c r="L173" s="5">
        <v>0</v>
      </c>
      <c r="M173" s="5">
        <v>0</v>
      </c>
      <c r="N173" s="9">
        <v>0</v>
      </c>
      <c r="O173" s="5">
        <v>1</v>
      </c>
      <c r="P173" s="5">
        <v>35</v>
      </c>
      <c r="Q173" s="5">
        <v>0</v>
      </c>
      <c r="R173" s="9">
        <v>0</v>
      </c>
      <c r="S173" s="5">
        <v>0</v>
      </c>
      <c r="T173" s="5">
        <v>0</v>
      </c>
    </row>
    <row r="174" spans="1:20" x14ac:dyDescent="0.2">
      <c r="A174" s="5" t="s">
        <v>243</v>
      </c>
      <c r="B174" s="5" t="s">
        <v>162</v>
      </c>
      <c r="C174" s="8" t="s">
        <v>726</v>
      </c>
      <c r="D174" s="7">
        <f t="shared" si="0"/>
        <v>4.5</v>
      </c>
      <c r="E174" s="5">
        <v>0</v>
      </c>
      <c r="F174" s="5">
        <v>0</v>
      </c>
      <c r="G174" s="5">
        <v>0</v>
      </c>
      <c r="H174" s="5">
        <v>0</v>
      </c>
      <c r="I174" s="5">
        <v>0</v>
      </c>
      <c r="J174" s="9">
        <v>0</v>
      </c>
      <c r="K174" s="5">
        <v>0</v>
      </c>
      <c r="L174" s="5">
        <v>0</v>
      </c>
      <c r="M174" s="5">
        <v>0</v>
      </c>
      <c r="N174" s="9">
        <v>0</v>
      </c>
      <c r="O174" s="5">
        <v>3</v>
      </c>
      <c r="P174" s="5">
        <v>15</v>
      </c>
      <c r="Q174" s="5">
        <v>0</v>
      </c>
      <c r="R174" s="9">
        <v>0</v>
      </c>
      <c r="S174" s="5">
        <v>0</v>
      </c>
      <c r="T174" s="5">
        <v>0</v>
      </c>
    </row>
    <row r="175" spans="1:20" x14ac:dyDescent="0.2">
      <c r="A175" s="5" t="s">
        <v>44</v>
      </c>
      <c r="B175" s="5" t="s">
        <v>17</v>
      </c>
      <c r="C175" s="8" t="s">
        <v>726</v>
      </c>
      <c r="D175" s="7">
        <f t="shared" si="0"/>
        <v>4.4400000000000013</v>
      </c>
      <c r="E175" s="5">
        <v>35</v>
      </c>
      <c r="F175" s="5">
        <v>20</v>
      </c>
      <c r="G175" s="5">
        <v>161</v>
      </c>
      <c r="H175" s="5">
        <v>1</v>
      </c>
      <c r="I175" s="5">
        <v>2</v>
      </c>
      <c r="J175" s="9">
        <v>0</v>
      </c>
      <c r="K175" s="5">
        <v>1</v>
      </c>
      <c r="L175" s="5">
        <v>0</v>
      </c>
      <c r="M175" s="5">
        <v>0</v>
      </c>
      <c r="N175" s="9">
        <v>0</v>
      </c>
      <c r="O175" s="5">
        <v>0</v>
      </c>
      <c r="P175" s="5">
        <v>0</v>
      </c>
      <c r="Q175" s="5">
        <v>0</v>
      </c>
      <c r="R175" s="9">
        <v>0</v>
      </c>
      <c r="S175" s="5">
        <v>1</v>
      </c>
      <c r="T175" s="5">
        <v>0</v>
      </c>
    </row>
    <row r="176" spans="1:20" x14ac:dyDescent="0.2">
      <c r="A176" s="5" t="s">
        <v>217</v>
      </c>
      <c r="B176" s="5" t="s">
        <v>162</v>
      </c>
      <c r="C176" s="8" t="s">
        <v>723</v>
      </c>
      <c r="D176" s="7">
        <f t="shared" si="0"/>
        <v>4.4000000000000004</v>
      </c>
      <c r="E176" s="5">
        <v>0</v>
      </c>
      <c r="F176" s="5">
        <v>0</v>
      </c>
      <c r="G176" s="5">
        <v>0</v>
      </c>
      <c r="H176" s="5">
        <v>0</v>
      </c>
      <c r="I176" s="5">
        <v>0</v>
      </c>
      <c r="J176" s="9">
        <v>0</v>
      </c>
      <c r="K176" s="5">
        <v>0</v>
      </c>
      <c r="L176" s="5">
        <v>0</v>
      </c>
      <c r="M176" s="5">
        <v>0</v>
      </c>
      <c r="N176" s="9">
        <v>0</v>
      </c>
      <c r="O176" s="5">
        <v>2</v>
      </c>
      <c r="P176" s="5">
        <v>24</v>
      </c>
      <c r="Q176" s="5">
        <v>0</v>
      </c>
      <c r="R176" s="9">
        <v>0</v>
      </c>
      <c r="S176" s="5">
        <v>0</v>
      </c>
      <c r="T176" s="5">
        <v>0</v>
      </c>
    </row>
    <row r="177" spans="1:20" x14ac:dyDescent="0.2">
      <c r="A177" s="5" t="s">
        <v>238</v>
      </c>
      <c r="B177" s="5" t="s">
        <v>162</v>
      </c>
      <c r="C177" s="8" t="s">
        <v>730</v>
      </c>
      <c r="D177" s="7">
        <f t="shared" si="0"/>
        <v>4.3000000000000007</v>
      </c>
      <c r="E177" s="5">
        <v>0</v>
      </c>
      <c r="F177" s="5">
        <v>0</v>
      </c>
      <c r="G177" s="5">
        <v>0</v>
      </c>
      <c r="H177" s="5">
        <v>0</v>
      </c>
      <c r="I177" s="5">
        <v>0</v>
      </c>
      <c r="J177" s="9">
        <v>0</v>
      </c>
      <c r="K177" s="5">
        <v>0</v>
      </c>
      <c r="L177" s="5">
        <v>0</v>
      </c>
      <c r="M177" s="5">
        <v>0</v>
      </c>
      <c r="N177" s="9">
        <v>0</v>
      </c>
      <c r="O177" s="5">
        <v>2</v>
      </c>
      <c r="P177" s="5">
        <v>23</v>
      </c>
      <c r="Q177" s="5">
        <v>0</v>
      </c>
      <c r="R177" s="9">
        <v>0</v>
      </c>
      <c r="S177" s="5">
        <v>0</v>
      </c>
      <c r="T177" s="5">
        <v>0</v>
      </c>
    </row>
    <row r="178" spans="1:20" x14ac:dyDescent="0.2">
      <c r="A178" s="5" t="s">
        <v>495</v>
      </c>
      <c r="B178" s="5" t="s">
        <v>162</v>
      </c>
      <c r="C178" s="8" t="s">
        <v>722</v>
      </c>
      <c r="D178" s="7">
        <f t="shared" si="0"/>
        <v>4.3000000000000007</v>
      </c>
      <c r="E178" s="5">
        <v>0</v>
      </c>
      <c r="F178" s="5">
        <v>0</v>
      </c>
      <c r="G178" s="5">
        <v>0</v>
      </c>
      <c r="H178" s="5">
        <v>0</v>
      </c>
      <c r="I178" s="5">
        <v>0</v>
      </c>
      <c r="J178" s="9">
        <v>0</v>
      </c>
      <c r="K178" s="5">
        <v>0</v>
      </c>
      <c r="L178" s="5">
        <v>0</v>
      </c>
      <c r="M178" s="5">
        <v>0</v>
      </c>
      <c r="N178" s="9">
        <v>0</v>
      </c>
      <c r="O178" s="5">
        <v>2</v>
      </c>
      <c r="P178" s="5">
        <v>23</v>
      </c>
      <c r="Q178" s="5">
        <v>0</v>
      </c>
      <c r="R178" s="9">
        <v>0</v>
      </c>
      <c r="S178" s="5">
        <v>0</v>
      </c>
      <c r="T178" s="5">
        <v>0</v>
      </c>
    </row>
    <row r="179" spans="1:20" x14ac:dyDescent="0.2">
      <c r="A179" s="5" t="s">
        <v>115</v>
      </c>
      <c r="B179" s="5" t="s">
        <v>75</v>
      </c>
      <c r="C179" s="8" t="s">
        <v>734</v>
      </c>
      <c r="D179" s="7">
        <f t="shared" si="0"/>
        <v>4.3</v>
      </c>
      <c r="E179" s="5">
        <v>0</v>
      </c>
      <c r="F179" s="5">
        <v>0</v>
      </c>
      <c r="G179" s="5">
        <v>0</v>
      </c>
      <c r="H179" s="5">
        <v>0</v>
      </c>
      <c r="I179" s="5">
        <v>0</v>
      </c>
      <c r="J179" s="9">
        <v>0</v>
      </c>
      <c r="K179" s="5">
        <v>11</v>
      </c>
      <c r="L179" s="5">
        <v>43</v>
      </c>
      <c r="M179" s="5">
        <v>0</v>
      </c>
      <c r="N179" s="9">
        <v>0</v>
      </c>
      <c r="O179" s="5">
        <v>0</v>
      </c>
      <c r="P179" s="5">
        <v>0</v>
      </c>
      <c r="Q179" s="5">
        <v>0</v>
      </c>
      <c r="R179" s="9">
        <v>0</v>
      </c>
      <c r="S179" s="5">
        <v>0</v>
      </c>
      <c r="T179" s="5">
        <v>0</v>
      </c>
    </row>
    <row r="180" spans="1:20" x14ac:dyDescent="0.2">
      <c r="A180" s="5" t="s">
        <v>242</v>
      </c>
      <c r="B180" s="5" t="s">
        <v>162</v>
      </c>
      <c r="C180" s="8" t="s">
        <v>734</v>
      </c>
      <c r="D180" s="7">
        <f t="shared" si="0"/>
        <v>4.2</v>
      </c>
      <c r="E180" s="5">
        <v>0</v>
      </c>
      <c r="F180" s="5">
        <v>0</v>
      </c>
      <c r="G180" s="5">
        <v>0</v>
      </c>
      <c r="H180" s="5">
        <v>0</v>
      </c>
      <c r="I180" s="5">
        <v>0</v>
      </c>
      <c r="J180" s="9">
        <v>0</v>
      </c>
      <c r="K180" s="5">
        <v>0</v>
      </c>
      <c r="L180" s="5">
        <v>0</v>
      </c>
      <c r="M180" s="5">
        <v>0</v>
      </c>
      <c r="N180" s="9">
        <v>0</v>
      </c>
      <c r="O180" s="5">
        <v>2</v>
      </c>
      <c r="P180" s="5">
        <v>22</v>
      </c>
      <c r="Q180" s="5">
        <v>0</v>
      </c>
      <c r="R180" s="9">
        <v>0</v>
      </c>
      <c r="S180" s="5">
        <v>0</v>
      </c>
      <c r="T180" s="5">
        <v>0</v>
      </c>
    </row>
    <row r="181" spans="1:20" x14ac:dyDescent="0.2">
      <c r="A181" s="5" t="s">
        <v>265</v>
      </c>
      <c r="B181" s="5" t="s">
        <v>162</v>
      </c>
      <c r="C181" s="8" t="s">
        <v>730</v>
      </c>
      <c r="D181" s="7">
        <f t="shared" si="0"/>
        <v>4.2</v>
      </c>
      <c r="E181" s="5">
        <v>0</v>
      </c>
      <c r="F181" s="5">
        <v>0</v>
      </c>
      <c r="G181" s="5">
        <v>0</v>
      </c>
      <c r="H181" s="5">
        <v>0</v>
      </c>
      <c r="I181" s="5">
        <v>0</v>
      </c>
      <c r="J181" s="9">
        <v>0</v>
      </c>
      <c r="K181" s="5">
        <v>0</v>
      </c>
      <c r="L181" s="5">
        <v>0</v>
      </c>
      <c r="M181" s="5">
        <v>0</v>
      </c>
      <c r="N181" s="9">
        <v>0</v>
      </c>
      <c r="O181" s="5">
        <v>2</v>
      </c>
      <c r="P181" s="5">
        <v>22</v>
      </c>
      <c r="Q181" s="5">
        <v>0</v>
      </c>
      <c r="R181" s="9">
        <v>0</v>
      </c>
      <c r="S181" s="5">
        <v>0</v>
      </c>
      <c r="T181" s="5">
        <v>0</v>
      </c>
    </row>
    <row r="182" spans="1:20" x14ac:dyDescent="0.2">
      <c r="A182" s="5" t="s">
        <v>248</v>
      </c>
      <c r="B182" s="5" t="s">
        <v>162</v>
      </c>
      <c r="C182" s="8" t="s">
        <v>731</v>
      </c>
      <c r="D182" s="7">
        <f t="shared" si="0"/>
        <v>4.2</v>
      </c>
      <c r="E182" s="5">
        <v>0</v>
      </c>
      <c r="F182" s="5">
        <v>0</v>
      </c>
      <c r="G182" s="5">
        <v>0</v>
      </c>
      <c r="H182" s="5">
        <v>0</v>
      </c>
      <c r="I182" s="5">
        <v>0</v>
      </c>
      <c r="J182" s="9">
        <v>0</v>
      </c>
      <c r="K182" s="5">
        <v>0</v>
      </c>
      <c r="L182" s="5">
        <v>0</v>
      </c>
      <c r="M182" s="5">
        <v>0</v>
      </c>
      <c r="N182" s="9">
        <v>0</v>
      </c>
      <c r="O182" s="5">
        <v>2</v>
      </c>
      <c r="P182" s="5">
        <v>22</v>
      </c>
      <c r="Q182" s="5">
        <v>0</v>
      </c>
      <c r="R182" s="9">
        <v>0</v>
      </c>
      <c r="S182" s="5">
        <v>0</v>
      </c>
      <c r="T182" s="5">
        <v>0</v>
      </c>
    </row>
    <row r="183" spans="1:20" x14ac:dyDescent="0.2">
      <c r="A183" s="5" t="s">
        <v>226</v>
      </c>
      <c r="B183" s="5" t="s">
        <v>162</v>
      </c>
      <c r="C183" s="8" t="s">
        <v>729</v>
      </c>
      <c r="D183" s="7">
        <f t="shared" si="0"/>
        <v>4.2</v>
      </c>
      <c r="E183" s="5">
        <v>0</v>
      </c>
      <c r="F183" s="5">
        <v>0</v>
      </c>
      <c r="G183" s="5">
        <v>0</v>
      </c>
      <c r="H183" s="5">
        <v>0</v>
      </c>
      <c r="I183" s="5">
        <v>0</v>
      </c>
      <c r="J183" s="9">
        <v>0</v>
      </c>
      <c r="K183" s="5">
        <v>0</v>
      </c>
      <c r="L183" s="5">
        <v>0</v>
      </c>
      <c r="M183" s="5">
        <v>0</v>
      </c>
      <c r="N183" s="9">
        <v>0</v>
      </c>
      <c r="O183" s="5">
        <v>2</v>
      </c>
      <c r="P183" s="5">
        <v>22</v>
      </c>
      <c r="Q183" s="5">
        <v>0</v>
      </c>
      <c r="R183" s="9">
        <v>0</v>
      </c>
      <c r="S183" s="5">
        <v>0</v>
      </c>
      <c r="T183" s="5">
        <v>0</v>
      </c>
    </row>
    <row r="184" spans="1:20" x14ac:dyDescent="0.2">
      <c r="A184" s="5" t="s">
        <v>147</v>
      </c>
      <c r="B184" s="5" t="s">
        <v>75</v>
      </c>
      <c r="C184" s="8" t="s">
        <v>732</v>
      </c>
      <c r="D184" s="7">
        <f t="shared" si="0"/>
        <v>4.2</v>
      </c>
      <c r="E184" s="5">
        <v>0</v>
      </c>
      <c r="F184" s="5">
        <v>0</v>
      </c>
      <c r="G184" s="5">
        <v>0</v>
      </c>
      <c r="H184" s="5">
        <v>0</v>
      </c>
      <c r="I184" s="5">
        <v>0</v>
      </c>
      <c r="J184" s="9">
        <v>0</v>
      </c>
      <c r="K184" s="5">
        <v>5</v>
      </c>
      <c r="L184" s="5">
        <v>25</v>
      </c>
      <c r="M184" s="5">
        <v>0</v>
      </c>
      <c r="N184" s="9">
        <v>0</v>
      </c>
      <c r="O184" s="5">
        <v>1</v>
      </c>
      <c r="P184" s="5">
        <v>7</v>
      </c>
      <c r="Q184" s="5">
        <v>0</v>
      </c>
      <c r="R184" s="9">
        <v>0</v>
      </c>
      <c r="S184" s="5">
        <v>0</v>
      </c>
      <c r="T184" s="5">
        <v>0</v>
      </c>
    </row>
    <row r="185" spans="1:20" x14ac:dyDescent="0.2">
      <c r="A185" s="5" t="s">
        <v>655</v>
      </c>
      <c r="B185" s="5" t="s">
        <v>75</v>
      </c>
      <c r="C185" s="8" t="s">
        <v>729</v>
      </c>
      <c r="D185" s="7">
        <f t="shared" si="0"/>
        <v>4.1000000000000005</v>
      </c>
      <c r="E185" s="5">
        <v>0</v>
      </c>
      <c r="F185" s="5">
        <v>0</v>
      </c>
      <c r="G185" s="5">
        <v>0</v>
      </c>
      <c r="H185" s="5">
        <v>0</v>
      </c>
      <c r="I185" s="5">
        <v>0</v>
      </c>
      <c r="J185" s="9">
        <v>0</v>
      </c>
      <c r="K185" s="5">
        <v>5</v>
      </c>
      <c r="L185" s="5">
        <v>19</v>
      </c>
      <c r="M185" s="5">
        <v>0</v>
      </c>
      <c r="N185" s="9">
        <v>0</v>
      </c>
      <c r="O185" s="5">
        <v>2</v>
      </c>
      <c r="P185" s="5">
        <v>2</v>
      </c>
      <c r="Q185" s="5">
        <v>0</v>
      </c>
      <c r="R185" s="9">
        <v>0</v>
      </c>
      <c r="S185" s="5">
        <v>0</v>
      </c>
      <c r="T185" s="5">
        <v>0</v>
      </c>
    </row>
    <row r="186" spans="1:20" x14ac:dyDescent="0.2">
      <c r="A186" s="5" t="s">
        <v>344</v>
      </c>
      <c r="B186" s="5" t="s">
        <v>162</v>
      </c>
      <c r="C186" s="8" t="s">
        <v>731</v>
      </c>
      <c r="D186" s="7">
        <f t="shared" si="0"/>
        <v>4</v>
      </c>
      <c r="E186" s="5">
        <v>0</v>
      </c>
      <c r="F186" s="5">
        <v>0</v>
      </c>
      <c r="G186" s="5">
        <v>0</v>
      </c>
      <c r="H186" s="5">
        <v>0</v>
      </c>
      <c r="I186" s="5">
        <v>0</v>
      </c>
      <c r="J186" s="9">
        <v>0</v>
      </c>
      <c r="K186" s="5">
        <v>0</v>
      </c>
      <c r="L186" s="5">
        <v>0</v>
      </c>
      <c r="M186" s="5">
        <v>0</v>
      </c>
      <c r="N186" s="9">
        <v>0</v>
      </c>
      <c r="O186" s="5">
        <v>2</v>
      </c>
      <c r="P186" s="5">
        <v>20</v>
      </c>
      <c r="Q186" s="5">
        <v>0</v>
      </c>
      <c r="R186" s="9">
        <v>0</v>
      </c>
      <c r="S186" s="5">
        <v>0</v>
      </c>
      <c r="T186" s="5">
        <v>0</v>
      </c>
    </row>
    <row r="187" spans="1:20" x14ac:dyDescent="0.2">
      <c r="A187" s="5" t="s">
        <v>78</v>
      </c>
      <c r="B187" s="5" t="s">
        <v>75</v>
      </c>
      <c r="C187" s="8" t="s">
        <v>724</v>
      </c>
      <c r="D187" s="7">
        <f t="shared" si="0"/>
        <v>4</v>
      </c>
      <c r="E187" s="5">
        <v>0</v>
      </c>
      <c r="F187" s="5">
        <v>0</v>
      </c>
      <c r="G187" s="5">
        <v>0</v>
      </c>
      <c r="H187" s="5">
        <v>0</v>
      </c>
      <c r="I187" s="5">
        <v>0</v>
      </c>
      <c r="J187" s="9">
        <v>0</v>
      </c>
      <c r="K187" s="5">
        <v>9</v>
      </c>
      <c r="L187" s="5">
        <v>40</v>
      </c>
      <c r="M187" s="5">
        <v>0</v>
      </c>
      <c r="N187" s="9">
        <v>0</v>
      </c>
      <c r="O187" s="5">
        <v>0</v>
      </c>
      <c r="P187" s="5">
        <v>0</v>
      </c>
      <c r="Q187" s="5">
        <v>0</v>
      </c>
      <c r="R187" s="9">
        <v>0</v>
      </c>
      <c r="S187" s="5">
        <v>0</v>
      </c>
      <c r="T187" s="5">
        <v>0</v>
      </c>
    </row>
    <row r="188" spans="1:20" x14ac:dyDescent="0.2">
      <c r="A188" s="5" t="s">
        <v>149</v>
      </c>
      <c r="B188" s="5" t="s">
        <v>75</v>
      </c>
      <c r="C188" s="8" t="s">
        <v>729</v>
      </c>
      <c r="D188" s="7">
        <f t="shared" si="0"/>
        <v>4</v>
      </c>
      <c r="E188" s="5">
        <v>0</v>
      </c>
      <c r="F188" s="5">
        <v>0</v>
      </c>
      <c r="G188" s="5">
        <v>0</v>
      </c>
      <c r="H188" s="5">
        <v>0</v>
      </c>
      <c r="I188" s="5">
        <v>0</v>
      </c>
      <c r="J188" s="9">
        <v>0</v>
      </c>
      <c r="K188" s="5">
        <v>3</v>
      </c>
      <c r="L188" s="5">
        <v>9</v>
      </c>
      <c r="M188" s="5">
        <v>0</v>
      </c>
      <c r="N188" s="9">
        <v>0</v>
      </c>
      <c r="O188" s="5">
        <v>1</v>
      </c>
      <c r="P188" s="5">
        <v>21</v>
      </c>
      <c r="Q188" s="5">
        <v>0</v>
      </c>
      <c r="R188" s="9">
        <v>0</v>
      </c>
      <c r="S188" s="5">
        <v>0</v>
      </c>
      <c r="T188" s="5">
        <v>0</v>
      </c>
    </row>
    <row r="189" spans="1:20" x14ac:dyDescent="0.2">
      <c r="A189" s="5" t="s">
        <v>380</v>
      </c>
      <c r="B189" s="5" t="s">
        <v>75</v>
      </c>
      <c r="C189" s="8" t="s">
        <v>735</v>
      </c>
      <c r="D189" s="7">
        <f t="shared" si="0"/>
        <v>3.9000000000000004</v>
      </c>
      <c r="E189" s="5">
        <v>0</v>
      </c>
      <c r="F189" s="5">
        <v>0</v>
      </c>
      <c r="G189" s="5">
        <v>0</v>
      </c>
      <c r="H189" s="5">
        <v>0</v>
      </c>
      <c r="I189" s="5">
        <v>0</v>
      </c>
      <c r="J189" s="9">
        <v>0</v>
      </c>
      <c r="K189" s="5">
        <v>1</v>
      </c>
      <c r="L189" s="5">
        <v>12</v>
      </c>
      <c r="M189" s="5">
        <v>0</v>
      </c>
      <c r="N189" s="9">
        <v>0</v>
      </c>
      <c r="O189" s="5">
        <v>2</v>
      </c>
      <c r="P189" s="5">
        <v>7</v>
      </c>
      <c r="Q189" s="5">
        <v>0</v>
      </c>
      <c r="R189" s="9">
        <v>0</v>
      </c>
      <c r="S189" s="5">
        <v>0</v>
      </c>
      <c r="T189" s="5">
        <v>0</v>
      </c>
    </row>
    <row r="190" spans="1:20" x14ac:dyDescent="0.2">
      <c r="A190" s="5" t="s">
        <v>152</v>
      </c>
      <c r="B190" s="5" t="s">
        <v>75</v>
      </c>
      <c r="C190" s="8" t="s">
        <v>733</v>
      </c>
      <c r="D190" s="7">
        <f t="shared" si="0"/>
        <v>3.9000000000000004</v>
      </c>
      <c r="E190" s="5">
        <v>0</v>
      </c>
      <c r="F190" s="5">
        <v>0</v>
      </c>
      <c r="G190" s="5">
        <v>0</v>
      </c>
      <c r="H190" s="5">
        <v>0</v>
      </c>
      <c r="I190" s="5">
        <v>0</v>
      </c>
      <c r="J190" s="9">
        <v>0</v>
      </c>
      <c r="K190" s="5">
        <v>11</v>
      </c>
      <c r="L190" s="5">
        <v>39</v>
      </c>
      <c r="M190" s="5">
        <v>0</v>
      </c>
      <c r="N190" s="9">
        <v>0</v>
      </c>
      <c r="O190" s="5">
        <v>0</v>
      </c>
      <c r="P190" s="5">
        <v>0</v>
      </c>
      <c r="Q190" s="5">
        <v>0</v>
      </c>
      <c r="R190" s="9">
        <v>0</v>
      </c>
      <c r="S190" s="5">
        <v>0</v>
      </c>
      <c r="T190" s="5">
        <v>0</v>
      </c>
    </row>
    <row r="191" spans="1:20" x14ac:dyDescent="0.2">
      <c r="A191" s="5" t="s">
        <v>420</v>
      </c>
      <c r="B191" s="5" t="s">
        <v>162</v>
      </c>
      <c r="C191" s="8" t="s">
        <v>733</v>
      </c>
      <c r="D191" s="7">
        <f t="shared" si="0"/>
        <v>3.8000000000000003</v>
      </c>
      <c r="E191" s="5">
        <v>0</v>
      </c>
      <c r="F191" s="5">
        <v>0</v>
      </c>
      <c r="G191" s="5">
        <v>0</v>
      </c>
      <c r="H191" s="5">
        <v>0</v>
      </c>
      <c r="I191" s="5">
        <v>0</v>
      </c>
      <c r="J191" s="9">
        <v>0</v>
      </c>
      <c r="K191" s="5">
        <v>0</v>
      </c>
      <c r="L191" s="5">
        <v>0</v>
      </c>
      <c r="M191" s="5">
        <v>0</v>
      </c>
      <c r="N191" s="9">
        <v>0</v>
      </c>
      <c r="O191" s="5">
        <v>1</v>
      </c>
      <c r="P191" s="5">
        <v>28</v>
      </c>
      <c r="Q191" s="5">
        <v>0</v>
      </c>
      <c r="R191" s="9">
        <v>0</v>
      </c>
      <c r="S191" s="5">
        <v>0</v>
      </c>
      <c r="T191" s="5">
        <v>0</v>
      </c>
    </row>
    <row r="192" spans="1:20" x14ac:dyDescent="0.2">
      <c r="A192" s="5" t="s">
        <v>285</v>
      </c>
      <c r="B192" s="5" t="s">
        <v>69</v>
      </c>
      <c r="C192" s="8" t="s">
        <v>730</v>
      </c>
      <c r="D192" s="7">
        <f t="shared" si="0"/>
        <v>3.7</v>
      </c>
      <c r="E192" s="5">
        <v>0</v>
      </c>
      <c r="F192" s="5">
        <v>0</v>
      </c>
      <c r="G192" s="5">
        <v>0</v>
      </c>
      <c r="H192" s="5">
        <v>0</v>
      </c>
      <c r="I192" s="5">
        <v>0</v>
      </c>
      <c r="J192" s="9">
        <v>0</v>
      </c>
      <c r="K192" s="5">
        <v>0</v>
      </c>
      <c r="L192" s="5">
        <v>0</v>
      </c>
      <c r="M192" s="5">
        <v>0</v>
      </c>
      <c r="N192" s="9">
        <v>0</v>
      </c>
      <c r="O192" s="5">
        <v>2</v>
      </c>
      <c r="P192" s="5">
        <v>17</v>
      </c>
      <c r="Q192" s="5">
        <v>0</v>
      </c>
      <c r="R192" s="9">
        <v>0</v>
      </c>
      <c r="S192" s="5">
        <v>0</v>
      </c>
      <c r="T192" s="5">
        <v>0</v>
      </c>
    </row>
    <row r="193" spans="1:20" x14ac:dyDescent="0.2">
      <c r="A193" s="5" t="s">
        <v>53</v>
      </c>
      <c r="B193" s="5" t="s">
        <v>17</v>
      </c>
      <c r="C193" s="8" t="s">
        <v>727</v>
      </c>
      <c r="D193" s="7">
        <f t="shared" si="0"/>
        <v>3.64</v>
      </c>
      <c r="E193" s="5">
        <v>23</v>
      </c>
      <c r="F193" s="5">
        <v>10</v>
      </c>
      <c r="G193" s="5">
        <v>91</v>
      </c>
      <c r="H193" s="5">
        <v>0</v>
      </c>
      <c r="I193" s="5">
        <v>0</v>
      </c>
      <c r="J193" s="9">
        <v>0</v>
      </c>
      <c r="K193" s="5">
        <v>0</v>
      </c>
      <c r="L193" s="5">
        <v>0</v>
      </c>
      <c r="M193" s="5">
        <v>0</v>
      </c>
      <c r="N193" s="9">
        <v>0</v>
      </c>
      <c r="O193" s="5">
        <v>0</v>
      </c>
      <c r="P193" s="5">
        <v>0</v>
      </c>
      <c r="Q193" s="5">
        <v>0</v>
      </c>
      <c r="R193" s="9">
        <v>0</v>
      </c>
      <c r="S193" s="5">
        <v>0</v>
      </c>
      <c r="T193" s="5">
        <v>0</v>
      </c>
    </row>
    <row r="194" spans="1:20" x14ac:dyDescent="0.2">
      <c r="A194" s="5" t="s">
        <v>287</v>
      </c>
      <c r="B194" s="5" t="s">
        <v>69</v>
      </c>
      <c r="C194" s="8" t="s">
        <v>728</v>
      </c>
      <c r="D194" s="7">
        <f t="shared" si="0"/>
        <v>3.6</v>
      </c>
      <c r="E194" s="5">
        <v>0</v>
      </c>
      <c r="F194" s="5">
        <v>0</v>
      </c>
      <c r="G194" s="5">
        <v>0</v>
      </c>
      <c r="H194" s="5">
        <v>0</v>
      </c>
      <c r="I194" s="5">
        <v>0</v>
      </c>
      <c r="J194" s="9">
        <v>0</v>
      </c>
      <c r="K194" s="5">
        <v>0</v>
      </c>
      <c r="L194" s="5">
        <v>0</v>
      </c>
      <c r="M194" s="5">
        <v>0</v>
      </c>
      <c r="N194" s="9">
        <v>0</v>
      </c>
      <c r="O194" s="5">
        <v>2</v>
      </c>
      <c r="P194" s="5">
        <v>16</v>
      </c>
      <c r="Q194" s="5">
        <v>0</v>
      </c>
      <c r="R194" s="9">
        <v>0</v>
      </c>
      <c r="S194" s="5">
        <v>0</v>
      </c>
      <c r="T194" s="5">
        <v>0</v>
      </c>
    </row>
    <row r="195" spans="1:20" x14ac:dyDescent="0.2">
      <c r="A195" s="5" t="s">
        <v>360</v>
      </c>
      <c r="B195" s="5" t="s">
        <v>162</v>
      </c>
      <c r="C195" s="8" t="s">
        <v>732</v>
      </c>
      <c r="D195" s="7">
        <f t="shared" si="0"/>
        <v>3.6</v>
      </c>
      <c r="E195" s="5">
        <v>0</v>
      </c>
      <c r="F195" s="5">
        <v>0</v>
      </c>
      <c r="G195" s="5">
        <v>0</v>
      </c>
      <c r="H195" s="5">
        <v>0</v>
      </c>
      <c r="I195" s="5">
        <v>0</v>
      </c>
      <c r="J195" s="9">
        <v>0</v>
      </c>
      <c r="K195" s="5">
        <v>0</v>
      </c>
      <c r="L195" s="5">
        <v>0</v>
      </c>
      <c r="M195" s="5">
        <v>0</v>
      </c>
      <c r="N195" s="9">
        <v>0</v>
      </c>
      <c r="O195" s="5">
        <v>2</v>
      </c>
      <c r="P195" s="5">
        <v>16</v>
      </c>
      <c r="Q195" s="5">
        <v>0</v>
      </c>
      <c r="R195" s="9">
        <v>0</v>
      </c>
      <c r="S195" s="5">
        <v>0</v>
      </c>
      <c r="T195" s="5">
        <v>0</v>
      </c>
    </row>
    <row r="196" spans="1:20" x14ac:dyDescent="0.2">
      <c r="A196" s="5" t="s">
        <v>394</v>
      </c>
      <c r="B196" s="5" t="s">
        <v>75</v>
      </c>
      <c r="C196" s="8" t="s">
        <v>727</v>
      </c>
      <c r="D196" s="7">
        <f t="shared" si="0"/>
        <v>3.6</v>
      </c>
      <c r="E196" s="5">
        <v>0</v>
      </c>
      <c r="F196" s="5">
        <v>0</v>
      </c>
      <c r="G196" s="5">
        <v>0</v>
      </c>
      <c r="H196" s="5">
        <v>0</v>
      </c>
      <c r="I196" s="5">
        <v>0</v>
      </c>
      <c r="J196" s="9">
        <v>0</v>
      </c>
      <c r="K196" s="5">
        <v>0</v>
      </c>
      <c r="L196" s="5">
        <v>0</v>
      </c>
      <c r="M196" s="5">
        <v>0</v>
      </c>
      <c r="N196" s="9">
        <v>0</v>
      </c>
      <c r="O196" s="5">
        <v>1</v>
      </c>
      <c r="P196" s="5">
        <v>26</v>
      </c>
      <c r="Q196" s="5">
        <v>0</v>
      </c>
      <c r="R196" s="9">
        <v>0</v>
      </c>
      <c r="S196" s="5">
        <v>0</v>
      </c>
      <c r="T196" s="5">
        <v>0</v>
      </c>
    </row>
    <row r="197" spans="1:20" x14ac:dyDescent="0.2">
      <c r="A197" s="5" t="s">
        <v>315</v>
      </c>
      <c r="B197" s="5" t="s">
        <v>69</v>
      </c>
      <c r="C197" s="8" t="s">
        <v>731</v>
      </c>
      <c r="D197" s="7">
        <f t="shared" si="0"/>
        <v>3.5</v>
      </c>
      <c r="E197" s="5">
        <v>0</v>
      </c>
      <c r="F197" s="5">
        <v>0</v>
      </c>
      <c r="G197" s="5">
        <v>0</v>
      </c>
      <c r="H197" s="5">
        <v>0</v>
      </c>
      <c r="I197" s="5">
        <v>0</v>
      </c>
      <c r="J197" s="9">
        <v>0</v>
      </c>
      <c r="K197" s="5">
        <v>0</v>
      </c>
      <c r="L197" s="5">
        <v>0</v>
      </c>
      <c r="M197" s="5">
        <v>0</v>
      </c>
      <c r="N197" s="9">
        <v>0</v>
      </c>
      <c r="O197" s="5">
        <v>2</v>
      </c>
      <c r="P197" s="5">
        <v>15</v>
      </c>
      <c r="Q197" s="5">
        <v>0</v>
      </c>
      <c r="R197" s="9">
        <v>0</v>
      </c>
      <c r="S197" s="5">
        <v>0</v>
      </c>
      <c r="T197" s="5">
        <v>0</v>
      </c>
    </row>
    <row r="198" spans="1:20" x14ac:dyDescent="0.2">
      <c r="A198" s="5" t="s">
        <v>305</v>
      </c>
      <c r="B198" s="5" t="s">
        <v>69</v>
      </c>
      <c r="C198" s="8" t="s">
        <v>725</v>
      </c>
      <c r="D198" s="7">
        <f t="shared" si="0"/>
        <v>3.5</v>
      </c>
      <c r="E198" s="5">
        <v>1</v>
      </c>
      <c r="F198" s="5">
        <v>0</v>
      </c>
      <c r="G198" s="5">
        <v>0</v>
      </c>
      <c r="H198" s="5">
        <v>0</v>
      </c>
      <c r="I198" s="5">
        <v>0</v>
      </c>
      <c r="J198" s="9">
        <v>0</v>
      </c>
      <c r="K198" s="5">
        <v>0</v>
      </c>
      <c r="L198" s="5">
        <v>0</v>
      </c>
      <c r="M198" s="5">
        <v>0</v>
      </c>
      <c r="N198" s="9">
        <v>0</v>
      </c>
      <c r="O198" s="5">
        <v>2</v>
      </c>
      <c r="P198" s="5">
        <v>15</v>
      </c>
      <c r="Q198" s="5">
        <v>0</v>
      </c>
      <c r="R198" s="9">
        <v>0</v>
      </c>
      <c r="S198" s="5">
        <v>0</v>
      </c>
      <c r="T198" s="5">
        <v>0</v>
      </c>
    </row>
    <row r="199" spans="1:20" x14ac:dyDescent="0.2">
      <c r="A199" s="5" t="s">
        <v>443</v>
      </c>
      <c r="B199" s="5" t="s">
        <v>69</v>
      </c>
      <c r="C199" s="8" t="s">
        <v>724</v>
      </c>
      <c r="D199" s="7">
        <f t="shared" si="0"/>
        <v>3.5</v>
      </c>
      <c r="E199" s="5">
        <v>0</v>
      </c>
      <c r="F199" s="5">
        <v>0</v>
      </c>
      <c r="G199" s="5">
        <v>0</v>
      </c>
      <c r="H199" s="5">
        <v>0</v>
      </c>
      <c r="I199" s="5">
        <v>0</v>
      </c>
      <c r="J199" s="9">
        <v>0</v>
      </c>
      <c r="K199" s="5">
        <v>0</v>
      </c>
      <c r="L199" s="5">
        <v>0</v>
      </c>
      <c r="M199" s="5">
        <v>0</v>
      </c>
      <c r="N199" s="9">
        <v>0</v>
      </c>
      <c r="O199" s="5">
        <v>2</v>
      </c>
      <c r="P199" s="5">
        <v>15</v>
      </c>
      <c r="Q199" s="5">
        <v>0</v>
      </c>
      <c r="R199" s="9">
        <v>0</v>
      </c>
      <c r="S199" s="5">
        <v>0</v>
      </c>
      <c r="T199" s="5">
        <v>0</v>
      </c>
    </row>
    <row r="200" spans="1:20" x14ac:dyDescent="0.2">
      <c r="A200" s="5" t="s">
        <v>240</v>
      </c>
      <c r="B200" s="5" t="s">
        <v>162</v>
      </c>
      <c r="C200" s="8" t="s">
        <v>729</v>
      </c>
      <c r="D200" s="7">
        <f t="shared" si="0"/>
        <v>3.5</v>
      </c>
      <c r="E200" s="5">
        <v>0</v>
      </c>
      <c r="F200" s="5">
        <v>0</v>
      </c>
      <c r="G200" s="5">
        <v>0</v>
      </c>
      <c r="H200" s="5">
        <v>0</v>
      </c>
      <c r="I200" s="5">
        <v>0</v>
      </c>
      <c r="J200" s="9">
        <v>0</v>
      </c>
      <c r="K200" s="5">
        <v>0</v>
      </c>
      <c r="L200" s="5">
        <v>0</v>
      </c>
      <c r="M200" s="5">
        <v>0</v>
      </c>
      <c r="N200" s="9">
        <v>0</v>
      </c>
      <c r="O200" s="5">
        <v>1</v>
      </c>
      <c r="P200" s="5">
        <v>25</v>
      </c>
      <c r="Q200" s="5">
        <v>0</v>
      </c>
      <c r="R200" s="9">
        <v>0</v>
      </c>
      <c r="S200" s="5">
        <v>0</v>
      </c>
      <c r="T200" s="5">
        <v>0</v>
      </c>
    </row>
    <row r="201" spans="1:20" x14ac:dyDescent="0.2">
      <c r="A201" s="5" t="s">
        <v>260</v>
      </c>
      <c r="B201" s="5" t="s">
        <v>162</v>
      </c>
      <c r="C201" s="8" t="s">
        <v>727</v>
      </c>
      <c r="D201" s="7">
        <f t="shared" si="0"/>
        <v>3.5</v>
      </c>
      <c r="E201" s="5">
        <v>0</v>
      </c>
      <c r="F201" s="5">
        <v>0</v>
      </c>
      <c r="G201" s="5">
        <v>0</v>
      </c>
      <c r="H201" s="5">
        <v>0</v>
      </c>
      <c r="I201" s="5">
        <v>0</v>
      </c>
      <c r="J201" s="9">
        <v>0</v>
      </c>
      <c r="K201" s="5">
        <v>0</v>
      </c>
      <c r="L201" s="5">
        <v>0</v>
      </c>
      <c r="M201" s="5">
        <v>0</v>
      </c>
      <c r="N201" s="9">
        <v>0</v>
      </c>
      <c r="O201" s="5">
        <v>2</v>
      </c>
      <c r="P201" s="5">
        <v>15</v>
      </c>
      <c r="Q201" s="5">
        <v>0</v>
      </c>
      <c r="R201" s="9">
        <v>0</v>
      </c>
      <c r="S201" s="5">
        <v>0</v>
      </c>
      <c r="T201" s="5">
        <v>0</v>
      </c>
    </row>
    <row r="202" spans="1:20" x14ac:dyDescent="0.2">
      <c r="A202" s="5" t="s">
        <v>236</v>
      </c>
      <c r="B202" s="5" t="s">
        <v>162</v>
      </c>
      <c r="C202" s="8" t="s">
        <v>731</v>
      </c>
      <c r="D202" s="7">
        <f t="shared" si="0"/>
        <v>3.4000000000000004</v>
      </c>
      <c r="E202" s="5">
        <v>0</v>
      </c>
      <c r="F202" s="5">
        <v>0</v>
      </c>
      <c r="G202" s="5">
        <v>0</v>
      </c>
      <c r="H202" s="5">
        <v>0</v>
      </c>
      <c r="I202" s="5">
        <v>0</v>
      </c>
      <c r="J202" s="9">
        <v>0</v>
      </c>
      <c r="K202" s="5">
        <v>0</v>
      </c>
      <c r="L202" s="5">
        <v>0</v>
      </c>
      <c r="M202" s="5">
        <v>0</v>
      </c>
      <c r="N202" s="9">
        <v>0</v>
      </c>
      <c r="O202" s="5">
        <v>2</v>
      </c>
      <c r="P202" s="5">
        <v>14</v>
      </c>
      <c r="Q202" s="5">
        <v>0</v>
      </c>
      <c r="R202" s="9">
        <v>0</v>
      </c>
      <c r="S202" s="5">
        <v>0</v>
      </c>
      <c r="T202" s="5">
        <v>0</v>
      </c>
    </row>
    <row r="203" spans="1:20" x14ac:dyDescent="0.2">
      <c r="A203" s="5" t="s">
        <v>738</v>
      </c>
      <c r="B203" s="5" t="s">
        <v>17</v>
      </c>
      <c r="C203" s="8" t="s">
        <v>735</v>
      </c>
      <c r="D203" s="7">
        <f t="shared" si="0"/>
        <v>3.3200000000000003</v>
      </c>
      <c r="E203" s="5">
        <v>13</v>
      </c>
      <c r="F203" s="5">
        <v>9</v>
      </c>
      <c r="G203" s="5">
        <v>83</v>
      </c>
      <c r="H203" s="5">
        <v>0</v>
      </c>
      <c r="I203" s="5">
        <v>0</v>
      </c>
      <c r="J203" s="9">
        <v>0</v>
      </c>
      <c r="K203" s="5">
        <v>0</v>
      </c>
      <c r="L203" s="5">
        <v>0</v>
      </c>
      <c r="M203" s="5">
        <v>0</v>
      </c>
      <c r="N203" s="9">
        <v>0</v>
      </c>
      <c r="O203" s="5">
        <v>0</v>
      </c>
      <c r="P203" s="5">
        <v>0</v>
      </c>
      <c r="Q203" s="5">
        <v>0</v>
      </c>
      <c r="R203" s="9">
        <v>0</v>
      </c>
      <c r="S203" s="5">
        <v>0</v>
      </c>
      <c r="T203" s="5">
        <v>0</v>
      </c>
    </row>
    <row r="204" spans="1:20" x14ac:dyDescent="0.2">
      <c r="A204" s="5" t="s">
        <v>212</v>
      </c>
      <c r="B204" s="5" t="s">
        <v>162</v>
      </c>
      <c r="C204" s="8" t="s">
        <v>728</v>
      </c>
      <c r="D204" s="7">
        <f t="shared" si="0"/>
        <v>3.3</v>
      </c>
      <c r="E204" s="5">
        <v>0</v>
      </c>
      <c r="F204" s="5">
        <v>0</v>
      </c>
      <c r="G204" s="5">
        <v>0</v>
      </c>
      <c r="H204" s="5">
        <v>0</v>
      </c>
      <c r="I204" s="5">
        <v>0</v>
      </c>
      <c r="J204" s="9">
        <v>0</v>
      </c>
      <c r="K204" s="5">
        <v>0</v>
      </c>
      <c r="L204" s="5">
        <v>0</v>
      </c>
      <c r="M204" s="5">
        <v>0</v>
      </c>
      <c r="N204" s="9">
        <v>0</v>
      </c>
      <c r="O204" s="5">
        <v>2</v>
      </c>
      <c r="P204" s="5">
        <v>13</v>
      </c>
      <c r="Q204" s="5">
        <v>0</v>
      </c>
      <c r="R204" s="9">
        <v>0</v>
      </c>
      <c r="S204" s="5">
        <v>0</v>
      </c>
      <c r="T204" s="5">
        <v>0</v>
      </c>
    </row>
    <row r="205" spans="1:20" x14ac:dyDescent="0.2">
      <c r="A205" s="5" t="s">
        <v>346</v>
      </c>
      <c r="B205" s="5" t="s">
        <v>162</v>
      </c>
      <c r="C205" s="8" t="s">
        <v>731</v>
      </c>
      <c r="D205" s="7">
        <f t="shared" si="0"/>
        <v>3.3</v>
      </c>
      <c r="E205" s="5">
        <v>0</v>
      </c>
      <c r="F205" s="5">
        <v>0</v>
      </c>
      <c r="G205" s="5">
        <v>0</v>
      </c>
      <c r="H205" s="5">
        <v>0</v>
      </c>
      <c r="I205" s="5">
        <v>0</v>
      </c>
      <c r="J205" s="9">
        <v>0</v>
      </c>
      <c r="K205" s="5">
        <v>0</v>
      </c>
      <c r="L205" s="5">
        <v>0</v>
      </c>
      <c r="M205" s="5">
        <v>0</v>
      </c>
      <c r="N205" s="9">
        <v>0</v>
      </c>
      <c r="O205" s="5">
        <v>2</v>
      </c>
      <c r="P205" s="5">
        <v>13</v>
      </c>
      <c r="Q205" s="5">
        <v>0</v>
      </c>
      <c r="R205" s="9">
        <v>0</v>
      </c>
      <c r="S205" s="5">
        <v>0</v>
      </c>
      <c r="T205" s="5">
        <v>0</v>
      </c>
    </row>
    <row r="206" spans="1:20" x14ac:dyDescent="0.2">
      <c r="A206" s="5" t="s">
        <v>651</v>
      </c>
      <c r="B206" s="5" t="s">
        <v>162</v>
      </c>
      <c r="C206" s="8" t="s">
        <v>735</v>
      </c>
      <c r="D206" s="7">
        <f t="shared" si="0"/>
        <v>3.3</v>
      </c>
      <c r="E206" s="5">
        <v>0</v>
      </c>
      <c r="F206" s="5">
        <v>0</v>
      </c>
      <c r="G206" s="5">
        <v>0</v>
      </c>
      <c r="H206" s="5">
        <v>0</v>
      </c>
      <c r="I206" s="5">
        <v>0</v>
      </c>
      <c r="J206" s="9">
        <v>0</v>
      </c>
      <c r="K206" s="5">
        <v>0</v>
      </c>
      <c r="L206" s="5">
        <v>0</v>
      </c>
      <c r="M206" s="5">
        <v>0</v>
      </c>
      <c r="N206" s="9">
        <v>0</v>
      </c>
      <c r="O206" s="5">
        <v>2</v>
      </c>
      <c r="P206" s="5">
        <v>13</v>
      </c>
      <c r="Q206" s="5">
        <v>0</v>
      </c>
      <c r="R206" s="9">
        <v>0</v>
      </c>
      <c r="S206" s="5">
        <v>0</v>
      </c>
      <c r="T206" s="5">
        <v>0</v>
      </c>
    </row>
    <row r="207" spans="1:20" x14ac:dyDescent="0.2">
      <c r="A207" s="5" t="s">
        <v>357</v>
      </c>
      <c r="B207" s="5" t="s">
        <v>162</v>
      </c>
      <c r="C207" s="8" t="s">
        <v>728</v>
      </c>
      <c r="D207" s="7">
        <f t="shared" si="0"/>
        <v>3.2</v>
      </c>
      <c r="E207" s="5">
        <v>0</v>
      </c>
      <c r="F207" s="5">
        <v>0</v>
      </c>
      <c r="G207" s="5">
        <v>0</v>
      </c>
      <c r="H207" s="5">
        <v>0</v>
      </c>
      <c r="I207" s="5">
        <v>0</v>
      </c>
      <c r="J207" s="9">
        <v>0</v>
      </c>
      <c r="K207" s="5">
        <v>0</v>
      </c>
      <c r="L207" s="5">
        <v>0</v>
      </c>
      <c r="M207" s="5">
        <v>0</v>
      </c>
      <c r="N207" s="9">
        <v>0</v>
      </c>
      <c r="O207" s="5">
        <v>1</v>
      </c>
      <c r="P207" s="5">
        <v>22</v>
      </c>
      <c r="Q207" s="5">
        <v>0</v>
      </c>
      <c r="R207" s="9">
        <v>0</v>
      </c>
      <c r="S207" s="5">
        <v>0</v>
      </c>
      <c r="T207" s="5">
        <v>0</v>
      </c>
    </row>
    <row r="208" spans="1:20" x14ac:dyDescent="0.2">
      <c r="A208" s="5" t="s">
        <v>254</v>
      </c>
      <c r="B208" s="5" t="s">
        <v>162</v>
      </c>
      <c r="C208" s="8" t="s">
        <v>732</v>
      </c>
      <c r="D208" s="7">
        <f t="shared" si="0"/>
        <v>3.1</v>
      </c>
      <c r="E208" s="5">
        <v>0</v>
      </c>
      <c r="F208" s="5">
        <v>0</v>
      </c>
      <c r="G208" s="5">
        <v>0</v>
      </c>
      <c r="H208" s="5">
        <v>0</v>
      </c>
      <c r="I208" s="5">
        <v>0</v>
      </c>
      <c r="J208" s="9">
        <v>0</v>
      </c>
      <c r="K208" s="5">
        <v>0</v>
      </c>
      <c r="L208" s="5">
        <v>0</v>
      </c>
      <c r="M208" s="5">
        <v>0</v>
      </c>
      <c r="N208" s="9">
        <v>0</v>
      </c>
      <c r="O208" s="5">
        <v>2</v>
      </c>
      <c r="P208" s="5">
        <v>11</v>
      </c>
      <c r="Q208" s="5">
        <v>0</v>
      </c>
      <c r="R208" s="9">
        <v>0</v>
      </c>
      <c r="S208" s="5">
        <v>0</v>
      </c>
      <c r="T208" s="5">
        <v>0</v>
      </c>
    </row>
    <row r="209" spans="1:20" x14ac:dyDescent="0.2">
      <c r="A209" s="5" t="s">
        <v>194</v>
      </c>
      <c r="B209" s="5" t="s">
        <v>162</v>
      </c>
      <c r="C209" s="8" t="s">
        <v>725</v>
      </c>
      <c r="D209" s="7">
        <f t="shared" si="0"/>
        <v>3.1</v>
      </c>
      <c r="E209" s="5">
        <v>0</v>
      </c>
      <c r="F209" s="5">
        <v>0</v>
      </c>
      <c r="G209" s="5">
        <v>0</v>
      </c>
      <c r="H209" s="5">
        <v>0</v>
      </c>
      <c r="I209" s="5">
        <v>0</v>
      </c>
      <c r="J209" s="9">
        <v>0</v>
      </c>
      <c r="K209" s="5">
        <v>0</v>
      </c>
      <c r="L209" s="5">
        <v>0</v>
      </c>
      <c r="M209" s="5">
        <v>0</v>
      </c>
      <c r="N209" s="9">
        <v>0</v>
      </c>
      <c r="O209" s="5">
        <v>1</v>
      </c>
      <c r="P209" s="5">
        <v>21</v>
      </c>
      <c r="Q209" s="5">
        <v>0</v>
      </c>
      <c r="R209" s="9">
        <v>0</v>
      </c>
      <c r="S209" s="5">
        <v>0</v>
      </c>
      <c r="T209" s="5">
        <v>0</v>
      </c>
    </row>
    <row r="210" spans="1:20" x14ac:dyDescent="0.2">
      <c r="A210" s="5" t="s">
        <v>290</v>
      </c>
      <c r="B210" s="5" t="s">
        <v>69</v>
      </c>
      <c r="C210" s="8" t="s">
        <v>734</v>
      </c>
      <c r="D210" s="7">
        <f t="shared" si="0"/>
        <v>3</v>
      </c>
      <c r="E210" s="5">
        <v>0</v>
      </c>
      <c r="F210" s="5">
        <v>0</v>
      </c>
      <c r="G210" s="5">
        <v>0</v>
      </c>
      <c r="H210" s="5">
        <v>0</v>
      </c>
      <c r="I210" s="5">
        <v>0</v>
      </c>
      <c r="J210" s="9">
        <v>0</v>
      </c>
      <c r="K210" s="5">
        <v>0</v>
      </c>
      <c r="L210" s="5">
        <v>0</v>
      </c>
      <c r="M210" s="5">
        <v>0</v>
      </c>
      <c r="N210" s="9">
        <v>0</v>
      </c>
      <c r="O210" s="5">
        <v>2</v>
      </c>
      <c r="P210" s="5">
        <v>10</v>
      </c>
      <c r="Q210" s="5">
        <v>0</v>
      </c>
      <c r="R210" s="9">
        <v>0</v>
      </c>
      <c r="S210" s="5">
        <v>0</v>
      </c>
      <c r="T210" s="5">
        <v>0</v>
      </c>
    </row>
    <row r="211" spans="1:20" x14ac:dyDescent="0.2">
      <c r="A211" s="5" t="s">
        <v>97</v>
      </c>
      <c r="B211" s="5" t="s">
        <v>75</v>
      </c>
      <c r="C211" s="8" t="s">
        <v>733</v>
      </c>
      <c r="D211" s="7">
        <f t="shared" si="0"/>
        <v>2.8000000000000003</v>
      </c>
      <c r="E211" s="5">
        <v>0</v>
      </c>
      <c r="F211" s="5">
        <v>0</v>
      </c>
      <c r="G211" s="5">
        <v>0</v>
      </c>
      <c r="H211" s="5">
        <v>0</v>
      </c>
      <c r="I211" s="5">
        <v>0</v>
      </c>
      <c r="J211" s="9">
        <v>0</v>
      </c>
      <c r="K211" s="5">
        <v>4</v>
      </c>
      <c r="L211" s="5">
        <v>28</v>
      </c>
      <c r="M211" s="5">
        <v>0</v>
      </c>
      <c r="N211" s="9">
        <v>0</v>
      </c>
      <c r="O211" s="5">
        <v>0</v>
      </c>
      <c r="P211" s="5">
        <v>0</v>
      </c>
      <c r="Q211" s="5">
        <v>0</v>
      </c>
      <c r="R211" s="9">
        <v>0</v>
      </c>
      <c r="S211" s="5">
        <v>0</v>
      </c>
      <c r="T211" s="5">
        <v>0</v>
      </c>
    </row>
    <row r="212" spans="1:20" x14ac:dyDescent="0.2">
      <c r="A212" s="5" t="s">
        <v>363</v>
      </c>
      <c r="B212" s="5" t="s">
        <v>69</v>
      </c>
      <c r="C212" s="8" t="s">
        <v>734</v>
      </c>
      <c r="D212" s="7">
        <f t="shared" si="0"/>
        <v>2.8</v>
      </c>
      <c r="E212" s="5">
        <v>0</v>
      </c>
      <c r="F212" s="5">
        <v>0</v>
      </c>
      <c r="G212" s="5">
        <v>0</v>
      </c>
      <c r="H212" s="5">
        <v>0</v>
      </c>
      <c r="I212" s="5">
        <v>0</v>
      </c>
      <c r="J212" s="9">
        <v>0</v>
      </c>
      <c r="K212" s="5">
        <v>0</v>
      </c>
      <c r="L212" s="5">
        <v>0</v>
      </c>
      <c r="M212" s="5">
        <v>0</v>
      </c>
      <c r="N212" s="9">
        <v>0</v>
      </c>
      <c r="O212" s="5">
        <v>2</v>
      </c>
      <c r="P212" s="5">
        <v>8</v>
      </c>
      <c r="Q212" s="5">
        <v>0</v>
      </c>
      <c r="R212" s="9">
        <v>0</v>
      </c>
      <c r="S212" s="5">
        <v>0</v>
      </c>
      <c r="T212" s="5">
        <v>0</v>
      </c>
    </row>
    <row r="213" spans="1:20" x14ac:dyDescent="0.2">
      <c r="A213" s="5" t="s">
        <v>439</v>
      </c>
      <c r="B213" s="5" t="s">
        <v>162</v>
      </c>
      <c r="C213" s="8" t="s">
        <v>724</v>
      </c>
      <c r="D213" s="7">
        <f t="shared" si="0"/>
        <v>2.8</v>
      </c>
      <c r="E213" s="5">
        <v>0</v>
      </c>
      <c r="F213" s="5">
        <v>0</v>
      </c>
      <c r="G213" s="5">
        <v>0</v>
      </c>
      <c r="H213" s="5">
        <v>0</v>
      </c>
      <c r="I213" s="5">
        <v>0</v>
      </c>
      <c r="J213" s="9">
        <v>0</v>
      </c>
      <c r="K213" s="5">
        <v>0</v>
      </c>
      <c r="L213" s="5">
        <v>0</v>
      </c>
      <c r="M213" s="5">
        <v>0</v>
      </c>
      <c r="N213" s="9">
        <v>0</v>
      </c>
      <c r="O213" s="5">
        <v>1</v>
      </c>
      <c r="P213" s="5">
        <v>18</v>
      </c>
      <c r="Q213" s="5">
        <v>0</v>
      </c>
      <c r="R213" s="9">
        <v>0</v>
      </c>
      <c r="S213" s="5">
        <v>0</v>
      </c>
      <c r="T213" s="5">
        <v>0</v>
      </c>
    </row>
    <row r="214" spans="1:20" x14ac:dyDescent="0.2">
      <c r="A214" s="5" t="s">
        <v>227</v>
      </c>
      <c r="B214" s="5" t="s">
        <v>162</v>
      </c>
      <c r="C214" s="8" t="s">
        <v>729</v>
      </c>
      <c r="D214" s="7">
        <f t="shared" si="0"/>
        <v>2.8</v>
      </c>
      <c r="E214" s="5">
        <v>0</v>
      </c>
      <c r="F214" s="5">
        <v>0</v>
      </c>
      <c r="G214" s="5">
        <v>0</v>
      </c>
      <c r="H214" s="5">
        <v>0</v>
      </c>
      <c r="I214" s="5">
        <v>0</v>
      </c>
      <c r="J214" s="9">
        <v>0</v>
      </c>
      <c r="K214" s="5">
        <v>0</v>
      </c>
      <c r="L214" s="5">
        <v>0</v>
      </c>
      <c r="M214" s="5">
        <v>0</v>
      </c>
      <c r="N214" s="9">
        <v>0</v>
      </c>
      <c r="O214" s="5">
        <v>1</v>
      </c>
      <c r="P214" s="5">
        <v>18</v>
      </c>
      <c r="Q214" s="5">
        <v>0</v>
      </c>
      <c r="R214" s="9">
        <v>0</v>
      </c>
      <c r="S214" s="5">
        <v>0</v>
      </c>
      <c r="T214" s="5">
        <v>0</v>
      </c>
    </row>
    <row r="215" spans="1:20" x14ac:dyDescent="0.2">
      <c r="A215" s="5" t="s">
        <v>139</v>
      </c>
      <c r="B215" s="5" t="s">
        <v>162</v>
      </c>
      <c r="C215" s="8" t="s">
        <v>725</v>
      </c>
      <c r="D215" s="7">
        <f t="shared" si="0"/>
        <v>2.7</v>
      </c>
      <c r="E215" s="5">
        <v>0</v>
      </c>
      <c r="F215" s="5">
        <v>0</v>
      </c>
      <c r="G215" s="5">
        <v>0</v>
      </c>
      <c r="H215" s="5">
        <v>0</v>
      </c>
      <c r="I215" s="5">
        <v>0</v>
      </c>
      <c r="J215" s="9">
        <v>0</v>
      </c>
      <c r="K215" s="5">
        <v>0</v>
      </c>
      <c r="L215" s="5">
        <v>0</v>
      </c>
      <c r="M215" s="5">
        <v>0</v>
      </c>
      <c r="N215" s="9">
        <v>0</v>
      </c>
      <c r="O215" s="5">
        <v>1</v>
      </c>
      <c r="P215" s="5">
        <v>17</v>
      </c>
      <c r="Q215" s="5">
        <v>0</v>
      </c>
      <c r="R215" s="9">
        <v>0</v>
      </c>
      <c r="S215" s="5">
        <v>0</v>
      </c>
      <c r="T215" s="5">
        <v>0</v>
      </c>
    </row>
    <row r="216" spans="1:20" x14ac:dyDescent="0.2">
      <c r="A216" s="5" t="s">
        <v>255</v>
      </c>
      <c r="B216" s="5" t="s">
        <v>162</v>
      </c>
      <c r="C216" s="8" t="s">
        <v>726</v>
      </c>
      <c r="D216" s="7">
        <f t="shared" si="0"/>
        <v>2.7</v>
      </c>
      <c r="E216" s="5">
        <v>0</v>
      </c>
      <c r="F216" s="5">
        <v>0</v>
      </c>
      <c r="G216" s="5">
        <v>0</v>
      </c>
      <c r="H216" s="5">
        <v>0</v>
      </c>
      <c r="I216" s="5">
        <v>0</v>
      </c>
      <c r="J216" s="9">
        <v>0</v>
      </c>
      <c r="K216" s="5">
        <v>0</v>
      </c>
      <c r="L216" s="5">
        <v>0</v>
      </c>
      <c r="M216" s="5">
        <v>0</v>
      </c>
      <c r="N216" s="9">
        <v>0</v>
      </c>
      <c r="O216" s="5">
        <v>1</v>
      </c>
      <c r="P216" s="5">
        <v>17</v>
      </c>
      <c r="Q216" s="5">
        <v>0</v>
      </c>
      <c r="R216" s="9">
        <v>0</v>
      </c>
      <c r="S216" s="5">
        <v>0</v>
      </c>
      <c r="T216" s="5">
        <v>0</v>
      </c>
    </row>
    <row r="217" spans="1:20" x14ac:dyDescent="0.2">
      <c r="A217" s="5" t="s">
        <v>310</v>
      </c>
      <c r="B217" s="5" t="s">
        <v>69</v>
      </c>
      <c r="C217" s="8" t="s">
        <v>726</v>
      </c>
      <c r="D217" s="7">
        <f t="shared" si="0"/>
        <v>2.6</v>
      </c>
      <c r="E217" s="5">
        <v>0</v>
      </c>
      <c r="F217" s="5">
        <v>0</v>
      </c>
      <c r="G217" s="5">
        <v>0</v>
      </c>
      <c r="H217" s="5">
        <v>0</v>
      </c>
      <c r="I217" s="5">
        <v>0</v>
      </c>
      <c r="J217" s="9">
        <v>0</v>
      </c>
      <c r="K217" s="5">
        <v>0</v>
      </c>
      <c r="L217" s="5">
        <v>0</v>
      </c>
      <c r="M217" s="5">
        <v>0</v>
      </c>
      <c r="N217" s="9">
        <v>0</v>
      </c>
      <c r="O217" s="5">
        <v>2</v>
      </c>
      <c r="P217" s="5">
        <v>6</v>
      </c>
      <c r="Q217" s="5">
        <v>0</v>
      </c>
      <c r="R217" s="9">
        <v>0</v>
      </c>
      <c r="S217" s="5">
        <v>0</v>
      </c>
      <c r="T217" s="5">
        <v>0</v>
      </c>
    </row>
    <row r="218" spans="1:20" x14ac:dyDescent="0.2">
      <c r="A218" s="5" t="s">
        <v>389</v>
      </c>
      <c r="B218" s="5" t="s">
        <v>69</v>
      </c>
      <c r="C218" s="8" t="s">
        <v>735</v>
      </c>
      <c r="D218" s="7">
        <f t="shared" si="0"/>
        <v>2.4000000000000004</v>
      </c>
      <c r="E218" s="5">
        <v>0</v>
      </c>
      <c r="F218" s="5">
        <v>0</v>
      </c>
      <c r="G218" s="5">
        <v>0</v>
      </c>
      <c r="H218" s="5">
        <v>0</v>
      </c>
      <c r="I218" s="5">
        <v>0</v>
      </c>
      <c r="J218" s="9">
        <v>0</v>
      </c>
      <c r="K218" s="5">
        <v>0</v>
      </c>
      <c r="L218" s="5">
        <v>0</v>
      </c>
      <c r="M218" s="5">
        <v>0</v>
      </c>
      <c r="N218" s="9">
        <v>0</v>
      </c>
      <c r="O218" s="5">
        <v>1</v>
      </c>
      <c r="P218" s="5">
        <v>14</v>
      </c>
      <c r="Q218" s="5">
        <v>0</v>
      </c>
      <c r="R218" s="9">
        <v>0</v>
      </c>
      <c r="S218" s="5">
        <v>0</v>
      </c>
      <c r="T218" s="5">
        <v>0</v>
      </c>
    </row>
    <row r="219" spans="1:20" x14ac:dyDescent="0.2">
      <c r="A219" s="5" t="s">
        <v>446</v>
      </c>
      <c r="B219" s="5" t="s">
        <v>69</v>
      </c>
      <c r="C219" s="8" t="s">
        <v>730</v>
      </c>
      <c r="D219" s="7">
        <f t="shared" si="0"/>
        <v>2.4</v>
      </c>
      <c r="E219" s="5">
        <v>0</v>
      </c>
      <c r="F219" s="5">
        <v>0</v>
      </c>
      <c r="G219" s="5">
        <v>0</v>
      </c>
      <c r="H219" s="5">
        <v>0</v>
      </c>
      <c r="I219" s="5">
        <v>0</v>
      </c>
      <c r="J219" s="9">
        <v>0</v>
      </c>
      <c r="K219" s="5">
        <v>0</v>
      </c>
      <c r="L219" s="5">
        <v>0</v>
      </c>
      <c r="M219" s="5">
        <v>0</v>
      </c>
      <c r="N219" s="9">
        <v>0</v>
      </c>
      <c r="O219" s="5">
        <v>2</v>
      </c>
      <c r="P219" s="5">
        <v>4</v>
      </c>
      <c r="Q219" s="5">
        <v>0</v>
      </c>
      <c r="R219" s="9">
        <v>0</v>
      </c>
      <c r="S219" s="5">
        <v>0</v>
      </c>
      <c r="T219" s="5">
        <v>0</v>
      </c>
    </row>
    <row r="220" spans="1:20" x14ac:dyDescent="0.2">
      <c r="A220" s="5" t="s">
        <v>183</v>
      </c>
      <c r="B220" s="5" t="s">
        <v>162</v>
      </c>
      <c r="C220" s="8" t="s">
        <v>727</v>
      </c>
      <c r="D220" s="7">
        <f t="shared" si="0"/>
        <v>2.2999999999999998</v>
      </c>
      <c r="E220" s="5">
        <v>0</v>
      </c>
      <c r="F220" s="5">
        <v>0</v>
      </c>
      <c r="G220" s="5">
        <v>0</v>
      </c>
      <c r="H220" s="5">
        <v>0</v>
      </c>
      <c r="I220" s="5">
        <v>0</v>
      </c>
      <c r="J220" s="9">
        <v>0</v>
      </c>
      <c r="K220" s="5">
        <v>0</v>
      </c>
      <c r="L220" s="5">
        <v>0</v>
      </c>
      <c r="M220" s="5">
        <v>0</v>
      </c>
      <c r="N220" s="9">
        <v>0</v>
      </c>
      <c r="O220" s="5">
        <v>1</v>
      </c>
      <c r="P220" s="5">
        <v>13</v>
      </c>
      <c r="Q220" s="5">
        <v>0</v>
      </c>
      <c r="R220" s="9">
        <v>0</v>
      </c>
      <c r="S220" s="5">
        <v>0</v>
      </c>
      <c r="T220" s="5">
        <v>0</v>
      </c>
    </row>
    <row r="221" spans="1:20" x14ac:dyDescent="0.2">
      <c r="A221" s="5" t="s">
        <v>118</v>
      </c>
      <c r="B221" s="5" t="s">
        <v>75</v>
      </c>
      <c r="C221" s="8" t="s">
        <v>728</v>
      </c>
      <c r="D221" s="7">
        <f t="shared" si="0"/>
        <v>2.2999999999999998</v>
      </c>
      <c r="E221" s="5">
        <v>0</v>
      </c>
      <c r="F221" s="5">
        <v>0</v>
      </c>
      <c r="G221" s="5">
        <v>0</v>
      </c>
      <c r="H221" s="5">
        <v>0</v>
      </c>
      <c r="I221" s="5">
        <v>0</v>
      </c>
      <c r="J221" s="9">
        <v>0</v>
      </c>
      <c r="K221" s="5">
        <v>0</v>
      </c>
      <c r="L221" s="5">
        <v>0</v>
      </c>
      <c r="M221" s="5">
        <v>0</v>
      </c>
      <c r="N221" s="9">
        <v>0</v>
      </c>
      <c r="O221" s="5">
        <v>1</v>
      </c>
      <c r="P221" s="5">
        <v>13</v>
      </c>
      <c r="Q221" s="5">
        <v>0</v>
      </c>
      <c r="R221" s="9">
        <v>0</v>
      </c>
      <c r="S221" s="5">
        <v>0</v>
      </c>
      <c r="T221" s="5">
        <v>0</v>
      </c>
    </row>
    <row r="222" spans="1:20" x14ac:dyDescent="0.2">
      <c r="A222" s="5" t="s">
        <v>492</v>
      </c>
      <c r="B222" s="5" t="s">
        <v>69</v>
      </c>
      <c r="C222" s="8" t="s">
        <v>725</v>
      </c>
      <c r="D222" s="7">
        <f t="shared" si="0"/>
        <v>2.2000000000000002</v>
      </c>
      <c r="E222" s="5">
        <v>0</v>
      </c>
      <c r="F222" s="5">
        <v>0</v>
      </c>
      <c r="G222" s="5">
        <v>0</v>
      </c>
      <c r="H222" s="5">
        <v>0</v>
      </c>
      <c r="I222" s="5">
        <v>0</v>
      </c>
      <c r="J222" s="9">
        <v>0</v>
      </c>
      <c r="K222" s="5">
        <v>0</v>
      </c>
      <c r="L222" s="5">
        <v>0</v>
      </c>
      <c r="M222" s="5">
        <v>0</v>
      </c>
      <c r="N222" s="9">
        <v>0</v>
      </c>
      <c r="O222" s="5">
        <v>1</v>
      </c>
      <c r="P222" s="5">
        <v>12</v>
      </c>
      <c r="Q222" s="5">
        <v>0</v>
      </c>
      <c r="R222" s="9">
        <v>0</v>
      </c>
      <c r="S222" s="5">
        <v>0</v>
      </c>
      <c r="T222" s="5">
        <v>0</v>
      </c>
    </row>
    <row r="223" spans="1:20" x14ac:dyDescent="0.2">
      <c r="A223" s="5" t="s">
        <v>204</v>
      </c>
      <c r="B223" s="5" t="s">
        <v>162</v>
      </c>
      <c r="C223" s="8" t="s">
        <v>732</v>
      </c>
      <c r="D223" s="7">
        <f t="shared" si="0"/>
        <v>2.2000000000000002</v>
      </c>
      <c r="E223" s="5">
        <v>0</v>
      </c>
      <c r="F223" s="5">
        <v>0</v>
      </c>
      <c r="G223" s="5">
        <v>0</v>
      </c>
      <c r="H223" s="5">
        <v>0</v>
      </c>
      <c r="I223" s="5">
        <v>0</v>
      </c>
      <c r="J223" s="9">
        <v>0</v>
      </c>
      <c r="K223" s="5">
        <v>0</v>
      </c>
      <c r="L223" s="5">
        <v>0</v>
      </c>
      <c r="M223" s="5">
        <v>0</v>
      </c>
      <c r="N223" s="9">
        <v>0</v>
      </c>
      <c r="O223" s="5">
        <v>1</v>
      </c>
      <c r="P223" s="5">
        <v>12</v>
      </c>
      <c r="Q223" s="5">
        <v>0</v>
      </c>
      <c r="R223" s="9">
        <v>0</v>
      </c>
      <c r="S223" s="5">
        <v>0</v>
      </c>
      <c r="T223" s="5">
        <v>0</v>
      </c>
    </row>
    <row r="224" spans="1:20" x14ac:dyDescent="0.2">
      <c r="A224" s="5" t="s">
        <v>350</v>
      </c>
      <c r="B224" s="5" t="s">
        <v>162</v>
      </c>
      <c r="C224" s="8" t="s">
        <v>729</v>
      </c>
      <c r="D224" s="7">
        <f t="shared" si="0"/>
        <v>2.2000000000000002</v>
      </c>
      <c r="E224" s="5">
        <v>0</v>
      </c>
      <c r="F224" s="5">
        <v>0</v>
      </c>
      <c r="G224" s="5">
        <v>0</v>
      </c>
      <c r="H224" s="5">
        <v>0</v>
      </c>
      <c r="I224" s="5">
        <v>0</v>
      </c>
      <c r="J224" s="9">
        <v>0</v>
      </c>
      <c r="K224" s="5">
        <v>0</v>
      </c>
      <c r="L224" s="5">
        <v>0</v>
      </c>
      <c r="M224" s="5">
        <v>0</v>
      </c>
      <c r="N224" s="9">
        <v>0</v>
      </c>
      <c r="O224" s="5">
        <v>1</v>
      </c>
      <c r="P224" s="5">
        <v>12</v>
      </c>
      <c r="Q224" s="5">
        <v>0</v>
      </c>
      <c r="R224" s="9">
        <v>0</v>
      </c>
      <c r="S224" s="5">
        <v>0</v>
      </c>
      <c r="T224" s="5">
        <v>0</v>
      </c>
    </row>
    <row r="225" spans="1:20" x14ac:dyDescent="0.2">
      <c r="A225" s="5" t="s">
        <v>201</v>
      </c>
      <c r="B225" s="5" t="s">
        <v>162</v>
      </c>
      <c r="C225" s="8" t="s">
        <v>733</v>
      </c>
      <c r="D225" s="7">
        <f t="shared" si="0"/>
        <v>2.2000000000000002</v>
      </c>
      <c r="E225" s="5">
        <v>0</v>
      </c>
      <c r="F225" s="5">
        <v>0</v>
      </c>
      <c r="G225" s="5">
        <v>0</v>
      </c>
      <c r="H225" s="5">
        <v>0</v>
      </c>
      <c r="I225" s="5">
        <v>0</v>
      </c>
      <c r="J225" s="9">
        <v>0</v>
      </c>
      <c r="K225" s="5">
        <v>1</v>
      </c>
      <c r="L225" s="5">
        <v>22</v>
      </c>
      <c r="M225" s="5">
        <v>0</v>
      </c>
      <c r="N225" s="9">
        <v>0</v>
      </c>
      <c r="O225" s="5">
        <v>0</v>
      </c>
      <c r="P225" s="5">
        <v>0</v>
      </c>
      <c r="Q225" s="5">
        <v>0</v>
      </c>
      <c r="R225" s="9">
        <v>0</v>
      </c>
      <c r="S225" s="5">
        <v>0</v>
      </c>
      <c r="T225" s="5">
        <v>0</v>
      </c>
    </row>
    <row r="226" spans="1:20" x14ac:dyDescent="0.2">
      <c r="A226" s="5" t="s">
        <v>91</v>
      </c>
      <c r="B226" s="5" t="s">
        <v>75</v>
      </c>
      <c r="C226" s="8" t="s">
        <v>723</v>
      </c>
      <c r="D226" s="7">
        <f t="shared" si="0"/>
        <v>2.2000000000000002</v>
      </c>
      <c r="E226" s="5">
        <v>0</v>
      </c>
      <c r="F226" s="5">
        <v>0</v>
      </c>
      <c r="G226" s="5">
        <v>0</v>
      </c>
      <c r="H226" s="5">
        <v>0</v>
      </c>
      <c r="I226" s="5">
        <v>0</v>
      </c>
      <c r="J226" s="9">
        <v>0</v>
      </c>
      <c r="K226" s="5">
        <v>0</v>
      </c>
      <c r="L226" s="5">
        <v>0</v>
      </c>
      <c r="M226" s="5">
        <v>0</v>
      </c>
      <c r="N226" s="9">
        <v>0</v>
      </c>
      <c r="O226" s="5">
        <v>1</v>
      </c>
      <c r="P226" s="5">
        <v>12</v>
      </c>
      <c r="Q226" s="5">
        <v>0</v>
      </c>
      <c r="R226" s="9">
        <v>0</v>
      </c>
      <c r="S226" s="5">
        <v>0</v>
      </c>
      <c r="T226" s="5">
        <v>0</v>
      </c>
    </row>
    <row r="227" spans="1:20" x14ac:dyDescent="0.2">
      <c r="A227" s="5" t="s">
        <v>274</v>
      </c>
      <c r="B227" s="5" t="s">
        <v>69</v>
      </c>
      <c r="C227" s="8" t="s">
        <v>732</v>
      </c>
      <c r="D227" s="7">
        <f t="shared" si="0"/>
        <v>2.1</v>
      </c>
      <c r="E227" s="5">
        <v>0</v>
      </c>
      <c r="F227" s="5">
        <v>0</v>
      </c>
      <c r="G227" s="5">
        <v>0</v>
      </c>
      <c r="H227" s="5">
        <v>0</v>
      </c>
      <c r="I227" s="5">
        <v>0</v>
      </c>
      <c r="J227" s="9">
        <v>0</v>
      </c>
      <c r="K227" s="5">
        <v>0</v>
      </c>
      <c r="L227" s="5">
        <v>0</v>
      </c>
      <c r="M227" s="5">
        <v>0</v>
      </c>
      <c r="N227" s="9">
        <v>0</v>
      </c>
      <c r="O227" s="5">
        <v>1</v>
      </c>
      <c r="P227" s="5">
        <v>11</v>
      </c>
      <c r="Q227" s="5">
        <v>0</v>
      </c>
      <c r="R227" s="9">
        <v>0</v>
      </c>
      <c r="S227" s="5">
        <v>0</v>
      </c>
      <c r="T227" s="5">
        <v>0</v>
      </c>
    </row>
    <row r="228" spans="1:20" x14ac:dyDescent="0.2">
      <c r="A228" s="5" t="s">
        <v>398</v>
      </c>
      <c r="B228" s="5" t="s">
        <v>162</v>
      </c>
      <c r="C228" s="8" t="s">
        <v>726</v>
      </c>
      <c r="D228" s="7">
        <f t="shared" si="0"/>
        <v>2.1</v>
      </c>
      <c r="E228" s="5">
        <v>0</v>
      </c>
      <c r="F228" s="5">
        <v>0</v>
      </c>
      <c r="G228" s="5">
        <v>0</v>
      </c>
      <c r="H228" s="5">
        <v>0</v>
      </c>
      <c r="I228" s="5">
        <v>0</v>
      </c>
      <c r="J228" s="9">
        <v>0</v>
      </c>
      <c r="K228" s="5">
        <v>0</v>
      </c>
      <c r="L228" s="5">
        <v>0</v>
      </c>
      <c r="M228" s="5">
        <v>0</v>
      </c>
      <c r="N228" s="9">
        <v>0</v>
      </c>
      <c r="O228" s="5">
        <v>1</v>
      </c>
      <c r="P228" s="5">
        <v>11</v>
      </c>
      <c r="Q228" s="5">
        <v>0</v>
      </c>
      <c r="R228" s="9">
        <v>0</v>
      </c>
      <c r="S228" s="5">
        <v>0</v>
      </c>
      <c r="T228" s="5">
        <v>0</v>
      </c>
    </row>
    <row r="229" spans="1:20" x14ac:dyDescent="0.2">
      <c r="A229" s="5" t="s">
        <v>739</v>
      </c>
      <c r="B229" s="5" t="s">
        <v>162</v>
      </c>
      <c r="C229" s="8" t="s">
        <v>724</v>
      </c>
      <c r="D229" s="7">
        <f t="shared" si="0"/>
        <v>2.1</v>
      </c>
      <c r="E229" s="5">
        <v>0</v>
      </c>
      <c r="F229" s="5">
        <v>0</v>
      </c>
      <c r="G229" s="5">
        <v>0</v>
      </c>
      <c r="H229" s="5">
        <v>0</v>
      </c>
      <c r="I229" s="5">
        <v>0</v>
      </c>
      <c r="J229" s="9">
        <v>0</v>
      </c>
      <c r="K229" s="5">
        <v>0</v>
      </c>
      <c r="L229" s="5">
        <v>0</v>
      </c>
      <c r="M229" s="5">
        <v>0</v>
      </c>
      <c r="N229" s="9">
        <v>0</v>
      </c>
      <c r="O229" s="5">
        <v>1</v>
      </c>
      <c r="P229" s="5">
        <v>11</v>
      </c>
      <c r="Q229" s="5">
        <v>0</v>
      </c>
      <c r="R229" s="9">
        <v>0</v>
      </c>
      <c r="S229" s="5">
        <v>0</v>
      </c>
      <c r="T229" s="5">
        <v>0</v>
      </c>
    </row>
    <row r="230" spans="1:20" x14ac:dyDescent="0.2">
      <c r="A230" s="5" t="s">
        <v>244</v>
      </c>
      <c r="B230" s="5" t="s">
        <v>162</v>
      </c>
      <c r="C230" s="8" t="s">
        <v>726</v>
      </c>
      <c r="D230" s="7">
        <f t="shared" si="0"/>
        <v>2.1</v>
      </c>
      <c r="E230" s="5">
        <v>0</v>
      </c>
      <c r="F230" s="5">
        <v>0</v>
      </c>
      <c r="G230" s="5">
        <v>0</v>
      </c>
      <c r="H230" s="5">
        <v>0</v>
      </c>
      <c r="I230" s="5">
        <v>0</v>
      </c>
      <c r="J230" s="9">
        <v>0</v>
      </c>
      <c r="K230" s="5">
        <v>0</v>
      </c>
      <c r="L230" s="5">
        <v>0</v>
      </c>
      <c r="M230" s="5">
        <v>0</v>
      </c>
      <c r="N230" s="9">
        <v>0</v>
      </c>
      <c r="O230" s="5">
        <v>1</v>
      </c>
      <c r="P230" s="5">
        <v>11</v>
      </c>
      <c r="Q230" s="5">
        <v>0</v>
      </c>
      <c r="R230" s="9">
        <v>0</v>
      </c>
      <c r="S230" s="5">
        <v>0</v>
      </c>
      <c r="T230" s="5">
        <v>0</v>
      </c>
    </row>
    <row r="231" spans="1:20" x14ac:dyDescent="0.2">
      <c r="A231" s="5" t="s">
        <v>392</v>
      </c>
      <c r="B231" s="5" t="s">
        <v>75</v>
      </c>
      <c r="C231" s="8" t="s">
        <v>727</v>
      </c>
      <c r="D231" s="7">
        <f t="shared" si="0"/>
        <v>2.1</v>
      </c>
      <c r="E231" s="5">
        <v>0</v>
      </c>
      <c r="F231" s="5">
        <v>0</v>
      </c>
      <c r="G231" s="5">
        <v>0</v>
      </c>
      <c r="H231" s="5">
        <v>0</v>
      </c>
      <c r="I231" s="5">
        <v>0</v>
      </c>
      <c r="J231" s="9">
        <v>0</v>
      </c>
      <c r="K231" s="5">
        <v>2</v>
      </c>
      <c r="L231" s="5">
        <v>7</v>
      </c>
      <c r="M231" s="5">
        <v>0</v>
      </c>
      <c r="N231" s="9">
        <v>0</v>
      </c>
      <c r="O231" s="5">
        <v>1</v>
      </c>
      <c r="P231" s="5">
        <v>4</v>
      </c>
      <c r="Q231" s="5">
        <v>0</v>
      </c>
      <c r="R231" s="9">
        <v>0</v>
      </c>
      <c r="S231" s="5">
        <v>0</v>
      </c>
      <c r="T231" s="5">
        <v>0</v>
      </c>
    </row>
    <row r="232" spans="1:20" x14ac:dyDescent="0.2">
      <c r="A232" s="5" t="s">
        <v>393</v>
      </c>
      <c r="B232" s="5" t="s">
        <v>75</v>
      </c>
      <c r="C232" s="8" t="s">
        <v>732</v>
      </c>
      <c r="D232" s="7">
        <f t="shared" si="0"/>
        <v>1.9000000000000001</v>
      </c>
      <c r="E232" s="5">
        <v>0</v>
      </c>
      <c r="F232" s="5">
        <v>0</v>
      </c>
      <c r="G232" s="5">
        <v>0</v>
      </c>
      <c r="H232" s="5">
        <v>0</v>
      </c>
      <c r="I232" s="5">
        <v>0</v>
      </c>
      <c r="J232" s="9">
        <v>0</v>
      </c>
      <c r="K232" s="5">
        <v>6</v>
      </c>
      <c r="L232" s="5">
        <v>19</v>
      </c>
      <c r="M232" s="5">
        <v>0</v>
      </c>
      <c r="N232" s="9">
        <v>0</v>
      </c>
      <c r="O232" s="5">
        <v>0</v>
      </c>
      <c r="P232" s="5">
        <v>0</v>
      </c>
      <c r="Q232" s="5">
        <v>0</v>
      </c>
      <c r="R232" s="9">
        <v>0</v>
      </c>
      <c r="S232" s="5">
        <v>0</v>
      </c>
      <c r="T232" s="5">
        <v>0</v>
      </c>
    </row>
    <row r="233" spans="1:20" x14ac:dyDescent="0.2">
      <c r="A233" s="5" t="s">
        <v>678</v>
      </c>
      <c r="B233" s="5" t="s">
        <v>162</v>
      </c>
      <c r="C233" s="8" t="s">
        <v>732</v>
      </c>
      <c r="D233" s="7">
        <f t="shared" si="0"/>
        <v>1.9</v>
      </c>
      <c r="E233" s="5">
        <v>0</v>
      </c>
      <c r="F233" s="5">
        <v>0</v>
      </c>
      <c r="G233" s="5">
        <v>0</v>
      </c>
      <c r="H233" s="5">
        <v>0</v>
      </c>
      <c r="I233" s="5">
        <v>0</v>
      </c>
      <c r="J233" s="9">
        <v>0</v>
      </c>
      <c r="K233" s="5">
        <v>0</v>
      </c>
      <c r="L233" s="5">
        <v>0</v>
      </c>
      <c r="M233" s="5">
        <v>0</v>
      </c>
      <c r="N233" s="9">
        <v>0</v>
      </c>
      <c r="O233" s="5">
        <v>1</v>
      </c>
      <c r="P233" s="5">
        <v>9</v>
      </c>
      <c r="Q233" s="5">
        <v>0</v>
      </c>
      <c r="R233" s="9">
        <v>0</v>
      </c>
      <c r="S233" s="5">
        <v>0</v>
      </c>
      <c r="T233" s="5">
        <v>0</v>
      </c>
    </row>
    <row r="234" spans="1:20" x14ac:dyDescent="0.2">
      <c r="A234" s="5" t="s">
        <v>432</v>
      </c>
      <c r="B234" s="5" t="s">
        <v>162</v>
      </c>
      <c r="C234" s="8" t="s">
        <v>729</v>
      </c>
      <c r="D234" s="7">
        <f t="shared" si="0"/>
        <v>1.9</v>
      </c>
      <c r="E234" s="5">
        <v>0</v>
      </c>
      <c r="F234" s="5">
        <v>0</v>
      </c>
      <c r="G234" s="5">
        <v>0</v>
      </c>
      <c r="H234" s="5">
        <v>0</v>
      </c>
      <c r="I234" s="5">
        <v>0</v>
      </c>
      <c r="J234" s="9">
        <v>0</v>
      </c>
      <c r="K234" s="5">
        <v>0</v>
      </c>
      <c r="L234" s="5">
        <v>0</v>
      </c>
      <c r="M234" s="5">
        <v>0</v>
      </c>
      <c r="N234" s="9">
        <v>0</v>
      </c>
      <c r="O234" s="5">
        <v>1</v>
      </c>
      <c r="P234" s="5">
        <v>9</v>
      </c>
      <c r="Q234" s="5">
        <v>0</v>
      </c>
      <c r="R234" s="9">
        <v>0</v>
      </c>
      <c r="S234" s="5">
        <v>0</v>
      </c>
      <c r="T234" s="5">
        <v>0</v>
      </c>
    </row>
    <row r="235" spans="1:20" x14ac:dyDescent="0.2">
      <c r="A235" s="5" t="s">
        <v>25</v>
      </c>
      <c r="B235" s="5" t="s">
        <v>17</v>
      </c>
      <c r="C235" s="8" t="s">
        <v>732</v>
      </c>
      <c r="D235" s="7">
        <f t="shared" si="0"/>
        <v>1.8399999999999999</v>
      </c>
      <c r="E235" s="5">
        <v>17</v>
      </c>
      <c r="F235" s="5">
        <v>9</v>
      </c>
      <c r="G235" s="5">
        <v>96</v>
      </c>
      <c r="H235" s="5">
        <v>0</v>
      </c>
      <c r="I235" s="5">
        <v>1</v>
      </c>
      <c r="J235" s="9">
        <v>0</v>
      </c>
      <c r="K235" s="5">
        <v>0</v>
      </c>
      <c r="L235" s="5">
        <v>0</v>
      </c>
      <c r="M235" s="5">
        <v>0</v>
      </c>
      <c r="N235" s="9">
        <v>0</v>
      </c>
      <c r="O235" s="5">
        <v>0</v>
      </c>
      <c r="P235" s="5">
        <v>0</v>
      </c>
      <c r="Q235" s="5">
        <v>0</v>
      </c>
      <c r="R235" s="9">
        <v>0</v>
      </c>
      <c r="S235" s="5">
        <v>0</v>
      </c>
      <c r="T235" s="5">
        <v>0</v>
      </c>
    </row>
    <row r="236" spans="1:20" x14ac:dyDescent="0.2">
      <c r="A236" s="5" t="s">
        <v>175</v>
      </c>
      <c r="B236" s="5" t="s">
        <v>162</v>
      </c>
      <c r="C236" s="8" t="s">
        <v>724</v>
      </c>
      <c r="D236" s="7">
        <f t="shared" si="0"/>
        <v>1.8</v>
      </c>
      <c r="E236" s="5">
        <v>0</v>
      </c>
      <c r="F236" s="5">
        <v>0</v>
      </c>
      <c r="G236" s="5">
        <v>0</v>
      </c>
      <c r="H236" s="5">
        <v>0</v>
      </c>
      <c r="I236" s="5">
        <v>0</v>
      </c>
      <c r="J236" s="9">
        <v>0</v>
      </c>
      <c r="K236" s="5">
        <v>0</v>
      </c>
      <c r="L236" s="5">
        <v>0</v>
      </c>
      <c r="M236" s="5">
        <v>0</v>
      </c>
      <c r="N236" s="9">
        <v>0</v>
      </c>
      <c r="O236" s="5">
        <v>1</v>
      </c>
      <c r="P236" s="5">
        <v>8</v>
      </c>
      <c r="Q236" s="5">
        <v>0</v>
      </c>
      <c r="R236" s="9">
        <v>0</v>
      </c>
      <c r="S236" s="5">
        <v>0</v>
      </c>
      <c r="T236" s="5">
        <v>0</v>
      </c>
    </row>
    <row r="237" spans="1:20" x14ac:dyDescent="0.2">
      <c r="A237" s="5" t="s">
        <v>646</v>
      </c>
      <c r="B237" s="5" t="s">
        <v>162</v>
      </c>
      <c r="C237" s="8" t="s">
        <v>732</v>
      </c>
      <c r="D237" s="7">
        <f t="shared" si="0"/>
        <v>1.8</v>
      </c>
      <c r="E237" s="5">
        <v>0</v>
      </c>
      <c r="F237" s="5">
        <v>0</v>
      </c>
      <c r="G237" s="5">
        <v>0</v>
      </c>
      <c r="H237" s="5">
        <v>0</v>
      </c>
      <c r="I237" s="5">
        <v>0</v>
      </c>
      <c r="J237" s="9">
        <v>0</v>
      </c>
      <c r="K237" s="5">
        <v>0</v>
      </c>
      <c r="L237" s="5">
        <v>0</v>
      </c>
      <c r="M237" s="5">
        <v>0</v>
      </c>
      <c r="N237" s="9">
        <v>0</v>
      </c>
      <c r="O237" s="5">
        <v>1</v>
      </c>
      <c r="P237" s="5">
        <v>8</v>
      </c>
      <c r="Q237" s="5">
        <v>0</v>
      </c>
      <c r="R237" s="9">
        <v>0</v>
      </c>
      <c r="S237" s="5">
        <v>0</v>
      </c>
      <c r="T237" s="5">
        <v>0</v>
      </c>
    </row>
    <row r="238" spans="1:20" x14ac:dyDescent="0.2">
      <c r="A238" s="5" t="s">
        <v>209</v>
      </c>
      <c r="B238" s="5" t="s">
        <v>162</v>
      </c>
      <c r="C238" s="8" t="s">
        <v>724</v>
      </c>
      <c r="D238" s="7">
        <f t="shared" si="0"/>
        <v>1.8</v>
      </c>
      <c r="E238" s="5">
        <v>0</v>
      </c>
      <c r="F238" s="5">
        <v>0</v>
      </c>
      <c r="G238" s="5">
        <v>0</v>
      </c>
      <c r="H238" s="5">
        <v>0</v>
      </c>
      <c r="I238" s="5">
        <v>0</v>
      </c>
      <c r="J238" s="9">
        <v>0</v>
      </c>
      <c r="K238" s="5">
        <v>1</v>
      </c>
      <c r="L238" s="5">
        <v>3</v>
      </c>
      <c r="M238" s="5">
        <v>0</v>
      </c>
      <c r="N238" s="9">
        <v>0</v>
      </c>
      <c r="O238" s="5">
        <v>1</v>
      </c>
      <c r="P238" s="5">
        <v>5</v>
      </c>
      <c r="Q238" s="5">
        <v>0</v>
      </c>
      <c r="R238" s="9">
        <v>0</v>
      </c>
      <c r="S238" s="5">
        <v>0</v>
      </c>
      <c r="T238" s="5">
        <v>0</v>
      </c>
    </row>
    <row r="239" spans="1:20" x14ac:dyDescent="0.2">
      <c r="A239" s="5" t="s">
        <v>107</v>
      </c>
      <c r="B239" s="5" t="s">
        <v>75</v>
      </c>
      <c r="C239" s="8" t="s">
        <v>727</v>
      </c>
      <c r="D239" s="7">
        <f t="shared" si="0"/>
        <v>1.7999999999999998</v>
      </c>
      <c r="E239" s="5">
        <v>0</v>
      </c>
      <c r="F239" s="5">
        <v>0</v>
      </c>
      <c r="G239" s="5">
        <v>0</v>
      </c>
      <c r="H239" s="5">
        <v>0</v>
      </c>
      <c r="I239" s="5">
        <v>0</v>
      </c>
      <c r="J239" s="9">
        <v>0</v>
      </c>
      <c r="K239" s="5">
        <v>7</v>
      </c>
      <c r="L239" s="5">
        <v>13</v>
      </c>
      <c r="M239" s="5">
        <v>0</v>
      </c>
      <c r="N239" s="9">
        <v>0</v>
      </c>
      <c r="O239" s="5">
        <v>1</v>
      </c>
      <c r="P239" s="5">
        <v>-5</v>
      </c>
      <c r="Q239" s="5">
        <v>0</v>
      </c>
      <c r="R239" s="9">
        <v>0</v>
      </c>
      <c r="S239" s="5">
        <v>0</v>
      </c>
      <c r="T239" s="5">
        <v>0</v>
      </c>
    </row>
    <row r="240" spans="1:20" x14ac:dyDescent="0.2">
      <c r="A240" s="5" t="s">
        <v>554</v>
      </c>
      <c r="B240" s="5" t="s">
        <v>75</v>
      </c>
      <c r="C240" s="8" t="s">
        <v>734</v>
      </c>
      <c r="D240" s="7">
        <f t="shared" si="0"/>
        <v>1.7999999999999998</v>
      </c>
      <c r="E240" s="5">
        <v>0</v>
      </c>
      <c r="F240" s="5">
        <v>0</v>
      </c>
      <c r="G240" s="5">
        <v>0</v>
      </c>
      <c r="H240" s="5">
        <v>0</v>
      </c>
      <c r="I240" s="5">
        <v>0</v>
      </c>
      <c r="J240" s="9">
        <v>0</v>
      </c>
      <c r="K240" s="5">
        <v>1</v>
      </c>
      <c r="L240" s="5">
        <v>4</v>
      </c>
      <c r="M240" s="5">
        <v>0</v>
      </c>
      <c r="N240" s="9">
        <v>0</v>
      </c>
      <c r="O240" s="5">
        <v>1</v>
      </c>
      <c r="P240" s="5">
        <v>4</v>
      </c>
      <c r="Q240" s="5">
        <v>0</v>
      </c>
      <c r="R240" s="9">
        <v>0</v>
      </c>
      <c r="S240" s="5">
        <v>0</v>
      </c>
      <c r="T240" s="5">
        <v>0</v>
      </c>
    </row>
    <row r="241" spans="1:20" x14ac:dyDescent="0.2">
      <c r="A241" s="5" t="s">
        <v>120</v>
      </c>
      <c r="B241" s="5" t="s">
        <v>75</v>
      </c>
      <c r="C241" s="8" t="s">
        <v>727</v>
      </c>
      <c r="D241" s="7">
        <f t="shared" si="0"/>
        <v>1.7</v>
      </c>
      <c r="E241" s="5">
        <v>0</v>
      </c>
      <c r="F241" s="5">
        <v>0</v>
      </c>
      <c r="G241" s="5">
        <v>0</v>
      </c>
      <c r="H241" s="5">
        <v>0</v>
      </c>
      <c r="I241" s="5">
        <v>0</v>
      </c>
      <c r="J241" s="9">
        <v>0</v>
      </c>
      <c r="K241" s="5">
        <v>4</v>
      </c>
      <c r="L241" s="5">
        <v>9</v>
      </c>
      <c r="M241" s="5">
        <v>0</v>
      </c>
      <c r="N241" s="9">
        <v>0</v>
      </c>
      <c r="O241" s="5">
        <v>1</v>
      </c>
      <c r="P241" s="5">
        <v>-2</v>
      </c>
      <c r="Q241" s="5">
        <v>0</v>
      </c>
      <c r="R241" s="9">
        <v>0</v>
      </c>
      <c r="S241" s="5">
        <v>0</v>
      </c>
      <c r="T241" s="5">
        <v>0</v>
      </c>
    </row>
    <row r="242" spans="1:20" x14ac:dyDescent="0.2">
      <c r="A242" s="5" t="s">
        <v>239</v>
      </c>
      <c r="B242" s="5" t="s">
        <v>162</v>
      </c>
      <c r="C242" s="8" t="s">
        <v>728</v>
      </c>
      <c r="D242" s="7">
        <f t="shared" si="0"/>
        <v>1.6</v>
      </c>
      <c r="E242" s="5">
        <v>0</v>
      </c>
      <c r="F242" s="5">
        <v>0</v>
      </c>
      <c r="G242" s="5">
        <v>0</v>
      </c>
      <c r="H242" s="5">
        <v>0</v>
      </c>
      <c r="I242" s="5">
        <v>0</v>
      </c>
      <c r="J242" s="9">
        <v>0</v>
      </c>
      <c r="K242" s="5">
        <v>1</v>
      </c>
      <c r="L242" s="5">
        <v>5</v>
      </c>
      <c r="M242" s="5">
        <v>0</v>
      </c>
      <c r="N242" s="9">
        <v>0</v>
      </c>
      <c r="O242" s="5">
        <v>1</v>
      </c>
      <c r="P242" s="5">
        <v>1</v>
      </c>
      <c r="Q242" s="5">
        <v>0</v>
      </c>
      <c r="R242" s="9">
        <v>0</v>
      </c>
      <c r="S242" s="5">
        <v>0</v>
      </c>
      <c r="T242" s="5">
        <v>0</v>
      </c>
    </row>
    <row r="243" spans="1:20" x14ac:dyDescent="0.2">
      <c r="A243" s="5" t="s">
        <v>369</v>
      </c>
      <c r="B243" s="5" t="s">
        <v>162</v>
      </c>
      <c r="C243" s="8" t="s">
        <v>727</v>
      </c>
      <c r="D243" s="7">
        <f t="shared" si="0"/>
        <v>1.6</v>
      </c>
      <c r="E243" s="5">
        <v>0</v>
      </c>
      <c r="F243" s="5">
        <v>0</v>
      </c>
      <c r="G243" s="5">
        <v>0</v>
      </c>
      <c r="H243" s="5">
        <v>0</v>
      </c>
      <c r="I243" s="5">
        <v>0</v>
      </c>
      <c r="J243" s="9">
        <v>0</v>
      </c>
      <c r="K243" s="5">
        <v>0</v>
      </c>
      <c r="L243" s="5">
        <v>0</v>
      </c>
      <c r="M243" s="5">
        <v>0</v>
      </c>
      <c r="N243" s="9">
        <v>0</v>
      </c>
      <c r="O243" s="5">
        <v>1</v>
      </c>
      <c r="P243" s="5">
        <v>6</v>
      </c>
      <c r="Q243" s="5">
        <v>0</v>
      </c>
      <c r="R243" s="9">
        <v>0</v>
      </c>
      <c r="S243" s="5">
        <v>0</v>
      </c>
      <c r="T243" s="5">
        <v>0</v>
      </c>
    </row>
    <row r="244" spans="1:20" x14ac:dyDescent="0.2">
      <c r="A244" s="5" t="s">
        <v>142</v>
      </c>
      <c r="B244" s="5" t="s">
        <v>75</v>
      </c>
      <c r="C244" s="8" t="s">
        <v>731</v>
      </c>
      <c r="D244" s="7">
        <f t="shared" si="0"/>
        <v>1.6</v>
      </c>
      <c r="E244" s="5">
        <v>0</v>
      </c>
      <c r="F244" s="5">
        <v>0</v>
      </c>
      <c r="G244" s="5">
        <v>0</v>
      </c>
      <c r="H244" s="5">
        <v>0</v>
      </c>
      <c r="I244" s="5">
        <v>0</v>
      </c>
      <c r="J244" s="9">
        <v>0</v>
      </c>
      <c r="K244" s="5">
        <v>2</v>
      </c>
      <c r="L244" s="5">
        <v>16</v>
      </c>
      <c r="M244" s="5">
        <v>0</v>
      </c>
      <c r="N244" s="9">
        <v>0</v>
      </c>
      <c r="O244" s="5">
        <v>0</v>
      </c>
      <c r="P244" s="5">
        <v>0</v>
      </c>
      <c r="Q244" s="5">
        <v>0</v>
      </c>
      <c r="R244" s="9">
        <v>0</v>
      </c>
      <c r="S244" s="5">
        <v>0</v>
      </c>
      <c r="T244" s="5">
        <v>0</v>
      </c>
    </row>
    <row r="245" spans="1:20" x14ac:dyDescent="0.2">
      <c r="A245" s="5" t="s">
        <v>306</v>
      </c>
      <c r="B245" s="5" t="s">
        <v>69</v>
      </c>
      <c r="C245" s="8" t="s">
        <v>735</v>
      </c>
      <c r="D245" s="7">
        <f t="shared" si="0"/>
        <v>1.5</v>
      </c>
      <c r="E245" s="5">
        <v>0</v>
      </c>
      <c r="F245" s="5">
        <v>0</v>
      </c>
      <c r="G245" s="5">
        <v>0</v>
      </c>
      <c r="H245" s="5">
        <v>0</v>
      </c>
      <c r="I245" s="5">
        <v>0</v>
      </c>
      <c r="J245" s="9">
        <v>0</v>
      </c>
      <c r="K245" s="5">
        <v>0</v>
      </c>
      <c r="L245" s="5">
        <v>0</v>
      </c>
      <c r="M245" s="5">
        <v>0</v>
      </c>
      <c r="N245" s="9">
        <v>0</v>
      </c>
      <c r="O245" s="5">
        <v>1</v>
      </c>
      <c r="P245" s="5">
        <v>5</v>
      </c>
      <c r="Q245" s="5">
        <v>0</v>
      </c>
      <c r="R245" s="9">
        <v>0</v>
      </c>
      <c r="S245" s="5">
        <v>0</v>
      </c>
      <c r="T245" s="5">
        <v>0</v>
      </c>
    </row>
    <row r="246" spans="1:20" x14ac:dyDescent="0.2">
      <c r="A246" s="5" t="s">
        <v>116</v>
      </c>
      <c r="B246" s="5" t="s">
        <v>75</v>
      </c>
      <c r="C246" s="8" t="s">
        <v>723</v>
      </c>
      <c r="D246" s="7">
        <f t="shared" si="0"/>
        <v>1.5</v>
      </c>
      <c r="E246" s="5">
        <v>0</v>
      </c>
      <c r="F246" s="5">
        <v>0</v>
      </c>
      <c r="G246" s="5">
        <v>0</v>
      </c>
      <c r="H246" s="5">
        <v>0</v>
      </c>
      <c r="I246" s="5">
        <v>0</v>
      </c>
      <c r="J246" s="9">
        <v>0</v>
      </c>
      <c r="K246" s="5">
        <v>6</v>
      </c>
      <c r="L246" s="5">
        <v>15</v>
      </c>
      <c r="M246" s="5">
        <v>0</v>
      </c>
      <c r="N246" s="9">
        <v>0</v>
      </c>
      <c r="O246" s="5">
        <v>0</v>
      </c>
      <c r="P246" s="5">
        <v>0</v>
      </c>
      <c r="Q246" s="5">
        <v>0</v>
      </c>
      <c r="R246" s="9">
        <v>0</v>
      </c>
      <c r="S246" s="5">
        <v>0</v>
      </c>
      <c r="T246" s="5">
        <v>0</v>
      </c>
    </row>
    <row r="247" spans="1:20" x14ac:dyDescent="0.2">
      <c r="A247" s="5" t="s">
        <v>417</v>
      </c>
      <c r="B247" s="5" t="s">
        <v>69</v>
      </c>
      <c r="C247" s="8" t="s">
        <v>725</v>
      </c>
      <c r="D247" s="7">
        <f t="shared" si="0"/>
        <v>1.4</v>
      </c>
      <c r="E247" s="5">
        <v>0</v>
      </c>
      <c r="F247" s="5">
        <v>0</v>
      </c>
      <c r="G247" s="5">
        <v>0</v>
      </c>
      <c r="H247" s="5">
        <v>0</v>
      </c>
      <c r="I247" s="5">
        <v>0</v>
      </c>
      <c r="J247" s="9">
        <v>0</v>
      </c>
      <c r="K247" s="5">
        <v>0</v>
      </c>
      <c r="L247" s="5">
        <v>0</v>
      </c>
      <c r="M247" s="5">
        <v>0</v>
      </c>
      <c r="N247" s="9">
        <v>0</v>
      </c>
      <c r="O247" s="5">
        <v>1</v>
      </c>
      <c r="P247" s="5">
        <v>4</v>
      </c>
      <c r="Q247" s="5">
        <v>0</v>
      </c>
      <c r="R247" s="9">
        <v>0</v>
      </c>
      <c r="S247" s="5">
        <v>0</v>
      </c>
      <c r="T247" s="5">
        <v>0</v>
      </c>
    </row>
    <row r="248" spans="1:20" x14ac:dyDescent="0.2">
      <c r="A248" s="5" t="s">
        <v>494</v>
      </c>
      <c r="B248" s="5" t="s">
        <v>69</v>
      </c>
      <c r="C248" s="8" t="s">
        <v>726</v>
      </c>
      <c r="D248" s="7">
        <f t="shared" si="0"/>
        <v>1.4</v>
      </c>
      <c r="E248" s="5">
        <v>0</v>
      </c>
      <c r="F248" s="5">
        <v>0</v>
      </c>
      <c r="G248" s="5">
        <v>0</v>
      </c>
      <c r="H248" s="5">
        <v>0</v>
      </c>
      <c r="I248" s="5">
        <v>0</v>
      </c>
      <c r="J248" s="9">
        <v>0</v>
      </c>
      <c r="K248" s="5">
        <v>0</v>
      </c>
      <c r="L248" s="5">
        <v>0</v>
      </c>
      <c r="M248" s="5">
        <v>0</v>
      </c>
      <c r="N248" s="9">
        <v>0</v>
      </c>
      <c r="O248" s="5">
        <v>1</v>
      </c>
      <c r="P248" s="5">
        <v>4</v>
      </c>
      <c r="Q248" s="5">
        <v>0</v>
      </c>
      <c r="R248" s="9">
        <v>0</v>
      </c>
      <c r="S248" s="5">
        <v>0</v>
      </c>
      <c r="T248" s="5">
        <v>0</v>
      </c>
    </row>
    <row r="249" spans="1:20" x14ac:dyDescent="0.2">
      <c r="A249" s="5" t="s">
        <v>526</v>
      </c>
      <c r="B249" s="5" t="s">
        <v>69</v>
      </c>
      <c r="C249" s="8" t="s">
        <v>735</v>
      </c>
      <c r="D249" s="7">
        <f t="shared" si="0"/>
        <v>1.4</v>
      </c>
      <c r="E249" s="5">
        <v>0</v>
      </c>
      <c r="F249" s="5">
        <v>0</v>
      </c>
      <c r="G249" s="5">
        <v>0</v>
      </c>
      <c r="H249" s="5">
        <v>0</v>
      </c>
      <c r="I249" s="5">
        <v>0</v>
      </c>
      <c r="J249" s="9">
        <v>0</v>
      </c>
      <c r="K249" s="5">
        <v>0</v>
      </c>
      <c r="L249" s="5">
        <v>0</v>
      </c>
      <c r="M249" s="5">
        <v>0</v>
      </c>
      <c r="N249" s="9">
        <v>0</v>
      </c>
      <c r="O249" s="5">
        <v>1</v>
      </c>
      <c r="P249" s="5">
        <v>4</v>
      </c>
      <c r="Q249" s="5">
        <v>0</v>
      </c>
      <c r="R249" s="9">
        <v>0</v>
      </c>
      <c r="S249" s="5">
        <v>0</v>
      </c>
      <c r="T249" s="5">
        <v>0</v>
      </c>
    </row>
    <row r="250" spans="1:20" x14ac:dyDescent="0.2">
      <c r="A250" s="5" t="s">
        <v>221</v>
      </c>
      <c r="B250" s="5" t="s">
        <v>162</v>
      </c>
      <c r="C250" s="8" t="s">
        <v>724</v>
      </c>
      <c r="D250" s="7">
        <f t="shared" si="0"/>
        <v>1.4</v>
      </c>
      <c r="E250" s="5">
        <v>0</v>
      </c>
      <c r="F250" s="5">
        <v>0</v>
      </c>
      <c r="G250" s="5">
        <v>0</v>
      </c>
      <c r="H250" s="5">
        <v>0</v>
      </c>
      <c r="I250" s="5">
        <v>0</v>
      </c>
      <c r="J250" s="9">
        <v>0</v>
      </c>
      <c r="K250" s="5">
        <v>0</v>
      </c>
      <c r="L250" s="5">
        <v>0</v>
      </c>
      <c r="M250" s="5">
        <v>0</v>
      </c>
      <c r="N250" s="9">
        <v>0</v>
      </c>
      <c r="O250" s="5">
        <v>1</v>
      </c>
      <c r="P250" s="5">
        <v>4</v>
      </c>
      <c r="Q250" s="5">
        <v>0</v>
      </c>
      <c r="R250" s="9">
        <v>0</v>
      </c>
      <c r="S250" s="5">
        <v>0</v>
      </c>
      <c r="T250" s="5">
        <v>0</v>
      </c>
    </row>
    <row r="251" spans="1:20" x14ac:dyDescent="0.2">
      <c r="A251" s="5" t="s">
        <v>261</v>
      </c>
      <c r="B251" s="5" t="s">
        <v>162</v>
      </c>
      <c r="C251" s="8" t="s">
        <v>729</v>
      </c>
      <c r="D251" s="7">
        <f t="shared" si="0"/>
        <v>1.4</v>
      </c>
      <c r="E251" s="5">
        <v>0</v>
      </c>
      <c r="F251" s="5">
        <v>0</v>
      </c>
      <c r="G251" s="5">
        <v>0</v>
      </c>
      <c r="H251" s="5">
        <v>0</v>
      </c>
      <c r="I251" s="5">
        <v>0</v>
      </c>
      <c r="J251" s="9">
        <v>0</v>
      </c>
      <c r="K251" s="5">
        <v>0</v>
      </c>
      <c r="L251" s="5">
        <v>0</v>
      </c>
      <c r="M251" s="5">
        <v>0</v>
      </c>
      <c r="N251" s="9">
        <v>0</v>
      </c>
      <c r="O251" s="5">
        <v>1</v>
      </c>
      <c r="P251" s="5">
        <v>4</v>
      </c>
      <c r="Q251" s="5">
        <v>0</v>
      </c>
      <c r="R251" s="9">
        <v>0</v>
      </c>
      <c r="S251" s="5">
        <v>0</v>
      </c>
      <c r="T251" s="5">
        <v>0</v>
      </c>
    </row>
    <row r="252" spans="1:20" x14ac:dyDescent="0.2">
      <c r="A252" s="5" t="s">
        <v>311</v>
      </c>
      <c r="B252" s="5" t="s">
        <v>69</v>
      </c>
      <c r="C252" s="8" t="s">
        <v>722</v>
      </c>
      <c r="D252" s="7">
        <f t="shared" si="0"/>
        <v>1.3</v>
      </c>
      <c r="E252" s="5">
        <v>0</v>
      </c>
      <c r="F252" s="5">
        <v>0</v>
      </c>
      <c r="G252" s="5">
        <v>0</v>
      </c>
      <c r="H252" s="5">
        <v>0</v>
      </c>
      <c r="I252" s="5">
        <v>0</v>
      </c>
      <c r="J252" s="9">
        <v>0</v>
      </c>
      <c r="K252" s="5">
        <v>0</v>
      </c>
      <c r="L252" s="5">
        <v>0</v>
      </c>
      <c r="M252" s="5">
        <v>0</v>
      </c>
      <c r="N252" s="9">
        <v>0</v>
      </c>
      <c r="O252" s="5">
        <v>1</v>
      </c>
      <c r="P252" s="5">
        <v>3</v>
      </c>
      <c r="Q252" s="5">
        <v>0</v>
      </c>
      <c r="R252" s="9">
        <v>0</v>
      </c>
      <c r="S252" s="5">
        <v>0</v>
      </c>
      <c r="T252" s="5">
        <v>0</v>
      </c>
    </row>
    <row r="253" spans="1:20" x14ac:dyDescent="0.2">
      <c r="A253" s="5" t="s">
        <v>303</v>
      </c>
      <c r="B253" s="5" t="s">
        <v>69</v>
      </c>
      <c r="C253" s="8" t="s">
        <v>721</v>
      </c>
      <c r="D253" s="7">
        <f t="shared" si="0"/>
        <v>1.3</v>
      </c>
      <c r="E253" s="5">
        <v>0</v>
      </c>
      <c r="F253" s="5">
        <v>0</v>
      </c>
      <c r="G253" s="5">
        <v>0</v>
      </c>
      <c r="H253" s="5">
        <v>0</v>
      </c>
      <c r="I253" s="5">
        <v>0</v>
      </c>
      <c r="J253" s="9">
        <v>0</v>
      </c>
      <c r="K253" s="5">
        <v>0</v>
      </c>
      <c r="L253" s="5">
        <v>0</v>
      </c>
      <c r="M253" s="5">
        <v>0</v>
      </c>
      <c r="N253" s="9">
        <v>0</v>
      </c>
      <c r="O253" s="5">
        <v>1</v>
      </c>
      <c r="P253" s="5">
        <v>3</v>
      </c>
      <c r="Q253" s="5">
        <v>0</v>
      </c>
      <c r="R253" s="9">
        <v>0</v>
      </c>
      <c r="S253" s="5">
        <v>0</v>
      </c>
      <c r="T253" s="5">
        <v>0</v>
      </c>
    </row>
    <row r="254" spans="1:20" x14ac:dyDescent="0.2">
      <c r="A254" s="5" t="s">
        <v>700</v>
      </c>
      <c r="B254" s="5" t="s">
        <v>69</v>
      </c>
      <c r="C254" s="8" t="s">
        <v>721</v>
      </c>
      <c r="D254" s="7">
        <f t="shared" si="0"/>
        <v>1.3</v>
      </c>
      <c r="E254" s="5">
        <v>0</v>
      </c>
      <c r="F254" s="5">
        <v>0</v>
      </c>
      <c r="G254" s="5">
        <v>0</v>
      </c>
      <c r="H254" s="5">
        <v>0</v>
      </c>
      <c r="I254" s="5">
        <v>0</v>
      </c>
      <c r="J254" s="9">
        <v>0</v>
      </c>
      <c r="K254" s="5">
        <v>0</v>
      </c>
      <c r="L254" s="5">
        <v>0</v>
      </c>
      <c r="M254" s="5">
        <v>0</v>
      </c>
      <c r="N254" s="9">
        <v>0</v>
      </c>
      <c r="O254" s="5">
        <v>1</v>
      </c>
      <c r="P254" s="5">
        <v>3</v>
      </c>
      <c r="Q254" s="5">
        <v>0</v>
      </c>
      <c r="R254" s="9">
        <v>0</v>
      </c>
      <c r="S254" s="5">
        <v>0</v>
      </c>
      <c r="T254" s="5">
        <v>0</v>
      </c>
    </row>
    <row r="255" spans="1:20" x14ac:dyDescent="0.2">
      <c r="A255" s="5" t="s">
        <v>143</v>
      </c>
      <c r="B255" s="5" t="s">
        <v>75</v>
      </c>
      <c r="C255" s="8" t="s">
        <v>732</v>
      </c>
      <c r="D255" s="7">
        <f t="shared" si="0"/>
        <v>1.3</v>
      </c>
      <c r="E255" s="5">
        <v>0</v>
      </c>
      <c r="F255" s="5">
        <v>0</v>
      </c>
      <c r="G255" s="5">
        <v>0</v>
      </c>
      <c r="H255" s="5">
        <v>0</v>
      </c>
      <c r="I255" s="5">
        <v>0</v>
      </c>
      <c r="J255" s="9">
        <v>0</v>
      </c>
      <c r="K255" s="5">
        <v>1</v>
      </c>
      <c r="L255" s="5">
        <v>2</v>
      </c>
      <c r="M255" s="5">
        <v>0</v>
      </c>
      <c r="N255" s="9">
        <v>0</v>
      </c>
      <c r="O255" s="5">
        <v>1</v>
      </c>
      <c r="P255" s="5">
        <v>1</v>
      </c>
      <c r="Q255" s="5">
        <v>0</v>
      </c>
      <c r="R255" s="9">
        <v>0</v>
      </c>
      <c r="S255" s="5">
        <v>0</v>
      </c>
      <c r="T255" s="5">
        <v>0</v>
      </c>
    </row>
    <row r="256" spans="1:20" x14ac:dyDescent="0.2">
      <c r="A256" s="5" t="s">
        <v>434</v>
      </c>
      <c r="B256" s="5" t="s">
        <v>75</v>
      </c>
      <c r="C256" s="8" t="s">
        <v>730</v>
      </c>
      <c r="D256" s="7">
        <f t="shared" si="0"/>
        <v>1.3</v>
      </c>
      <c r="E256" s="5">
        <v>0</v>
      </c>
      <c r="F256" s="5">
        <v>0</v>
      </c>
      <c r="G256" s="5">
        <v>0</v>
      </c>
      <c r="H256" s="5">
        <v>0</v>
      </c>
      <c r="I256" s="5">
        <v>0</v>
      </c>
      <c r="J256" s="9">
        <v>0</v>
      </c>
      <c r="K256" s="5">
        <v>3</v>
      </c>
      <c r="L256" s="5">
        <v>13</v>
      </c>
      <c r="M256" s="5">
        <v>0</v>
      </c>
      <c r="N256" s="9">
        <v>0</v>
      </c>
      <c r="O256" s="5">
        <v>0</v>
      </c>
      <c r="P256" s="5">
        <v>0</v>
      </c>
      <c r="Q256" s="5">
        <v>0</v>
      </c>
      <c r="R256" s="9">
        <v>0</v>
      </c>
      <c r="S256" s="5">
        <v>0</v>
      </c>
      <c r="T256" s="5">
        <v>0</v>
      </c>
    </row>
    <row r="257" spans="1:20" x14ac:dyDescent="0.2">
      <c r="A257" s="5" t="s">
        <v>202</v>
      </c>
      <c r="B257" s="5" t="s">
        <v>162</v>
      </c>
      <c r="C257" s="8" t="s">
        <v>725</v>
      </c>
      <c r="D257" s="7">
        <f t="shared" si="0"/>
        <v>1.2000000000000002</v>
      </c>
      <c r="E257" s="5">
        <v>0</v>
      </c>
      <c r="F257" s="5">
        <v>0</v>
      </c>
      <c r="G257" s="5">
        <v>0</v>
      </c>
      <c r="H257" s="5">
        <v>0</v>
      </c>
      <c r="I257" s="5">
        <v>0</v>
      </c>
      <c r="J257" s="9">
        <v>0</v>
      </c>
      <c r="K257" s="5">
        <v>1</v>
      </c>
      <c r="L257" s="5">
        <v>12</v>
      </c>
      <c r="M257" s="5">
        <v>0</v>
      </c>
      <c r="N257" s="9">
        <v>0</v>
      </c>
      <c r="O257" s="5">
        <v>0</v>
      </c>
      <c r="P257" s="5">
        <v>0</v>
      </c>
      <c r="Q257" s="5">
        <v>0</v>
      </c>
      <c r="R257" s="9">
        <v>0</v>
      </c>
      <c r="S257" s="5">
        <v>0</v>
      </c>
      <c r="T257" s="5">
        <v>0</v>
      </c>
    </row>
    <row r="258" spans="1:20" x14ac:dyDescent="0.2">
      <c r="A258" s="5" t="s">
        <v>440</v>
      </c>
      <c r="B258" s="5" t="s">
        <v>69</v>
      </c>
      <c r="C258" s="8" t="s">
        <v>734</v>
      </c>
      <c r="D258" s="7">
        <f t="shared" ref="D258:D282" si="1">0.04*G258+4*H258-2*I258+2*J258+0.1*L258+6*M258+2*N258+1*O258+0.1*P258+6*Q258+2*R258-2*S258</f>
        <v>1.2</v>
      </c>
      <c r="E258" s="5">
        <v>0</v>
      </c>
      <c r="F258" s="5">
        <v>0</v>
      </c>
      <c r="G258" s="5">
        <v>0</v>
      </c>
      <c r="H258" s="5">
        <v>0</v>
      </c>
      <c r="I258" s="5">
        <v>0</v>
      </c>
      <c r="J258" s="9">
        <v>0</v>
      </c>
      <c r="K258" s="5">
        <v>0</v>
      </c>
      <c r="L258" s="5">
        <v>0</v>
      </c>
      <c r="M258" s="5">
        <v>0</v>
      </c>
      <c r="N258" s="9">
        <v>0</v>
      </c>
      <c r="O258" s="5">
        <v>1</v>
      </c>
      <c r="P258" s="5">
        <v>2</v>
      </c>
      <c r="Q258" s="5">
        <v>0</v>
      </c>
      <c r="R258" s="9">
        <v>0</v>
      </c>
      <c r="S258" s="5">
        <v>0</v>
      </c>
      <c r="T258" s="5">
        <v>0</v>
      </c>
    </row>
    <row r="259" spans="1:20" x14ac:dyDescent="0.2">
      <c r="A259" s="5" t="s">
        <v>437</v>
      </c>
      <c r="B259" s="5" t="s">
        <v>69</v>
      </c>
      <c r="C259" s="8" t="s">
        <v>730</v>
      </c>
      <c r="D259" s="7">
        <f t="shared" si="1"/>
        <v>1</v>
      </c>
      <c r="E259" s="5">
        <v>0</v>
      </c>
      <c r="F259" s="5">
        <v>0</v>
      </c>
      <c r="G259" s="5">
        <v>0</v>
      </c>
      <c r="H259" s="5">
        <v>0</v>
      </c>
      <c r="I259" s="5">
        <v>0</v>
      </c>
      <c r="J259" s="9">
        <v>0</v>
      </c>
      <c r="K259" s="5">
        <v>0</v>
      </c>
      <c r="L259" s="5">
        <v>0</v>
      </c>
      <c r="M259" s="5">
        <v>0</v>
      </c>
      <c r="N259" s="9">
        <v>0</v>
      </c>
      <c r="O259" s="5">
        <v>1</v>
      </c>
      <c r="P259" s="5">
        <v>0</v>
      </c>
      <c r="Q259" s="5">
        <v>0</v>
      </c>
      <c r="R259" s="9">
        <v>0</v>
      </c>
      <c r="S259" s="5">
        <v>0</v>
      </c>
      <c r="T259" s="5">
        <v>0</v>
      </c>
    </row>
    <row r="260" spans="1:20" x14ac:dyDescent="0.2">
      <c r="A260" s="5" t="s">
        <v>698</v>
      </c>
      <c r="B260" s="5" t="s">
        <v>162</v>
      </c>
      <c r="C260" s="8" t="s">
        <v>734</v>
      </c>
      <c r="D260" s="7">
        <f t="shared" si="1"/>
        <v>1</v>
      </c>
      <c r="E260" s="5">
        <v>0</v>
      </c>
      <c r="F260" s="5">
        <v>0</v>
      </c>
      <c r="G260" s="5">
        <v>0</v>
      </c>
      <c r="H260" s="5">
        <v>0</v>
      </c>
      <c r="I260" s="5">
        <v>0</v>
      </c>
      <c r="J260" s="9">
        <v>0</v>
      </c>
      <c r="K260" s="5">
        <v>1</v>
      </c>
      <c r="L260" s="5">
        <v>10</v>
      </c>
      <c r="M260" s="5">
        <v>0</v>
      </c>
      <c r="N260" s="9">
        <v>0</v>
      </c>
      <c r="O260" s="5">
        <v>0</v>
      </c>
      <c r="P260" s="5">
        <v>0</v>
      </c>
      <c r="Q260" s="5">
        <v>0</v>
      </c>
      <c r="R260" s="9">
        <v>0</v>
      </c>
      <c r="S260" s="5">
        <v>0</v>
      </c>
      <c r="T260" s="5">
        <v>0</v>
      </c>
    </row>
    <row r="261" spans="1:20" x14ac:dyDescent="0.2">
      <c r="A261" s="5" t="s">
        <v>160</v>
      </c>
      <c r="B261" s="5" t="s">
        <v>75</v>
      </c>
      <c r="C261" s="8" t="s">
        <v>730</v>
      </c>
      <c r="D261" s="7">
        <f t="shared" si="1"/>
        <v>0.9</v>
      </c>
      <c r="E261" s="5">
        <v>0</v>
      </c>
      <c r="F261" s="5">
        <v>0</v>
      </c>
      <c r="G261" s="5">
        <v>0</v>
      </c>
      <c r="H261" s="5">
        <v>0</v>
      </c>
      <c r="I261" s="5">
        <v>0</v>
      </c>
      <c r="J261" s="9">
        <v>0</v>
      </c>
      <c r="K261" s="5">
        <v>0</v>
      </c>
      <c r="L261" s="5">
        <v>0</v>
      </c>
      <c r="M261" s="5">
        <v>0</v>
      </c>
      <c r="N261" s="9">
        <v>0</v>
      </c>
      <c r="O261" s="5">
        <v>1</v>
      </c>
      <c r="P261" s="5">
        <v>-1</v>
      </c>
      <c r="Q261" s="5">
        <v>0</v>
      </c>
      <c r="R261" s="9">
        <v>0</v>
      </c>
      <c r="S261" s="5">
        <v>0</v>
      </c>
      <c r="T261" s="5">
        <v>0</v>
      </c>
    </row>
    <row r="262" spans="1:20" x14ac:dyDescent="0.2">
      <c r="A262" s="5" t="s">
        <v>575</v>
      </c>
      <c r="B262" s="5" t="s">
        <v>75</v>
      </c>
      <c r="C262" s="8" t="s">
        <v>723</v>
      </c>
      <c r="D262" s="7">
        <f t="shared" si="1"/>
        <v>0.9</v>
      </c>
      <c r="E262" s="5">
        <v>0</v>
      </c>
      <c r="F262" s="5">
        <v>0</v>
      </c>
      <c r="G262" s="5">
        <v>0</v>
      </c>
      <c r="H262" s="5">
        <v>0</v>
      </c>
      <c r="I262" s="5">
        <v>0</v>
      </c>
      <c r="J262" s="9">
        <v>0</v>
      </c>
      <c r="K262" s="5">
        <v>3</v>
      </c>
      <c r="L262" s="5">
        <v>9</v>
      </c>
      <c r="M262" s="5">
        <v>0</v>
      </c>
      <c r="N262" s="9">
        <v>0</v>
      </c>
      <c r="O262" s="5">
        <v>0</v>
      </c>
      <c r="P262" s="5">
        <v>0</v>
      </c>
      <c r="Q262" s="5">
        <v>0</v>
      </c>
      <c r="R262" s="9">
        <v>0</v>
      </c>
      <c r="S262" s="5">
        <v>0</v>
      </c>
      <c r="T262" s="5">
        <v>0</v>
      </c>
    </row>
    <row r="263" spans="1:20" x14ac:dyDescent="0.2">
      <c r="A263" s="5" t="s">
        <v>150</v>
      </c>
      <c r="B263" s="5" t="s">
        <v>75</v>
      </c>
      <c r="C263" s="8" t="s">
        <v>733</v>
      </c>
      <c r="D263" s="7">
        <f t="shared" si="1"/>
        <v>0.9</v>
      </c>
      <c r="E263" s="5">
        <v>0</v>
      </c>
      <c r="F263" s="5">
        <v>0</v>
      </c>
      <c r="G263" s="5">
        <v>0</v>
      </c>
      <c r="H263" s="5">
        <v>0</v>
      </c>
      <c r="I263" s="5">
        <v>0</v>
      </c>
      <c r="J263" s="9">
        <v>0</v>
      </c>
      <c r="K263" s="5">
        <v>3</v>
      </c>
      <c r="L263" s="5">
        <v>9</v>
      </c>
      <c r="M263" s="5">
        <v>0</v>
      </c>
      <c r="N263" s="9">
        <v>0</v>
      </c>
      <c r="O263" s="5">
        <v>0</v>
      </c>
      <c r="P263" s="5">
        <v>0</v>
      </c>
      <c r="Q263" s="5">
        <v>0</v>
      </c>
      <c r="R263" s="9">
        <v>0</v>
      </c>
      <c r="S263" s="5">
        <v>0</v>
      </c>
      <c r="T263" s="5">
        <v>0</v>
      </c>
    </row>
    <row r="264" spans="1:20" x14ac:dyDescent="0.2">
      <c r="A264" s="5" t="s">
        <v>197</v>
      </c>
      <c r="B264" s="5" t="s">
        <v>162</v>
      </c>
      <c r="C264" s="8" t="s">
        <v>727</v>
      </c>
      <c r="D264" s="7">
        <f t="shared" si="1"/>
        <v>0.8</v>
      </c>
      <c r="E264" s="5">
        <v>0</v>
      </c>
      <c r="F264" s="5">
        <v>0</v>
      </c>
      <c r="G264" s="5">
        <v>0</v>
      </c>
      <c r="H264" s="5">
        <v>0</v>
      </c>
      <c r="I264" s="5">
        <v>0</v>
      </c>
      <c r="J264" s="9">
        <v>0</v>
      </c>
      <c r="K264" s="5">
        <v>0</v>
      </c>
      <c r="L264" s="5">
        <v>0</v>
      </c>
      <c r="M264" s="5">
        <v>0</v>
      </c>
      <c r="N264" s="9">
        <v>0</v>
      </c>
      <c r="O264" s="5">
        <v>1</v>
      </c>
      <c r="P264" s="5">
        <v>-2</v>
      </c>
      <c r="Q264" s="5">
        <v>0</v>
      </c>
      <c r="R264" s="9">
        <v>0</v>
      </c>
      <c r="S264" s="5">
        <v>0</v>
      </c>
      <c r="T264" s="5">
        <v>0</v>
      </c>
    </row>
    <row r="265" spans="1:20" x14ac:dyDescent="0.2">
      <c r="A265" s="5" t="s">
        <v>716</v>
      </c>
      <c r="B265" s="5" t="s">
        <v>75</v>
      </c>
      <c r="C265" s="8" t="s">
        <v>730</v>
      </c>
      <c r="D265" s="7">
        <f t="shared" si="1"/>
        <v>0.8</v>
      </c>
      <c r="E265" s="5">
        <v>0</v>
      </c>
      <c r="F265" s="5">
        <v>0</v>
      </c>
      <c r="G265" s="5">
        <v>0</v>
      </c>
      <c r="H265" s="5">
        <v>0</v>
      </c>
      <c r="I265" s="5">
        <v>0</v>
      </c>
      <c r="J265" s="9">
        <v>0</v>
      </c>
      <c r="K265" s="5">
        <v>0</v>
      </c>
      <c r="L265" s="5">
        <v>0</v>
      </c>
      <c r="M265" s="5">
        <v>0</v>
      </c>
      <c r="N265" s="9">
        <v>0</v>
      </c>
      <c r="O265" s="5">
        <v>1</v>
      </c>
      <c r="P265" s="5">
        <v>-2</v>
      </c>
      <c r="Q265" s="5">
        <v>0</v>
      </c>
      <c r="R265" s="9">
        <v>0</v>
      </c>
      <c r="S265" s="5">
        <v>0</v>
      </c>
      <c r="T265" s="5">
        <v>0</v>
      </c>
    </row>
    <row r="266" spans="1:20" x14ac:dyDescent="0.2">
      <c r="A266" s="5" t="s">
        <v>99</v>
      </c>
      <c r="B266" s="5" t="s">
        <v>75</v>
      </c>
      <c r="C266" s="8" t="s">
        <v>726</v>
      </c>
      <c r="D266" s="7">
        <f t="shared" si="1"/>
        <v>0.8</v>
      </c>
      <c r="E266" s="5">
        <v>0</v>
      </c>
      <c r="F266" s="5">
        <v>0</v>
      </c>
      <c r="G266" s="5">
        <v>0</v>
      </c>
      <c r="H266" s="5">
        <v>0</v>
      </c>
      <c r="I266" s="5">
        <v>0</v>
      </c>
      <c r="J266" s="9">
        <v>0</v>
      </c>
      <c r="K266" s="5">
        <v>3</v>
      </c>
      <c r="L266" s="5">
        <v>8</v>
      </c>
      <c r="M266" s="5">
        <v>0</v>
      </c>
      <c r="N266" s="9">
        <v>0</v>
      </c>
      <c r="O266" s="5">
        <v>0</v>
      </c>
      <c r="P266" s="5">
        <v>0</v>
      </c>
      <c r="Q266" s="5">
        <v>0</v>
      </c>
      <c r="R266" s="9">
        <v>0</v>
      </c>
      <c r="S266" s="5">
        <v>0</v>
      </c>
      <c r="T266" s="5">
        <v>0</v>
      </c>
    </row>
    <row r="267" spans="1:20" x14ac:dyDescent="0.2">
      <c r="A267" s="5" t="s">
        <v>153</v>
      </c>
      <c r="B267" s="5" t="s">
        <v>75</v>
      </c>
      <c r="C267" s="8" t="s">
        <v>735</v>
      </c>
      <c r="D267" s="7">
        <f t="shared" si="1"/>
        <v>0.8</v>
      </c>
      <c r="E267" s="5">
        <v>0</v>
      </c>
      <c r="F267" s="5">
        <v>0</v>
      </c>
      <c r="G267" s="5">
        <v>0</v>
      </c>
      <c r="H267" s="5">
        <v>0</v>
      </c>
      <c r="I267" s="5">
        <v>0</v>
      </c>
      <c r="J267" s="9">
        <v>0</v>
      </c>
      <c r="K267" s="5">
        <v>2</v>
      </c>
      <c r="L267" s="5">
        <v>8</v>
      </c>
      <c r="M267" s="5">
        <v>0</v>
      </c>
      <c r="N267" s="9">
        <v>0</v>
      </c>
      <c r="O267" s="5">
        <v>0</v>
      </c>
      <c r="P267" s="5">
        <v>0</v>
      </c>
      <c r="Q267" s="5">
        <v>0</v>
      </c>
      <c r="R267" s="9">
        <v>0</v>
      </c>
      <c r="S267" s="5">
        <v>0</v>
      </c>
      <c r="T267" s="5">
        <v>0</v>
      </c>
    </row>
    <row r="268" spans="1:20" x14ac:dyDescent="0.2">
      <c r="A268" s="5" t="s">
        <v>137</v>
      </c>
      <c r="B268" s="5" t="s">
        <v>75</v>
      </c>
      <c r="C268" s="8" t="s">
        <v>735</v>
      </c>
      <c r="D268" s="7">
        <f t="shared" si="1"/>
        <v>0.70000000000000007</v>
      </c>
      <c r="E268" s="5">
        <v>0</v>
      </c>
      <c r="F268" s="5">
        <v>0</v>
      </c>
      <c r="G268" s="5">
        <v>0</v>
      </c>
      <c r="H268" s="5">
        <v>0</v>
      </c>
      <c r="I268" s="5">
        <v>0</v>
      </c>
      <c r="J268" s="9">
        <v>0</v>
      </c>
      <c r="K268" s="5">
        <v>1</v>
      </c>
      <c r="L268" s="5">
        <v>7</v>
      </c>
      <c r="M268" s="5">
        <v>0</v>
      </c>
      <c r="N268" s="9">
        <v>0</v>
      </c>
      <c r="O268" s="5">
        <v>0</v>
      </c>
      <c r="P268" s="5">
        <v>0</v>
      </c>
      <c r="Q268" s="5">
        <v>0</v>
      </c>
      <c r="R268" s="9">
        <v>0</v>
      </c>
      <c r="S268" s="5">
        <v>0</v>
      </c>
      <c r="T268" s="5">
        <v>0</v>
      </c>
    </row>
    <row r="269" spans="1:20" x14ac:dyDescent="0.2">
      <c r="A269" s="5" t="s">
        <v>528</v>
      </c>
      <c r="B269" s="5" t="s">
        <v>75</v>
      </c>
      <c r="C269" s="8" t="s">
        <v>724</v>
      </c>
      <c r="D269" s="7">
        <f t="shared" si="1"/>
        <v>0.70000000000000007</v>
      </c>
      <c r="E269" s="5">
        <v>0</v>
      </c>
      <c r="F269" s="5">
        <v>0</v>
      </c>
      <c r="G269" s="5">
        <v>0</v>
      </c>
      <c r="H269" s="5">
        <v>0</v>
      </c>
      <c r="I269" s="5">
        <v>0</v>
      </c>
      <c r="J269" s="9">
        <v>0</v>
      </c>
      <c r="K269" s="5">
        <v>3</v>
      </c>
      <c r="L269" s="5">
        <v>7</v>
      </c>
      <c r="M269" s="5">
        <v>0</v>
      </c>
      <c r="N269" s="9">
        <v>0</v>
      </c>
      <c r="O269" s="5">
        <v>0</v>
      </c>
      <c r="P269" s="5">
        <v>0</v>
      </c>
      <c r="Q269" s="5">
        <v>0</v>
      </c>
      <c r="R269" s="9">
        <v>0</v>
      </c>
      <c r="S269" s="5">
        <v>0</v>
      </c>
      <c r="T269" s="5">
        <v>0</v>
      </c>
    </row>
    <row r="270" spans="1:20" x14ac:dyDescent="0.2">
      <c r="A270" s="5" t="s">
        <v>522</v>
      </c>
      <c r="B270" s="5" t="s">
        <v>75</v>
      </c>
      <c r="C270" s="8" t="s">
        <v>726</v>
      </c>
      <c r="D270" s="7">
        <f t="shared" si="1"/>
        <v>0.7</v>
      </c>
      <c r="E270" s="5">
        <v>0</v>
      </c>
      <c r="F270" s="5">
        <v>0</v>
      </c>
      <c r="G270" s="5">
        <v>0</v>
      </c>
      <c r="H270" s="5">
        <v>0</v>
      </c>
      <c r="I270" s="5">
        <v>0</v>
      </c>
      <c r="J270" s="9">
        <v>0</v>
      </c>
      <c r="K270" s="5">
        <v>0</v>
      </c>
      <c r="L270" s="5">
        <v>0</v>
      </c>
      <c r="M270" s="5">
        <v>0</v>
      </c>
      <c r="N270" s="9">
        <v>0</v>
      </c>
      <c r="O270" s="5">
        <v>1</v>
      </c>
      <c r="P270" s="5">
        <v>-3</v>
      </c>
      <c r="Q270" s="5">
        <v>0</v>
      </c>
      <c r="R270" s="9">
        <v>0</v>
      </c>
      <c r="S270" s="5">
        <v>0</v>
      </c>
      <c r="T270" s="5">
        <v>0</v>
      </c>
    </row>
    <row r="271" spans="1:20" x14ac:dyDescent="0.2">
      <c r="A271" s="5" t="s">
        <v>82</v>
      </c>
      <c r="B271" s="5" t="s">
        <v>75</v>
      </c>
      <c r="C271" s="8" t="s">
        <v>726</v>
      </c>
      <c r="D271" s="7">
        <f t="shared" si="1"/>
        <v>0.60000000000000009</v>
      </c>
      <c r="E271" s="5">
        <v>0</v>
      </c>
      <c r="F271" s="5">
        <v>0</v>
      </c>
      <c r="G271" s="5">
        <v>0</v>
      </c>
      <c r="H271" s="5">
        <v>0</v>
      </c>
      <c r="I271" s="5">
        <v>0</v>
      </c>
      <c r="J271" s="9">
        <v>0</v>
      </c>
      <c r="K271" s="5">
        <v>1</v>
      </c>
      <c r="L271" s="5">
        <v>6</v>
      </c>
      <c r="M271" s="5">
        <v>0</v>
      </c>
      <c r="N271" s="9">
        <v>0</v>
      </c>
      <c r="O271" s="5">
        <v>0</v>
      </c>
      <c r="P271" s="5">
        <v>0</v>
      </c>
      <c r="Q271" s="5">
        <v>0</v>
      </c>
      <c r="R271" s="9">
        <v>0</v>
      </c>
      <c r="S271" s="5">
        <v>0</v>
      </c>
      <c r="T271" s="5">
        <v>0</v>
      </c>
    </row>
    <row r="272" spans="1:20" x14ac:dyDescent="0.2">
      <c r="A272" s="5" t="s">
        <v>86</v>
      </c>
      <c r="B272" s="5" t="s">
        <v>75</v>
      </c>
      <c r="C272" s="8" t="s">
        <v>732</v>
      </c>
      <c r="D272" s="7">
        <f t="shared" si="1"/>
        <v>0.60000000000000009</v>
      </c>
      <c r="E272" s="5">
        <v>0</v>
      </c>
      <c r="F272" s="5">
        <v>0</v>
      </c>
      <c r="G272" s="5">
        <v>0</v>
      </c>
      <c r="H272" s="5">
        <v>0</v>
      </c>
      <c r="I272" s="5">
        <v>0</v>
      </c>
      <c r="J272" s="9">
        <v>0</v>
      </c>
      <c r="K272" s="5">
        <v>3</v>
      </c>
      <c r="L272" s="5">
        <v>6</v>
      </c>
      <c r="M272" s="5">
        <v>0</v>
      </c>
      <c r="N272" s="9">
        <v>0</v>
      </c>
      <c r="O272" s="5">
        <v>0</v>
      </c>
      <c r="P272" s="5">
        <v>0</v>
      </c>
      <c r="Q272" s="5">
        <v>0</v>
      </c>
      <c r="R272" s="9">
        <v>0</v>
      </c>
      <c r="S272" s="5">
        <v>0</v>
      </c>
      <c r="T272" s="5">
        <v>0</v>
      </c>
    </row>
    <row r="273" spans="1:20" x14ac:dyDescent="0.2">
      <c r="A273" s="5" t="s">
        <v>496</v>
      </c>
      <c r="B273" s="5" t="s">
        <v>17</v>
      </c>
      <c r="C273" s="8" t="s">
        <v>722</v>
      </c>
      <c r="D273" s="7">
        <f t="shared" si="1"/>
        <v>0.5</v>
      </c>
      <c r="E273" s="5">
        <v>0</v>
      </c>
      <c r="F273" s="5">
        <v>0</v>
      </c>
      <c r="G273" s="5">
        <v>0</v>
      </c>
      <c r="H273" s="5">
        <v>0</v>
      </c>
      <c r="I273" s="5">
        <v>0</v>
      </c>
      <c r="J273" s="9">
        <v>0</v>
      </c>
      <c r="K273" s="5">
        <v>1</v>
      </c>
      <c r="L273" s="5">
        <v>5</v>
      </c>
      <c r="M273" s="5">
        <v>0</v>
      </c>
      <c r="N273" s="9">
        <v>0</v>
      </c>
      <c r="O273" s="5">
        <v>0</v>
      </c>
      <c r="P273" s="5">
        <v>0</v>
      </c>
      <c r="Q273" s="5">
        <v>0</v>
      </c>
      <c r="R273" s="9">
        <v>0</v>
      </c>
      <c r="S273" s="5">
        <v>0</v>
      </c>
      <c r="T273" s="5">
        <v>0</v>
      </c>
    </row>
    <row r="274" spans="1:20" x14ac:dyDescent="0.2">
      <c r="A274" s="5" t="s">
        <v>523</v>
      </c>
      <c r="B274" s="5" t="s">
        <v>162</v>
      </c>
      <c r="C274" s="8" t="s">
        <v>726</v>
      </c>
      <c r="D274" s="7">
        <f t="shared" si="1"/>
        <v>0.4</v>
      </c>
      <c r="E274" s="5">
        <v>0</v>
      </c>
      <c r="F274" s="5">
        <v>0</v>
      </c>
      <c r="G274" s="5">
        <v>0</v>
      </c>
      <c r="H274" s="5">
        <v>0</v>
      </c>
      <c r="I274" s="5">
        <v>0</v>
      </c>
      <c r="J274" s="9">
        <v>0</v>
      </c>
      <c r="K274" s="5">
        <v>1</v>
      </c>
      <c r="L274" s="5">
        <v>4</v>
      </c>
      <c r="M274" s="5">
        <v>0</v>
      </c>
      <c r="N274" s="9">
        <v>0</v>
      </c>
      <c r="O274" s="5">
        <v>0</v>
      </c>
      <c r="P274" s="5">
        <v>0</v>
      </c>
      <c r="Q274" s="5">
        <v>0</v>
      </c>
      <c r="R274" s="9">
        <v>0</v>
      </c>
      <c r="S274" s="5">
        <v>0</v>
      </c>
      <c r="T274" s="5">
        <v>0</v>
      </c>
    </row>
    <row r="275" spans="1:20" x14ac:dyDescent="0.2">
      <c r="A275" s="5" t="s">
        <v>426</v>
      </c>
      <c r="B275" s="5" t="s">
        <v>75</v>
      </c>
      <c r="C275" s="8" t="s">
        <v>727</v>
      </c>
      <c r="D275" s="7">
        <f t="shared" si="1"/>
        <v>0.30000000000000004</v>
      </c>
      <c r="E275" s="5">
        <v>0</v>
      </c>
      <c r="F275" s="5">
        <v>0</v>
      </c>
      <c r="G275" s="5">
        <v>0</v>
      </c>
      <c r="H275" s="5">
        <v>0</v>
      </c>
      <c r="I275" s="5">
        <v>0</v>
      </c>
      <c r="J275" s="9">
        <v>0</v>
      </c>
      <c r="K275" s="5">
        <v>1</v>
      </c>
      <c r="L275" s="5">
        <v>3</v>
      </c>
      <c r="M275" s="5">
        <v>0</v>
      </c>
      <c r="N275" s="9">
        <v>0</v>
      </c>
      <c r="O275" s="5">
        <v>0</v>
      </c>
      <c r="P275" s="5">
        <v>0</v>
      </c>
      <c r="Q275" s="5">
        <v>0</v>
      </c>
      <c r="R275" s="9">
        <v>0</v>
      </c>
      <c r="S275" s="5">
        <v>0</v>
      </c>
      <c r="T275" s="5">
        <v>0</v>
      </c>
    </row>
    <row r="276" spans="1:20" x14ac:dyDescent="0.2">
      <c r="A276" s="5" t="s">
        <v>654</v>
      </c>
      <c r="B276" s="5" t="s">
        <v>75</v>
      </c>
      <c r="C276" s="8" t="s">
        <v>735</v>
      </c>
      <c r="D276" s="7">
        <f t="shared" si="1"/>
        <v>0.30000000000000004</v>
      </c>
      <c r="E276" s="5">
        <v>0</v>
      </c>
      <c r="F276" s="5">
        <v>0</v>
      </c>
      <c r="G276" s="5">
        <v>0</v>
      </c>
      <c r="H276" s="5">
        <v>0</v>
      </c>
      <c r="I276" s="5">
        <v>0</v>
      </c>
      <c r="J276" s="9">
        <v>0</v>
      </c>
      <c r="K276" s="5">
        <v>2</v>
      </c>
      <c r="L276" s="5">
        <v>3</v>
      </c>
      <c r="M276" s="5">
        <v>0</v>
      </c>
      <c r="N276" s="9">
        <v>0</v>
      </c>
      <c r="O276" s="5">
        <v>0</v>
      </c>
      <c r="P276" s="5">
        <v>0</v>
      </c>
      <c r="Q276" s="5">
        <v>0</v>
      </c>
      <c r="R276" s="9">
        <v>0</v>
      </c>
      <c r="S276" s="5">
        <v>0</v>
      </c>
      <c r="T276" s="5">
        <v>0</v>
      </c>
    </row>
    <row r="277" spans="1:20" x14ac:dyDescent="0.2">
      <c r="A277" s="5" t="s">
        <v>673</v>
      </c>
      <c r="B277" s="5" t="s">
        <v>17</v>
      </c>
      <c r="C277" s="8" t="s">
        <v>727</v>
      </c>
      <c r="D277" s="7">
        <f t="shared" si="1"/>
        <v>0.16</v>
      </c>
      <c r="E277" s="5">
        <v>5</v>
      </c>
      <c r="F277" s="5">
        <v>1</v>
      </c>
      <c r="G277" s="5">
        <v>4</v>
      </c>
      <c r="H277" s="5">
        <v>0</v>
      </c>
      <c r="I277" s="5">
        <v>0</v>
      </c>
      <c r="J277" s="9">
        <v>0</v>
      </c>
      <c r="K277" s="5">
        <v>0</v>
      </c>
      <c r="L277" s="5">
        <v>0</v>
      </c>
      <c r="M277" s="5">
        <v>0</v>
      </c>
      <c r="N277" s="9">
        <v>0</v>
      </c>
      <c r="O277" s="5">
        <v>0</v>
      </c>
      <c r="P277" s="5">
        <v>0</v>
      </c>
      <c r="Q277" s="5">
        <v>0</v>
      </c>
      <c r="R277" s="9">
        <v>0</v>
      </c>
      <c r="S277" s="5">
        <v>0</v>
      </c>
      <c r="T277" s="5">
        <v>0</v>
      </c>
    </row>
    <row r="278" spans="1:20" x14ac:dyDescent="0.2">
      <c r="A278" s="5" t="s">
        <v>356</v>
      </c>
      <c r="B278" s="5" t="s">
        <v>75</v>
      </c>
      <c r="C278" s="8" t="s">
        <v>722</v>
      </c>
      <c r="D278" s="7">
        <f t="shared" si="1"/>
        <v>0</v>
      </c>
      <c r="E278" s="5">
        <v>0</v>
      </c>
      <c r="F278" s="5">
        <v>0</v>
      </c>
      <c r="G278" s="5">
        <v>0</v>
      </c>
      <c r="H278" s="5">
        <v>0</v>
      </c>
      <c r="I278" s="5">
        <v>0</v>
      </c>
      <c r="J278" s="9">
        <v>0</v>
      </c>
      <c r="K278" s="5">
        <v>1</v>
      </c>
      <c r="L278" s="5">
        <v>0</v>
      </c>
      <c r="M278" s="5">
        <v>0</v>
      </c>
      <c r="N278" s="9">
        <v>0</v>
      </c>
      <c r="O278" s="5">
        <v>0</v>
      </c>
      <c r="P278" s="5">
        <v>0</v>
      </c>
      <c r="Q278" s="5">
        <v>0</v>
      </c>
      <c r="R278" s="9">
        <v>0</v>
      </c>
      <c r="S278" s="5">
        <v>0</v>
      </c>
      <c r="T278" s="5">
        <v>0</v>
      </c>
    </row>
    <row r="279" spans="1:20" x14ac:dyDescent="0.2">
      <c r="A279" s="5" t="s">
        <v>740</v>
      </c>
      <c r="B279" s="5" t="s">
        <v>17</v>
      </c>
      <c r="C279" s="8" t="s">
        <v>730</v>
      </c>
      <c r="D279" s="7">
        <f t="shared" si="1"/>
        <v>-0.04</v>
      </c>
      <c r="E279" s="5">
        <v>1</v>
      </c>
      <c r="F279" s="5">
        <v>1</v>
      </c>
      <c r="G279" s="5">
        <v>-1</v>
      </c>
      <c r="H279" s="5">
        <v>0</v>
      </c>
      <c r="I279" s="5">
        <v>0</v>
      </c>
      <c r="J279" s="9">
        <v>0</v>
      </c>
      <c r="K279" s="5">
        <v>0</v>
      </c>
      <c r="L279" s="5">
        <v>0</v>
      </c>
      <c r="M279" s="5">
        <v>0</v>
      </c>
      <c r="N279" s="9">
        <v>0</v>
      </c>
      <c r="O279" s="5">
        <v>0</v>
      </c>
      <c r="P279" s="5">
        <v>0</v>
      </c>
      <c r="Q279" s="5">
        <v>0</v>
      </c>
      <c r="R279" s="9">
        <v>0</v>
      </c>
      <c r="S279" s="5">
        <v>0</v>
      </c>
      <c r="T279" s="5">
        <v>0</v>
      </c>
    </row>
    <row r="280" spans="1:20" x14ac:dyDescent="0.2">
      <c r="A280" s="5" t="s">
        <v>676</v>
      </c>
      <c r="B280" s="5" t="s">
        <v>75</v>
      </c>
      <c r="C280" s="8" t="s">
        <v>727</v>
      </c>
      <c r="D280" s="7">
        <f t="shared" si="1"/>
        <v>-0.1</v>
      </c>
      <c r="E280" s="5">
        <v>0</v>
      </c>
      <c r="F280" s="5">
        <v>0</v>
      </c>
      <c r="G280" s="5">
        <v>0</v>
      </c>
      <c r="H280" s="5">
        <v>0</v>
      </c>
      <c r="I280" s="5">
        <v>0</v>
      </c>
      <c r="J280" s="9">
        <v>0</v>
      </c>
      <c r="K280" s="5">
        <v>3</v>
      </c>
      <c r="L280" s="5">
        <v>-1</v>
      </c>
      <c r="M280" s="5">
        <v>0</v>
      </c>
      <c r="N280" s="9">
        <v>0</v>
      </c>
      <c r="O280" s="5">
        <v>0</v>
      </c>
      <c r="P280" s="5">
        <v>0</v>
      </c>
      <c r="Q280" s="5">
        <v>0</v>
      </c>
      <c r="R280" s="9">
        <v>0</v>
      </c>
      <c r="S280" s="5">
        <v>0</v>
      </c>
      <c r="T280" s="5">
        <v>0</v>
      </c>
    </row>
    <row r="281" spans="1:20" x14ac:dyDescent="0.2">
      <c r="A281" s="5" t="s">
        <v>431</v>
      </c>
      <c r="B281" s="5" t="s">
        <v>17</v>
      </c>
      <c r="C281" s="8" t="s">
        <v>734</v>
      </c>
      <c r="D281" s="7">
        <f t="shared" si="1"/>
        <v>-0.2</v>
      </c>
      <c r="E281" s="5">
        <v>0</v>
      </c>
      <c r="F281" s="5">
        <v>0</v>
      </c>
      <c r="G281" s="5">
        <v>0</v>
      </c>
      <c r="H281" s="5">
        <v>0</v>
      </c>
      <c r="I281" s="5">
        <v>0</v>
      </c>
      <c r="J281" s="9">
        <v>0</v>
      </c>
      <c r="K281" s="5">
        <v>2</v>
      </c>
      <c r="L281" s="5">
        <v>-2</v>
      </c>
      <c r="M281" s="5">
        <v>0</v>
      </c>
      <c r="N281" s="9">
        <v>0</v>
      </c>
      <c r="O281" s="5">
        <v>0</v>
      </c>
      <c r="P281" s="5">
        <v>0</v>
      </c>
      <c r="Q281" s="5">
        <v>0</v>
      </c>
      <c r="R281" s="9">
        <v>0</v>
      </c>
      <c r="S281" s="5">
        <v>0</v>
      </c>
      <c r="T281" s="5">
        <v>0</v>
      </c>
    </row>
    <row r="282" spans="1:20" x14ac:dyDescent="0.2">
      <c r="A282" s="5" t="s">
        <v>377</v>
      </c>
      <c r="B282" s="5" t="s">
        <v>162</v>
      </c>
      <c r="C282" s="8" t="s">
        <v>730</v>
      </c>
      <c r="D282" s="7">
        <f t="shared" si="1"/>
        <v>-2</v>
      </c>
      <c r="E282" s="5">
        <v>0</v>
      </c>
      <c r="F282" s="5">
        <v>0</v>
      </c>
      <c r="G282" s="5">
        <v>0</v>
      </c>
      <c r="H282" s="5">
        <v>0</v>
      </c>
      <c r="I282" s="5">
        <v>0</v>
      </c>
      <c r="J282" s="9">
        <v>0</v>
      </c>
      <c r="K282" s="5">
        <v>0</v>
      </c>
      <c r="L282" s="5">
        <v>0</v>
      </c>
      <c r="M282" s="5">
        <v>0</v>
      </c>
      <c r="N282" s="9">
        <v>0</v>
      </c>
      <c r="O282" s="5">
        <v>0</v>
      </c>
      <c r="P282" s="5">
        <v>0</v>
      </c>
      <c r="Q282" s="5">
        <v>0</v>
      </c>
      <c r="R282" s="9">
        <v>0</v>
      </c>
      <c r="S282" s="5">
        <v>1</v>
      </c>
      <c r="T282" s="5">
        <v>0</v>
      </c>
    </row>
    <row r="283" spans="1:20" x14ac:dyDescent="0.2">
      <c r="A283" s="5"/>
      <c r="B283" s="24"/>
      <c r="C283" s="10"/>
      <c r="D283" s="7"/>
      <c r="E283" s="8"/>
      <c r="F283" s="5"/>
      <c r="G283" s="5"/>
      <c r="H283" s="5"/>
      <c r="I283" s="5"/>
      <c r="J283" s="9"/>
      <c r="K283" s="8"/>
      <c r="L283" s="5"/>
      <c r="M283" s="5"/>
      <c r="N283" s="9"/>
      <c r="O283" s="8"/>
      <c r="P283" s="5"/>
      <c r="Q283" s="5"/>
      <c r="R283" s="9"/>
      <c r="S283" s="8"/>
      <c r="T283" s="9"/>
    </row>
    <row r="284" spans="1:20" x14ac:dyDescent="0.2">
      <c r="A284" s="5"/>
      <c r="B284" s="24"/>
      <c r="C284" s="17"/>
      <c r="D284" s="7"/>
      <c r="E284" s="8"/>
      <c r="F284" s="5"/>
      <c r="G284" s="5"/>
      <c r="H284" s="5"/>
      <c r="I284" s="5"/>
      <c r="J284" s="9"/>
      <c r="K284" s="8"/>
      <c r="L284" s="5"/>
      <c r="M284" s="5"/>
      <c r="N284" s="9"/>
      <c r="O284" s="8"/>
      <c r="P284" s="5"/>
      <c r="Q284" s="5"/>
      <c r="R284" s="9"/>
      <c r="S284" s="8"/>
      <c r="T284" s="9"/>
    </row>
    <row r="285" spans="1:20" x14ac:dyDescent="0.2">
      <c r="A285" s="5"/>
      <c r="B285" s="24"/>
      <c r="C285" s="10"/>
      <c r="D285" s="7"/>
      <c r="E285" s="8"/>
      <c r="F285" s="5"/>
      <c r="G285" s="5"/>
      <c r="H285" s="5"/>
      <c r="I285" s="5"/>
      <c r="J285" s="9"/>
      <c r="K285" s="8"/>
      <c r="L285" s="5"/>
      <c r="M285" s="5"/>
      <c r="N285" s="9"/>
      <c r="O285" s="8"/>
      <c r="P285" s="5"/>
      <c r="Q285" s="5"/>
      <c r="R285" s="9"/>
      <c r="S285" s="8"/>
      <c r="T285" s="9"/>
    </row>
    <row r="286" spans="1:20" x14ac:dyDescent="0.2">
      <c r="A286" s="5"/>
      <c r="B286" s="24"/>
      <c r="C286" s="17"/>
      <c r="D286" s="7"/>
      <c r="E286" s="8"/>
      <c r="F286" s="5"/>
      <c r="G286" s="5"/>
      <c r="H286" s="5"/>
      <c r="I286" s="5"/>
      <c r="J286" s="9"/>
      <c r="K286" s="8"/>
      <c r="L286" s="5"/>
      <c r="M286" s="5"/>
      <c r="N286" s="9"/>
      <c r="O286" s="8"/>
      <c r="P286" s="5"/>
      <c r="Q286" s="5"/>
      <c r="R286" s="9"/>
      <c r="S286" s="8"/>
      <c r="T286" s="9"/>
    </row>
    <row r="287" spans="1:20" x14ac:dyDescent="0.2">
      <c r="A287" s="5"/>
      <c r="B287" s="24"/>
      <c r="C287" s="17"/>
      <c r="D287" s="7"/>
      <c r="E287" s="8"/>
      <c r="F287" s="5"/>
      <c r="G287" s="5"/>
      <c r="H287" s="5"/>
      <c r="I287" s="5"/>
      <c r="J287" s="9"/>
      <c r="K287" s="8"/>
      <c r="L287" s="5"/>
      <c r="M287" s="5"/>
      <c r="N287" s="9"/>
      <c r="O287" s="8"/>
      <c r="P287" s="5"/>
      <c r="Q287" s="5"/>
      <c r="R287" s="9"/>
      <c r="S287" s="8"/>
      <c r="T287" s="9"/>
    </row>
    <row r="288" spans="1:20" x14ac:dyDescent="0.2">
      <c r="A288" s="5"/>
      <c r="B288" s="24"/>
      <c r="C288" s="17"/>
      <c r="D288" s="7"/>
      <c r="E288" s="8"/>
      <c r="F288" s="5"/>
      <c r="G288" s="5"/>
      <c r="H288" s="5"/>
      <c r="I288" s="5"/>
      <c r="J288" s="9"/>
      <c r="K288" s="8"/>
      <c r="L288" s="5"/>
      <c r="M288" s="5"/>
      <c r="N288" s="9"/>
      <c r="O288" s="8"/>
      <c r="P288" s="5"/>
      <c r="Q288" s="5"/>
      <c r="R288" s="9"/>
      <c r="S288" s="8"/>
      <c r="T288" s="9"/>
    </row>
    <row r="289" spans="1:20" x14ac:dyDescent="0.2">
      <c r="A289" s="5"/>
      <c r="B289" s="24"/>
      <c r="C289" s="10"/>
      <c r="D289" s="7"/>
      <c r="E289" s="8"/>
      <c r="F289" s="5"/>
      <c r="G289" s="5"/>
      <c r="H289" s="5"/>
      <c r="I289" s="5"/>
      <c r="J289" s="9"/>
      <c r="K289" s="8"/>
      <c r="L289" s="5"/>
      <c r="M289" s="5"/>
      <c r="N289" s="9"/>
      <c r="O289" s="8"/>
      <c r="P289" s="5"/>
      <c r="Q289" s="5"/>
      <c r="R289" s="9"/>
      <c r="S289" s="8"/>
      <c r="T289" s="9"/>
    </row>
    <row r="290" spans="1:20" x14ac:dyDescent="0.2">
      <c r="A290" s="5"/>
      <c r="B290" s="24"/>
      <c r="C290" s="17"/>
      <c r="D290" s="7"/>
      <c r="E290" s="8"/>
      <c r="F290" s="5"/>
      <c r="G290" s="5"/>
      <c r="H290" s="5"/>
      <c r="I290" s="5"/>
      <c r="J290" s="9"/>
      <c r="K290" s="8"/>
      <c r="L290" s="5"/>
      <c r="M290" s="5"/>
      <c r="N290" s="9"/>
      <c r="O290" s="8"/>
      <c r="P290" s="5"/>
      <c r="Q290" s="5"/>
      <c r="R290" s="9"/>
      <c r="S290" s="8"/>
      <c r="T290" s="9"/>
    </row>
    <row r="291" spans="1:20" x14ac:dyDescent="0.2">
      <c r="A291" s="5"/>
      <c r="B291" s="24"/>
      <c r="C291" s="10"/>
      <c r="D291" s="7"/>
      <c r="E291" s="8"/>
      <c r="F291" s="5"/>
      <c r="G291" s="5"/>
      <c r="H291" s="5"/>
      <c r="I291" s="5"/>
      <c r="J291" s="9"/>
      <c r="K291" s="8"/>
      <c r="L291" s="5"/>
      <c r="M291" s="5"/>
      <c r="N291" s="9"/>
      <c r="O291" s="8"/>
      <c r="P291" s="5"/>
      <c r="Q291" s="5"/>
      <c r="R291" s="9"/>
      <c r="S291" s="8"/>
      <c r="T291" s="9"/>
    </row>
    <row r="292" spans="1:20" x14ac:dyDescent="0.2">
      <c r="A292" s="5"/>
      <c r="B292" s="24"/>
      <c r="C292" s="10"/>
      <c r="D292" s="7"/>
      <c r="E292" s="8"/>
      <c r="F292" s="5"/>
      <c r="G292" s="5"/>
      <c r="H292" s="5"/>
      <c r="I292" s="5"/>
      <c r="J292" s="9"/>
      <c r="K292" s="8"/>
      <c r="L292" s="5"/>
      <c r="M292" s="5"/>
      <c r="N292" s="9"/>
      <c r="O292" s="8"/>
      <c r="P292" s="5"/>
      <c r="Q292" s="5"/>
      <c r="R292" s="9"/>
      <c r="S292" s="8"/>
      <c r="T292" s="9"/>
    </row>
    <row r="293" spans="1:20" x14ac:dyDescent="0.2">
      <c r="A293" s="5"/>
      <c r="B293" s="24"/>
      <c r="C293" s="10"/>
      <c r="D293" s="7"/>
      <c r="E293" s="8"/>
      <c r="F293" s="5"/>
      <c r="G293" s="5"/>
      <c r="H293" s="5"/>
      <c r="I293" s="5"/>
      <c r="J293" s="9"/>
      <c r="K293" s="8"/>
      <c r="L293" s="5"/>
      <c r="M293" s="5"/>
      <c r="N293" s="9"/>
      <c r="O293" s="8"/>
      <c r="P293" s="5"/>
      <c r="Q293" s="5"/>
      <c r="R293" s="9"/>
      <c r="S293" s="8"/>
      <c r="T293" s="9"/>
    </row>
    <row r="294" spans="1:20" x14ac:dyDescent="0.2">
      <c r="A294" s="5"/>
      <c r="B294" s="24"/>
      <c r="C294" s="10"/>
      <c r="D294" s="7"/>
      <c r="E294" s="8"/>
      <c r="F294" s="5"/>
      <c r="G294" s="5"/>
      <c r="H294" s="5"/>
      <c r="I294" s="5"/>
      <c r="J294" s="9"/>
      <c r="K294" s="8"/>
      <c r="L294" s="5"/>
      <c r="M294" s="5"/>
      <c r="N294" s="9"/>
      <c r="O294" s="8"/>
      <c r="P294" s="5"/>
      <c r="Q294" s="5"/>
      <c r="R294" s="9"/>
      <c r="S294" s="8"/>
      <c r="T294" s="9"/>
    </row>
    <row r="295" spans="1:20" x14ac:dyDescent="0.2">
      <c r="A295" s="5"/>
      <c r="B295" s="24"/>
      <c r="C295" s="10"/>
      <c r="D295" s="7"/>
      <c r="E295" s="8"/>
      <c r="F295" s="5"/>
      <c r="G295" s="5"/>
      <c r="H295" s="5"/>
      <c r="I295" s="5"/>
      <c r="J295" s="9"/>
      <c r="K295" s="8"/>
      <c r="L295" s="5"/>
      <c r="M295" s="5"/>
      <c r="N295" s="9"/>
      <c r="O295" s="8"/>
      <c r="P295" s="5"/>
      <c r="Q295" s="5"/>
      <c r="R295" s="9"/>
      <c r="S295" s="8"/>
      <c r="T295" s="9"/>
    </row>
    <row r="296" spans="1:20" x14ac:dyDescent="0.2">
      <c r="A296" s="5"/>
      <c r="B296" s="24"/>
      <c r="C296" s="17"/>
      <c r="D296" s="7"/>
      <c r="E296" s="8"/>
      <c r="F296" s="5"/>
      <c r="G296" s="5"/>
      <c r="H296" s="5"/>
      <c r="I296" s="5"/>
      <c r="J296" s="9"/>
      <c r="K296" s="8"/>
      <c r="L296" s="5"/>
      <c r="M296" s="5"/>
      <c r="N296" s="9"/>
      <c r="O296" s="8"/>
      <c r="P296" s="5"/>
      <c r="Q296" s="5"/>
      <c r="R296" s="9"/>
      <c r="S296" s="8"/>
      <c r="T296" s="9"/>
    </row>
    <row r="297" spans="1:20" x14ac:dyDescent="0.2">
      <c r="A297" s="5"/>
      <c r="B297" s="24"/>
      <c r="C297" s="17"/>
      <c r="D297" s="7"/>
      <c r="E297" s="8"/>
      <c r="F297" s="5"/>
      <c r="G297" s="5"/>
      <c r="H297" s="5"/>
      <c r="I297" s="5"/>
      <c r="J297" s="9"/>
      <c r="K297" s="8"/>
      <c r="L297" s="5"/>
      <c r="M297" s="5"/>
      <c r="N297" s="9"/>
      <c r="O297" s="8"/>
      <c r="P297" s="5"/>
      <c r="Q297" s="5"/>
      <c r="R297" s="9"/>
      <c r="S297" s="8"/>
      <c r="T297" s="9"/>
    </row>
    <row r="298" spans="1:20" x14ac:dyDescent="0.2">
      <c r="A298" s="5"/>
      <c r="B298" s="24"/>
      <c r="C298" s="10"/>
      <c r="D298" s="7"/>
      <c r="E298" s="8"/>
      <c r="F298" s="5"/>
      <c r="G298" s="5"/>
      <c r="H298" s="5"/>
      <c r="I298" s="5"/>
      <c r="J298" s="9"/>
      <c r="K298" s="8"/>
      <c r="L298" s="5"/>
      <c r="M298" s="5"/>
      <c r="N298" s="9"/>
      <c r="O298" s="8"/>
      <c r="P298" s="5"/>
      <c r="Q298" s="5"/>
      <c r="R298" s="9"/>
      <c r="S298" s="8"/>
      <c r="T298" s="9"/>
    </row>
    <row r="299" spans="1:20" x14ac:dyDescent="0.2">
      <c r="A299" s="5"/>
      <c r="B299" s="24"/>
      <c r="C299" s="17"/>
      <c r="D299" s="7"/>
      <c r="E299" s="8"/>
      <c r="F299" s="5"/>
      <c r="G299" s="5"/>
      <c r="H299" s="5"/>
      <c r="I299" s="5"/>
      <c r="J299" s="9"/>
      <c r="K299" s="8"/>
      <c r="L299" s="5"/>
      <c r="M299" s="5"/>
      <c r="N299" s="9"/>
      <c r="O299" s="8"/>
      <c r="P299" s="5"/>
      <c r="Q299" s="5"/>
      <c r="R299" s="9"/>
      <c r="S299" s="8"/>
      <c r="T299" s="9"/>
    </row>
    <row r="300" spans="1:20" x14ac:dyDescent="0.2">
      <c r="A300" s="5"/>
      <c r="B300" s="24"/>
      <c r="C300" s="10"/>
      <c r="D300" s="7"/>
      <c r="E300" s="8"/>
      <c r="F300" s="5"/>
      <c r="G300" s="5"/>
      <c r="H300" s="5"/>
      <c r="I300" s="5"/>
      <c r="J300" s="9"/>
      <c r="K300" s="8"/>
      <c r="L300" s="5"/>
      <c r="M300" s="5"/>
      <c r="N300" s="9"/>
      <c r="O300" s="8"/>
      <c r="P300" s="5"/>
      <c r="Q300" s="5"/>
      <c r="R300" s="9"/>
      <c r="S300" s="8"/>
      <c r="T300" s="9"/>
    </row>
    <row r="301" spans="1:20" x14ac:dyDescent="0.2">
      <c r="A301" s="5"/>
      <c r="B301" s="9"/>
      <c r="C301" s="10"/>
      <c r="D301" s="9"/>
      <c r="E301" s="8"/>
      <c r="F301" s="5"/>
      <c r="G301" s="5"/>
      <c r="H301" s="5"/>
      <c r="I301" s="5"/>
      <c r="J301" s="9"/>
      <c r="K301" s="8"/>
      <c r="L301" s="5"/>
      <c r="M301" s="5"/>
      <c r="N301" s="9"/>
      <c r="O301" s="8"/>
      <c r="P301" s="5"/>
      <c r="Q301" s="5"/>
      <c r="R301" s="9"/>
      <c r="S301" s="8"/>
      <c r="T301" s="9"/>
    </row>
    <row r="302" spans="1:20" x14ac:dyDescent="0.2">
      <c r="A302" s="5"/>
      <c r="B302" s="9"/>
      <c r="C302" s="10"/>
      <c r="D302" s="9"/>
      <c r="E302" s="8"/>
      <c r="F302" s="5"/>
      <c r="G302" s="5"/>
      <c r="H302" s="5"/>
      <c r="I302" s="5"/>
      <c r="J302" s="9"/>
      <c r="K302" s="8"/>
      <c r="L302" s="5"/>
      <c r="M302" s="5"/>
      <c r="N302" s="9"/>
      <c r="O302" s="8"/>
      <c r="P302" s="5"/>
      <c r="Q302" s="5"/>
      <c r="R302" s="9"/>
      <c r="S302" s="8"/>
      <c r="T302" s="9"/>
    </row>
    <row r="303" spans="1:20" x14ac:dyDescent="0.2">
      <c r="A303" s="5"/>
      <c r="B303" s="9"/>
      <c r="C303" s="10"/>
      <c r="D303" s="9"/>
      <c r="E303" s="8"/>
      <c r="F303" s="5"/>
      <c r="G303" s="5"/>
      <c r="H303" s="5"/>
      <c r="I303" s="5"/>
      <c r="J303" s="9"/>
      <c r="K303" s="8"/>
      <c r="L303" s="5"/>
      <c r="M303" s="5"/>
      <c r="N303" s="9"/>
      <c r="O303" s="8"/>
      <c r="P303" s="5"/>
      <c r="Q303" s="5"/>
      <c r="R303" s="9"/>
      <c r="S303" s="8"/>
      <c r="T303" s="9"/>
    </row>
    <row r="304" spans="1:20" x14ac:dyDescent="0.2">
      <c r="A304" s="5"/>
      <c r="B304" s="9"/>
      <c r="C304" s="10"/>
      <c r="D304" s="9"/>
      <c r="E304" s="8"/>
      <c r="F304" s="5"/>
      <c r="G304" s="5"/>
      <c r="H304" s="5"/>
      <c r="I304" s="5"/>
      <c r="J304" s="9"/>
      <c r="K304" s="8"/>
      <c r="L304" s="5"/>
      <c r="M304" s="5"/>
      <c r="N304" s="9"/>
      <c r="O304" s="8"/>
      <c r="P304" s="5"/>
      <c r="Q304" s="5"/>
      <c r="R304" s="9"/>
      <c r="S304" s="8"/>
      <c r="T304" s="9"/>
    </row>
    <row r="305" spans="1:20" x14ac:dyDescent="0.2">
      <c r="A305" s="5"/>
      <c r="B305" s="9"/>
      <c r="C305" s="10"/>
      <c r="D305" s="9"/>
      <c r="E305" s="8"/>
      <c r="F305" s="5"/>
      <c r="G305" s="5"/>
      <c r="H305" s="5"/>
      <c r="I305" s="5"/>
      <c r="J305" s="9"/>
      <c r="K305" s="8"/>
      <c r="L305" s="5"/>
      <c r="M305" s="5"/>
      <c r="N305" s="9"/>
      <c r="O305" s="8"/>
      <c r="P305" s="5"/>
      <c r="Q305" s="5"/>
      <c r="R305" s="9"/>
      <c r="S305" s="8"/>
      <c r="T305" s="9"/>
    </row>
    <row r="306" spans="1:20" x14ac:dyDescent="0.2">
      <c r="A306" s="5"/>
      <c r="B306" s="9"/>
      <c r="C306" s="10"/>
      <c r="D306" s="9"/>
      <c r="E306" s="8"/>
      <c r="F306" s="5"/>
      <c r="G306" s="5"/>
      <c r="H306" s="5"/>
      <c r="I306" s="5"/>
      <c r="J306" s="9"/>
      <c r="K306" s="8"/>
      <c r="L306" s="5"/>
      <c r="M306" s="5"/>
      <c r="N306" s="9"/>
      <c r="O306" s="8"/>
      <c r="P306" s="5"/>
      <c r="Q306" s="5"/>
      <c r="R306" s="9"/>
      <c r="S306" s="8"/>
      <c r="T306" s="9"/>
    </row>
    <row r="307" spans="1:20" x14ac:dyDescent="0.2">
      <c r="A307" s="5"/>
      <c r="B307" s="9"/>
      <c r="C307" s="10"/>
      <c r="D307" s="9"/>
      <c r="E307" s="8"/>
      <c r="F307" s="5"/>
      <c r="G307" s="5"/>
      <c r="H307" s="5"/>
      <c r="I307" s="5"/>
      <c r="J307" s="9"/>
      <c r="K307" s="8"/>
      <c r="L307" s="5"/>
      <c r="M307" s="5"/>
      <c r="N307" s="9"/>
      <c r="O307" s="8"/>
      <c r="P307" s="5"/>
      <c r="Q307" s="5"/>
      <c r="R307" s="9"/>
      <c r="S307" s="8"/>
      <c r="T307" s="9"/>
    </row>
    <row r="308" spans="1:20" x14ac:dyDescent="0.2">
      <c r="A308" s="5"/>
      <c r="B308" s="9"/>
      <c r="C308" s="10"/>
      <c r="D308" s="9"/>
      <c r="E308" s="8"/>
      <c r="F308" s="5"/>
      <c r="G308" s="5"/>
      <c r="H308" s="5"/>
      <c r="I308" s="5"/>
      <c r="J308" s="9"/>
      <c r="K308" s="8"/>
      <c r="L308" s="5"/>
      <c r="M308" s="5"/>
      <c r="N308" s="9"/>
      <c r="O308" s="8"/>
      <c r="P308" s="5"/>
      <c r="Q308" s="5"/>
      <c r="R308" s="9"/>
      <c r="S308" s="8"/>
      <c r="T308" s="9"/>
    </row>
    <row r="309" spans="1:20" x14ac:dyDescent="0.2">
      <c r="A309" s="5"/>
      <c r="B309" s="9"/>
      <c r="C309" s="10"/>
      <c r="D309" s="9"/>
      <c r="E309" s="8"/>
      <c r="F309" s="5"/>
      <c r="G309" s="5"/>
      <c r="H309" s="5"/>
      <c r="I309" s="5"/>
      <c r="J309" s="9"/>
      <c r="K309" s="8"/>
      <c r="L309" s="5"/>
      <c r="M309" s="5"/>
      <c r="N309" s="9"/>
      <c r="O309" s="8"/>
      <c r="P309" s="5"/>
      <c r="Q309" s="5"/>
      <c r="R309" s="9"/>
      <c r="S309" s="8"/>
      <c r="T309" s="9"/>
    </row>
    <row r="310" spans="1:20" x14ac:dyDescent="0.2">
      <c r="A310" s="5"/>
      <c r="B310" s="9"/>
      <c r="C310" s="10"/>
      <c r="D310" s="9"/>
      <c r="E310" s="8"/>
      <c r="F310" s="5"/>
      <c r="G310" s="5"/>
      <c r="H310" s="5"/>
      <c r="I310" s="5"/>
      <c r="J310" s="9"/>
      <c r="K310" s="8"/>
      <c r="L310" s="5"/>
      <c r="M310" s="5"/>
      <c r="N310" s="9"/>
      <c r="O310" s="8"/>
      <c r="P310" s="5"/>
      <c r="Q310" s="5"/>
      <c r="R310" s="9"/>
      <c r="S310" s="8"/>
      <c r="T310" s="9"/>
    </row>
  </sheetData>
  <autoFilter ref="A2:T300" xr:uid="{00000000-0009-0000-0000-00000D000000}">
    <sortState xmlns:xlrd2="http://schemas.microsoft.com/office/spreadsheetml/2017/richdata2" ref="A2:T300">
      <sortCondition descending="1" ref="D2:D300"/>
    </sortState>
  </autoFilter>
  <mergeCells count="4">
    <mergeCell ref="E1:J1"/>
    <mergeCell ref="K1:N1"/>
    <mergeCell ref="O1:R1"/>
    <mergeCell ref="S1:T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28515625" customWidth="1"/>
    <col min="4" max="4" width="6.42578125" customWidth="1"/>
    <col min="5" max="5" width="6.85546875" customWidth="1"/>
    <col min="6" max="6" width="7.140625" customWidth="1"/>
    <col min="7" max="7" width="6.28515625" customWidth="1"/>
    <col min="8" max="8" width="5.5703125" customWidth="1"/>
    <col min="9" max="9" width="5.42578125" customWidth="1"/>
    <col min="10" max="10" width="6" customWidth="1"/>
    <col min="11" max="11" width="6.85546875" customWidth="1"/>
    <col min="12" max="12" width="6.28515625" customWidth="1"/>
    <col min="13" max="13" width="5.5703125" customWidth="1"/>
    <col min="14" max="14" width="6" customWidth="1"/>
    <col min="15" max="15" width="7.85546875" customWidth="1"/>
    <col min="16" max="16" width="6.28515625" customWidth="1"/>
    <col min="17" max="17" width="5.5703125" customWidth="1"/>
    <col min="18" max="18" width="6" customWidth="1"/>
    <col min="19" max="19" width="7.28515625" customWidth="1"/>
    <col min="20" max="20" width="5.5703125" customWidth="1"/>
  </cols>
  <sheetData>
    <row r="1" spans="1:20" x14ac:dyDescent="0.2">
      <c r="A1" s="2"/>
      <c r="B1" s="21"/>
      <c r="C1" s="25"/>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6"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44</v>
      </c>
      <c r="B3" s="9" t="s">
        <v>17</v>
      </c>
      <c r="C3" s="5" t="s">
        <v>741</v>
      </c>
      <c r="D3" s="7">
        <f t="shared" ref="D3:D257" si="0">0.04*G3+4*H3-2*I3+2*J3+0.1*L3+6*M3+2*N3+1*O3+0.1*P3+6*Q3+2*R3-2*S3</f>
        <v>31.12</v>
      </c>
      <c r="E3" s="5">
        <v>34</v>
      </c>
      <c r="F3" s="5">
        <v>24</v>
      </c>
      <c r="G3" s="5">
        <v>278</v>
      </c>
      <c r="H3" s="5">
        <v>5</v>
      </c>
      <c r="I3" s="5">
        <v>0</v>
      </c>
      <c r="J3" s="9">
        <v>0</v>
      </c>
      <c r="K3" s="5">
        <v>0</v>
      </c>
      <c r="L3" s="5">
        <v>0</v>
      </c>
      <c r="M3" s="5">
        <v>0</v>
      </c>
      <c r="N3" s="9">
        <v>0</v>
      </c>
      <c r="O3" s="5">
        <v>0</v>
      </c>
      <c r="P3" s="5">
        <v>0</v>
      </c>
      <c r="Q3" s="5">
        <v>0</v>
      </c>
      <c r="R3" s="9">
        <v>0</v>
      </c>
      <c r="S3" s="5">
        <v>0</v>
      </c>
      <c r="T3" s="5">
        <v>0</v>
      </c>
    </row>
    <row r="4" spans="1:20" x14ac:dyDescent="0.2">
      <c r="A4" s="5" t="s">
        <v>37</v>
      </c>
      <c r="B4" s="9" t="s">
        <v>17</v>
      </c>
      <c r="C4" s="5" t="s">
        <v>742</v>
      </c>
      <c r="D4" s="7">
        <f t="shared" si="0"/>
        <v>29.040000000000003</v>
      </c>
      <c r="E4" s="5">
        <v>28</v>
      </c>
      <c r="F4" s="5">
        <v>22</v>
      </c>
      <c r="G4" s="5">
        <v>381</v>
      </c>
      <c r="H4" s="5">
        <v>4</v>
      </c>
      <c r="I4" s="5">
        <v>0</v>
      </c>
      <c r="J4" s="9">
        <v>0</v>
      </c>
      <c r="K4" s="5">
        <v>2</v>
      </c>
      <c r="L4" s="5">
        <v>-2</v>
      </c>
      <c r="M4" s="5">
        <v>0</v>
      </c>
      <c r="N4" s="9">
        <v>0</v>
      </c>
      <c r="O4" s="5">
        <v>0</v>
      </c>
      <c r="P4" s="5">
        <v>0</v>
      </c>
      <c r="Q4" s="5">
        <v>0</v>
      </c>
      <c r="R4" s="9">
        <v>0</v>
      </c>
      <c r="S4" s="5">
        <v>1</v>
      </c>
      <c r="T4" s="5">
        <v>0</v>
      </c>
    </row>
    <row r="5" spans="1:20" x14ac:dyDescent="0.2">
      <c r="A5" s="5" t="s">
        <v>476</v>
      </c>
      <c r="B5" s="9" t="s">
        <v>17</v>
      </c>
      <c r="C5" s="5" t="s">
        <v>743</v>
      </c>
      <c r="D5" s="7">
        <f t="shared" si="0"/>
        <v>25.92</v>
      </c>
      <c r="E5" s="5">
        <v>34</v>
      </c>
      <c r="F5" s="5">
        <v>20</v>
      </c>
      <c r="G5" s="5">
        <v>248</v>
      </c>
      <c r="H5" s="5">
        <v>4</v>
      </c>
      <c r="I5" s="5">
        <v>0</v>
      </c>
      <c r="J5" s="9">
        <v>0</v>
      </c>
      <c r="K5" s="5">
        <v>0</v>
      </c>
      <c r="L5" s="5">
        <v>0</v>
      </c>
      <c r="M5" s="5">
        <v>0</v>
      </c>
      <c r="N5" s="9">
        <v>0</v>
      </c>
      <c r="O5" s="5">
        <v>0</v>
      </c>
      <c r="P5" s="5">
        <v>0</v>
      </c>
      <c r="Q5" s="5">
        <v>0</v>
      </c>
      <c r="R5" s="9">
        <v>0</v>
      </c>
      <c r="S5" s="5">
        <v>0</v>
      </c>
      <c r="T5" s="5">
        <v>0</v>
      </c>
    </row>
    <row r="6" spans="1:20" x14ac:dyDescent="0.2">
      <c r="A6" s="5" t="s">
        <v>33</v>
      </c>
      <c r="B6" s="9" t="s">
        <v>17</v>
      </c>
      <c r="C6" s="5" t="s">
        <v>744</v>
      </c>
      <c r="D6" s="7">
        <f t="shared" si="0"/>
        <v>25.68</v>
      </c>
      <c r="E6" s="5">
        <v>25</v>
      </c>
      <c r="F6" s="5">
        <v>16</v>
      </c>
      <c r="G6" s="5">
        <v>242</v>
      </c>
      <c r="H6" s="5">
        <v>4</v>
      </c>
      <c r="I6" s="5">
        <v>0</v>
      </c>
      <c r="J6" s="9">
        <v>0</v>
      </c>
      <c r="K6" s="5">
        <v>0</v>
      </c>
      <c r="L6" s="5">
        <v>0</v>
      </c>
      <c r="M6" s="5">
        <v>0</v>
      </c>
      <c r="N6" s="9">
        <v>0</v>
      </c>
      <c r="O6" s="5">
        <v>0</v>
      </c>
      <c r="P6" s="5">
        <v>0</v>
      </c>
      <c r="Q6" s="5">
        <v>0</v>
      </c>
      <c r="R6" s="9">
        <v>0</v>
      </c>
      <c r="S6" s="5">
        <v>0</v>
      </c>
      <c r="T6" s="5">
        <v>0</v>
      </c>
    </row>
    <row r="7" spans="1:20" x14ac:dyDescent="0.2">
      <c r="A7" s="5" t="s">
        <v>41</v>
      </c>
      <c r="B7" s="9" t="s">
        <v>17</v>
      </c>
      <c r="C7" s="5" t="s">
        <v>745</v>
      </c>
      <c r="D7" s="7">
        <f t="shared" si="0"/>
        <v>20.32</v>
      </c>
      <c r="E7" s="5">
        <v>28</v>
      </c>
      <c r="F7" s="5">
        <v>23</v>
      </c>
      <c r="G7" s="5">
        <v>218</v>
      </c>
      <c r="H7" s="5">
        <v>3</v>
      </c>
      <c r="I7" s="5">
        <v>0</v>
      </c>
      <c r="J7" s="9">
        <v>0</v>
      </c>
      <c r="K7" s="5">
        <v>3</v>
      </c>
      <c r="L7" s="5">
        <v>-4</v>
      </c>
      <c r="M7" s="5">
        <v>0</v>
      </c>
      <c r="N7" s="9">
        <v>0</v>
      </c>
      <c r="O7" s="5">
        <v>0</v>
      </c>
      <c r="P7" s="5">
        <v>0</v>
      </c>
      <c r="Q7" s="5">
        <v>0</v>
      </c>
      <c r="R7" s="9">
        <v>0</v>
      </c>
      <c r="S7" s="5">
        <v>0</v>
      </c>
      <c r="T7" s="5">
        <v>0</v>
      </c>
    </row>
    <row r="8" spans="1:20" x14ac:dyDescent="0.2">
      <c r="A8" s="5" t="s">
        <v>70</v>
      </c>
      <c r="B8" s="9" t="s">
        <v>17</v>
      </c>
      <c r="C8" s="5" t="s">
        <v>746</v>
      </c>
      <c r="D8" s="7">
        <f t="shared" si="0"/>
        <v>20.6</v>
      </c>
      <c r="E8" s="5">
        <v>28</v>
      </c>
      <c r="F8" s="5">
        <v>18</v>
      </c>
      <c r="G8" s="5">
        <v>215</v>
      </c>
      <c r="H8" s="5">
        <v>3</v>
      </c>
      <c r="I8" s="5">
        <v>0</v>
      </c>
      <c r="J8" s="9">
        <v>0</v>
      </c>
      <c r="K8" s="5">
        <v>2</v>
      </c>
      <c r="L8" s="5">
        <v>0</v>
      </c>
      <c r="M8" s="5">
        <v>0</v>
      </c>
      <c r="N8" s="9">
        <v>0</v>
      </c>
      <c r="O8" s="5">
        <v>0</v>
      </c>
      <c r="P8" s="5">
        <v>0</v>
      </c>
      <c r="Q8" s="5">
        <v>0</v>
      </c>
      <c r="R8" s="9">
        <v>0</v>
      </c>
      <c r="S8" s="5">
        <v>0</v>
      </c>
      <c r="T8" s="5">
        <v>0</v>
      </c>
    </row>
    <row r="9" spans="1:20" x14ac:dyDescent="0.2">
      <c r="A9" s="5" t="s">
        <v>736</v>
      </c>
      <c r="B9" s="9" t="s">
        <v>17</v>
      </c>
      <c r="C9" s="5" t="s">
        <v>743</v>
      </c>
      <c r="D9" s="7">
        <f t="shared" si="0"/>
        <v>17.380000000000003</v>
      </c>
      <c r="E9" s="5">
        <v>32</v>
      </c>
      <c r="F9" s="5">
        <v>23</v>
      </c>
      <c r="G9" s="5">
        <v>257</v>
      </c>
      <c r="H9" s="5">
        <v>3</v>
      </c>
      <c r="I9" s="5">
        <v>1</v>
      </c>
      <c r="J9" s="9">
        <v>0</v>
      </c>
      <c r="K9" s="5">
        <v>2</v>
      </c>
      <c r="L9" s="5">
        <v>11</v>
      </c>
      <c r="M9" s="5">
        <v>0</v>
      </c>
      <c r="N9" s="9">
        <v>0</v>
      </c>
      <c r="O9" s="5">
        <v>0</v>
      </c>
      <c r="P9" s="5">
        <v>0</v>
      </c>
      <c r="Q9" s="5">
        <v>0</v>
      </c>
      <c r="R9" s="9">
        <v>0</v>
      </c>
      <c r="S9" s="5">
        <v>2</v>
      </c>
      <c r="T9" s="5">
        <v>0</v>
      </c>
    </row>
    <row r="10" spans="1:20" x14ac:dyDescent="0.2">
      <c r="A10" s="5" t="s">
        <v>65</v>
      </c>
      <c r="B10" s="9" t="s">
        <v>17</v>
      </c>
      <c r="C10" s="5" t="s">
        <v>747</v>
      </c>
      <c r="D10" s="7">
        <f t="shared" si="0"/>
        <v>18.96</v>
      </c>
      <c r="E10" s="5">
        <v>42</v>
      </c>
      <c r="F10" s="5">
        <v>29</v>
      </c>
      <c r="G10" s="5">
        <v>324</v>
      </c>
      <c r="H10" s="5">
        <v>2</v>
      </c>
      <c r="I10" s="5">
        <v>1</v>
      </c>
      <c r="J10" s="9">
        <v>0</v>
      </c>
      <c r="K10" s="5">
        <v>4</v>
      </c>
      <c r="L10" s="5">
        <v>0</v>
      </c>
      <c r="M10" s="5">
        <v>0</v>
      </c>
      <c r="N10" s="9">
        <v>0</v>
      </c>
      <c r="O10" s="5">
        <v>0</v>
      </c>
      <c r="P10" s="5">
        <v>0</v>
      </c>
      <c r="Q10" s="5">
        <v>0</v>
      </c>
      <c r="R10" s="9">
        <v>0</v>
      </c>
      <c r="S10" s="5">
        <v>0</v>
      </c>
      <c r="T10" s="5">
        <v>0</v>
      </c>
    </row>
    <row r="11" spans="1:20" x14ac:dyDescent="0.2">
      <c r="A11" s="5" t="s">
        <v>21</v>
      </c>
      <c r="B11" s="9" t="s">
        <v>17</v>
      </c>
      <c r="C11" s="5" t="s">
        <v>742</v>
      </c>
      <c r="D11" s="7">
        <f t="shared" si="0"/>
        <v>17.46</v>
      </c>
      <c r="E11" s="5">
        <v>39</v>
      </c>
      <c r="F11" s="5">
        <v>29</v>
      </c>
      <c r="G11" s="5">
        <v>284</v>
      </c>
      <c r="H11" s="5">
        <v>2</v>
      </c>
      <c r="I11" s="5">
        <v>0</v>
      </c>
      <c r="J11" s="9">
        <v>0</v>
      </c>
      <c r="K11" s="5">
        <v>2</v>
      </c>
      <c r="L11" s="5">
        <v>1</v>
      </c>
      <c r="M11" s="5">
        <v>0</v>
      </c>
      <c r="N11" s="9">
        <v>0</v>
      </c>
      <c r="O11" s="5">
        <v>0</v>
      </c>
      <c r="P11" s="5">
        <v>0</v>
      </c>
      <c r="Q11" s="5">
        <v>0</v>
      </c>
      <c r="R11" s="9">
        <v>0</v>
      </c>
      <c r="S11" s="5">
        <v>1</v>
      </c>
      <c r="T11" s="5">
        <v>0</v>
      </c>
    </row>
    <row r="12" spans="1:20" x14ac:dyDescent="0.2">
      <c r="A12" s="5" t="s">
        <v>46</v>
      </c>
      <c r="B12" s="9" t="s">
        <v>17</v>
      </c>
      <c r="C12" s="5" t="s">
        <v>748</v>
      </c>
      <c r="D12" s="7">
        <f t="shared" si="0"/>
        <v>18.52</v>
      </c>
      <c r="E12" s="5">
        <v>33</v>
      </c>
      <c r="F12" s="5">
        <v>25</v>
      </c>
      <c r="G12" s="5">
        <v>258</v>
      </c>
      <c r="H12" s="5">
        <v>2</v>
      </c>
      <c r="I12" s="5">
        <v>0</v>
      </c>
      <c r="J12" s="9">
        <v>0</v>
      </c>
      <c r="K12" s="5">
        <v>1</v>
      </c>
      <c r="L12" s="5">
        <v>2</v>
      </c>
      <c r="M12" s="5">
        <v>0</v>
      </c>
      <c r="N12" s="9">
        <v>0</v>
      </c>
      <c r="O12" s="5">
        <v>0</v>
      </c>
      <c r="P12" s="5">
        <v>0</v>
      </c>
      <c r="Q12" s="5">
        <v>0</v>
      </c>
      <c r="R12" s="9">
        <v>0</v>
      </c>
      <c r="S12" s="5">
        <v>0</v>
      </c>
      <c r="T12" s="5">
        <v>0</v>
      </c>
    </row>
    <row r="13" spans="1:20" x14ac:dyDescent="0.2">
      <c r="A13" s="5" t="s">
        <v>45</v>
      </c>
      <c r="B13" s="9" t="s">
        <v>17</v>
      </c>
      <c r="C13" s="5" t="s">
        <v>749</v>
      </c>
      <c r="D13" s="7">
        <f t="shared" si="0"/>
        <v>21.92</v>
      </c>
      <c r="E13" s="5">
        <v>31</v>
      </c>
      <c r="F13" s="5">
        <v>17</v>
      </c>
      <c r="G13" s="5">
        <v>143</v>
      </c>
      <c r="H13" s="5">
        <v>0</v>
      </c>
      <c r="I13" s="5">
        <v>2</v>
      </c>
      <c r="J13" s="9">
        <v>0</v>
      </c>
      <c r="K13" s="5">
        <v>13</v>
      </c>
      <c r="L13" s="5">
        <v>82</v>
      </c>
      <c r="M13" s="5">
        <v>2</v>
      </c>
      <c r="N13" s="9">
        <v>0</v>
      </c>
      <c r="O13" s="5">
        <v>0</v>
      </c>
      <c r="P13" s="5">
        <v>0</v>
      </c>
      <c r="Q13" s="5">
        <v>0</v>
      </c>
      <c r="R13" s="9">
        <v>0</v>
      </c>
      <c r="S13" s="5">
        <v>0</v>
      </c>
      <c r="T13" s="5">
        <v>0</v>
      </c>
    </row>
    <row r="14" spans="1:20" x14ac:dyDescent="0.2">
      <c r="A14" s="5" t="s">
        <v>738</v>
      </c>
      <c r="B14" s="9" t="s">
        <v>17</v>
      </c>
      <c r="C14" s="5" t="s">
        <v>747</v>
      </c>
      <c r="D14" s="7">
        <f t="shared" si="0"/>
        <v>17.12</v>
      </c>
      <c r="E14" s="5">
        <v>33</v>
      </c>
      <c r="F14" s="5">
        <v>26</v>
      </c>
      <c r="G14" s="5">
        <v>303</v>
      </c>
      <c r="H14" s="5">
        <v>2</v>
      </c>
      <c r="I14" s="5">
        <v>2</v>
      </c>
      <c r="J14" s="9">
        <v>0</v>
      </c>
      <c r="K14" s="5">
        <v>6</v>
      </c>
      <c r="L14" s="5">
        <v>10</v>
      </c>
      <c r="M14" s="5">
        <v>0</v>
      </c>
      <c r="N14" s="9">
        <v>0</v>
      </c>
      <c r="O14" s="5">
        <v>0</v>
      </c>
      <c r="P14" s="5">
        <v>0</v>
      </c>
      <c r="Q14" s="5">
        <v>0</v>
      </c>
      <c r="R14" s="9">
        <v>0</v>
      </c>
      <c r="S14" s="5">
        <v>0</v>
      </c>
      <c r="T14" s="5">
        <v>0</v>
      </c>
    </row>
    <row r="15" spans="1:20" x14ac:dyDescent="0.2">
      <c r="A15" s="5" t="s">
        <v>713</v>
      </c>
      <c r="B15" s="9" t="s">
        <v>17</v>
      </c>
      <c r="C15" s="5" t="s">
        <v>750</v>
      </c>
      <c r="D15" s="7">
        <f t="shared" si="0"/>
        <v>16.86</v>
      </c>
      <c r="E15" s="5">
        <v>44</v>
      </c>
      <c r="F15" s="5">
        <v>28</v>
      </c>
      <c r="G15" s="5">
        <v>374</v>
      </c>
      <c r="H15" s="5">
        <v>2</v>
      </c>
      <c r="I15" s="5">
        <v>3</v>
      </c>
      <c r="J15" s="9">
        <v>0</v>
      </c>
      <c r="K15" s="5">
        <v>1</v>
      </c>
      <c r="L15" s="5">
        <v>-1</v>
      </c>
      <c r="M15" s="5">
        <v>0</v>
      </c>
      <c r="N15" s="9">
        <v>0</v>
      </c>
      <c r="O15" s="5">
        <v>0</v>
      </c>
      <c r="P15" s="5">
        <v>0</v>
      </c>
      <c r="Q15" s="5">
        <v>0</v>
      </c>
      <c r="R15" s="9">
        <v>0</v>
      </c>
      <c r="S15" s="5">
        <v>0</v>
      </c>
      <c r="T15" s="5">
        <v>0</v>
      </c>
    </row>
    <row r="16" spans="1:20" x14ac:dyDescent="0.2">
      <c r="A16" s="5" t="s">
        <v>23</v>
      </c>
      <c r="B16" s="9" t="s">
        <v>17</v>
      </c>
      <c r="C16" s="5" t="s">
        <v>751</v>
      </c>
      <c r="D16" s="7">
        <f t="shared" si="0"/>
        <v>15.700000000000003</v>
      </c>
      <c r="E16" s="5">
        <v>37</v>
      </c>
      <c r="F16" s="5">
        <v>27</v>
      </c>
      <c r="G16" s="5">
        <v>305</v>
      </c>
      <c r="H16" s="5">
        <v>2</v>
      </c>
      <c r="I16" s="5">
        <v>2</v>
      </c>
      <c r="J16" s="9">
        <v>0</v>
      </c>
      <c r="K16" s="5">
        <v>3</v>
      </c>
      <c r="L16" s="5">
        <v>-5</v>
      </c>
      <c r="M16" s="5">
        <v>0</v>
      </c>
      <c r="N16" s="9">
        <v>0</v>
      </c>
      <c r="O16" s="5">
        <v>0</v>
      </c>
      <c r="P16" s="5">
        <v>0</v>
      </c>
      <c r="Q16" s="5">
        <v>0</v>
      </c>
      <c r="R16" s="9">
        <v>0</v>
      </c>
      <c r="S16" s="5">
        <v>0</v>
      </c>
      <c r="T16" s="5">
        <v>0</v>
      </c>
    </row>
    <row r="17" spans="1:20" x14ac:dyDescent="0.2">
      <c r="A17" s="5" t="s">
        <v>58</v>
      </c>
      <c r="B17" s="9" t="s">
        <v>17</v>
      </c>
      <c r="C17" s="5" t="s">
        <v>752</v>
      </c>
      <c r="D17" s="7">
        <f t="shared" si="0"/>
        <v>18.54</v>
      </c>
      <c r="E17" s="5">
        <v>24</v>
      </c>
      <c r="F17" s="5">
        <v>14</v>
      </c>
      <c r="G17" s="5">
        <v>171</v>
      </c>
      <c r="H17" s="5">
        <v>1</v>
      </c>
      <c r="I17" s="5">
        <v>1</v>
      </c>
      <c r="J17" s="9">
        <v>0</v>
      </c>
      <c r="K17" s="5">
        <v>12</v>
      </c>
      <c r="L17" s="5">
        <v>97</v>
      </c>
      <c r="M17" s="5">
        <v>0</v>
      </c>
      <c r="N17" s="9">
        <v>0</v>
      </c>
      <c r="O17" s="5">
        <v>0</v>
      </c>
      <c r="P17" s="5">
        <v>0</v>
      </c>
      <c r="Q17" s="5">
        <v>0</v>
      </c>
      <c r="R17" s="9">
        <v>0</v>
      </c>
      <c r="S17" s="5">
        <v>0</v>
      </c>
      <c r="T17" s="5">
        <v>0</v>
      </c>
    </row>
    <row r="18" spans="1:20" x14ac:dyDescent="0.2">
      <c r="A18" s="5" t="s">
        <v>38</v>
      </c>
      <c r="B18" s="9" t="s">
        <v>17</v>
      </c>
      <c r="C18" s="5" t="s">
        <v>741</v>
      </c>
      <c r="D18" s="7">
        <f t="shared" si="0"/>
        <v>17.52</v>
      </c>
      <c r="E18" s="5">
        <v>32</v>
      </c>
      <c r="F18" s="5">
        <v>18</v>
      </c>
      <c r="G18" s="5">
        <v>223</v>
      </c>
      <c r="H18" s="5">
        <v>1</v>
      </c>
      <c r="I18" s="5">
        <v>0</v>
      </c>
      <c r="J18" s="9">
        <v>0</v>
      </c>
      <c r="K18" s="5">
        <v>7</v>
      </c>
      <c r="L18" s="5">
        <v>6</v>
      </c>
      <c r="M18" s="5">
        <v>1</v>
      </c>
      <c r="N18" s="9">
        <v>0</v>
      </c>
      <c r="O18" s="5">
        <v>0</v>
      </c>
      <c r="P18" s="5">
        <v>0</v>
      </c>
      <c r="Q18" s="5">
        <v>0</v>
      </c>
      <c r="R18" s="9">
        <v>0</v>
      </c>
      <c r="S18" s="5">
        <v>1</v>
      </c>
      <c r="T18" s="5">
        <v>0</v>
      </c>
    </row>
    <row r="19" spans="1:20" x14ac:dyDescent="0.2">
      <c r="A19" s="5" t="s">
        <v>32</v>
      </c>
      <c r="B19" s="9" t="s">
        <v>17</v>
      </c>
      <c r="C19" s="5" t="s">
        <v>752</v>
      </c>
      <c r="D19" s="7">
        <f t="shared" si="0"/>
        <v>14.66</v>
      </c>
      <c r="E19" s="5">
        <v>43</v>
      </c>
      <c r="F19" s="5">
        <v>25</v>
      </c>
      <c r="G19" s="5">
        <v>264</v>
      </c>
      <c r="H19" s="5">
        <v>1</v>
      </c>
      <c r="I19" s="5">
        <v>0</v>
      </c>
      <c r="J19" s="9">
        <v>0</v>
      </c>
      <c r="K19" s="5">
        <v>4</v>
      </c>
      <c r="L19" s="5">
        <v>41</v>
      </c>
      <c r="M19" s="5">
        <v>0</v>
      </c>
      <c r="N19" s="9">
        <v>0</v>
      </c>
      <c r="O19" s="5">
        <v>0</v>
      </c>
      <c r="P19" s="5">
        <v>0</v>
      </c>
      <c r="Q19" s="5">
        <v>0</v>
      </c>
      <c r="R19" s="9">
        <v>0</v>
      </c>
      <c r="S19" s="5">
        <v>2</v>
      </c>
      <c r="T19" s="5">
        <v>0</v>
      </c>
    </row>
    <row r="20" spans="1:20" x14ac:dyDescent="0.2">
      <c r="A20" s="5" t="s">
        <v>48</v>
      </c>
      <c r="B20" s="9" t="s">
        <v>17</v>
      </c>
      <c r="C20" s="5" t="s">
        <v>753</v>
      </c>
      <c r="D20" s="7">
        <f t="shared" si="0"/>
        <v>16.16</v>
      </c>
      <c r="E20" s="5">
        <v>15</v>
      </c>
      <c r="F20" s="5">
        <v>7</v>
      </c>
      <c r="G20" s="5">
        <v>94</v>
      </c>
      <c r="H20" s="5">
        <v>1</v>
      </c>
      <c r="I20" s="5">
        <v>0</v>
      </c>
      <c r="J20" s="9">
        <v>0</v>
      </c>
      <c r="K20" s="5">
        <v>8</v>
      </c>
      <c r="L20" s="5">
        <v>24</v>
      </c>
      <c r="M20" s="5">
        <v>1</v>
      </c>
      <c r="N20" s="9">
        <v>0</v>
      </c>
      <c r="O20" s="5">
        <v>0</v>
      </c>
      <c r="P20" s="5">
        <v>0</v>
      </c>
      <c r="Q20" s="5">
        <v>0</v>
      </c>
      <c r="R20" s="9">
        <v>0</v>
      </c>
      <c r="S20" s="5">
        <v>0</v>
      </c>
      <c r="T20" s="5">
        <v>0</v>
      </c>
    </row>
    <row r="21" spans="1:20" x14ac:dyDescent="0.2">
      <c r="A21" s="5" t="s">
        <v>754</v>
      </c>
      <c r="B21" s="9" t="s">
        <v>17</v>
      </c>
      <c r="C21" s="5" t="s">
        <v>748</v>
      </c>
      <c r="D21" s="7">
        <f t="shared" si="0"/>
        <v>13.860000000000001</v>
      </c>
      <c r="E21" s="5">
        <v>10</v>
      </c>
      <c r="F21" s="5">
        <v>8</v>
      </c>
      <c r="G21" s="5">
        <v>124</v>
      </c>
      <c r="H21" s="5">
        <v>2</v>
      </c>
      <c r="I21" s="5">
        <v>0</v>
      </c>
      <c r="J21" s="9">
        <v>0</v>
      </c>
      <c r="K21" s="5">
        <v>2</v>
      </c>
      <c r="L21" s="5">
        <v>9</v>
      </c>
      <c r="M21" s="5">
        <v>0</v>
      </c>
      <c r="N21" s="9">
        <v>0</v>
      </c>
      <c r="O21" s="5">
        <v>0</v>
      </c>
      <c r="P21" s="5">
        <v>0</v>
      </c>
      <c r="Q21" s="5">
        <v>0</v>
      </c>
      <c r="R21" s="9">
        <v>0</v>
      </c>
      <c r="S21" s="5">
        <v>0</v>
      </c>
      <c r="T21" s="5">
        <v>0</v>
      </c>
    </row>
    <row r="22" spans="1:20" x14ac:dyDescent="0.2">
      <c r="A22" s="5" t="s">
        <v>480</v>
      </c>
      <c r="B22" s="9" t="s">
        <v>17</v>
      </c>
      <c r="C22" s="5" t="s">
        <v>749</v>
      </c>
      <c r="D22" s="7">
        <f t="shared" si="0"/>
        <v>12.120000000000001</v>
      </c>
      <c r="E22" s="5">
        <v>33</v>
      </c>
      <c r="F22" s="5">
        <v>22</v>
      </c>
      <c r="G22" s="5">
        <v>208</v>
      </c>
      <c r="H22" s="5">
        <v>1</v>
      </c>
      <c r="I22" s="5">
        <v>0</v>
      </c>
      <c r="J22" s="9">
        <v>0</v>
      </c>
      <c r="K22" s="5">
        <v>1</v>
      </c>
      <c r="L22" s="5">
        <v>-2</v>
      </c>
      <c r="M22" s="5">
        <v>0</v>
      </c>
      <c r="N22" s="9">
        <v>0</v>
      </c>
      <c r="O22" s="5">
        <v>0</v>
      </c>
      <c r="P22" s="5">
        <v>0</v>
      </c>
      <c r="Q22" s="5">
        <v>0</v>
      </c>
      <c r="R22" s="9">
        <v>0</v>
      </c>
      <c r="S22" s="5">
        <v>0</v>
      </c>
      <c r="T22" s="5">
        <v>0</v>
      </c>
    </row>
    <row r="23" spans="1:20" x14ac:dyDescent="0.2">
      <c r="A23" s="5" t="s">
        <v>642</v>
      </c>
      <c r="B23" s="9" t="s">
        <v>17</v>
      </c>
      <c r="C23" s="5" t="s">
        <v>744</v>
      </c>
      <c r="D23" s="7">
        <f t="shared" si="0"/>
        <v>13.34</v>
      </c>
      <c r="E23" s="5">
        <v>39</v>
      </c>
      <c r="F23" s="5">
        <v>26</v>
      </c>
      <c r="G23" s="5">
        <v>211</v>
      </c>
      <c r="H23" s="5">
        <v>1</v>
      </c>
      <c r="I23" s="5">
        <v>2</v>
      </c>
      <c r="J23" s="9">
        <v>0</v>
      </c>
      <c r="K23" s="5">
        <v>6</v>
      </c>
      <c r="L23" s="5">
        <v>49</v>
      </c>
      <c r="M23" s="5">
        <v>0</v>
      </c>
      <c r="N23" s="9">
        <v>0</v>
      </c>
      <c r="O23" s="5">
        <v>0</v>
      </c>
      <c r="P23" s="5">
        <v>0</v>
      </c>
      <c r="Q23" s="5">
        <v>0</v>
      </c>
      <c r="R23" s="9">
        <v>0</v>
      </c>
      <c r="S23" s="5">
        <v>0</v>
      </c>
      <c r="T23" s="5">
        <v>0</v>
      </c>
    </row>
    <row r="24" spans="1:20" x14ac:dyDescent="0.2">
      <c r="A24" s="5" t="s">
        <v>16</v>
      </c>
      <c r="B24" s="9" t="s">
        <v>17</v>
      </c>
      <c r="C24" s="5" t="s">
        <v>755</v>
      </c>
      <c r="D24" s="7">
        <f t="shared" si="0"/>
        <v>12.96</v>
      </c>
      <c r="E24" s="5">
        <v>24</v>
      </c>
      <c r="F24" s="5">
        <v>21</v>
      </c>
      <c r="G24" s="5">
        <v>224</v>
      </c>
      <c r="H24" s="5">
        <v>1</v>
      </c>
      <c r="I24" s="5">
        <v>0</v>
      </c>
      <c r="J24" s="9">
        <v>0</v>
      </c>
      <c r="K24" s="5">
        <v>0</v>
      </c>
      <c r="L24" s="5">
        <v>0</v>
      </c>
      <c r="M24" s="5">
        <v>0</v>
      </c>
      <c r="N24" s="9">
        <v>0</v>
      </c>
      <c r="O24" s="5">
        <v>0</v>
      </c>
      <c r="P24" s="5">
        <v>0</v>
      </c>
      <c r="Q24" s="5">
        <v>0</v>
      </c>
      <c r="R24" s="9">
        <v>0</v>
      </c>
      <c r="S24" s="5">
        <v>0</v>
      </c>
      <c r="T24" s="5">
        <v>0</v>
      </c>
    </row>
    <row r="25" spans="1:20" x14ac:dyDescent="0.2">
      <c r="A25" s="5" t="s">
        <v>498</v>
      </c>
      <c r="B25" s="9" t="s">
        <v>17</v>
      </c>
      <c r="C25" s="5" t="s">
        <v>746</v>
      </c>
      <c r="D25" s="7">
        <f t="shared" si="0"/>
        <v>12.86</v>
      </c>
      <c r="E25" s="5">
        <v>23</v>
      </c>
      <c r="F25" s="5">
        <v>16</v>
      </c>
      <c r="G25" s="5">
        <v>169</v>
      </c>
      <c r="H25" s="5">
        <v>1</v>
      </c>
      <c r="I25" s="5">
        <v>2</v>
      </c>
      <c r="J25" s="9">
        <v>0</v>
      </c>
      <c r="K25" s="5">
        <v>2</v>
      </c>
      <c r="L25" s="5">
        <v>1</v>
      </c>
      <c r="M25" s="5">
        <v>1</v>
      </c>
      <c r="N25" s="9">
        <v>0</v>
      </c>
      <c r="O25" s="5">
        <v>0</v>
      </c>
      <c r="P25" s="5">
        <v>0</v>
      </c>
      <c r="Q25" s="5">
        <v>0</v>
      </c>
      <c r="R25" s="9">
        <v>0</v>
      </c>
      <c r="S25" s="5">
        <v>0</v>
      </c>
      <c r="T25" s="5">
        <v>0</v>
      </c>
    </row>
    <row r="26" spans="1:20" x14ac:dyDescent="0.2">
      <c r="A26" s="5" t="s">
        <v>756</v>
      </c>
      <c r="B26" s="9" t="s">
        <v>17</v>
      </c>
      <c r="C26" s="5" t="s">
        <v>757</v>
      </c>
      <c r="D26" s="7">
        <f t="shared" si="0"/>
        <v>11.26</v>
      </c>
      <c r="E26" s="5">
        <v>36</v>
      </c>
      <c r="F26" s="5">
        <v>23</v>
      </c>
      <c r="G26" s="5">
        <v>229</v>
      </c>
      <c r="H26" s="5">
        <v>1</v>
      </c>
      <c r="I26" s="5">
        <v>1</v>
      </c>
      <c r="J26" s="9">
        <v>0</v>
      </c>
      <c r="K26" s="5">
        <v>2</v>
      </c>
      <c r="L26" s="5">
        <v>1</v>
      </c>
      <c r="M26" s="5">
        <v>0</v>
      </c>
      <c r="N26" s="9">
        <v>0</v>
      </c>
      <c r="O26" s="5">
        <v>0</v>
      </c>
      <c r="P26" s="5">
        <v>0</v>
      </c>
      <c r="Q26" s="5">
        <v>0</v>
      </c>
      <c r="R26" s="9">
        <v>0</v>
      </c>
      <c r="S26" s="5">
        <v>0</v>
      </c>
      <c r="T26" s="5">
        <v>0</v>
      </c>
    </row>
    <row r="27" spans="1:20" x14ac:dyDescent="0.2">
      <c r="A27" s="5" t="s">
        <v>594</v>
      </c>
      <c r="B27" s="9" t="s">
        <v>17</v>
      </c>
      <c r="C27" s="5" t="s">
        <v>757</v>
      </c>
      <c r="D27" s="7">
        <f t="shared" si="0"/>
        <v>14.46</v>
      </c>
      <c r="E27" s="5">
        <v>26</v>
      </c>
      <c r="F27" s="5">
        <v>17</v>
      </c>
      <c r="G27" s="5">
        <v>199</v>
      </c>
      <c r="H27" s="5">
        <v>0</v>
      </c>
      <c r="I27" s="5">
        <v>1</v>
      </c>
      <c r="J27" s="9">
        <v>0</v>
      </c>
      <c r="K27" s="5">
        <v>4</v>
      </c>
      <c r="L27" s="5">
        <v>25</v>
      </c>
      <c r="M27" s="5">
        <v>1</v>
      </c>
      <c r="N27" s="9">
        <v>0</v>
      </c>
      <c r="O27" s="5">
        <v>0</v>
      </c>
      <c r="P27" s="5">
        <v>0</v>
      </c>
      <c r="Q27" s="5">
        <v>0</v>
      </c>
      <c r="R27" s="9">
        <v>0</v>
      </c>
      <c r="S27" s="5">
        <v>0</v>
      </c>
      <c r="T27" s="5">
        <v>0</v>
      </c>
    </row>
    <row r="28" spans="1:20" x14ac:dyDescent="0.2">
      <c r="A28" s="5" t="s">
        <v>43</v>
      </c>
      <c r="B28" s="9" t="s">
        <v>17</v>
      </c>
      <c r="C28" s="5" t="s">
        <v>750</v>
      </c>
      <c r="D28" s="7">
        <f t="shared" si="0"/>
        <v>9.64</v>
      </c>
      <c r="E28" s="5">
        <v>40</v>
      </c>
      <c r="F28" s="5">
        <v>19</v>
      </c>
      <c r="G28" s="5">
        <v>166</v>
      </c>
      <c r="H28" s="5">
        <v>1</v>
      </c>
      <c r="I28" s="5">
        <v>2</v>
      </c>
      <c r="J28" s="9">
        <v>0</v>
      </c>
      <c r="K28" s="5">
        <v>7</v>
      </c>
      <c r="L28" s="5">
        <v>30</v>
      </c>
      <c r="M28" s="5">
        <v>0</v>
      </c>
      <c r="N28" s="9">
        <v>0</v>
      </c>
      <c r="O28" s="5">
        <v>0</v>
      </c>
      <c r="P28" s="5">
        <v>0</v>
      </c>
      <c r="Q28" s="5">
        <v>0</v>
      </c>
      <c r="R28" s="9">
        <v>0</v>
      </c>
      <c r="S28" s="5">
        <v>0</v>
      </c>
      <c r="T28" s="5">
        <v>0</v>
      </c>
    </row>
    <row r="29" spans="1:20" x14ac:dyDescent="0.2">
      <c r="A29" s="5" t="s">
        <v>488</v>
      </c>
      <c r="B29" s="9" t="s">
        <v>17</v>
      </c>
      <c r="C29" s="5" t="s">
        <v>751</v>
      </c>
      <c r="D29" s="7">
        <f t="shared" si="0"/>
        <v>9.3999999999999986</v>
      </c>
      <c r="E29" s="5">
        <v>31</v>
      </c>
      <c r="F29" s="5">
        <v>23</v>
      </c>
      <c r="G29" s="5">
        <v>180</v>
      </c>
      <c r="H29" s="5">
        <v>1</v>
      </c>
      <c r="I29" s="5">
        <v>1</v>
      </c>
      <c r="J29" s="9">
        <v>0</v>
      </c>
      <c r="K29" s="5">
        <v>1</v>
      </c>
      <c r="L29" s="5">
        <v>2</v>
      </c>
      <c r="M29" s="5">
        <v>0</v>
      </c>
      <c r="N29" s="9">
        <v>0</v>
      </c>
      <c r="O29" s="5">
        <v>0</v>
      </c>
      <c r="P29" s="5">
        <v>0</v>
      </c>
      <c r="Q29" s="5">
        <v>0</v>
      </c>
      <c r="R29" s="9">
        <v>0</v>
      </c>
      <c r="S29" s="5">
        <v>0</v>
      </c>
      <c r="T29" s="5">
        <v>0</v>
      </c>
    </row>
    <row r="30" spans="1:20" x14ac:dyDescent="0.2">
      <c r="A30" s="5" t="s">
        <v>605</v>
      </c>
      <c r="B30" s="9" t="s">
        <v>17</v>
      </c>
      <c r="C30" s="5" t="s">
        <v>745</v>
      </c>
      <c r="D30" s="7">
        <f t="shared" si="0"/>
        <v>10.68</v>
      </c>
      <c r="E30" s="5">
        <v>34</v>
      </c>
      <c r="F30" s="5">
        <v>20</v>
      </c>
      <c r="G30" s="5">
        <v>177</v>
      </c>
      <c r="H30" s="5">
        <v>0</v>
      </c>
      <c r="I30" s="5">
        <v>0</v>
      </c>
      <c r="J30" s="9">
        <v>0</v>
      </c>
      <c r="K30" s="5">
        <v>4</v>
      </c>
      <c r="L30" s="5">
        <v>36</v>
      </c>
      <c r="M30" s="5">
        <v>0</v>
      </c>
      <c r="N30" s="9">
        <v>0</v>
      </c>
      <c r="O30" s="5">
        <v>0</v>
      </c>
      <c r="P30" s="5">
        <v>0</v>
      </c>
      <c r="Q30" s="5">
        <v>0</v>
      </c>
      <c r="R30" s="9">
        <v>0</v>
      </c>
      <c r="S30" s="5">
        <v>0</v>
      </c>
      <c r="T30" s="5">
        <v>0</v>
      </c>
    </row>
    <row r="31" spans="1:20" x14ac:dyDescent="0.2">
      <c r="A31" s="5" t="s">
        <v>39</v>
      </c>
      <c r="B31" s="9" t="s">
        <v>17</v>
      </c>
      <c r="C31" s="5" t="s">
        <v>748</v>
      </c>
      <c r="D31" s="7">
        <f t="shared" si="0"/>
        <v>8.2800000000000011</v>
      </c>
      <c r="E31" s="5">
        <v>26</v>
      </c>
      <c r="F31" s="5">
        <v>11</v>
      </c>
      <c r="G31" s="5">
        <v>102</v>
      </c>
      <c r="H31" s="5">
        <v>1</v>
      </c>
      <c r="I31" s="5">
        <v>1</v>
      </c>
      <c r="J31" s="9">
        <v>0</v>
      </c>
      <c r="K31" s="5">
        <v>3</v>
      </c>
      <c r="L31" s="5">
        <v>22</v>
      </c>
      <c r="M31" s="5">
        <v>0</v>
      </c>
      <c r="N31" s="9">
        <v>0</v>
      </c>
      <c r="O31" s="5">
        <v>0</v>
      </c>
      <c r="P31" s="5">
        <v>0</v>
      </c>
      <c r="Q31" s="5">
        <v>0</v>
      </c>
      <c r="R31" s="9">
        <v>0</v>
      </c>
      <c r="S31" s="5">
        <v>0</v>
      </c>
      <c r="T31" s="5">
        <v>0</v>
      </c>
    </row>
    <row r="32" spans="1:20" x14ac:dyDescent="0.2">
      <c r="A32" s="5" t="s">
        <v>51</v>
      </c>
      <c r="B32" s="9" t="s">
        <v>17</v>
      </c>
      <c r="C32" s="5" t="s">
        <v>758</v>
      </c>
      <c r="D32" s="7">
        <f t="shared" si="0"/>
        <v>7.88</v>
      </c>
      <c r="E32" s="5">
        <v>20</v>
      </c>
      <c r="F32" s="5">
        <v>12</v>
      </c>
      <c r="G32" s="5">
        <v>152</v>
      </c>
      <c r="H32" s="5">
        <v>1</v>
      </c>
      <c r="I32" s="5">
        <v>1</v>
      </c>
      <c r="J32" s="9">
        <v>0</v>
      </c>
      <c r="K32" s="5">
        <v>5</v>
      </c>
      <c r="L32" s="5">
        <v>-2</v>
      </c>
      <c r="M32" s="5">
        <v>0</v>
      </c>
      <c r="N32" s="9">
        <v>0</v>
      </c>
      <c r="O32" s="5">
        <v>0</v>
      </c>
      <c r="P32" s="5">
        <v>0</v>
      </c>
      <c r="Q32" s="5">
        <v>0</v>
      </c>
      <c r="R32" s="9">
        <v>0</v>
      </c>
      <c r="S32" s="5">
        <v>0</v>
      </c>
      <c r="T32" s="5">
        <v>0</v>
      </c>
    </row>
    <row r="33" spans="1:20" x14ac:dyDescent="0.2">
      <c r="A33" s="5" t="s">
        <v>57</v>
      </c>
      <c r="B33" s="9" t="s">
        <v>17</v>
      </c>
      <c r="C33" s="5" t="s">
        <v>758</v>
      </c>
      <c r="D33" s="7">
        <f t="shared" si="0"/>
        <v>7.58</v>
      </c>
      <c r="E33" s="5">
        <v>24</v>
      </c>
      <c r="F33" s="5">
        <v>18</v>
      </c>
      <c r="G33" s="5">
        <v>167</v>
      </c>
      <c r="H33" s="5">
        <v>0</v>
      </c>
      <c r="I33" s="5">
        <v>0</v>
      </c>
      <c r="J33" s="9">
        <v>0</v>
      </c>
      <c r="K33" s="5">
        <v>4</v>
      </c>
      <c r="L33" s="5">
        <v>9</v>
      </c>
      <c r="M33" s="5">
        <v>0</v>
      </c>
      <c r="N33" s="9">
        <v>0</v>
      </c>
      <c r="O33" s="5">
        <v>0</v>
      </c>
      <c r="P33" s="5">
        <v>0</v>
      </c>
      <c r="Q33" s="5">
        <v>0</v>
      </c>
      <c r="R33" s="9">
        <v>0</v>
      </c>
      <c r="S33" s="5">
        <v>0</v>
      </c>
      <c r="T33" s="5">
        <v>0</v>
      </c>
    </row>
    <row r="34" spans="1:20" x14ac:dyDescent="0.2">
      <c r="A34" s="5" t="s">
        <v>59</v>
      </c>
      <c r="B34" s="9" t="s">
        <v>17</v>
      </c>
      <c r="C34" s="5" t="s">
        <v>753</v>
      </c>
      <c r="D34" s="7">
        <f t="shared" si="0"/>
        <v>6.0600000000000005</v>
      </c>
      <c r="E34" s="5">
        <v>34</v>
      </c>
      <c r="F34" s="5">
        <v>21</v>
      </c>
      <c r="G34" s="5">
        <v>134</v>
      </c>
      <c r="H34" s="5">
        <v>0</v>
      </c>
      <c r="I34" s="5">
        <v>1</v>
      </c>
      <c r="J34" s="9">
        <v>0</v>
      </c>
      <c r="K34" s="5">
        <v>4</v>
      </c>
      <c r="L34" s="5">
        <v>27</v>
      </c>
      <c r="M34" s="5">
        <v>0</v>
      </c>
      <c r="N34" s="9">
        <v>0</v>
      </c>
      <c r="O34" s="5">
        <v>0</v>
      </c>
      <c r="P34" s="5">
        <v>0</v>
      </c>
      <c r="Q34" s="5">
        <v>0</v>
      </c>
      <c r="R34" s="9">
        <v>0</v>
      </c>
      <c r="S34" s="5">
        <v>0</v>
      </c>
      <c r="T34" s="5">
        <v>0</v>
      </c>
    </row>
    <row r="35" spans="1:20" x14ac:dyDescent="0.2">
      <c r="A35" s="5" t="s">
        <v>397</v>
      </c>
      <c r="B35" s="9" t="s">
        <v>17</v>
      </c>
      <c r="C35" s="5" t="s">
        <v>753</v>
      </c>
      <c r="D35" s="7">
        <f t="shared" si="0"/>
        <v>-0.2</v>
      </c>
      <c r="E35" s="5">
        <v>0</v>
      </c>
      <c r="F35" s="5">
        <v>0</v>
      </c>
      <c r="G35" s="5">
        <v>0</v>
      </c>
      <c r="H35" s="5">
        <v>0</v>
      </c>
      <c r="I35" s="5">
        <v>0</v>
      </c>
      <c r="J35" s="9">
        <v>0</v>
      </c>
      <c r="K35" s="5">
        <v>2</v>
      </c>
      <c r="L35" s="5">
        <v>-2</v>
      </c>
      <c r="M35" s="5">
        <v>0</v>
      </c>
      <c r="N35" s="9">
        <v>0</v>
      </c>
      <c r="O35" s="5">
        <v>0</v>
      </c>
      <c r="P35" s="5">
        <v>0</v>
      </c>
      <c r="Q35" s="5">
        <v>0</v>
      </c>
      <c r="R35" s="9">
        <v>0</v>
      </c>
      <c r="S35" s="5">
        <v>0</v>
      </c>
      <c r="T35" s="5">
        <v>0</v>
      </c>
    </row>
    <row r="36" spans="1:20" x14ac:dyDescent="0.2">
      <c r="A36" s="5" t="s">
        <v>67</v>
      </c>
      <c r="B36" s="9" t="s">
        <v>17</v>
      </c>
      <c r="C36" s="5" t="s">
        <v>744</v>
      </c>
      <c r="D36" s="7">
        <f t="shared" si="0"/>
        <v>0.60000000000000009</v>
      </c>
      <c r="E36" s="5">
        <v>3</v>
      </c>
      <c r="F36" s="5">
        <v>2</v>
      </c>
      <c r="G36" s="5">
        <v>20</v>
      </c>
      <c r="H36" s="5">
        <v>0</v>
      </c>
      <c r="I36" s="5">
        <v>0</v>
      </c>
      <c r="J36" s="9">
        <v>0</v>
      </c>
      <c r="K36" s="5">
        <v>2</v>
      </c>
      <c r="L36" s="5">
        <v>-2</v>
      </c>
      <c r="M36" s="5">
        <v>0</v>
      </c>
      <c r="N36" s="9">
        <v>0</v>
      </c>
      <c r="O36" s="5">
        <v>0</v>
      </c>
      <c r="P36" s="5">
        <v>0</v>
      </c>
      <c r="Q36" s="5">
        <v>0</v>
      </c>
      <c r="R36" s="9">
        <v>0</v>
      </c>
      <c r="S36" s="5">
        <v>0</v>
      </c>
      <c r="T36" s="5">
        <v>0</v>
      </c>
    </row>
    <row r="37" spans="1:20" x14ac:dyDescent="0.2">
      <c r="A37" s="5" t="s">
        <v>68</v>
      </c>
      <c r="B37" s="9" t="s">
        <v>69</v>
      </c>
      <c r="C37" s="5" t="s">
        <v>745</v>
      </c>
      <c r="D37" s="7">
        <f t="shared" si="0"/>
        <v>1.5</v>
      </c>
      <c r="E37" s="5">
        <v>1</v>
      </c>
      <c r="F37" s="5">
        <v>0</v>
      </c>
      <c r="G37" s="5">
        <v>0</v>
      </c>
      <c r="H37" s="5">
        <v>0</v>
      </c>
      <c r="I37" s="5">
        <v>0</v>
      </c>
      <c r="J37" s="9">
        <v>0</v>
      </c>
      <c r="K37" s="5">
        <v>1</v>
      </c>
      <c r="L37" s="5">
        <v>1</v>
      </c>
      <c r="M37" s="5">
        <v>0</v>
      </c>
      <c r="N37" s="9">
        <v>0</v>
      </c>
      <c r="O37" s="5">
        <v>1</v>
      </c>
      <c r="P37" s="5">
        <v>4</v>
      </c>
      <c r="Q37" s="5">
        <v>0</v>
      </c>
      <c r="R37" s="9">
        <v>0</v>
      </c>
      <c r="S37" s="5">
        <v>0</v>
      </c>
      <c r="T37" s="5">
        <v>0</v>
      </c>
    </row>
    <row r="38" spans="1:20" x14ac:dyDescent="0.2">
      <c r="A38" s="5" t="s">
        <v>759</v>
      </c>
      <c r="B38" s="9" t="s">
        <v>17</v>
      </c>
      <c r="C38" s="5" t="s">
        <v>746</v>
      </c>
      <c r="D38" s="7">
        <f t="shared" si="0"/>
        <v>0.12</v>
      </c>
      <c r="E38" s="5">
        <v>3</v>
      </c>
      <c r="F38" s="5">
        <v>2</v>
      </c>
      <c r="G38" s="5">
        <v>3</v>
      </c>
      <c r="H38" s="5">
        <v>0</v>
      </c>
      <c r="I38" s="5">
        <v>0</v>
      </c>
      <c r="J38" s="9">
        <v>0</v>
      </c>
      <c r="K38" s="5">
        <v>0</v>
      </c>
      <c r="L38" s="5">
        <v>0</v>
      </c>
      <c r="M38" s="5">
        <v>0</v>
      </c>
      <c r="N38" s="9">
        <v>0</v>
      </c>
      <c r="O38" s="5">
        <v>0</v>
      </c>
      <c r="P38" s="5">
        <v>0</v>
      </c>
      <c r="Q38" s="5">
        <v>0</v>
      </c>
      <c r="R38" s="9">
        <v>0</v>
      </c>
      <c r="S38" s="5">
        <v>0</v>
      </c>
      <c r="T38" s="5">
        <v>0</v>
      </c>
    </row>
    <row r="39" spans="1:20" x14ac:dyDescent="0.2">
      <c r="A39" s="5" t="s">
        <v>73</v>
      </c>
      <c r="B39" s="9" t="s">
        <v>17</v>
      </c>
      <c r="C39" s="5" t="s">
        <v>745</v>
      </c>
      <c r="D39" s="7">
        <f t="shared" si="0"/>
        <v>0.52</v>
      </c>
      <c r="E39" s="5">
        <v>4</v>
      </c>
      <c r="F39" s="5">
        <v>2</v>
      </c>
      <c r="G39" s="5">
        <v>13</v>
      </c>
      <c r="H39" s="5">
        <v>0</v>
      </c>
      <c r="I39" s="5">
        <v>0</v>
      </c>
      <c r="J39" s="9">
        <v>0</v>
      </c>
      <c r="K39" s="5">
        <v>0</v>
      </c>
      <c r="L39" s="5">
        <v>0</v>
      </c>
      <c r="M39" s="5">
        <v>0</v>
      </c>
      <c r="N39" s="9">
        <v>0</v>
      </c>
      <c r="O39" s="5">
        <v>0</v>
      </c>
      <c r="P39" s="5">
        <v>0</v>
      </c>
      <c r="Q39" s="5">
        <v>0</v>
      </c>
      <c r="R39" s="9">
        <v>0</v>
      </c>
      <c r="S39" s="5">
        <v>0</v>
      </c>
      <c r="T39" s="5">
        <v>0</v>
      </c>
    </row>
    <row r="40" spans="1:20" x14ac:dyDescent="0.2">
      <c r="A40" s="5" t="s">
        <v>496</v>
      </c>
      <c r="B40" s="9" t="s">
        <v>17</v>
      </c>
      <c r="C40" s="5" t="s">
        <v>750</v>
      </c>
      <c r="D40" s="7">
        <f t="shared" si="0"/>
        <v>0.2</v>
      </c>
      <c r="E40" s="5">
        <v>1</v>
      </c>
      <c r="F40" s="5">
        <v>1</v>
      </c>
      <c r="G40" s="5">
        <v>5</v>
      </c>
      <c r="H40" s="5">
        <v>0</v>
      </c>
      <c r="I40" s="5">
        <v>0</v>
      </c>
      <c r="J40" s="9">
        <v>0</v>
      </c>
      <c r="K40" s="5">
        <v>0</v>
      </c>
      <c r="L40" s="5">
        <v>0</v>
      </c>
      <c r="M40" s="5">
        <v>0</v>
      </c>
      <c r="N40" s="9">
        <v>0</v>
      </c>
      <c r="O40" s="5">
        <v>0</v>
      </c>
      <c r="P40" s="5">
        <v>0</v>
      </c>
      <c r="Q40" s="5">
        <v>0</v>
      </c>
      <c r="R40" s="9">
        <v>0</v>
      </c>
      <c r="S40" s="5">
        <v>0</v>
      </c>
      <c r="T40" s="5">
        <v>0</v>
      </c>
    </row>
    <row r="41" spans="1:20" x14ac:dyDescent="0.2">
      <c r="A41" s="5" t="s">
        <v>584</v>
      </c>
      <c r="B41" s="9" t="s">
        <v>17</v>
      </c>
      <c r="C41" s="5" t="s">
        <v>744</v>
      </c>
      <c r="D41" s="7">
        <f t="shared" si="0"/>
        <v>0</v>
      </c>
      <c r="E41" s="5">
        <v>0</v>
      </c>
      <c r="F41" s="5">
        <v>0</v>
      </c>
      <c r="G41" s="5">
        <v>0</v>
      </c>
      <c r="H41" s="5">
        <v>0</v>
      </c>
      <c r="I41" s="5">
        <v>0</v>
      </c>
      <c r="J41" s="9">
        <v>0</v>
      </c>
      <c r="K41" s="5">
        <v>1</v>
      </c>
      <c r="L41" s="5">
        <v>0</v>
      </c>
      <c r="M41" s="5">
        <v>0</v>
      </c>
      <c r="N41" s="9">
        <v>0</v>
      </c>
      <c r="O41" s="5">
        <v>0</v>
      </c>
      <c r="P41" s="5">
        <v>0</v>
      </c>
      <c r="Q41" s="5">
        <v>0</v>
      </c>
      <c r="R41" s="9">
        <v>0</v>
      </c>
      <c r="S41" s="5">
        <v>0</v>
      </c>
      <c r="T41" s="5">
        <v>0</v>
      </c>
    </row>
    <row r="42" spans="1:20" x14ac:dyDescent="0.2">
      <c r="A42" s="5" t="s">
        <v>425</v>
      </c>
      <c r="B42" s="9" t="s">
        <v>17</v>
      </c>
      <c r="C42" s="5" t="s">
        <v>755</v>
      </c>
      <c r="D42" s="7">
        <f t="shared" si="0"/>
        <v>-4.0000000000000008E-2</v>
      </c>
      <c r="E42" s="5">
        <v>2</v>
      </c>
      <c r="F42" s="5">
        <v>2</v>
      </c>
      <c r="G42" s="5">
        <v>4</v>
      </c>
      <c r="H42" s="5">
        <v>0</v>
      </c>
      <c r="I42" s="5">
        <v>0</v>
      </c>
      <c r="J42" s="9">
        <v>0</v>
      </c>
      <c r="K42" s="5">
        <v>2</v>
      </c>
      <c r="L42" s="5">
        <v>-2</v>
      </c>
      <c r="M42" s="5">
        <v>0</v>
      </c>
      <c r="N42" s="9">
        <v>0</v>
      </c>
      <c r="O42" s="5">
        <v>0</v>
      </c>
      <c r="P42" s="5">
        <v>0</v>
      </c>
      <c r="Q42" s="5">
        <v>0</v>
      </c>
      <c r="R42" s="9">
        <v>0</v>
      </c>
      <c r="S42" s="5">
        <v>0</v>
      </c>
      <c r="T42" s="5">
        <v>0</v>
      </c>
    </row>
    <row r="43" spans="1:20" x14ac:dyDescent="0.2">
      <c r="A43" s="5" t="s">
        <v>56</v>
      </c>
      <c r="B43" s="9" t="s">
        <v>17</v>
      </c>
      <c r="C43" s="5" t="s">
        <v>755</v>
      </c>
      <c r="D43" s="7">
        <f t="shared" si="0"/>
        <v>-0.96</v>
      </c>
      <c r="E43" s="5">
        <v>11</v>
      </c>
      <c r="F43" s="5">
        <v>4</v>
      </c>
      <c r="G43" s="5">
        <v>26</v>
      </c>
      <c r="H43" s="5">
        <v>0</v>
      </c>
      <c r="I43" s="5">
        <v>0</v>
      </c>
      <c r="J43" s="9">
        <v>0</v>
      </c>
      <c r="K43" s="5">
        <v>0</v>
      </c>
      <c r="L43" s="5">
        <v>0</v>
      </c>
      <c r="M43" s="5">
        <v>0</v>
      </c>
      <c r="N43" s="9">
        <v>0</v>
      </c>
      <c r="O43" s="5">
        <v>0</v>
      </c>
      <c r="P43" s="5">
        <v>0</v>
      </c>
      <c r="Q43" s="5">
        <v>0</v>
      </c>
      <c r="R43" s="9">
        <v>0</v>
      </c>
      <c r="S43" s="5">
        <v>1</v>
      </c>
      <c r="T43" s="5">
        <v>0</v>
      </c>
    </row>
    <row r="44" spans="1:20" x14ac:dyDescent="0.2">
      <c r="A44" s="5" t="s">
        <v>718</v>
      </c>
      <c r="B44" s="9" t="s">
        <v>17</v>
      </c>
      <c r="C44" s="5" t="s">
        <v>755</v>
      </c>
      <c r="D44" s="7">
        <f t="shared" si="0"/>
        <v>-1.5999999999999996</v>
      </c>
      <c r="E44" s="5">
        <v>26</v>
      </c>
      <c r="F44" s="5">
        <v>14</v>
      </c>
      <c r="G44" s="5">
        <v>110</v>
      </c>
      <c r="H44" s="5">
        <v>0</v>
      </c>
      <c r="I44" s="5">
        <v>2</v>
      </c>
      <c r="J44" s="9">
        <v>0</v>
      </c>
      <c r="K44" s="5">
        <v>0</v>
      </c>
      <c r="L44" s="5">
        <v>0</v>
      </c>
      <c r="M44" s="5">
        <v>0</v>
      </c>
      <c r="N44" s="9">
        <v>0</v>
      </c>
      <c r="O44" s="5">
        <v>0</v>
      </c>
      <c r="P44" s="5">
        <v>0</v>
      </c>
      <c r="Q44" s="5">
        <v>0</v>
      </c>
      <c r="R44" s="9">
        <v>0</v>
      </c>
      <c r="S44" s="5">
        <v>1</v>
      </c>
      <c r="T44" s="5">
        <v>0</v>
      </c>
    </row>
    <row r="45" spans="1:20" x14ac:dyDescent="0.2">
      <c r="A45" s="5" t="s">
        <v>77</v>
      </c>
      <c r="B45" s="9" t="s">
        <v>75</v>
      </c>
      <c r="C45" s="5" t="s">
        <v>744</v>
      </c>
      <c r="D45" s="7">
        <f t="shared" si="0"/>
        <v>41.7</v>
      </c>
      <c r="E45" s="5">
        <v>0</v>
      </c>
      <c r="F45" s="5">
        <v>0</v>
      </c>
      <c r="G45" s="5">
        <v>0</v>
      </c>
      <c r="H45" s="5">
        <v>0</v>
      </c>
      <c r="I45" s="5">
        <v>0</v>
      </c>
      <c r="J45" s="9">
        <v>0</v>
      </c>
      <c r="K45" s="5">
        <v>18</v>
      </c>
      <c r="L45" s="5">
        <v>115</v>
      </c>
      <c r="M45" s="5">
        <v>1</v>
      </c>
      <c r="N45" s="9">
        <v>0</v>
      </c>
      <c r="O45" s="5">
        <v>5</v>
      </c>
      <c r="P45" s="5">
        <v>72</v>
      </c>
      <c r="Q45" s="5">
        <v>2</v>
      </c>
      <c r="R45" s="9">
        <v>0</v>
      </c>
      <c r="S45" s="5">
        <v>0</v>
      </c>
      <c r="T45" s="5">
        <v>0</v>
      </c>
    </row>
    <row r="46" spans="1:20" x14ac:dyDescent="0.2">
      <c r="A46" s="5" t="s">
        <v>102</v>
      </c>
      <c r="B46" s="9" t="s">
        <v>75</v>
      </c>
      <c r="C46" s="5" t="s">
        <v>753</v>
      </c>
      <c r="D46" s="7">
        <f t="shared" si="0"/>
        <v>36.1</v>
      </c>
      <c r="E46" s="5">
        <v>0</v>
      </c>
      <c r="F46" s="5">
        <v>0</v>
      </c>
      <c r="G46" s="5">
        <v>0</v>
      </c>
      <c r="H46" s="5">
        <v>0</v>
      </c>
      <c r="I46" s="5">
        <v>0</v>
      </c>
      <c r="J46" s="9">
        <v>0</v>
      </c>
      <c r="K46" s="5">
        <v>25</v>
      </c>
      <c r="L46" s="5">
        <v>179</v>
      </c>
      <c r="M46" s="5">
        <v>1</v>
      </c>
      <c r="N46" s="9">
        <v>0</v>
      </c>
      <c r="O46" s="5">
        <v>2</v>
      </c>
      <c r="P46" s="5">
        <v>42</v>
      </c>
      <c r="Q46" s="5">
        <v>1</v>
      </c>
      <c r="R46" s="9">
        <v>0</v>
      </c>
      <c r="S46" s="5">
        <v>0</v>
      </c>
      <c r="T46" s="5">
        <v>0</v>
      </c>
    </row>
    <row r="47" spans="1:20" x14ac:dyDescent="0.2">
      <c r="A47" s="5" t="s">
        <v>111</v>
      </c>
      <c r="B47" s="9" t="s">
        <v>75</v>
      </c>
      <c r="C47" s="5" t="s">
        <v>741</v>
      </c>
      <c r="D47" s="7">
        <f t="shared" si="0"/>
        <v>24.8</v>
      </c>
      <c r="E47" s="5">
        <v>0</v>
      </c>
      <c r="F47" s="5">
        <v>0</v>
      </c>
      <c r="G47" s="5">
        <v>0</v>
      </c>
      <c r="H47" s="5">
        <v>0</v>
      </c>
      <c r="I47" s="5">
        <v>0</v>
      </c>
      <c r="J47" s="9">
        <v>0</v>
      </c>
      <c r="K47" s="5">
        <v>11</v>
      </c>
      <c r="L47" s="5">
        <v>100</v>
      </c>
      <c r="M47" s="5">
        <v>1</v>
      </c>
      <c r="N47" s="9">
        <v>0</v>
      </c>
      <c r="O47" s="5">
        <v>2</v>
      </c>
      <c r="P47" s="5">
        <v>8</v>
      </c>
      <c r="Q47" s="5">
        <v>1</v>
      </c>
      <c r="R47" s="9">
        <v>0</v>
      </c>
      <c r="S47" s="5">
        <v>0</v>
      </c>
      <c r="T47" s="5">
        <v>0</v>
      </c>
    </row>
    <row r="48" spans="1:20" x14ac:dyDescent="0.2">
      <c r="A48" s="5" t="s">
        <v>132</v>
      </c>
      <c r="B48" s="9" t="s">
        <v>75</v>
      </c>
      <c r="C48" s="5" t="s">
        <v>747</v>
      </c>
      <c r="D48" s="7">
        <f t="shared" si="0"/>
        <v>24.700000000000003</v>
      </c>
      <c r="E48" s="5">
        <v>0</v>
      </c>
      <c r="F48" s="5">
        <v>0</v>
      </c>
      <c r="G48" s="5">
        <v>0</v>
      </c>
      <c r="H48" s="5">
        <v>0</v>
      </c>
      <c r="I48" s="5">
        <v>0</v>
      </c>
      <c r="J48" s="9">
        <v>0</v>
      </c>
      <c r="K48" s="5">
        <v>23</v>
      </c>
      <c r="L48" s="5">
        <v>132</v>
      </c>
      <c r="M48" s="5">
        <v>1</v>
      </c>
      <c r="N48" s="9">
        <v>0</v>
      </c>
      <c r="O48" s="5">
        <v>3</v>
      </c>
      <c r="P48" s="5">
        <v>25</v>
      </c>
      <c r="Q48" s="5">
        <v>0</v>
      </c>
      <c r="R48" s="9">
        <v>0</v>
      </c>
      <c r="S48" s="5">
        <v>0</v>
      </c>
      <c r="T48" s="5">
        <v>0</v>
      </c>
    </row>
    <row r="49" spans="1:20" x14ac:dyDescent="0.2">
      <c r="A49" s="5" t="s">
        <v>83</v>
      </c>
      <c r="B49" s="9" t="s">
        <v>75</v>
      </c>
      <c r="C49" s="5" t="s">
        <v>748</v>
      </c>
      <c r="D49" s="7">
        <f t="shared" si="0"/>
        <v>24.500000000000004</v>
      </c>
      <c r="E49" s="5">
        <v>0</v>
      </c>
      <c r="F49" s="5">
        <v>0</v>
      </c>
      <c r="G49" s="5">
        <v>0</v>
      </c>
      <c r="H49" s="5">
        <v>0</v>
      </c>
      <c r="I49" s="5">
        <v>0</v>
      </c>
      <c r="J49" s="9">
        <v>0</v>
      </c>
      <c r="K49" s="5">
        <v>27</v>
      </c>
      <c r="L49" s="5">
        <v>152</v>
      </c>
      <c r="M49" s="5">
        <v>1</v>
      </c>
      <c r="N49" s="9">
        <v>1</v>
      </c>
      <c r="O49" s="5">
        <v>5</v>
      </c>
      <c r="P49" s="5">
        <v>3</v>
      </c>
      <c r="Q49" s="5">
        <v>0</v>
      </c>
      <c r="R49" s="9">
        <v>0</v>
      </c>
      <c r="S49" s="5">
        <v>2</v>
      </c>
      <c r="T49" s="5">
        <v>0</v>
      </c>
    </row>
    <row r="50" spans="1:20" x14ac:dyDescent="0.2">
      <c r="A50" s="5" t="s">
        <v>114</v>
      </c>
      <c r="B50" s="9" t="s">
        <v>75</v>
      </c>
      <c r="C50" s="5" t="s">
        <v>742</v>
      </c>
      <c r="D50" s="7">
        <f t="shared" si="0"/>
        <v>21.9</v>
      </c>
      <c r="E50" s="5">
        <v>0</v>
      </c>
      <c r="F50" s="5">
        <v>0</v>
      </c>
      <c r="G50" s="5">
        <v>0</v>
      </c>
      <c r="H50" s="5">
        <v>0</v>
      </c>
      <c r="I50" s="5">
        <v>0</v>
      </c>
      <c r="J50" s="9">
        <v>0</v>
      </c>
      <c r="K50" s="5">
        <v>21</v>
      </c>
      <c r="L50" s="5">
        <v>89</v>
      </c>
      <c r="M50" s="5">
        <v>0</v>
      </c>
      <c r="N50" s="9">
        <v>0</v>
      </c>
      <c r="O50" s="5">
        <v>2</v>
      </c>
      <c r="P50" s="5">
        <v>50</v>
      </c>
      <c r="Q50" s="5">
        <v>1</v>
      </c>
      <c r="R50" s="9">
        <v>0</v>
      </c>
      <c r="S50" s="5">
        <v>0</v>
      </c>
      <c r="T50" s="5">
        <v>0</v>
      </c>
    </row>
    <row r="51" spans="1:20" x14ac:dyDescent="0.2">
      <c r="A51" s="5" t="s">
        <v>92</v>
      </c>
      <c r="B51" s="9" t="s">
        <v>75</v>
      </c>
      <c r="C51" s="5" t="s">
        <v>755</v>
      </c>
      <c r="D51" s="7">
        <f t="shared" si="0"/>
        <v>18.3</v>
      </c>
      <c r="E51" s="5">
        <v>0</v>
      </c>
      <c r="F51" s="5">
        <v>0</v>
      </c>
      <c r="G51" s="5">
        <v>0</v>
      </c>
      <c r="H51" s="5">
        <v>0</v>
      </c>
      <c r="I51" s="5">
        <v>0</v>
      </c>
      <c r="J51" s="9">
        <v>0</v>
      </c>
      <c r="K51" s="5">
        <v>15</v>
      </c>
      <c r="L51" s="5">
        <v>42</v>
      </c>
      <c r="M51" s="5">
        <v>2</v>
      </c>
      <c r="N51" s="9">
        <v>0</v>
      </c>
      <c r="O51" s="5">
        <v>2</v>
      </c>
      <c r="P51" s="5">
        <v>1</v>
      </c>
      <c r="Q51" s="5">
        <v>0</v>
      </c>
      <c r="R51" s="9">
        <v>0</v>
      </c>
      <c r="S51" s="5">
        <v>0</v>
      </c>
      <c r="T51" s="5">
        <v>0</v>
      </c>
    </row>
    <row r="52" spans="1:20" x14ac:dyDescent="0.2">
      <c r="A52" s="5" t="s">
        <v>151</v>
      </c>
      <c r="B52" s="9" t="s">
        <v>75</v>
      </c>
      <c r="C52" s="5" t="s">
        <v>757</v>
      </c>
      <c r="D52" s="7">
        <f t="shared" si="0"/>
        <v>21</v>
      </c>
      <c r="E52" s="5">
        <v>0</v>
      </c>
      <c r="F52" s="5">
        <v>0</v>
      </c>
      <c r="G52" s="5">
        <v>0</v>
      </c>
      <c r="H52" s="5">
        <v>0</v>
      </c>
      <c r="I52" s="5">
        <v>0</v>
      </c>
      <c r="J52" s="9">
        <v>0</v>
      </c>
      <c r="K52" s="5">
        <v>26</v>
      </c>
      <c r="L52" s="5">
        <v>121</v>
      </c>
      <c r="M52" s="5">
        <v>0</v>
      </c>
      <c r="N52" s="9">
        <v>0</v>
      </c>
      <c r="O52" s="5">
        <v>4</v>
      </c>
      <c r="P52" s="5">
        <v>49</v>
      </c>
      <c r="Q52" s="5">
        <v>0</v>
      </c>
      <c r="R52" s="9">
        <v>0</v>
      </c>
      <c r="S52" s="5">
        <v>0</v>
      </c>
      <c r="T52" s="5">
        <v>0</v>
      </c>
    </row>
    <row r="53" spans="1:20" x14ac:dyDescent="0.2">
      <c r="A53" s="5" t="s">
        <v>100</v>
      </c>
      <c r="B53" s="9" t="s">
        <v>75</v>
      </c>
      <c r="C53" s="5" t="s">
        <v>749</v>
      </c>
      <c r="D53" s="7">
        <f t="shared" si="0"/>
        <v>20.200000000000003</v>
      </c>
      <c r="E53" s="5">
        <v>0</v>
      </c>
      <c r="F53" s="5">
        <v>0</v>
      </c>
      <c r="G53" s="5">
        <v>0</v>
      </c>
      <c r="H53" s="5">
        <v>0</v>
      </c>
      <c r="I53" s="5">
        <v>0</v>
      </c>
      <c r="J53" s="9">
        <v>0</v>
      </c>
      <c r="K53" s="5">
        <v>19</v>
      </c>
      <c r="L53" s="5">
        <v>86</v>
      </c>
      <c r="M53" s="5">
        <v>1</v>
      </c>
      <c r="N53" s="9">
        <v>0</v>
      </c>
      <c r="O53" s="5">
        <v>3</v>
      </c>
      <c r="P53" s="5">
        <v>26</v>
      </c>
      <c r="Q53" s="5">
        <v>0</v>
      </c>
      <c r="R53" s="9">
        <v>0</v>
      </c>
      <c r="S53" s="5">
        <v>0</v>
      </c>
      <c r="T53" s="5">
        <v>0</v>
      </c>
    </row>
    <row r="54" spans="1:20" x14ac:dyDescent="0.2">
      <c r="A54" s="5" t="s">
        <v>124</v>
      </c>
      <c r="B54" s="9" t="s">
        <v>75</v>
      </c>
      <c r="C54" s="5" t="s">
        <v>751</v>
      </c>
      <c r="D54" s="7">
        <f t="shared" si="0"/>
        <v>20.100000000000001</v>
      </c>
      <c r="E54" s="5">
        <v>0</v>
      </c>
      <c r="F54" s="5">
        <v>0</v>
      </c>
      <c r="G54" s="5">
        <v>0</v>
      </c>
      <c r="H54" s="5">
        <v>0</v>
      </c>
      <c r="I54" s="5">
        <v>0</v>
      </c>
      <c r="J54" s="9">
        <v>0</v>
      </c>
      <c r="K54" s="5">
        <v>13</v>
      </c>
      <c r="L54" s="5">
        <v>37</v>
      </c>
      <c r="M54" s="5">
        <v>0</v>
      </c>
      <c r="N54" s="9">
        <v>0</v>
      </c>
      <c r="O54" s="5">
        <v>4</v>
      </c>
      <c r="P54" s="5">
        <v>64</v>
      </c>
      <c r="Q54" s="5">
        <v>1</v>
      </c>
      <c r="R54" s="9">
        <v>0</v>
      </c>
      <c r="S54" s="5">
        <v>0</v>
      </c>
      <c r="T54" s="5">
        <v>0</v>
      </c>
    </row>
    <row r="55" spans="1:20" x14ac:dyDescent="0.2">
      <c r="A55" s="5" t="s">
        <v>95</v>
      </c>
      <c r="B55" s="9" t="s">
        <v>75</v>
      </c>
      <c r="C55" s="5" t="s">
        <v>744</v>
      </c>
      <c r="D55" s="7">
        <f t="shared" si="0"/>
        <v>17.900000000000002</v>
      </c>
      <c r="E55" s="5">
        <v>0</v>
      </c>
      <c r="F55" s="5">
        <v>0</v>
      </c>
      <c r="G55" s="5">
        <v>0</v>
      </c>
      <c r="H55" s="5">
        <v>0</v>
      </c>
      <c r="I55" s="5">
        <v>0</v>
      </c>
      <c r="J55" s="9">
        <v>0</v>
      </c>
      <c r="K55" s="5">
        <v>14</v>
      </c>
      <c r="L55" s="5">
        <v>86</v>
      </c>
      <c r="M55" s="5">
        <v>1</v>
      </c>
      <c r="N55" s="9">
        <v>0</v>
      </c>
      <c r="O55" s="5">
        <v>3</v>
      </c>
      <c r="P55" s="5">
        <v>3</v>
      </c>
      <c r="Q55" s="5">
        <v>0</v>
      </c>
      <c r="R55" s="9">
        <v>0</v>
      </c>
      <c r="S55" s="5">
        <v>0</v>
      </c>
      <c r="T55" s="5">
        <v>0</v>
      </c>
    </row>
    <row r="56" spans="1:20" x14ac:dyDescent="0.2">
      <c r="A56" s="5" t="s">
        <v>138</v>
      </c>
      <c r="B56" s="9" t="s">
        <v>75</v>
      </c>
      <c r="C56" s="5" t="s">
        <v>751</v>
      </c>
      <c r="D56" s="7">
        <f t="shared" si="0"/>
        <v>16.16</v>
      </c>
      <c r="E56" s="5">
        <v>1</v>
      </c>
      <c r="F56" s="5">
        <v>1</v>
      </c>
      <c r="G56" s="5">
        <v>4</v>
      </c>
      <c r="H56" s="5">
        <v>1</v>
      </c>
      <c r="I56" s="5">
        <v>0</v>
      </c>
      <c r="J56" s="9">
        <v>0</v>
      </c>
      <c r="K56" s="5">
        <v>4</v>
      </c>
      <c r="L56" s="5">
        <v>11</v>
      </c>
      <c r="M56" s="5">
        <v>0</v>
      </c>
      <c r="N56" s="9">
        <v>0</v>
      </c>
      <c r="O56" s="5">
        <v>3</v>
      </c>
      <c r="P56" s="5">
        <v>19</v>
      </c>
      <c r="Q56" s="5">
        <v>1</v>
      </c>
      <c r="R56" s="9">
        <v>0</v>
      </c>
      <c r="S56" s="5">
        <v>0</v>
      </c>
      <c r="T56" s="5">
        <v>0</v>
      </c>
    </row>
    <row r="57" spans="1:20" x14ac:dyDescent="0.2">
      <c r="A57" s="5" t="s">
        <v>153</v>
      </c>
      <c r="B57" s="9" t="s">
        <v>75</v>
      </c>
      <c r="C57" s="5" t="s">
        <v>743</v>
      </c>
      <c r="D57" s="7">
        <f t="shared" si="0"/>
        <v>17.5</v>
      </c>
      <c r="E57" s="5">
        <v>0</v>
      </c>
      <c r="F57" s="5">
        <v>0</v>
      </c>
      <c r="G57" s="5">
        <v>0</v>
      </c>
      <c r="H57" s="5">
        <v>0</v>
      </c>
      <c r="I57" s="5">
        <v>0</v>
      </c>
      <c r="J57" s="9">
        <v>0</v>
      </c>
      <c r="K57" s="5">
        <v>17</v>
      </c>
      <c r="L57" s="5">
        <v>69</v>
      </c>
      <c r="M57" s="5">
        <v>1</v>
      </c>
      <c r="N57" s="9">
        <v>0</v>
      </c>
      <c r="O57" s="5">
        <v>3</v>
      </c>
      <c r="P57" s="5">
        <v>16</v>
      </c>
      <c r="Q57" s="5">
        <v>0</v>
      </c>
      <c r="R57" s="9">
        <v>0</v>
      </c>
      <c r="S57" s="5">
        <v>0</v>
      </c>
      <c r="T57" s="5">
        <v>0</v>
      </c>
    </row>
    <row r="58" spans="1:20" x14ac:dyDescent="0.2">
      <c r="A58" s="5" t="s">
        <v>370</v>
      </c>
      <c r="B58" s="9" t="s">
        <v>75</v>
      </c>
      <c r="C58" s="5" t="s">
        <v>744</v>
      </c>
      <c r="D58" s="7">
        <f t="shared" si="0"/>
        <v>14</v>
      </c>
      <c r="E58" s="5">
        <v>0</v>
      </c>
      <c r="F58" s="5">
        <v>0</v>
      </c>
      <c r="G58" s="5">
        <v>0</v>
      </c>
      <c r="H58" s="5">
        <v>0</v>
      </c>
      <c r="I58" s="5">
        <v>0</v>
      </c>
      <c r="J58" s="9">
        <v>0</v>
      </c>
      <c r="K58" s="5">
        <v>4</v>
      </c>
      <c r="L58" s="5">
        <v>64</v>
      </c>
      <c r="M58" s="5">
        <v>1</v>
      </c>
      <c r="N58" s="9">
        <v>0</v>
      </c>
      <c r="O58" s="5">
        <v>1</v>
      </c>
      <c r="P58" s="5">
        <v>6</v>
      </c>
      <c r="Q58" s="5">
        <v>0</v>
      </c>
      <c r="R58" s="9">
        <v>0</v>
      </c>
      <c r="S58" s="5">
        <v>0</v>
      </c>
      <c r="T58" s="5">
        <v>0</v>
      </c>
    </row>
    <row r="59" spans="1:20" x14ac:dyDescent="0.2">
      <c r="A59" s="5" t="s">
        <v>116</v>
      </c>
      <c r="B59" s="9" t="s">
        <v>75</v>
      </c>
      <c r="C59" s="5" t="s">
        <v>752</v>
      </c>
      <c r="D59" s="7">
        <f t="shared" si="0"/>
        <v>13.9</v>
      </c>
      <c r="E59" s="5">
        <v>0</v>
      </c>
      <c r="F59" s="5">
        <v>0</v>
      </c>
      <c r="G59" s="5">
        <v>0</v>
      </c>
      <c r="H59" s="5">
        <v>0</v>
      </c>
      <c r="I59" s="5">
        <v>0</v>
      </c>
      <c r="J59" s="9">
        <v>0</v>
      </c>
      <c r="K59" s="5">
        <v>16</v>
      </c>
      <c r="L59" s="5">
        <v>58</v>
      </c>
      <c r="M59" s="5">
        <v>1</v>
      </c>
      <c r="N59" s="9">
        <v>0</v>
      </c>
      <c r="O59" s="5">
        <v>1</v>
      </c>
      <c r="P59" s="5">
        <v>11</v>
      </c>
      <c r="Q59" s="5">
        <v>0</v>
      </c>
      <c r="R59" s="9">
        <v>0</v>
      </c>
      <c r="S59" s="5">
        <v>0</v>
      </c>
      <c r="T59" s="5">
        <v>0</v>
      </c>
    </row>
    <row r="60" spans="1:20" x14ac:dyDescent="0.2">
      <c r="A60" s="5" t="s">
        <v>103</v>
      </c>
      <c r="B60" s="9" t="s">
        <v>75</v>
      </c>
      <c r="C60" s="5" t="s">
        <v>747</v>
      </c>
      <c r="D60" s="7">
        <f t="shared" si="0"/>
        <v>15.1</v>
      </c>
      <c r="E60" s="5">
        <v>0</v>
      </c>
      <c r="F60" s="5">
        <v>0</v>
      </c>
      <c r="G60" s="5">
        <v>0</v>
      </c>
      <c r="H60" s="5">
        <v>0</v>
      </c>
      <c r="I60" s="5">
        <v>0</v>
      </c>
      <c r="J60" s="9">
        <v>0</v>
      </c>
      <c r="K60" s="5">
        <v>10</v>
      </c>
      <c r="L60" s="5">
        <v>47</v>
      </c>
      <c r="M60" s="5">
        <v>1</v>
      </c>
      <c r="N60" s="9">
        <v>0</v>
      </c>
      <c r="O60" s="5">
        <v>3</v>
      </c>
      <c r="P60" s="5">
        <v>14</v>
      </c>
      <c r="Q60" s="5">
        <v>0</v>
      </c>
      <c r="R60" s="9">
        <v>0</v>
      </c>
      <c r="S60" s="5">
        <v>0</v>
      </c>
      <c r="T60" s="5">
        <v>0</v>
      </c>
    </row>
    <row r="61" spans="1:20" x14ac:dyDescent="0.2">
      <c r="A61" s="5" t="s">
        <v>470</v>
      </c>
      <c r="B61" s="9" t="s">
        <v>75</v>
      </c>
      <c r="C61" s="5" t="s">
        <v>745</v>
      </c>
      <c r="D61" s="7">
        <f t="shared" si="0"/>
        <v>16</v>
      </c>
      <c r="E61" s="5">
        <v>0</v>
      </c>
      <c r="F61" s="5">
        <v>0</v>
      </c>
      <c r="G61" s="5">
        <v>0</v>
      </c>
      <c r="H61" s="5">
        <v>0</v>
      </c>
      <c r="I61" s="5">
        <v>0</v>
      </c>
      <c r="J61" s="9">
        <v>0</v>
      </c>
      <c r="K61" s="5">
        <v>16</v>
      </c>
      <c r="L61" s="5">
        <v>66</v>
      </c>
      <c r="M61" s="5">
        <v>0</v>
      </c>
      <c r="N61" s="9">
        <v>0</v>
      </c>
      <c r="O61" s="5">
        <v>5</v>
      </c>
      <c r="P61" s="5">
        <v>44</v>
      </c>
      <c r="Q61" s="5">
        <v>0</v>
      </c>
      <c r="R61" s="9">
        <v>0</v>
      </c>
      <c r="S61" s="5">
        <v>0</v>
      </c>
      <c r="T61" s="5">
        <v>0</v>
      </c>
    </row>
    <row r="62" spans="1:20" x14ac:dyDescent="0.2">
      <c r="A62" s="5" t="s">
        <v>108</v>
      </c>
      <c r="B62" s="9" t="s">
        <v>75</v>
      </c>
      <c r="C62" s="5" t="s">
        <v>758</v>
      </c>
      <c r="D62" s="7">
        <f t="shared" si="0"/>
        <v>12.3</v>
      </c>
      <c r="E62" s="5">
        <v>0</v>
      </c>
      <c r="F62" s="5">
        <v>0</v>
      </c>
      <c r="G62" s="5">
        <v>0</v>
      </c>
      <c r="H62" s="5">
        <v>0</v>
      </c>
      <c r="I62" s="5">
        <v>0</v>
      </c>
      <c r="J62" s="9">
        <v>0</v>
      </c>
      <c r="K62" s="5">
        <v>22</v>
      </c>
      <c r="L62" s="5">
        <v>87</v>
      </c>
      <c r="M62" s="5">
        <v>0</v>
      </c>
      <c r="N62" s="9">
        <v>0</v>
      </c>
      <c r="O62" s="5">
        <v>2</v>
      </c>
      <c r="P62" s="5">
        <v>16</v>
      </c>
      <c r="Q62" s="5">
        <v>0</v>
      </c>
      <c r="R62" s="9">
        <v>0</v>
      </c>
      <c r="S62" s="5">
        <v>0</v>
      </c>
      <c r="T62" s="5">
        <v>0</v>
      </c>
    </row>
    <row r="63" spans="1:20" x14ac:dyDescent="0.2">
      <c r="A63" s="5" t="s">
        <v>337</v>
      </c>
      <c r="B63" s="9" t="s">
        <v>75</v>
      </c>
      <c r="C63" s="5" t="s">
        <v>746</v>
      </c>
      <c r="D63" s="7">
        <f t="shared" si="0"/>
        <v>12.3</v>
      </c>
      <c r="E63" s="5">
        <v>0</v>
      </c>
      <c r="F63" s="5">
        <v>0</v>
      </c>
      <c r="G63" s="5">
        <v>0</v>
      </c>
      <c r="H63" s="5">
        <v>0</v>
      </c>
      <c r="I63" s="5">
        <v>0</v>
      </c>
      <c r="J63" s="9">
        <v>0</v>
      </c>
      <c r="K63" s="5">
        <v>4</v>
      </c>
      <c r="L63" s="5">
        <v>13</v>
      </c>
      <c r="M63" s="5">
        <v>0</v>
      </c>
      <c r="N63" s="9">
        <v>0</v>
      </c>
      <c r="O63" s="5">
        <v>3</v>
      </c>
      <c r="P63" s="5">
        <v>20</v>
      </c>
      <c r="Q63" s="5">
        <v>1</v>
      </c>
      <c r="R63" s="9">
        <v>0</v>
      </c>
      <c r="S63" s="5">
        <v>0</v>
      </c>
      <c r="T63" s="5">
        <v>0</v>
      </c>
    </row>
    <row r="64" spans="1:20" x14ac:dyDescent="0.2">
      <c r="A64" s="5" t="s">
        <v>760</v>
      </c>
      <c r="B64" s="9" t="s">
        <v>75</v>
      </c>
      <c r="C64" s="5" t="s">
        <v>743</v>
      </c>
      <c r="D64" s="7">
        <f t="shared" si="0"/>
        <v>8.5</v>
      </c>
      <c r="E64" s="5">
        <v>0</v>
      </c>
      <c r="F64" s="5">
        <v>0</v>
      </c>
      <c r="G64" s="5">
        <v>0</v>
      </c>
      <c r="H64" s="5">
        <v>0</v>
      </c>
      <c r="I64" s="5">
        <v>0</v>
      </c>
      <c r="J64" s="9">
        <v>0</v>
      </c>
      <c r="K64" s="5">
        <v>2</v>
      </c>
      <c r="L64" s="5">
        <v>25</v>
      </c>
      <c r="M64" s="5">
        <v>1</v>
      </c>
      <c r="N64" s="9">
        <v>0</v>
      </c>
      <c r="O64" s="5">
        <v>0</v>
      </c>
      <c r="P64" s="5">
        <v>0</v>
      </c>
      <c r="Q64" s="5">
        <v>0</v>
      </c>
      <c r="R64" s="9">
        <v>0</v>
      </c>
      <c r="S64" s="5">
        <v>0</v>
      </c>
      <c r="T64" s="5">
        <v>0</v>
      </c>
    </row>
    <row r="65" spans="1:20" x14ac:dyDescent="0.2">
      <c r="A65" s="5" t="s">
        <v>761</v>
      </c>
      <c r="B65" s="9" t="s">
        <v>75</v>
      </c>
      <c r="C65" s="5" t="s">
        <v>751</v>
      </c>
      <c r="D65" s="7">
        <f t="shared" si="0"/>
        <v>8.5</v>
      </c>
      <c r="E65" s="5">
        <v>0</v>
      </c>
      <c r="F65" s="5">
        <v>0</v>
      </c>
      <c r="G65" s="5">
        <v>0</v>
      </c>
      <c r="H65" s="5">
        <v>0</v>
      </c>
      <c r="I65" s="5">
        <v>0</v>
      </c>
      <c r="J65" s="9">
        <v>0</v>
      </c>
      <c r="K65" s="5">
        <v>4</v>
      </c>
      <c r="L65" s="5">
        <v>25</v>
      </c>
      <c r="M65" s="5">
        <v>1</v>
      </c>
      <c r="N65" s="9">
        <v>0</v>
      </c>
      <c r="O65" s="5">
        <v>0</v>
      </c>
      <c r="P65" s="5">
        <v>0</v>
      </c>
      <c r="Q65" s="5">
        <v>0</v>
      </c>
      <c r="R65" s="9">
        <v>0</v>
      </c>
      <c r="S65" s="5">
        <v>0</v>
      </c>
      <c r="T65" s="5">
        <v>0</v>
      </c>
    </row>
    <row r="66" spans="1:20" x14ac:dyDescent="0.2">
      <c r="A66" s="5" t="s">
        <v>578</v>
      </c>
      <c r="B66" s="9" t="s">
        <v>75</v>
      </c>
      <c r="C66" s="5" t="s">
        <v>752</v>
      </c>
      <c r="D66" s="7">
        <f t="shared" si="0"/>
        <v>10.8</v>
      </c>
      <c r="E66" s="5">
        <v>0</v>
      </c>
      <c r="F66" s="5">
        <v>0</v>
      </c>
      <c r="G66" s="5">
        <v>0</v>
      </c>
      <c r="H66" s="5">
        <v>0</v>
      </c>
      <c r="I66" s="5">
        <v>0</v>
      </c>
      <c r="J66" s="9">
        <v>0</v>
      </c>
      <c r="K66" s="5">
        <v>9</v>
      </c>
      <c r="L66" s="5">
        <v>73</v>
      </c>
      <c r="M66" s="5">
        <v>0</v>
      </c>
      <c r="N66" s="9">
        <v>0</v>
      </c>
      <c r="O66" s="5">
        <v>2</v>
      </c>
      <c r="P66" s="5">
        <v>15</v>
      </c>
      <c r="Q66" s="5">
        <v>0</v>
      </c>
      <c r="R66" s="9">
        <v>0</v>
      </c>
      <c r="S66" s="5">
        <v>0</v>
      </c>
      <c r="T66" s="5">
        <v>0</v>
      </c>
    </row>
    <row r="67" spans="1:20" x14ac:dyDescent="0.2">
      <c r="A67" s="5" t="s">
        <v>90</v>
      </c>
      <c r="B67" s="9" t="s">
        <v>75</v>
      </c>
      <c r="C67" s="5" t="s">
        <v>741</v>
      </c>
      <c r="D67" s="7">
        <f t="shared" si="0"/>
        <v>10.199999999999999</v>
      </c>
      <c r="E67" s="5">
        <v>0</v>
      </c>
      <c r="F67" s="5">
        <v>0</v>
      </c>
      <c r="G67" s="5">
        <v>0</v>
      </c>
      <c r="H67" s="5">
        <v>0</v>
      </c>
      <c r="I67" s="5">
        <v>0</v>
      </c>
      <c r="J67" s="9">
        <v>0</v>
      </c>
      <c r="K67" s="5">
        <v>17</v>
      </c>
      <c r="L67" s="5">
        <v>85</v>
      </c>
      <c r="M67" s="5">
        <v>0</v>
      </c>
      <c r="N67" s="9">
        <v>0</v>
      </c>
      <c r="O67" s="5">
        <v>2</v>
      </c>
      <c r="P67" s="5">
        <v>-3</v>
      </c>
      <c r="Q67" s="5">
        <v>0</v>
      </c>
      <c r="R67" s="9">
        <v>0</v>
      </c>
      <c r="S67" s="5">
        <v>0</v>
      </c>
      <c r="T67" s="5">
        <v>0</v>
      </c>
    </row>
    <row r="68" spans="1:20" x14ac:dyDescent="0.2">
      <c r="A68" s="5" t="s">
        <v>434</v>
      </c>
      <c r="B68" s="9" t="s">
        <v>75</v>
      </c>
      <c r="C68" s="5" t="s">
        <v>746</v>
      </c>
      <c r="D68" s="7">
        <f t="shared" si="0"/>
        <v>8.8000000000000007</v>
      </c>
      <c r="E68" s="5">
        <v>0</v>
      </c>
      <c r="F68" s="5">
        <v>0</v>
      </c>
      <c r="G68" s="5">
        <v>0</v>
      </c>
      <c r="H68" s="5">
        <v>0</v>
      </c>
      <c r="I68" s="5">
        <v>0</v>
      </c>
      <c r="J68" s="9">
        <v>0</v>
      </c>
      <c r="K68" s="5">
        <v>17</v>
      </c>
      <c r="L68" s="5">
        <v>88</v>
      </c>
      <c r="M68" s="5">
        <v>0</v>
      </c>
      <c r="N68" s="9">
        <v>0</v>
      </c>
      <c r="O68" s="5">
        <v>0</v>
      </c>
      <c r="P68" s="5">
        <v>0</v>
      </c>
      <c r="Q68" s="5">
        <v>0</v>
      </c>
      <c r="R68" s="9">
        <v>0</v>
      </c>
      <c r="S68" s="5">
        <v>0</v>
      </c>
      <c r="T68" s="5">
        <v>0</v>
      </c>
    </row>
    <row r="69" spans="1:20" x14ac:dyDescent="0.2">
      <c r="A69" s="5" t="s">
        <v>716</v>
      </c>
      <c r="B69" s="9" t="s">
        <v>75</v>
      </c>
      <c r="C69" s="5" t="s">
        <v>746</v>
      </c>
      <c r="D69" s="7">
        <f t="shared" si="0"/>
        <v>9.9</v>
      </c>
      <c r="E69" s="5">
        <v>0</v>
      </c>
      <c r="F69" s="5">
        <v>0</v>
      </c>
      <c r="G69" s="5">
        <v>0</v>
      </c>
      <c r="H69" s="5">
        <v>0</v>
      </c>
      <c r="I69" s="5">
        <v>0</v>
      </c>
      <c r="J69" s="9">
        <v>0</v>
      </c>
      <c r="K69" s="5">
        <v>11</v>
      </c>
      <c r="L69" s="5">
        <v>69</v>
      </c>
      <c r="M69" s="5">
        <v>0</v>
      </c>
      <c r="N69" s="9">
        <v>0</v>
      </c>
      <c r="O69" s="5">
        <v>2</v>
      </c>
      <c r="P69" s="5">
        <v>10</v>
      </c>
      <c r="Q69" s="5">
        <v>0</v>
      </c>
      <c r="R69" s="9">
        <v>0</v>
      </c>
      <c r="S69" s="5">
        <v>0</v>
      </c>
      <c r="T69" s="5">
        <v>0</v>
      </c>
    </row>
    <row r="70" spans="1:20" x14ac:dyDescent="0.2">
      <c r="A70" s="5" t="s">
        <v>149</v>
      </c>
      <c r="B70" s="9" t="s">
        <v>75</v>
      </c>
      <c r="C70" s="5" t="s">
        <v>753</v>
      </c>
      <c r="D70" s="7">
        <f t="shared" si="0"/>
        <v>7.1</v>
      </c>
      <c r="E70" s="5">
        <v>0</v>
      </c>
      <c r="F70" s="5">
        <v>0</v>
      </c>
      <c r="G70" s="5">
        <v>0</v>
      </c>
      <c r="H70" s="5">
        <v>0</v>
      </c>
      <c r="I70" s="5">
        <v>0</v>
      </c>
      <c r="J70" s="9">
        <v>0</v>
      </c>
      <c r="K70" s="5">
        <v>5</v>
      </c>
      <c r="L70" s="5">
        <v>11</v>
      </c>
      <c r="M70" s="5">
        <v>1</v>
      </c>
      <c r="N70" s="9">
        <v>0</v>
      </c>
      <c r="O70" s="5">
        <v>0</v>
      </c>
      <c r="P70" s="5">
        <v>0</v>
      </c>
      <c r="Q70" s="5">
        <v>0</v>
      </c>
      <c r="R70" s="9">
        <v>0</v>
      </c>
      <c r="S70" s="5">
        <v>0</v>
      </c>
      <c r="T70" s="5">
        <v>0</v>
      </c>
    </row>
    <row r="71" spans="1:20" x14ac:dyDescent="0.2">
      <c r="A71" s="5" t="s">
        <v>152</v>
      </c>
      <c r="B71" s="9" t="s">
        <v>75</v>
      </c>
      <c r="C71" s="5" t="s">
        <v>749</v>
      </c>
      <c r="D71" s="7">
        <f t="shared" si="0"/>
        <v>9.5</v>
      </c>
      <c r="E71" s="5">
        <v>0</v>
      </c>
      <c r="F71" s="5">
        <v>0</v>
      </c>
      <c r="G71" s="5">
        <v>0</v>
      </c>
      <c r="H71" s="5">
        <v>0</v>
      </c>
      <c r="I71" s="5">
        <v>0</v>
      </c>
      <c r="J71" s="9">
        <v>0</v>
      </c>
      <c r="K71" s="5">
        <v>18</v>
      </c>
      <c r="L71" s="5">
        <v>74</v>
      </c>
      <c r="M71" s="5">
        <v>0</v>
      </c>
      <c r="N71" s="9">
        <v>0</v>
      </c>
      <c r="O71" s="5">
        <v>2</v>
      </c>
      <c r="P71" s="5">
        <v>1</v>
      </c>
      <c r="Q71" s="5">
        <v>0</v>
      </c>
      <c r="R71" s="9">
        <v>0</v>
      </c>
      <c r="S71" s="5">
        <v>0</v>
      </c>
      <c r="T71" s="5">
        <v>0</v>
      </c>
    </row>
    <row r="72" spans="1:20" x14ac:dyDescent="0.2">
      <c r="A72" s="5" t="s">
        <v>375</v>
      </c>
      <c r="B72" s="9" t="s">
        <v>75</v>
      </c>
      <c r="C72" s="5" t="s">
        <v>755</v>
      </c>
      <c r="D72" s="7">
        <f t="shared" si="0"/>
        <v>9.1999999999999993</v>
      </c>
      <c r="E72" s="5">
        <v>0</v>
      </c>
      <c r="F72" s="5">
        <v>0</v>
      </c>
      <c r="G72" s="5">
        <v>0</v>
      </c>
      <c r="H72" s="5">
        <v>0</v>
      </c>
      <c r="I72" s="5">
        <v>0</v>
      </c>
      <c r="J72" s="9">
        <v>0</v>
      </c>
      <c r="K72" s="5">
        <v>9</v>
      </c>
      <c r="L72" s="5">
        <v>32</v>
      </c>
      <c r="M72" s="5">
        <v>0</v>
      </c>
      <c r="N72" s="9">
        <v>0</v>
      </c>
      <c r="O72" s="5">
        <v>3</v>
      </c>
      <c r="P72" s="5">
        <v>30</v>
      </c>
      <c r="Q72" s="5">
        <v>0</v>
      </c>
      <c r="R72" s="9">
        <v>0</v>
      </c>
      <c r="S72" s="5">
        <v>0</v>
      </c>
      <c r="T72" s="5">
        <v>0</v>
      </c>
    </row>
    <row r="73" spans="1:20" x14ac:dyDescent="0.2">
      <c r="A73" s="5" t="s">
        <v>74</v>
      </c>
      <c r="B73" s="9" t="s">
        <v>75</v>
      </c>
      <c r="C73" s="5" t="s">
        <v>742</v>
      </c>
      <c r="D73" s="7">
        <f t="shared" si="0"/>
        <v>10.9</v>
      </c>
      <c r="E73" s="5">
        <v>0</v>
      </c>
      <c r="F73" s="5">
        <v>0</v>
      </c>
      <c r="G73" s="5">
        <v>0</v>
      </c>
      <c r="H73" s="5">
        <v>0</v>
      </c>
      <c r="I73" s="5">
        <v>0</v>
      </c>
      <c r="J73" s="9">
        <v>0</v>
      </c>
      <c r="K73" s="5">
        <v>13</v>
      </c>
      <c r="L73" s="5">
        <v>53</v>
      </c>
      <c r="M73" s="5">
        <v>0</v>
      </c>
      <c r="N73" s="9">
        <v>0</v>
      </c>
      <c r="O73" s="5">
        <v>4</v>
      </c>
      <c r="P73" s="5">
        <v>16</v>
      </c>
      <c r="Q73" s="5">
        <v>0</v>
      </c>
      <c r="R73" s="9">
        <v>0</v>
      </c>
      <c r="S73" s="5">
        <v>0</v>
      </c>
      <c r="T73" s="5">
        <v>0</v>
      </c>
    </row>
    <row r="74" spans="1:20" x14ac:dyDescent="0.2">
      <c r="A74" s="5" t="s">
        <v>528</v>
      </c>
      <c r="B74" s="9" t="s">
        <v>75</v>
      </c>
      <c r="C74" s="5" t="s">
        <v>758</v>
      </c>
      <c r="D74" s="7">
        <f t="shared" si="0"/>
        <v>7</v>
      </c>
      <c r="E74" s="5">
        <v>0</v>
      </c>
      <c r="F74" s="5">
        <v>0</v>
      </c>
      <c r="G74" s="5">
        <v>0</v>
      </c>
      <c r="H74" s="5">
        <v>0</v>
      </c>
      <c r="I74" s="5">
        <v>0</v>
      </c>
      <c r="J74" s="9">
        <v>0</v>
      </c>
      <c r="K74" s="5">
        <v>5</v>
      </c>
      <c r="L74" s="5">
        <v>-2</v>
      </c>
      <c r="M74" s="5">
        <v>0</v>
      </c>
      <c r="N74" s="9">
        <v>0</v>
      </c>
      <c r="O74" s="5">
        <v>1</v>
      </c>
      <c r="P74" s="5">
        <v>2</v>
      </c>
      <c r="Q74" s="5">
        <v>1</v>
      </c>
      <c r="R74" s="9">
        <v>0</v>
      </c>
      <c r="S74" s="5">
        <v>0</v>
      </c>
      <c r="T74" s="5">
        <v>0</v>
      </c>
    </row>
    <row r="75" spans="1:20" x14ac:dyDescent="0.2">
      <c r="A75" s="5" t="s">
        <v>113</v>
      </c>
      <c r="B75" s="9" t="s">
        <v>75</v>
      </c>
      <c r="C75" s="5" t="s">
        <v>746</v>
      </c>
      <c r="D75" s="7">
        <f t="shared" si="0"/>
        <v>11.8</v>
      </c>
      <c r="E75" s="5">
        <v>0</v>
      </c>
      <c r="F75" s="5">
        <v>0</v>
      </c>
      <c r="G75" s="5">
        <v>0</v>
      </c>
      <c r="H75" s="5">
        <v>0</v>
      </c>
      <c r="I75" s="5">
        <v>0</v>
      </c>
      <c r="J75" s="9">
        <v>0</v>
      </c>
      <c r="K75" s="5">
        <v>10</v>
      </c>
      <c r="L75" s="5">
        <v>40</v>
      </c>
      <c r="M75" s="5">
        <v>0</v>
      </c>
      <c r="N75" s="9">
        <v>0</v>
      </c>
      <c r="O75" s="5">
        <v>5</v>
      </c>
      <c r="P75" s="5">
        <v>28</v>
      </c>
      <c r="Q75" s="5">
        <v>0</v>
      </c>
      <c r="R75" s="9">
        <v>0</v>
      </c>
      <c r="S75" s="5">
        <v>0</v>
      </c>
      <c r="T75" s="5">
        <v>0</v>
      </c>
    </row>
    <row r="76" spans="1:20" x14ac:dyDescent="0.2">
      <c r="A76" s="5" t="s">
        <v>80</v>
      </c>
      <c r="B76" s="9" t="s">
        <v>75</v>
      </c>
      <c r="C76" s="5" t="s">
        <v>752</v>
      </c>
      <c r="D76" s="7">
        <f t="shared" si="0"/>
        <v>9.9</v>
      </c>
      <c r="E76" s="5">
        <v>0</v>
      </c>
      <c r="F76" s="5">
        <v>0</v>
      </c>
      <c r="G76" s="5">
        <v>0</v>
      </c>
      <c r="H76" s="5">
        <v>0</v>
      </c>
      <c r="I76" s="5">
        <v>0</v>
      </c>
      <c r="J76" s="9">
        <v>0</v>
      </c>
      <c r="K76" s="5">
        <v>10</v>
      </c>
      <c r="L76" s="5">
        <v>31</v>
      </c>
      <c r="M76" s="5">
        <v>0</v>
      </c>
      <c r="N76" s="9">
        <v>0</v>
      </c>
      <c r="O76" s="5">
        <v>4</v>
      </c>
      <c r="P76" s="5">
        <v>28</v>
      </c>
      <c r="Q76" s="5">
        <v>0</v>
      </c>
      <c r="R76" s="9">
        <v>0</v>
      </c>
      <c r="S76" s="5">
        <v>0</v>
      </c>
      <c r="T76" s="5">
        <v>0</v>
      </c>
    </row>
    <row r="77" spans="1:20" x14ac:dyDescent="0.2">
      <c r="A77" s="5" t="s">
        <v>82</v>
      </c>
      <c r="B77" s="9" t="s">
        <v>75</v>
      </c>
      <c r="C77" s="5" t="s">
        <v>750</v>
      </c>
      <c r="D77" s="7">
        <f t="shared" si="0"/>
        <v>10</v>
      </c>
      <c r="E77" s="5">
        <v>0</v>
      </c>
      <c r="F77" s="5">
        <v>0</v>
      </c>
      <c r="G77" s="5">
        <v>0</v>
      </c>
      <c r="H77" s="5">
        <v>0</v>
      </c>
      <c r="I77" s="5">
        <v>0</v>
      </c>
      <c r="J77" s="9">
        <v>0</v>
      </c>
      <c r="K77" s="5">
        <v>5</v>
      </c>
      <c r="L77" s="5">
        <v>36</v>
      </c>
      <c r="M77" s="5">
        <v>0</v>
      </c>
      <c r="N77" s="9">
        <v>0</v>
      </c>
      <c r="O77" s="5">
        <v>4</v>
      </c>
      <c r="P77" s="5">
        <v>24</v>
      </c>
      <c r="Q77" s="5">
        <v>0</v>
      </c>
      <c r="R77" s="9">
        <v>0</v>
      </c>
      <c r="S77" s="5">
        <v>0</v>
      </c>
      <c r="T77" s="5">
        <v>0</v>
      </c>
    </row>
    <row r="78" spans="1:20" x14ac:dyDescent="0.2">
      <c r="A78" s="5" t="s">
        <v>655</v>
      </c>
      <c r="B78" s="9" t="s">
        <v>75</v>
      </c>
      <c r="C78" s="5" t="s">
        <v>753</v>
      </c>
      <c r="D78" s="7">
        <f t="shared" si="0"/>
        <v>6.8000000000000007</v>
      </c>
      <c r="E78" s="5">
        <v>0</v>
      </c>
      <c r="F78" s="5">
        <v>0</v>
      </c>
      <c r="G78" s="5">
        <v>0</v>
      </c>
      <c r="H78" s="5">
        <v>0</v>
      </c>
      <c r="I78" s="5">
        <v>0</v>
      </c>
      <c r="J78" s="9">
        <v>0</v>
      </c>
      <c r="K78" s="5">
        <v>9</v>
      </c>
      <c r="L78" s="5">
        <v>54</v>
      </c>
      <c r="M78" s="5">
        <v>0</v>
      </c>
      <c r="N78" s="9">
        <v>0</v>
      </c>
      <c r="O78" s="5">
        <v>1</v>
      </c>
      <c r="P78" s="5">
        <v>4</v>
      </c>
      <c r="Q78" s="5">
        <v>0</v>
      </c>
      <c r="R78" s="9">
        <v>0</v>
      </c>
      <c r="S78" s="5">
        <v>0</v>
      </c>
      <c r="T78" s="5">
        <v>0</v>
      </c>
    </row>
    <row r="79" spans="1:20" x14ac:dyDescent="0.2">
      <c r="A79" s="5" t="s">
        <v>79</v>
      </c>
      <c r="B79" s="9" t="s">
        <v>75</v>
      </c>
      <c r="C79" s="5" t="s">
        <v>753</v>
      </c>
      <c r="D79" s="7">
        <f t="shared" si="0"/>
        <v>7.7</v>
      </c>
      <c r="E79" s="5">
        <v>0</v>
      </c>
      <c r="F79" s="5">
        <v>0</v>
      </c>
      <c r="G79" s="5">
        <v>0</v>
      </c>
      <c r="H79" s="5">
        <v>0</v>
      </c>
      <c r="I79" s="5">
        <v>0</v>
      </c>
      <c r="J79" s="9">
        <v>0</v>
      </c>
      <c r="K79" s="5">
        <v>11</v>
      </c>
      <c r="L79" s="5">
        <v>52</v>
      </c>
      <c r="M79" s="5">
        <v>0</v>
      </c>
      <c r="N79" s="9">
        <v>0</v>
      </c>
      <c r="O79" s="5">
        <v>2</v>
      </c>
      <c r="P79" s="5">
        <v>5</v>
      </c>
      <c r="Q79" s="5">
        <v>0</v>
      </c>
      <c r="R79" s="9">
        <v>0</v>
      </c>
      <c r="S79" s="5">
        <v>0</v>
      </c>
      <c r="T79" s="5">
        <v>0</v>
      </c>
    </row>
    <row r="80" spans="1:20" x14ac:dyDescent="0.2">
      <c r="A80" s="5" t="s">
        <v>393</v>
      </c>
      <c r="B80" s="9" t="s">
        <v>75</v>
      </c>
      <c r="C80" s="5" t="s">
        <v>743</v>
      </c>
      <c r="D80" s="7">
        <f t="shared" si="0"/>
        <v>5</v>
      </c>
      <c r="E80" s="5">
        <v>0</v>
      </c>
      <c r="F80" s="5">
        <v>0</v>
      </c>
      <c r="G80" s="5">
        <v>0</v>
      </c>
      <c r="H80" s="5">
        <v>0</v>
      </c>
      <c r="I80" s="5">
        <v>0</v>
      </c>
      <c r="J80" s="9">
        <v>0</v>
      </c>
      <c r="K80" s="5">
        <v>16</v>
      </c>
      <c r="L80" s="5">
        <v>50</v>
      </c>
      <c r="M80" s="5">
        <v>0</v>
      </c>
      <c r="N80" s="9">
        <v>0</v>
      </c>
      <c r="O80" s="5">
        <v>0</v>
      </c>
      <c r="P80" s="5">
        <v>0</v>
      </c>
      <c r="Q80" s="5">
        <v>0</v>
      </c>
      <c r="R80" s="9">
        <v>0</v>
      </c>
      <c r="S80" s="5">
        <v>0</v>
      </c>
      <c r="T80" s="5">
        <v>0</v>
      </c>
    </row>
    <row r="81" spans="1:20" x14ac:dyDescent="0.2">
      <c r="A81" s="5" t="s">
        <v>380</v>
      </c>
      <c r="B81" s="9" t="s">
        <v>75</v>
      </c>
      <c r="C81" s="5" t="s">
        <v>743</v>
      </c>
      <c r="D81" s="7">
        <f t="shared" si="0"/>
        <v>6.5</v>
      </c>
      <c r="E81" s="5">
        <v>0</v>
      </c>
      <c r="F81" s="5">
        <v>0</v>
      </c>
      <c r="G81" s="5">
        <v>0</v>
      </c>
      <c r="H81" s="5">
        <v>0</v>
      </c>
      <c r="I81" s="5">
        <v>0</v>
      </c>
      <c r="J81" s="9">
        <v>0</v>
      </c>
      <c r="K81" s="5">
        <v>6</v>
      </c>
      <c r="L81" s="5">
        <v>32</v>
      </c>
      <c r="M81" s="5">
        <v>0</v>
      </c>
      <c r="N81" s="9">
        <v>0</v>
      </c>
      <c r="O81" s="5">
        <v>2</v>
      </c>
      <c r="P81" s="5">
        <v>13</v>
      </c>
      <c r="Q81" s="5">
        <v>0</v>
      </c>
      <c r="R81" s="9">
        <v>0</v>
      </c>
      <c r="S81" s="5">
        <v>0</v>
      </c>
      <c r="T81" s="5">
        <v>0</v>
      </c>
    </row>
    <row r="82" spans="1:20" x14ac:dyDescent="0.2">
      <c r="A82" s="5" t="s">
        <v>78</v>
      </c>
      <c r="B82" s="9" t="s">
        <v>75</v>
      </c>
      <c r="C82" s="5" t="s">
        <v>758</v>
      </c>
      <c r="D82" s="7">
        <f t="shared" si="0"/>
        <v>6.1</v>
      </c>
      <c r="E82" s="5">
        <v>0</v>
      </c>
      <c r="F82" s="5">
        <v>0</v>
      </c>
      <c r="G82" s="5">
        <v>0</v>
      </c>
      <c r="H82" s="5">
        <v>0</v>
      </c>
      <c r="I82" s="5">
        <v>0</v>
      </c>
      <c r="J82" s="9">
        <v>0</v>
      </c>
      <c r="K82" s="5">
        <v>14</v>
      </c>
      <c r="L82" s="5">
        <v>45</v>
      </c>
      <c r="M82" s="5">
        <v>0</v>
      </c>
      <c r="N82" s="9">
        <v>0</v>
      </c>
      <c r="O82" s="5">
        <v>1</v>
      </c>
      <c r="P82" s="5">
        <v>6</v>
      </c>
      <c r="Q82" s="5">
        <v>0</v>
      </c>
      <c r="R82" s="9">
        <v>0</v>
      </c>
      <c r="S82" s="5">
        <v>0</v>
      </c>
      <c r="T82" s="5">
        <v>0</v>
      </c>
    </row>
    <row r="83" spans="1:20" x14ac:dyDescent="0.2">
      <c r="A83" s="5" t="s">
        <v>395</v>
      </c>
      <c r="B83" s="9" t="s">
        <v>75</v>
      </c>
      <c r="C83" s="5" t="s">
        <v>747</v>
      </c>
      <c r="D83" s="7">
        <f t="shared" si="0"/>
        <v>8.1000000000000014</v>
      </c>
      <c r="E83" s="5">
        <v>0</v>
      </c>
      <c r="F83" s="5">
        <v>0</v>
      </c>
      <c r="G83" s="5">
        <v>0</v>
      </c>
      <c r="H83" s="5">
        <v>0</v>
      </c>
      <c r="I83" s="5">
        <v>0</v>
      </c>
      <c r="J83" s="9">
        <v>0</v>
      </c>
      <c r="K83" s="5">
        <v>7</v>
      </c>
      <c r="L83" s="5">
        <v>23</v>
      </c>
      <c r="M83" s="5">
        <v>0</v>
      </c>
      <c r="N83" s="9">
        <v>0</v>
      </c>
      <c r="O83" s="5">
        <v>3</v>
      </c>
      <c r="P83" s="5">
        <v>28</v>
      </c>
      <c r="Q83" s="5">
        <v>0</v>
      </c>
      <c r="R83" s="9">
        <v>0</v>
      </c>
      <c r="S83" s="5">
        <v>0</v>
      </c>
      <c r="T83" s="5">
        <v>0</v>
      </c>
    </row>
    <row r="84" spans="1:20" x14ac:dyDescent="0.2">
      <c r="A84" s="5" t="s">
        <v>110</v>
      </c>
      <c r="B84" s="9" t="s">
        <v>75</v>
      </c>
      <c r="C84" s="5" t="s">
        <v>751</v>
      </c>
      <c r="D84" s="7">
        <f t="shared" si="0"/>
        <v>9.6</v>
      </c>
      <c r="E84" s="5">
        <v>0</v>
      </c>
      <c r="F84" s="5">
        <v>0</v>
      </c>
      <c r="G84" s="5">
        <v>0</v>
      </c>
      <c r="H84" s="5">
        <v>0</v>
      </c>
      <c r="I84" s="5">
        <v>0</v>
      </c>
      <c r="J84" s="9">
        <v>0</v>
      </c>
      <c r="K84" s="5">
        <v>11</v>
      </c>
      <c r="L84" s="5">
        <v>25</v>
      </c>
      <c r="M84" s="5">
        <v>0</v>
      </c>
      <c r="N84" s="9">
        <v>0</v>
      </c>
      <c r="O84" s="5">
        <v>5</v>
      </c>
      <c r="P84" s="5">
        <v>21</v>
      </c>
      <c r="Q84" s="5">
        <v>0</v>
      </c>
      <c r="R84" s="9">
        <v>0</v>
      </c>
      <c r="S84" s="5">
        <v>0</v>
      </c>
      <c r="T84" s="5">
        <v>0</v>
      </c>
    </row>
    <row r="85" spans="1:20" x14ac:dyDescent="0.2">
      <c r="A85" s="5" t="s">
        <v>98</v>
      </c>
      <c r="B85" s="9" t="s">
        <v>75</v>
      </c>
      <c r="C85" s="5" t="s">
        <v>741</v>
      </c>
      <c r="D85" s="7">
        <f t="shared" si="0"/>
        <v>5.8000000000000007</v>
      </c>
      <c r="E85" s="5">
        <v>0</v>
      </c>
      <c r="F85" s="5">
        <v>0</v>
      </c>
      <c r="G85" s="5">
        <v>0</v>
      </c>
      <c r="H85" s="5">
        <v>0</v>
      </c>
      <c r="I85" s="5">
        <v>0</v>
      </c>
      <c r="J85" s="9">
        <v>0</v>
      </c>
      <c r="K85" s="5">
        <v>6</v>
      </c>
      <c r="L85" s="5">
        <v>37</v>
      </c>
      <c r="M85" s="5">
        <v>0</v>
      </c>
      <c r="N85" s="9">
        <v>0</v>
      </c>
      <c r="O85" s="5">
        <v>1</v>
      </c>
      <c r="P85" s="5">
        <v>11</v>
      </c>
      <c r="Q85" s="5">
        <v>0</v>
      </c>
      <c r="R85" s="9">
        <v>0</v>
      </c>
      <c r="S85" s="5">
        <v>0</v>
      </c>
      <c r="T85" s="5">
        <v>0</v>
      </c>
    </row>
    <row r="86" spans="1:20" x14ac:dyDescent="0.2">
      <c r="A86" s="5" t="s">
        <v>101</v>
      </c>
      <c r="B86" s="9" t="s">
        <v>75</v>
      </c>
      <c r="C86" s="5" t="s">
        <v>745</v>
      </c>
      <c r="D86" s="7">
        <f t="shared" si="0"/>
        <v>5.7000000000000011</v>
      </c>
      <c r="E86" s="5">
        <v>0</v>
      </c>
      <c r="F86" s="5">
        <v>0</v>
      </c>
      <c r="G86" s="5">
        <v>0</v>
      </c>
      <c r="H86" s="5">
        <v>0</v>
      </c>
      <c r="I86" s="5">
        <v>0</v>
      </c>
      <c r="J86" s="9">
        <v>0</v>
      </c>
      <c r="K86" s="5">
        <v>9</v>
      </c>
      <c r="L86" s="5">
        <v>14</v>
      </c>
      <c r="M86" s="5">
        <v>0</v>
      </c>
      <c r="N86" s="9">
        <v>0</v>
      </c>
      <c r="O86" s="5">
        <v>2</v>
      </c>
      <c r="P86" s="5">
        <v>23</v>
      </c>
      <c r="Q86" s="5">
        <v>0</v>
      </c>
      <c r="R86" s="9">
        <v>0</v>
      </c>
      <c r="S86" s="5">
        <v>0</v>
      </c>
      <c r="T86" s="5">
        <v>0</v>
      </c>
    </row>
    <row r="87" spans="1:20" x14ac:dyDescent="0.2">
      <c r="A87" s="5" t="s">
        <v>123</v>
      </c>
      <c r="B87" s="9" t="s">
        <v>75</v>
      </c>
      <c r="C87" s="5" t="s">
        <v>744</v>
      </c>
      <c r="D87" s="7">
        <f t="shared" si="0"/>
        <v>6.7</v>
      </c>
      <c r="E87" s="5">
        <v>0</v>
      </c>
      <c r="F87" s="5">
        <v>0</v>
      </c>
      <c r="G87" s="5">
        <v>0</v>
      </c>
      <c r="H87" s="5">
        <v>0</v>
      </c>
      <c r="I87" s="5">
        <v>0</v>
      </c>
      <c r="J87" s="9">
        <v>0</v>
      </c>
      <c r="K87" s="5">
        <v>3</v>
      </c>
      <c r="L87" s="5">
        <v>27</v>
      </c>
      <c r="M87" s="5">
        <v>0</v>
      </c>
      <c r="N87" s="9">
        <v>0</v>
      </c>
      <c r="O87" s="5">
        <v>3</v>
      </c>
      <c r="P87" s="5">
        <v>10</v>
      </c>
      <c r="Q87" s="5">
        <v>0</v>
      </c>
      <c r="R87" s="9">
        <v>0</v>
      </c>
      <c r="S87" s="5">
        <v>0</v>
      </c>
      <c r="T87" s="5">
        <v>0</v>
      </c>
    </row>
    <row r="88" spans="1:20" x14ac:dyDescent="0.2">
      <c r="A88" s="5" t="s">
        <v>136</v>
      </c>
      <c r="B88" s="9" t="s">
        <v>75</v>
      </c>
      <c r="C88" s="5" t="s">
        <v>750</v>
      </c>
      <c r="D88" s="7">
        <f t="shared" si="0"/>
        <v>7.1</v>
      </c>
      <c r="E88" s="5">
        <v>0</v>
      </c>
      <c r="F88" s="5">
        <v>0</v>
      </c>
      <c r="G88" s="5">
        <v>0</v>
      </c>
      <c r="H88" s="5">
        <v>0</v>
      </c>
      <c r="I88" s="5">
        <v>0</v>
      </c>
      <c r="J88" s="9">
        <v>0</v>
      </c>
      <c r="K88" s="5">
        <v>8</v>
      </c>
      <c r="L88" s="5">
        <v>20</v>
      </c>
      <c r="M88" s="5">
        <v>0</v>
      </c>
      <c r="N88" s="9">
        <v>0</v>
      </c>
      <c r="O88" s="5">
        <v>4</v>
      </c>
      <c r="P88" s="5">
        <v>11</v>
      </c>
      <c r="Q88" s="5">
        <v>0</v>
      </c>
      <c r="R88" s="9">
        <v>0</v>
      </c>
      <c r="S88" s="5">
        <v>0</v>
      </c>
      <c r="T88" s="5">
        <v>0</v>
      </c>
    </row>
    <row r="89" spans="1:20" x14ac:dyDescent="0.2">
      <c r="A89" s="5" t="s">
        <v>145</v>
      </c>
      <c r="B89" s="9" t="s">
        <v>75</v>
      </c>
      <c r="C89" s="5" t="s">
        <v>748</v>
      </c>
      <c r="D89" s="7">
        <f t="shared" si="0"/>
        <v>8.5</v>
      </c>
      <c r="E89" s="5">
        <v>0</v>
      </c>
      <c r="F89" s="5">
        <v>0</v>
      </c>
      <c r="G89" s="5">
        <v>0</v>
      </c>
      <c r="H89" s="5">
        <v>0</v>
      </c>
      <c r="I89" s="5">
        <v>0</v>
      </c>
      <c r="J89" s="9">
        <v>0</v>
      </c>
      <c r="K89" s="5">
        <v>4</v>
      </c>
      <c r="L89" s="5">
        <v>15</v>
      </c>
      <c r="M89" s="5">
        <v>0</v>
      </c>
      <c r="N89" s="9">
        <v>0</v>
      </c>
      <c r="O89" s="5">
        <v>5</v>
      </c>
      <c r="P89" s="5">
        <v>20</v>
      </c>
      <c r="Q89" s="5">
        <v>0</v>
      </c>
      <c r="R89" s="9">
        <v>0</v>
      </c>
      <c r="S89" s="5">
        <v>0</v>
      </c>
      <c r="T89" s="5">
        <v>0</v>
      </c>
    </row>
    <row r="90" spans="1:20" x14ac:dyDescent="0.2">
      <c r="A90" s="5" t="s">
        <v>158</v>
      </c>
      <c r="B90" s="9" t="s">
        <v>75</v>
      </c>
      <c r="C90" s="5" t="s">
        <v>748</v>
      </c>
      <c r="D90" s="7">
        <f t="shared" si="0"/>
        <v>3.5</v>
      </c>
      <c r="E90" s="5">
        <v>0</v>
      </c>
      <c r="F90" s="5">
        <v>0</v>
      </c>
      <c r="G90" s="5">
        <v>0</v>
      </c>
      <c r="H90" s="5">
        <v>0</v>
      </c>
      <c r="I90" s="5">
        <v>0</v>
      </c>
      <c r="J90" s="9">
        <v>0</v>
      </c>
      <c r="K90" s="5">
        <v>10</v>
      </c>
      <c r="L90" s="5">
        <v>35</v>
      </c>
      <c r="M90" s="5">
        <v>0</v>
      </c>
      <c r="N90" s="9">
        <v>0</v>
      </c>
      <c r="O90" s="5">
        <v>0</v>
      </c>
      <c r="P90" s="5">
        <v>0</v>
      </c>
      <c r="Q90" s="5">
        <v>0</v>
      </c>
      <c r="R90" s="9">
        <v>0</v>
      </c>
      <c r="S90" s="5">
        <v>0</v>
      </c>
      <c r="T90" s="5">
        <v>0</v>
      </c>
    </row>
    <row r="91" spans="1:20" x14ac:dyDescent="0.2">
      <c r="A91" s="5" t="s">
        <v>129</v>
      </c>
      <c r="B91" s="9" t="s">
        <v>75</v>
      </c>
      <c r="C91" s="5" t="s">
        <v>757</v>
      </c>
      <c r="D91" s="7">
        <f t="shared" si="0"/>
        <v>4.7</v>
      </c>
      <c r="E91" s="5">
        <v>0</v>
      </c>
      <c r="F91" s="5">
        <v>0</v>
      </c>
      <c r="G91" s="5">
        <v>0</v>
      </c>
      <c r="H91" s="5">
        <v>0</v>
      </c>
      <c r="I91" s="5">
        <v>0</v>
      </c>
      <c r="J91" s="9">
        <v>0</v>
      </c>
      <c r="K91" s="5">
        <v>9</v>
      </c>
      <c r="L91" s="5">
        <v>30</v>
      </c>
      <c r="M91" s="5">
        <v>0</v>
      </c>
      <c r="N91" s="9">
        <v>0</v>
      </c>
      <c r="O91" s="5">
        <v>1</v>
      </c>
      <c r="P91" s="5">
        <v>7</v>
      </c>
      <c r="Q91" s="5">
        <v>0</v>
      </c>
      <c r="R91" s="9">
        <v>0</v>
      </c>
      <c r="S91" s="5">
        <v>0</v>
      </c>
      <c r="T91" s="5">
        <v>0</v>
      </c>
    </row>
    <row r="92" spans="1:20" x14ac:dyDescent="0.2">
      <c r="A92" s="5" t="s">
        <v>142</v>
      </c>
      <c r="B92" s="9" t="s">
        <v>75</v>
      </c>
      <c r="C92" s="5" t="s">
        <v>745</v>
      </c>
      <c r="D92" s="7">
        <f t="shared" si="0"/>
        <v>4.0999999999999996</v>
      </c>
      <c r="E92" s="5">
        <v>0</v>
      </c>
      <c r="F92" s="5">
        <v>0</v>
      </c>
      <c r="G92" s="5">
        <v>0</v>
      </c>
      <c r="H92" s="5">
        <v>0</v>
      </c>
      <c r="I92" s="5">
        <v>0</v>
      </c>
      <c r="J92" s="9">
        <v>0</v>
      </c>
      <c r="K92" s="5">
        <v>3</v>
      </c>
      <c r="L92" s="5">
        <v>10</v>
      </c>
      <c r="M92" s="5">
        <v>0</v>
      </c>
      <c r="N92" s="9">
        <v>0</v>
      </c>
      <c r="O92" s="5">
        <v>2</v>
      </c>
      <c r="P92" s="5">
        <v>11</v>
      </c>
      <c r="Q92" s="5">
        <v>0</v>
      </c>
      <c r="R92" s="9">
        <v>0</v>
      </c>
      <c r="S92" s="5">
        <v>0</v>
      </c>
      <c r="T92" s="5">
        <v>0</v>
      </c>
    </row>
    <row r="93" spans="1:20" x14ac:dyDescent="0.2">
      <c r="A93" s="5" t="s">
        <v>76</v>
      </c>
      <c r="B93" s="9" t="s">
        <v>75</v>
      </c>
      <c r="C93" s="5" t="s">
        <v>743</v>
      </c>
      <c r="D93" s="7">
        <f t="shared" si="0"/>
        <v>7.8000000000000007</v>
      </c>
      <c r="E93" s="5">
        <v>0</v>
      </c>
      <c r="F93" s="5">
        <v>0</v>
      </c>
      <c r="G93" s="5">
        <v>0</v>
      </c>
      <c r="H93" s="5">
        <v>0</v>
      </c>
      <c r="I93" s="5">
        <v>0</v>
      </c>
      <c r="J93" s="9">
        <v>0</v>
      </c>
      <c r="K93" s="5">
        <v>5</v>
      </c>
      <c r="L93" s="5">
        <v>9</v>
      </c>
      <c r="M93" s="5">
        <v>0</v>
      </c>
      <c r="N93" s="9">
        <v>0</v>
      </c>
      <c r="O93" s="5">
        <v>4</v>
      </c>
      <c r="P93" s="5">
        <v>29</v>
      </c>
      <c r="Q93" s="5">
        <v>0</v>
      </c>
      <c r="R93" s="9">
        <v>0</v>
      </c>
      <c r="S93" s="5">
        <v>0</v>
      </c>
      <c r="T93" s="5">
        <v>0</v>
      </c>
    </row>
    <row r="94" spans="1:20" x14ac:dyDescent="0.2">
      <c r="A94" s="5" t="s">
        <v>97</v>
      </c>
      <c r="B94" s="9" t="s">
        <v>75</v>
      </c>
      <c r="C94" s="5" t="s">
        <v>749</v>
      </c>
      <c r="D94" s="7">
        <f t="shared" si="0"/>
        <v>2.1</v>
      </c>
      <c r="E94" s="5">
        <v>0</v>
      </c>
      <c r="F94" s="5">
        <v>0</v>
      </c>
      <c r="G94" s="5">
        <v>0</v>
      </c>
      <c r="H94" s="5">
        <v>0</v>
      </c>
      <c r="I94" s="5">
        <v>0</v>
      </c>
      <c r="J94" s="9">
        <v>0</v>
      </c>
      <c r="K94" s="5">
        <v>6</v>
      </c>
      <c r="L94" s="5">
        <v>21</v>
      </c>
      <c r="M94" s="5">
        <v>0</v>
      </c>
      <c r="N94" s="9">
        <v>0</v>
      </c>
      <c r="O94" s="5">
        <v>0</v>
      </c>
      <c r="P94" s="5">
        <v>0</v>
      </c>
      <c r="Q94" s="5">
        <v>0</v>
      </c>
      <c r="R94" s="9">
        <v>0</v>
      </c>
      <c r="S94" s="5">
        <v>0</v>
      </c>
      <c r="T94" s="5">
        <v>0</v>
      </c>
    </row>
    <row r="95" spans="1:20" x14ac:dyDescent="0.2">
      <c r="A95" s="5" t="s">
        <v>117</v>
      </c>
      <c r="B95" s="9" t="s">
        <v>75</v>
      </c>
      <c r="C95" s="5" t="s">
        <v>746</v>
      </c>
      <c r="D95" s="7">
        <f t="shared" si="0"/>
        <v>1.3000000000000003</v>
      </c>
      <c r="E95" s="5">
        <v>0</v>
      </c>
      <c r="F95" s="5">
        <v>0</v>
      </c>
      <c r="G95" s="5">
        <v>0</v>
      </c>
      <c r="H95" s="5">
        <v>0</v>
      </c>
      <c r="I95" s="5">
        <v>0</v>
      </c>
      <c r="J95" s="9">
        <v>0</v>
      </c>
      <c r="K95" s="5">
        <v>12</v>
      </c>
      <c r="L95" s="5">
        <v>33</v>
      </c>
      <c r="M95" s="5">
        <v>0</v>
      </c>
      <c r="N95" s="9">
        <v>0</v>
      </c>
      <c r="O95" s="5">
        <v>0</v>
      </c>
      <c r="P95" s="5">
        <v>0</v>
      </c>
      <c r="Q95" s="5">
        <v>0</v>
      </c>
      <c r="R95" s="9">
        <v>0</v>
      </c>
      <c r="S95" s="5">
        <v>1</v>
      </c>
      <c r="T95" s="5">
        <v>0</v>
      </c>
    </row>
    <row r="96" spans="1:20" x14ac:dyDescent="0.2">
      <c r="A96" s="5" t="s">
        <v>91</v>
      </c>
      <c r="B96" s="9" t="s">
        <v>75</v>
      </c>
      <c r="C96" s="5" t="s">
        <v>752</v>
      </c>
      <c r="D96" s="7">
        <f t="shared" si="0"/>
        <v>2.3000000000000003</v>
      </c>
      <c r="E96" s="5">
        <v>0</v>
      </c>
      <c r="F96" s="5">
        <v>0</v>
      </c>
      <c r="G96" s="5">
        <v>0</v>
      </c>
      <c r="H96" s="5">
        <v>0</v>
      </c>
      <c r="I96" s="5">
        <v>0</v>
      </c>
      <c r="J96" s="9">
        <v>0</v>
      </c>
      <c r="K96" s="5">
        <v>5</v>
      </c>
      <c r="L96" s="5">
        <v>23</v>
      </c>
      <c r="M96" s="5">
        <v>0</v>
      </c>
      <c r="N96" s="9">
        <v>0</v>
      </c>
      <c r="O96" s="5">
        <v>0</v>
      </c>
      <c r="P96" s="5">
        <v>0</v>
      </c>
      <c r="Q96" s="5">
        <v>0</v>
      </c>
      <c r="R96" s="9">
        <v>0</v>
      </c>
      <c r="S96" s="5">
        <v>0</v>
      </c>
      <c r="T96" s="5">
        <v>0</v>
      </c>
    </row>
    <row r="97" spans="1:20" x14ac:dyDescent="0.2">
      <c r="A97" s="5" t="s">
        <v>453</v>
      </c>
      <c r="B97" s="9" t="s">
        <v>75</v>
      </c>
      <c r="C97" s="5" t="s">
        <v>744</v>
      </c>
      <c r="D97" s="7">
        <f t="shared" si="0"/>
        <v>4.5999999999999996</v>
      </c>
      <c r="E97" s="5">
        <v>0</v>
      </c>
      <c r="F97" s="5">
        <v>0</v>
      </c>
      <c r="G97" s="5">
        <v>0</v>
      </c>
      <c r="H97" s="5">
        <v>0</v>
      </c>
      <c r="I97" s="5">
        <v>0</v>
      </c>
      <c r="J97" s="9">
        <v>0</v>
      </c>
      <c r="K97" s="5">
        <v>0</v>
      </c>
      <c r="L97" s="5">
        <v>0</v>
      </c>
      <c r="M97" s="5">
        <v>0</v>
      </c>
      <c r="N97" s="9">
        <v>0</v>
      </c>
      <c r="O97" s="5">
        <v>2</v>
      </c>
      <c r="P97" s="5">
        <v>26</v>
      </c>
      <c r="Q97" s="5">
        <v>0</v>
      </c>
      <c r="R97" s="9">
        <v>0</v>
      </c>
      <c r="S97" s="5">
        <v>0</v>
      </c>
      <c r="T97" s="5">
        <v>0</v>
      </c>
    </row>
    <row r="98" spans="1:20" x14ac:dyDescent="0.2">
      <c r="A98" s="5" t="s">
        <v>451</v>
      </c>
      <c r="B98" s="9" t="s">
        <v>75</v>
      </c>
      <c r="C98" s="5" t="s">
        <v>744</v>
      </c>
      <c r="D98" s="7">
        <f t="shared" si="0"/>
        <v>2</v>
      </c>
      <c r="E98" s="5">
        <v>0</v>
      </c>
      <c r="F98" s="5">
        <v>0</v>
      </c>
      <c r="G98" s="5">
        <v>0</v>
      </c>
      <c r="H98" s="5">
        <v>0</v>
      </c>
      <c r="I98" s="5">
        <v>0</v>
      </c>
      <c r="J98" s="9">
        <v>0</v>
      </c>
      <c r="K98" s="5">
        <v>5</v>
      </c>
      <c r="L98" s="5">
        <v>20</v>
      </c>
      <c r="M98" s="5">
        <v>0</v>
      </c>
      <c r="N98" s="9">
        <v>0</v>
      </c>
      <c r="O98" s="5">
        <v>0</v>
      </c>
      <c r="P98" s="5">
        <v>0</v>
      </c>
      <c r="Q98" s="5">
        <v>0</v>
      </c>
      <c r="R98" s="9">
        <v>0</v>
      </c>
      <c r="S98" s="5">
        <v>0</v>
      </c>
      <c r="T98" s="5">
        <v>0</v>
      </c>
    </row>
    <row r="99" spans="1:20" x14ac:dyDescent="0.2">
      <c r="A99" s="5" t="s">
        <v>115</v>
      </c>
      <c r="B99" s="9" t="s">
        <v>75</v>
      </c>
      <c r="C99" s="5" t="s">
        <v>745</v>
      </c>
      <c r="D99" s="7">
        <f t="shared" si="0"/>
        <v>3.6000000000000005</v>
      </c>
      <c r="E99" s="5">
        <v>0</v>
      </c>
      <c r="F99" s="5">
        <v>0</v>
      </c>
      <c r="G99" s="5">
        <v>0</v>
      </c>
      <c r="H99" s="5">
        <v>0</v>
      </c>
      <c r="I99" s="5">
        <v>0</v>
      </c>
      <c r="J99" s="9">
        <v>0</v>
      </c>
      <c r="K99" s="5">
        <v>8</v>
      </c>
      <c r="L99" s="5">
        <v>24</v>
      </c>
      <c r="M99" s="5">
        <v>0</v>
      </c>
      <c r="N99" s="9">
        <v>0</v>
      </c>
      <c r="O99" s="5">
        <v>1</v>
      </c>
      <c r="P99" s="5">
        <v>2</v>
      </c>
      <c r="Q99" s="5">
        <v>0</v>
      </c>
      <c r="R99" s="9">
        <v>0</v>
      </c>
      <c r="S99" s="5">
        <v>0</v>
      </c>
      <c r="T99" s="5">
        <v>0</v>
      </c>
    </row>
    <row r="100" spans="1:20" x14ac:dyDescent="0.2">
      <c r="A100" s="5" t="s">
        <v>105</v>
      </c>
      <c r="B100" s="9" t="s">
        <v>75</v>
      </c>
      <c r="C100" s="5" t="s">
        <v>741</v>
      </c>
      <c r="D100" s="7">
        <f t="shared" si="0"/>
        <v>4</v>
      </c>
      <c r="E100" s="5">
        <v>0</v>
      </c>
      <c r="F100" s="5">
        <v>0</v>
      </c>
      <c r="G100" s="5">
        <v>0</v>
      </c>
      <c r="H100" s="5">
        <v>0</v>
      </c>
      <c r="I100" s="5">
        <v>0</v>
      </c>
      <c r="J100" s="9">
        <v>0</v>
      </c>
      <c r="K100" s="5">
        <v>12</v>
      </c>
      <c r="L100" s="5">
        <v>27</v>
      </c>
      <c r="M100" s="5">
        <v>0</v>
      </c>
      <c r="N100" s="9">
        <v>0</v>
      </c>
      <c r="O100" s="5">
        <v>2</v>
      </c>
      <c r="P100" s="5">
        <v>-7</v>
      </c>
      <c r="Q100" s="5">
        <v>0</v>
      </c>
      <c r="R100" s="9">
        <v>0</v>
      </c>
      <c r="S100" s="5">
        <v>0</v>
      </c>
      <c r="T100" s="5">
        <v>0</v>
      </c>
    </row>
    <row r="101" spans="1:20" x14ac:dyDescent="0.2">
      <c r="A101" s="5" t="s">
        <v>676</v>
      </c>
      <c r="B101" s="9" t="s">
        <v>75</v>
      </c>
      <c r="C101" s="5" t="s">
        <v>755</v>
      </c>
      <c r="D101" s="7">
        <f t="shared" si="0"/>
        <v>3.9</v>
      </c>
      <c r="E101" s="5">
        <v>0</v>
      </c>
      <c r="F101" s="5">
        <v>0</v>
      </c>
      <c r="G101" s="5">
        <v>0</v>
      </c>
      <c r="H101" s="5">
        <v>0</v>
      </c>
      <c r="I101" s="5">
        <v>0</v>
      </c>
      <c r="J101" s="9">
        <v>0</v>
      </c>
      <c r="K101" s="5">
        <v>4</v>
      </c>
      <c r="L101" s="5">
        <v>8</v>
      </c>
      <c r="M101" s="5">
        <v>0</v>
      </c>
      <c r="N101" s="9">
        <v>0</v>
      </c>
      <c r="O101" s="5">
        <v>2</v>
      </c>
      <c r="P101" s="5">
        <v>11</v>
      </c>
      <c r="Q101" s="5">
        <v>0</v>
      </c>
      <c r="R101" s="9">
        <v>0</v>
      </c>
      <c r="S101" s="5">
        <v>0</v>
      </c>
      <c r="T101" s="5">
        <v>0</v>
      </c>
    </row>
    <row r="102" spans="1:20" x14ac:dyDescent="0.2">
      <c r="A102" s="5" t="s">
        <v>144</v>
      </c>
      <c r="B102" s="9" t="s">
        <v>75</v>
      </c>
      <c r="C102" s="5" t="s">
        <v>749</v>
      </c>
      <c r="D102" s="7">
        <f t="shared" si="0"/>
        <v>1.6</v>
      </c>
      <c r="E102" s="5">
        <v>0</v>
      </c>
      <c r="F102" s="5">
        <v>0</v>
      </c>
      <c r="G102" s="5">
        <v>0</v>
      </c>
      <c r="H102" s="5">
        <v>0</v>
      </c>
      <c r="I102" s="5">
        <v>0</v>
      </c>
      <c r="J102" s="9">
        <v>0</v>
      </c>
      <c r="K102" s="5">
        <v>4</v>
      </c>
      <c r="L102" s="5">
        <v>16</v>
      </c>
      <c r="M102" s="5">
        <v>0</v>
      </c>
      <c r="N102" s="9">
        <v>0</v>
      </c>
      <c r="O102" s="5">
        <v>0</v>
      </c>
      <c r="P102" s="5">
        <v>0</v>
      </c>
      <c r="Q102" s="5">
        <v>0</v>
      </c>
      <c r="R102" s="9">
        <v>0</v>
      </c>
      <c r="S102" s="5">
        <v>0</v>
      </c>
      <c r="T102" s="5">
        <v>0</v>
      </c>
    </row>
    <row r="103" spans="1:20" x14ac:dyDescent="0.2">
      <c r="A103" s="5" t="s">
        <v>154</v>
      </c>
      <c r="B103" s="9" t="s">
        <v>75</v>
      </c>
      <c r="C103" s="5" t="s">
        <v>742</v>
      </c>
      <c r="D103" s="7">
        <f t="shared" si="0"/>
        <v>1.3</v>
      </c>
      <c r="E103" s="5">
        <v>0</v>
      </c>
      <c r="F103" s="5">
        <v>0</v>
      </c>
      <c r="G103" s="5">
        <v>0</v>
      </c>
      <c r="H103" s="5">
        <v>0</v>
      </c>
      <c r="I103" s="5">
        <v>0</v>
      </c>
      <c r="J103" s="9">
        <v>0</v>
      </c>
      <c r="K103" s="5">
        <v>3</v>
      </c>
      <c r="L103" s="5">
        <v>13</v>
      </c>
      <c r="M103" s="5">
        <v>0</v>
      </c>
      <c r="N103" s="9">
        <v>0</v>
      </c>
      <c r="O103" s="5">
        <v>0</v>
      </c>
      <c r="P103" s="5">
        <v>0</v>
      </c>
      <c r="Q103" s="5">
        <v>0</v>
      </c>
      <c r="R103" s="9">
        <v>0</v>
      </c>
      <c r="S103" s="5">
        <v>0</v>
      </c>
      <c r="T103" s="5">
        <v>0</v>
      </c>
    </row>
    <row r="104" spans="1:20" x14ac:dyDescent="0.2">
      <c r="A104" s="5" t="s">
        <v>575</v>
      </c>
      <c r="B104" s="9" t="s">
        <v>75</v>
      </c>
      <c r="C104" s="5" t="s">
        <v>748</v>
      </c>
      <c r="D104" s="7">
        <f t="shared" si="0"/>
        <v>1.6</v>
      </c>
      <c r="E104" s="5">
        <v>0</v>
      </c>
      <c r="F104" s="5">
        <v>0</v>
      </c>
      <c r="G104" s="5">
        <v>0</v>
      </c>
      <c r="H104" s="5">
        <v>0</v>
      </c>
      <c r="I104" s="5">
        <v>0</v>
      </c>
      <c r="J104" s="9">
        <v>0</v>
      </c>
      <c r="K104" s="5">
        <v>6</v>
      </c>
      <c r="L104" s="5">
        <v>16</v>
      </c>
      <c r="M104" s="5">
        <v>0</v>
      </c>
      <c r="N104" s="9">
        <v>0</v>
      </c>
      <c r="O104" s="5">
        <v>0</v>
      </c>
      <c r="P104" s="5">
        <v>0</v>
      </c>
      <c r="Q104" s="5">
        <v>0</v>
      </c>
      <c r="R104" s="9">
        <v>0</v>
      </c>
      <c r="S104" s="5">
        <v>0</v>
      </c>
      <c r="T104" s="5">
        <v>0</v>
      </c>
    </row>
    <row r="105" spans="1:20" x14ac:dyDescent="0.2">
      <c r="A105" s="5" t="s">
        <v>85</v>
      </c>
      <c r="B105" s="9" t="s">
        <v>75</v>
      </c>
      <c r="C105" s="5" t="s">
        <v>755</v>
      </c>
      <c r="D105" s="7">
        <f t="shared" si="0"/>
        <v>2.8000000000000003</v>
      </c>
      <c r="E105" s="5">
        <v>0</v>
      </c>
      <c r="F105" s="5">
        <v>0</v>
      </c>
      <c r="G105" s="5">
        <v>0</v>
      </c>
      <c r="H105" s="5">
        <v>0</v>
      </c>
      <c r="I105" s="5">
        <v>0</v>
      </c>
      <c r="J105" s="9">
        <v>0</v>
      </c>
      <c r="K105" s="5">
        <v>6</v>
      </c>
      <c r="L105" s="5">
        <v>12</v>
      </c>
      <c r="M105" s="5">
        <v>0</v>
      </c>
      <c r="N105" s="9">
        <v>0</v>
      </c>
      <c r="O105" s="5">
        <v>1</v>
      </c>
      <c r="P105" s="5">
        <v>6</v>
      </c>
      <c r="Q105" s="5">
        <v>0</v>
      </c>
      <c r="R105" s="9">
        <v>0</v>
      </c>
      <c r="S105" s="5">
        <v>0</v>
      </c>
      <c r="T105" s="5">
        <v>0</v>
      </c>
    </row>
    <row r="106" spans="1:20" x14ac:dyDescent="0.2">
      <c r="A106" s="5" t="s">
        <v>428</v>
      </c>
      <c r="B106" s="9" t="s">
        <v>75</v>
      </c>
      <c r="C106" s="5" t="s">
        <v>750</v>
      </c>
      <c r="D106" s="7">
        <f t="shared" si="0"/>
        <v>3</v>
      </c>
      <c r="E106" s="5">
        <v>0</v>
      </c>
      <c r="F106" s="5">
        <v>0</v>
      </c>
      <c r="G106" s="5">
        <v>0</v>
      </c>
      <c r="H106" s="5">
        <v>0</v>
      </c>
      <c r="I106" s="5">
        <v>0</v>
      </c>
      <c r="J106" s="9">
        <v>0</v>
      </c>
      <c r="K106" s="5">
        <v>7</v>
      </c>
      <c r="L106" s="5">
        <v>8</v>
      </c>
      <c r="M106" s="5">
        <v>0</v>
      </c>
      <c r="N106" s="9">
        <v>0</v>
      </c>
      <c r="O106" s="5">
        <v>1</v>
      </c>
      <c r="P106" s="5">
        <v>12</v>
      </c>
      <c r="Q106" s="5">
        <v>0</v>
      </c>
      <c r="R106" s="9">
        <v>0</v>
      </c>
      <c r="S106" s="5">
        <v>0</v>
      </c>
      <c r="T106" s="5">
        <v>0</v>
      </c>
    </row>
    <row r="107" spans="1:20" x14ac:dyDescent="0.2">
      <c r="A107" s="5" t="s">
        <v>86</v>
      </c>
      <c r="B107" s="9" t="s">
        <v>75</v>
      </c>
      <c r="C107" s="5" t="s">
        <v>743</v>
      </c>
      <c r="D107" s="7">
        <f t="shared" si="0"/>
        <v>1.8000000000000003</v>
      </c>
      <c r="E107" s="5">
        <v>0</v>
      </c>
      <c r="F107" s="5">
        <v>0</v>
      </c>
      <c r="G107" s="5">
        <v>0</v>
      </c>
      <c r="H107" s="5">
        <v>0</v>
      </c>
      <c r="I107" s="5">
        <v>0</v>
      </c>
      <c r="J107" s="9">
        <v>0</v>
      </c>
      <c r="K107" s="5">
        <v>5</v>
      </c>
      <c r="L107" s="5">
        <v>22</v>
      </c>
      <c r="M107" s="5">
        <v>0</v>
      </c>
      <c r="N107" s="9">
        <v>0</v>
      </c>
      <c r="O107" s="5">
        <v>1</v>
      </c>
      <c r="P107" s="5">
        <v>6</v>
      </c>
      <c r="Q107" s="5">
        <v>0</v>
      </c>
      <c r="R107" s="9">
        <v>0</v>
      </c>
      <c r="S107" s="5">
        <v>1</v>
      </c>
      <c r="T107" s="5">
        <v>0</v>
      </c>
    </row>
    <row r="108" spans="1:20" x14ac:dyDescent="0.2">
      <c r="A108" s="5" t="s">
        <v>147</v>
      </c>
      <c r="B108" s="9" t="s">
        <v>75</v>
      </c>
      <c r="C108" s="5" t="s">
        <v>741</v>
      </c>
      <c r="D108" s="7">
        <f t="shared" si="0"/>
        <v>3.8000000000000003</v>
      </c>
      <c r="E108" s="5">
        <v>0</v>
      </c>
      <c r="F108" s="5">
        <v>0</v>
      </c>
      <c r="G108" s="5">
        <v>0</v>
      </c>
      <c r="H108" s="5">
        <v>0</v>
      </c>
      <c r="I108" s="5">
        <v>0</v>
      </c>
      <c r="J108" s="9">
        <v>0</v>
      </c>
      <c r="K108" s="5">
        <v>2</v>
      </c>
      <c r="L108" s="5">
        <v>2</v>
      </c>
      <c r="M108" s="5">
        <v>0</v>
      </c>
      <c r="N108" s="9">
        <v>0</v>
      </c>
      <c r="O108" s="5">
        <v>2</v>
      </c>
      <c r="P108" s="5">
        <v>16</v>
      </c>
      <c r="Q108" s="5">
        <v>0</v>
      </c>
      <c r="R108" s="9">
        <v>0</v>
      </c>
      <c r="S108" s="5">
        <v>0</v>
      </c>
      <c r="T108" s="5">
        <v>0</v>
      </c>
    </row>
    <row r="109" spans="1:20" x14ac:dyDescent="0.2">
      <c r="A109" s="5" t="s">
        <v>392</v>
      </c>
      <c r="B109" s="9" t="s">
        <v>75</v>
      </c>
      <c r="C109" s="5" t="s">
        <v>757</v>
      </c>
      <c r="D109" s="7">
        <f t="shared" si="0"/>
        <v>1.7000000000000002</v>
      </c>
      <c r="E109" s="5">
        <v>0</v>
      </c>
      <c r="F109" s="5">
        <v>0</v>
      </c>
      <c r="G109" s="5">
        <v>0</v>
      </c>
      <c r="H109" s="5">
        <v>0</v>
      </c>
      <c r="I109" s="5">
        <v>0</v>
      </c>
      <c r="J109" s="9">
        <v>0</v>
      </c>
      <c r="K109" s="5">
        <v>1</v>
      </c>
      <c r="L109" s="5">
        <v>17</v>
      </c>
      <c r="M109" s="5">
        <v>0</v>
      </c>
      <c r="N109" s="9">
        <v>0</v>
      </c>
      <c r="O109" s="5">
        <v>0</v>
      </c>
      <c r="P109" s="5">
        <v>0</v>
      </c>
      <c r="Q109" s="5">
        <v>0</v>
      </c>
      <c r="R109" s="9">
        <v>0</v>
      </c>
      <c r="S109" s="5">
        <v>0</v>
      </c>
      <c r="T109" s="5">
        <v>0</v>
      </c>
    </row>
    <row r="110" spans="1:20" x14ac:dyDescent="0.2">
      <c r="A110" s="5" t="s">
        <v>94</v>
      </c>
      <c r="B110" s="9" t="s">
        <v>75</v>
      </c>
      <c r="C110" s="5" t="s">
        <v>758</v>
      </c>
      <c r="D110" s="7">
        <f t="shared" si="0"/>
        <v>3.3000000000000003</v>
      </c>
      <c r="E110" s="5">
        <v>0</v>
      </c>
      <c r="F110" s="5">
        <v>0</v>
      </c>
      <c r="G110" s="5">
        <v>0</v>
      </c>
      <c r="H110" s="5">
        <v>0</v>
      </c>
      <c r="I110" s="5">
        <v>0</v>
      </c>
      <c r="J110" s="9">
        <v>0</v>
      </c>
      <c r="K110" s="5">
        <v>6</v>
      </c>
      <c r="L110" s="5">
        <v>2</v>
      </c>
      <c r="M110" s="5">
        <v>0</v>
      </c>
      <c r="N110" s="9">
        <v>0</v>
      </c>
      <c r="O110" s="5">
        <v>2</v>
      </c>
      <c r="P110" s="5">
        <v>11</v>
      </c>
      <c r="Q110" s="5">
        <v>0</v>
      </c>
      <c r="R110" s="9">
        <v>0</v>
      </c>
      <c r="S110" s="5">
        <v>0</v>
      </c>
      <c r="T110" s="5">
        <v>0</v>
      </c>
    </row>
    <row r="111" spans="1:20" x14ac:dyDescent="0.2">
      <c r="A111" s="5" t="s">
        <v>160</v>
      </c>
      <c r="B111" s="9" t="s">
        <v>75</v>
      </c>
      <c r="C111" s="5" t="s">
        <v>747</v>
      </c>
      <c r="D111" s="7">
        <f t="shared" si="0"/>
        <v>2.2000000000000002</v>
      </c>
      <c r="E111" s="5">
        <v>0</v>
      </c>
      <c r="F111" s="5">
        <v>0</v>
      </c>
      <c r="G111" s="5">
        <v>0</v>
      </c>
      <c r="H111" s="5">
        <v>0</v>
      </c>
      <c r="I111" s="5">
        <v>0</v>
      </c>
      <c r="J111" s="9">
        <v>0</v>
      </c>
      <c r="K111" s="5">
        <v>1</v>
      </c>
      <c r="L111" s="5">
        <v>10</v>
      </c>
      <c r="M111" s="5">
        <v>0</v>
      </c>
      <c r="N111" s="9">
        <v>0</v>
      </c>
      <c r="O111" s="5">
        <v>1</v>
      </c>
      <c r="P111" s="5">
        <v>2</v>
      </c>
      <c r="Q111" s="5">
        <v>0</v>
      </c>
      <c r="R111" s="9">
        <v>0</v>
      </c>
      <c r="S111" s="5">
        <v>0</v>
      </c>
      <c r="T111" s="5">
        <v>0</v>
      </c>
    </row>
    <row r="112" spans="1:20" x14ac:dyDescent="0.2">
      <c r="A112" s="5" t="s">
        <v>394</v>
      </c>
      <c r="B112" s="9" t="s">
        <v>75</v>
      </c>
      <c r="C112" s="5" t="s">
        <v>757</v>
      </c>
      <c r="D112" s="7">
        <f t="shared" si="0"/>
        <v>0.5</v>
      </c>
      <c r="E112" s="5">
        <v>0</v>
      </c>
      <c r="F112" s="5">
        <v>0</v>
      </c>
      <c r="G112" s="5">
        <v>0</v>
      </c>
      <c r="H112" s="5">
        <v>0</v>
      </c>
      <c r="I112" s="5">
        <v>0</v>
      </c>
      <c r="J112" s="9">
        <v>0</v>
      </c>
      <c r="K112" s="5">
        <v>0</v>
      </c>
      <c r="L112" s="5">
        <v>0</v>
      </c>
      <c r="M112" s="5">
        <v>0</v>
      </c>
      <c r="N112" s="9">
        <v>0</v>
      </c>
      <c r="O112" s="5">
        <v>1</v>
      </c>
      <c r="P112" s="5">
        <v>-5</v>
      </c>
      <c r="Q112" s="5">
        <v>0</v>
      </c>
      <c r="R112" s="9">
        <v>0</v>
      </c>
      <c r="S112" s="5">
        <v>0</v>
      </c>
      <c r="T112" s="5">
        <v>0</v>
      </c>
    </row>
    <row r="113" spans="1:20" x14ac:dyDescent="0.2">
      <c r="A113" s="5" t="s">
        <v>112</v>
      </c>
      <c r="B113" s="9" t="s">
        <v>75</v>
      </c>
      <c r="C113" s="5" t="s">
        <v>752</v>
      </c>
      <c r="D113" s="7">
        <f t="shared" si="0"/>
        <v>-0.2</v>
      </c>
      <c r="E113" s="5">
        <v>0</v>
      </c>
      <c r="F113" s="5">
        <v>0</v>
      </c>
      <c r="G113" s="5">
        <v>0</v>
      </c>
      <c r="H113" s="5">
        <v>0</v>
      </c>
      <c r="I113" s="5">
        <v>0</v>
      </c>
      <c r="J113" s="9">
        <v>0</v>
      </c>
      <c r="K113" s="5">
        <v>1</v>
      </c>
      <c r="L113" s="5">
        <v>-2</v>
      </c>
      <c r="M113" s="5">
        <v>0</v>
      </c>
      <c r="N113" s="9">
        <v>0</v>
      </c>
      <c r="O113" s="5">
        <v>0</v>
      </c>
      <c r="P113" s="5">
        <v>0</v>
      </c>
      <c r="Q113" s="5">
        <v>0</v>
      </c>
      <c r="R113" s="9">
        <v>0</v>
      </c>
      <c r="S113" s="5">
        <v>0</v>
      </c>
      <c r="T113" s="5">
        <v>0</v>
      </c>
    </row>
    <row r="114" spans="1:20" x14ac:dyDescent="0.2">
      <c r="A114" s="5" t="s">
        <v>107</v>
      </c>
      <c r="B114" s="9" t="s">
        <v>75</v>
      </c>
      <c r="C114" s="5" t="s">
        <v>755</v>
      </c>
      <c r="D114" s="7">
        <f t="shared" si="0"/>
        <v>2</v>
      </c>
      <c r="E114" s="5">
        <v>0</v>
      </c>
      <c r="F114" s="5">
        <v>0</v>
      </c>
      <c r="G114" s="5">
        <v>0</v>
      </c>
      <c r="H114" s="5">
        <v>0</v>
      </c>
      <c r="I114" s="5">
        <v>0</v>
      </c>
      <c r="J114" s="9">
        <v>0</v>
      </c>
      <c r="K114" s="5">
        <v>1</v>
      </c>
      <c r="L114" s="5">
        <v>4</v>
      </c>
      <c r="M114" s="5">
        <v>0</v>
      </c>
      <c r="N114" s="9">
        <v>0</v>
      </c>
      <c r="O114" s="5">
        <v>1</v>
      </c>
      <c r="P114" s="5">
        <v>6</v>
      </c>
      <c r="Q114" s="5">
        <v>0</v>
      </c>
      <c r="R114" s="9">
        <v>0</v>
      </c>
      <c r="S114" s="5">
        <v>0</v>
      </c>
      <c r="T114" s="5">
        <v>0</v>
      </c>
    </row>
    <row r="115" spans="1:20" x14ac:dyDescent="0.2">
      <c r="A115" s="5" t="s">
        <v>134</v>
      </c>
      <c r="B115" s="9" t="s">
        <v>75</v>
      </c>
      <c r="C115" s="5" t="s">
        <v>753</v>
      </c>
      <c r="D115" s="7">
        <f t="shared" si="0"/>
        <v>3.2</v>
      </c>
      <c r="E115" s="5">
        <v>0</v>
      </c>
      <c r="F115" s="5">
        <v>0</v>
      </c>
      <c r="G115" s="5">
        <v>0</v>
      </c>
      <c r="H115" s="5">
        <v>0</v>
      </c>
      <c r="I115" s="5">
        <v>0</v>
      </c>
      <c r="J115" s="9">
        <v>0</v>
      </c>
      <c r="K115" s="5">
        <v>3</v>
      </c>
      <c r="L115" s="5">
        <v>4</v>
      </c>
      <c r="M115" s="5">
        <v>0</v>
      </c>
      <c r="N115" s="9">
        <v>0</v>
      </c>
      <c r="O115" s="5">
        <v>2</v>
      </c>
      <c r="P115" s="5">
        <v>8</v>
      </c>
      <c r="Q115" s="5">
        <v>0</v>
      </c>
      <c r="R115" s="9">
        <v>0</v>
      </c>
      <c r="S115" s="5">
        <v>0</v>
      </c>
      <c r="T115" s="5">
        <v>0</v>
      </c>
    </row>
    <row r="116" spans="1:20" x14ac:dyDescent="0.2">
      <c r="A116" s="5" t="s">
        <v>436</v>
      </c>
      <c r="B116" s="9" t="s">
        <v>75</v>
      </c>
      <c r="C116" s="5" t="s">
        <v>742</v>
      </c>
      <c r="D116" s="7">
        <f t="shared" si="0"/>
        <v>0</v>
      </c>
      <c r="E116" s="5">
        <v>0</v>
      </c>
      <c r="F116" s="5">
        <v>0</v>
      </c>
      <c r="G116" s="5">
        <v>0</v>
      </c>
      <c r="H116" s="5">
        <v>0</v>
      </c>
      <c r="I116" s="5">
        <v>0</v>
      </c>
      <c r="J116" s="9">
        <v>0</v>
      </c>
      <c r="K116" s="5">
        <v>1</v>
      </c>
      <c r="L116" s="5">
        <v>0</v>
      </c>
      <c r="M116" s="5">
        <v>0</v>
      </c>
      <c r="N116" s="9">
        <v>0</v>
      </c>
      <c r="O116" s="5">
        <v>0</v>
      </c>
      <c r="P116" s="5">
        <v>0</v>
      </c>
      <c r="Q116" s="5">
        <v>0</v>
      </c>
      <c r="R116" s="9">
        <v>0</v>
      </c>
      <c r="S116" s="5">
        <v>0</v>
      </c>
      <c r="T116" s="5">
        <v>0</v>
      </c>
    </row>
    <row r="117" spans="1:20" x14ac:dyDescent="0.2">
      <c r="A117" s="5" t="s">
        <v>125</v>
      </c>
      <c r="B117" s="9" t="s">
        <v>75</v>
      </c>
      <c r="C117" s="5" t="s">
        <v>750</v>
      </c>
      <c r="D117" s="7">
        <f t="shared" si="0"/>
        <v>-0.60000000000000009</v>
      </c>
      <c r="E117" s="5">
        <v>0</v>
      </c>
      <c r="F117" s="5">
        <v>0</v>
      </c>
      <c r="G117" s="5">
        <v>0</v>
      </c>
      <c r="H117" s="5">
        <v>0</v>
      </c>
      <c r="I117" s="5">
        <v>0</v>
      </c>
      <c r="J117" s="9">
        <v>0</v>
      </c>
      <c r="K117" s="5">
        <v>6</v>
      </c>
      <c r="L117" s="5">
        <v>-6</v>
      </c>
      <c r="M117" s="5">
        <v>0</v>
      </c>
      <c r="N117" s="9">
        <v>0</v>
      </c>
      <c r="O117" s="5">
        <v>0</v>
      </c>
      <c r="P117" s="5">
        <v>0</v>
      </c>
      <c r="Q117" s="5">
        <v>0</v>
      </c>
      <c r="R117" s="9">
        <v>0</v>
      </c>
      <c r="S117" s="5">
        <v>0</v>
      </c>
      <c r="T117" s="5">
        <v>0</v>
      </c>
    </row>
    <row r="118" spans="1:20" x14ac:dyDescent="0.2">
      <c r="A118" s="5" t="s">
        <v>519</v>
      </c>
      <c r="B118" s="9" t="s">
        <v>75</v>
      </c>
      <c r="C118" s="5" t="s">
        <v>745</v>
      </c>
      <c r="D118" s="7">
        <f t="shared" si="0"/>
        <v>3.6</v>
      </c>
      <c r="E118" s="5">
        <v>0</v>
      </c>
      <c r="F118" s="5">
        <v>0</v>
      </c>
      <c r="G118" s="5">
        <v>0</v>
      </c>
      <c r="H118" s="5">
        <v>0</v>
      </c>
      <c r="I118" s="5">
        <v>0</v>
      </c>
      <c r="J118" s="9">
        <v>0</v>
      </c>
      <c r="K118" s="5">
        <v>0</v>
      </c>
      <c r="L118" s="5">
        <v>0</v>
      </c>
      <c r="M118" s="5">
        <v>0</v>
      </c>
      <c r="N118" s="9">
        <v>0</v>
      </c>
      <c r="O118" s="5">
        <v>3</v>
      </c>
      <c r="P118" s="5">
        <v>6</v>
      </c>
      <c r="Q118" s="5">
        <v>0</v>
      </c>
      <c r="R118" s="9">
        <v>0</v>
      </c>
      <c r="S118" s="5">
        <v>0</v>
      </c>
      <c r="T118" s="5">
        <v>0</v>
      </c>
    </row>
    <row r="119" spans="1:20" x14ac:dyDescent="0.2">
      <c r="A119" s="5" t="s">
        <v>88</v>
      </c>
      <c r="B119" s="9" t="s">
        <v>75</v>
      </c>
      <c r="C119" s="5" t="s">
        <v>757</v>
      </c>
      <c r="D119" s="7">
        <f t="shared" si="0"/>
        <v>5</v>
      </c>
      <c r="E119" s="5">
        <v>0</v>
      </c>
      <c r="F119" s="5">
        <v>0</v>
      </c>
      <c r="G119" s="5">
        <v>0</v>
      </c>
      <c r="H119" s="5">
        <v>0</v>
      </c>
      <c r="I119" s="5">
        <v>0</v>
      </c>
      <c r="J119" s="9">
        <v>0</v>
      </c>
      <c r="K119" s="5">
        <v>16</v>
      </c>
      <c r="L119" s="5">
        <v>9</v>
      </c>
      <c r="M119" s="5">
        <v>0</v>
      </c>
      <c r="N119" s="9">
        <v>0</v>
      </c>
      <c r="O119" s="5">
        <v>4</v>
      </c>
      <c r="P119" s="5">
        <v>1</v>
      </c>
      <c r="Q119" s="5">
        <v>0</v>
      </c>
      <c r="R119" s="9">
        <v>0</v>
      </c>
      <c r="S119" s="5">
        <v>0</v>
      </c>
      <c r="T119" s="5">
        <v>0</v>
      </c>
    </row>
    <row r="120" spans="1:20" x14ac:dyDescent="0.2">
      <c r="A120" s="5" t="s">
        <v>99</v>
      </c>
      <c r="B120" s="9" t="s">
        <v>75</v>
      </c>
      <c r="C120" s="5" t="s">
        <v>750</v>
      </c>
      <c r="D120" s="7">
        <f t="shared" si="0"/>
        <v>2.2000000000000002</v>
      </c>
      <c r="E120" s="5">
        <v>0</v>
      </c>
      <c r="F120" s="5">
        <v>0</v>
      </c>
      <c r="G120" s="5">
        <v>0</v>
      </c>
      <c r="H120" s="5">
        <v>0</v>
      </c>
      <c r="I120" s="5">
        <v>0</v>
      </c>
      <c r="J120" s="9">
        <v>0</v>
      </c>
      <c r="K120" s="5">
        <v>6</v>
      </c>
      <c r="L120" s="5">
        <v>8</v>
      </c>
      <c r="M120" s="5">
        <v>0</v>
      </c>
      <c r="N120" s="9">
        <v>0</v>
      </c>
      <c r="O120" s="5">
        <v>1</v>
      </c>
      <c r="P120" s="5">
        <v>4</v>
      </c>
      <c r="Q120" s="5">
        <v>0</v>
      </c>
      <c r="R120" s="9">
        <v>0</v>
      </c>
      <c r="S120" s="5">
        <v>0</v>
      </c>
      <c r="T120" s="5">
        <v>0</v>
      </c>
    </row>
    <row r="121" spans="1:20" x14ac:dyDescent="0.2">
      <c r="A121" s="5" t="s">
        <v>156</v>
      </c>
      <c r="B121" s="9" t="s">
        <v>75</v>
      </c>
      <c r="C121" s="5" t="s">
        <v>752</v>
      </c>
      <c r="D121" s="7">
        <f t="shared" si="0"/>
        <v>0.5</v>
      </c>
      <c r="E121" s="5">
        <v>0</v>
      </c>
      <c r="F121" s="5">
        <v>0</v>
      </c>
      <c r="G121" s="5">
        <v>0</v>
      </c>
      <c r="H121" s="5">
        <v>0</v>
      </c>
      <c r="I121" s="5">
        <v>0</v>
      </c>
      <c r="J121" s="9">
        <v>0</v>
      </c>
      <c r="K121" s="5">
        <v>2</v>
      </c>
      <c r="L121" s="5">
        <v>5</v>
      </c>
      <c r="M121" s="5">
        <v>0</v>
      </c>
      <c r="N121" s="9">
        <v>0</v>
      </c>
      <c r="O121" s="5">
        <v>0</v>
      </c>
      <c r="P121" s="5">
        <v>0</v>
      </c>
      <c r="Q121" s="5">
        <v>0</v>
      </c>
      <c r="R121" s="9">
        <v>0</v>
      </c>
      <c r="S121" s="5">
        <v>0</v>
      </c>
      <c r="T121" s="5">
        <v>0</v>
      </c>
    </row>
    <row r="122" spans="1:20" x14ac:dyDescent="0.2">
      <c r="A122" s="5" t="s">
        <v>433</v>
      </c>
      <c r="B122" s="9" t="s">
        <v>75</v>
      </c>
      <c r="C122" s="5" t="s">
        <v>753</v>
      </c>
      <c r="D122" s="7">
        <f t="shared" si="0"/>
        <v>0.30000000000000004</v>
      </c>
      <c r="E122" s="5">
        <v>0</v>
      </c>
      <c r="F122" s="5">
        <v>0</v>
      </c>
      <c r="G122" s="5">
        <v>0</v>
      </c>
      <c r="H122" s="5">
        <v>0</v>
      </c>
      <c r="I122" s="5">
        <v>0</v>
      </c>
      <c r="J122" s="9">
        <v>0</v>
      </c>
      <c r="K122" s="5">
        <v>1</v>
      </c>
      <c r="L122" s="5">
        <v>3</v>
      </c>
      <c r="M122" s="5">
        <v>0</v>
      </c>
      <c r="N122" s="9">
        <v>0</v>
      </c>
      <c r="O122" s="5">
        <v>0</v>
      </c>
      <c r="P122" s="5">
        <v>0</v>
      </c>
      <c r="Q122" s="5">
        <v>0</v>
      </c>
      <c r="R122" s="9">
        <v>0</v>
      </c>
      <c r="S122" s="5">
        <v>0</v>
      </c>
      <c r="T122" s="5">
        <v>0</v>
      </c>
    </row>
    <row r="123" spans="1:20" x14ac:dyDescent="0.2">
      <c r="A123" s="5" t="s">
        <v>654</v>
      </c>
      <c r="B123" s="9" t="s">
        <v>75</v>
      </c>
      <c r="C123" s="5" t="s">
        <v>747</v>
      </c>
      <c r="D123" s="7">
        <f t="shared" si="0"/>
        <v>0.1</v>
      </c>
      <c r="E123" s="5">
        <v>0</v>
      </c>
      <c r="F123" s="5">
        <v>0</v>
      </c>
      <c r="G123" s="5">
        <v>0</v>
      </c>
      <c r="H123" s="5">
        <v>0</v>
      </c>
      <c r="I123" s="5">
        <v>0</v>
      </c>
      <c r="J123" s="9">
        <v>0</v>
      </c>
      <c r="K123" s="5">
        <v>1</v>
      </c>
      <c r="L123" s="5">
        <v>1</v>
      </c>
      <c r="M123" s="5">
        <v>0</v>
      </c>
      <c r="N123" s="9">
        <v>0</v>
      </c>
      <c r="O123" s="5">
        <v>0</v>
      </c>
      <c r="P123" s="5">
        <v>0</v>
      </c>
      <c r="Q123" s="5">
        <v>0</v>
      </c>
      <c r="R123" s="9">
        <v>0</v>
      </c>
      <c r="S123" s="5">
        <v>0</v>
      </c>
      <c r="T123" s="5">
        <v>0</v>
      </c>
    </row>
    <row r="124" spans="1:20" x14ac:dyDescent="0.2">
      <c r="A124" s="5" t="s">
        <v>120</v>
      </c>
      <c r="B124" s="9" t="s">
        <v>75</v>
      </c>
      <c r="C124" s="5" t="s">
        <v>757</v>
      </c>
      <c r="D124" s="7">
        <f t="shared" si="0"/>
        <v>0.30000000000000004</v>
      </c>
      <c r="E124" s="5">
        <v>0</v>
      </c>
      <c r="F124" s="5">
        <v>0</v>
      </c>
      <c r="G124" s="5">
        <v>0</v>
      </c>
      <c r="H124" s="5">
        <v>0</v>
      </c>
      <c r="I124" s="5">
        <v>0</v>
      </c>
      <c r="J124" s="9">
        <v>0</v>
      </c>
      <c r="K124" s="5">
        <v>1</v>
      </c>
      <c r="L124" s="5">
        <v>3</v>
      </c>
      <c r="M124" s="5">
        <v>0</v>
      </c>
      <c r="N124" s="9">
        <v>0</v>
      </c>
      <c r="O124" s="5">
        <v>0</v>
      </c>
      <c r="P124" s="5">
        <v>0</v>
      </c>
      <c r="Q124" s="5">
        <v>0</v>
      </c>
      <c r="R124" s="9">
        <v>0</v>
      </c>
      <c r="S124" s="5">
        <v>0</v>
      </c>
      <c r="T124" s="5">
        <v>0</v>
      </c>
    </row>
    <row r="125" spans="1:20" x14ac:dyDescent="0.2">
      <c r="A125" s="5" t="s">
        <v>81</v>
      </c>
      <c r="B125" s="9" t="s">
        <v>75</v>
      </c>
      <c r="C125" s="5" t="s">
        <v>758</v>
      </c>
      <c r="D125" s="7">
        <f t="shared" si="0"/>
        <v>0.40000000000000036</v>
      </c>
      <c r="E125" s="5">
        <v>0</v>
      </c>
      <c r="F125" s="5">
        <v>0</v>
      </c>
      <c r="G125" s="5">
        <v>0</v>
      </c>
      <c r="H125" s="5">
        <v>0</v>
      </c>
      <c r="I125" s="5">
        <v>0</v>
      </c>
      <c r="J125" s="9">
        <v>0</v>
      </c>
      <c r="K125" s="5">
        <v>7</v>
      </c>
      <c r="L125" s="5">
        <v>11</v>
      </c>
      <c r="M125" s="5">
        <v>0</v>
      </c>
      <c r="N125" s="9">
        <v>0</v>
      </c>
      <c r="O125" s="5">
        <v>1</v>
      </c>
      <c r="P125" s="5">
        <v>3</v>
      </c>
      <c r="Q125" s="5">
        <v>0</v>
      </c>
      <c r="R125" s="9">
        <v>0</v>
      </c>
      <c r="S125" s="5">
        <v>1</v>
      </c>
      <c r="T125" s="5">
        <v>0</v>
      </c>
    </row>
    <row r="126" spans="1:20" x14ac:dyDescent="0.2">
      <c r="A126" s="5" t="s">
        <v>356</v>
      </c>
      <c r="B126" s="9" t="s">
        <v>75</v>
      </c>
      <c r="C126" s="5" t="s">
        <v>750</v>
      </c>
      <c r="D126" s="7">
        <f t="shared" si="0"/>
        <v>3.1</v>
      </c>
      <c r="E126" s="5">
        <v>0</v>
      </c>
      <c r="F126" s="5">
        <v>0</v>
      </c>
      <c r="G126" s="5">
        <v>0</v>
      </c>
      <c r="H126" s="5">
        <v>0</v>
      </c>
      <c r="I126" s="5">
        <v>0</v>
      </c>
      <c r="J126" s="9">
        <v>0</v>
      </c>
      <c r="K126" s="5">
        <v>2</v>
      </c>
      <c r="L126" s="5">
        <v>2</v>
      </c>
      <c r="M126" s="5">
        <v>0</v>
      </c>
      <c r="N126" s="9">
        <v>0</v>
      </c>
      <c r="O126" s="5">
        <v>2</v>
      </c>
      <c r="P126" s="5">
        <v>9</v>
      </c>
      <c r="Q126" s="5">
        <v>0</v>
      </c>
      <c r="R126" s="9">
        <v>0</v>
      </c>
      <c r="S126" s="5">
        <v>0</v>
      </c>
      <c r="T126" s="5">
        <v>0</v>
      </c>
    </row>
    <row r="127" spans="1:20" x14ac:dyDescent="0.2">
      <c r="A127" s="5" t="s">
        <v>140</v>
      </c>
      <c r="B127" s="9" t="s">
        <v>75</v>
      </c>
      <c r="C127" s="5" t="s">
        <v>742</v>
      </c>
      <c r="D127" s="7">
        <f t="shared" si="0"/>
        <v>2.2000000000000002</v>
      </c>
      <c r="E127" s="5">
        <v>0</v>
      </c>
      <c r="F127" s="5">
        <v>0</v>
      </c>
      <c r="G127" s="5">
        <v>0</v>
      </c>
      <c r="H127" s="5">
        <v>0</v>
      </c>
      <c r="I127" s="5">
        <v>0</v>
      </c>
      <c r="J127" s="9">
        <v>0</v>
      </c>
      <c r="K127" s="5">
        <v>1</v>
      </c>
      <c r="L127" s="5">
        <v>6</v>
      </c>
      <c r="M127" s="5">
        <v>0</v>
      </c>
      <c r="N127" s="9">
        <v>0</v>
      </c>
      <c r="O127" s="5">
        <v>2</v>
      </c>
      <c r="P127" s="5">
        <v>-4</v>
      </c>
      <c r="Q127" s="5">
        <v>0</v>
      </c>
      <c r="R127" s="9">
        <v>0</v>
      </c>
      <c r="S127" s="5">
        <v>0</v>
      </c>
      <c r="T127" s="5">
        <v>0</v>
      </c>
    </row>
    <row r="128" spans="1:20" x14ac:dyDescent="0.2">
      <c r="A128" s="5" t="s">
        <v>762</v>
      </c>
      <c r="B128" s="9" t="s">
        <v>75</v>
      </c>
      <c r="C128" s="5" t="s">
        <v>748</v>
      </c>
      <c r="D128" s="7">
        <f t="shared" si="0"/>
        <v>-0.2</v>
      </c>
      <c r="E128" s="5">
        <v>0</v>
      </c>
      <c r="F128" s="5">
        <v>0</v>
      </c>
      <c r="G128" s="5">
        <v>0</v>
      </c>
      <c r="H128" s="5">
        <v>0</v>
      </c>
      <c r="I128" s="5">
        <v>0</v>
      </c>
      <c r="J128" s="9">
        <v>0</v>
      </c>
      <c r="K128" s="5">
        <v>1</v>
      </c>
      <c r="L128" s="5">
        <v>-2</v>
      </c>
      <c r="M128" s="5">
        <v>0</v>
      </c>
      <c r="N128" s="9">
        <v>0</v>
      </c>
      <c r="O128" s="5">
        <v>0</v>
      </c>
      <c r="P128" s="5">
        <v>0</v>
      </c>
      <c r="Q128" s="5">
        <v>0</v>
      </c>
      <c r="R128" s="9">
        <v>0</v>
      </c>
      <c r="S128" s="5">
        <v>0</v>
      </c>
      <c r="T128" s="5">
        <v>0</v>
      </c>
    </row>
    <row r="129" spans="1:20" x14ac:dyDescent="0.2">
      <c r="A129" s="5" t="s">
        <v>580</v>
      </c>
      <c r="B129" s="9" t="s">
        <v>75</v>
      </c>
      <c r="C129" s="5" t="s">
        <v>755</v>
      </c>
      <c r="D129" s="7">
        <f t="shared" si="0"/>
        <v>1.6</v>
      </c>
      <c r="E129" s="5">
        <v>0</v>
      </c>
      <c r="F129" s="5">
        <v>0</v>
      </c>
      <c r="G129" s="5">
        <v>0</v>
      </c>
      <c r="H129" s="5">
        <v>0</v>
      </c>
      <c r="I129" s="5">
        <v>0</v>
      </c>
      <c r="J129" s="9">
        <v>0</v>
      </c>
      <c r="K129" s="5">
        <v>2</v>
      </c>
      <c r="L129" s="5">
        <v>5</v>
      </c>
      <c r="M129" s="5">
        <v>0</v>
      </c>
      <c r="N129" s="9">
        <v>0</v>
      </c>
      <c r="O129" s="5">
        <v>1</v>
      </c>
      <c r="P129" s="5">
        <v>1</v>
      </c>
      <c r="Q129" s="5">
        <v>0</v>
      </c>
      <c r="R129" s="9">
        <v>0</v>
      </c>
      <c r="S129" s="5">
        <v>0</v>
      </c>
      <c r="T129" s="5">
        <v>0</v>
      </c>
    </row>
    <row r="130" spans="1:20" x14ac:dyDescent="0.2">
      <c r="A130" s="5" t="s">
        <v>178</v>
      </c>
      <c r="B130" s="9" t="s">
        <v>162</v>
      </c>
      <c r="C130" s="5" t="s">
        <v>747</v>
      </c>
      <c r="D130" s="7">
        <f t="shared" si="0"/>
        <v>29.1</v>
      </c>
      <c r="E130" s="5">
        <v>0</v>
      </c>
      <c r="F130" s="5">
        <v>0</v>
      </c>
      <c r="G130" s="5">
        <v>0</v>
      </c>
      <c r="H130" s="5">
        <v>0</v>
      </c>
      <c r="I130" s="5">
        <v>0</v>
      </c>
      <c r="J130" s="9">
        <v>0</v>
      </c>
      <c r="K130" s="5">
        <v>0</v>
      </c>
      <c r="L130" s="5">
        <v>0</v>
      </c>
      <c r="M130" s="5">
        <v>0</v>
      </c>
      <c r="N130" s="9">
        <v>0</v>
      </c>
      <c r="O130" s="5">
        <v>6</v>
      </c>
      <c r="P130" s="5">
        <v>111</v>
      </c>
      <c r="Q130" s="5">
        <v>2</v>
      </c>
      <c r="R130" s="9">
        <v>0</v>
      </c>
      <c r="S130" s="5">
        <v>0</v>
      </c>
      <c r="T130" s="5">
        <v>0</v>
      </c>
    </row>
    <row r="131" spans="1:20" x14ac:dyDescent="0.2">
      <c r="A131" s="5" t="s">
        <v>232</v>
      </c>
      <c r="B131" s="9" t="s">
        <v>162</v>
      </c>
      <c r="C131" s="5" t="s">
        <v>748</v>
      </c>
      <c r="D131" s="7">
        <f t="shared" si="0"/>
        <v>26.1</v>
      </c>
      <c r="E131" s="5">
        <v>0</v>
      </c>
      <c r="F131" s="5">
        <v>0</v>
      </c>
      <c r="G131" s="5">
        <v>0</v>
      </c>
      <c r="H131" s="5">
        <v>0</v>
      </c>
      <c r="I131" s="5">
        <v>0</v>
      </c>
      <c r="J131" s="9">
        <v>0</v>
      </c>
      <c r="K131" s="5">
        <v>0</v>
      </c>
      <c r="L131" s="5">
        <v>0</v>
      </c>
      <c r="M131" s="5">
        <v>0</v>
      </c>
      <c r="N131" s="9">
        <v>0</v>
      </c>
      <c r="O131" s="5">
        <v>6</v>
      </c>
      <c r="P131" s="5">
        <v>141</v>
      </c>
      <c r="Q131" s="5">
        <v>1</v>
      </c>
      <c r="R131" s="9">
        <v>0</v>
      </c>
      <c r="S131" s="5">
        <v>0</v>
      </c>
      <c r="T131" s="5">
        <v>0</v>
      </c>
    </row>
    <row r="132" spans="1:20" x14ac:dyDescent="0.2">
      <c r="A132" s="5" t="s">
        <v>196</v>
      </c>
      <c r="B132" s="9" t="s">
        <v>162</v>
      </c>
      <c r="C132" s="5" t="s">
        <v>755</v>
      </c>
      <c r="D132" s="7">
        <f t="shared" si="0"/>
        <v>28.200000000000003</v>
      </c>
      <c r="E132" s="5">
        <v>0</v>
      </c>
      <c r="F132" s="5">
        <v>0</v>
      </c>
      <c r="G132" s="5">
        <v>0</v>
      </c>
      <c r="H132" s="5">
        <v>0</v>
      </c>
      <c r="I132" s="5">
        <v>0</v>
      </c>
      <c r="J132" s="9">
        <v>0</v>
      </c>
      <c r="K132" s="5">
        <v>0</v>
      </c>
      <c r="L132" s="5">
        <v>0</v>
      </c>
      <c r="M132" s="5">
        <v>0</v>
      </c>
      <c r="N132" s="9">
        <v>0</v>
      </c>
      <c r="O132" s="5">
        <v>8</v>
      </c>
      <c r="P132" s="5">
        <v>142</v>
      </c>
      <c r="Q132" s="5">
        <v>1</v>
      </c>
      <c r="R132" s="9">
        <v>0</v>
      </c>
      <c r="S132" s="5">
        <v>0</v>
      </c>
      <c r="T132" s="5">
        <v>0</v>
      </c>
    </row>
    <row r="133" spans="1:20" x14ac:dyDescent="0.2">
      <c r="A133" s="5" t="s">
        <v>326</v>
      </c>
      <c r="B133" s="9" t="s">
        <v>162</v>
      </c>
      <c r="C133" s="5" t="s">
        <v>747</v>
      </c>
      <c r="D133" s="7">
        <f t="shared" si="0"/>
        <v>22.1</v>
      </c>
      <c r="E133" s="5">
        <v>0</v>
      </c>
      <c r="F133" s="5">
        <v>0</v>
      </c>
      <c r="G133" s="5">
        <v>0</v>
      </c>
      <c r="H133" s="5">
        <v>0</v>
      </c>
      <c r="I133" s="5">
        <v>0</v>
      </c>
      <c r="J133" s="9">
        <v>0</v>
      </c>
      <c r="K133" s="5">
        <v>0</v>
      </c>
      <c r="L133" s="5">
        <v>0</v>
      </c>
      <c r="M133" s="5">
        <v>0</v>
      </c>
      <c r="N133" s="9">
        <v>0</v>
      </c>
      <c r="O133" s="5">
        <v>4</v>
      </c>
      <c r="P133" s="5">
        <v>61</v>
      </c>
      <c r="Q133" s="5">
        <v>2</v>
      </c>
      <c r="R133" s="9">
        <v>0</v>
      </c>
      <c r="S133" s="5">
        <v>0</v>
      </c>
      <c r="T133" s="5">
        <v>0</v>
      </c>
    </row>
    <row r="134" spans="1:20" x14ac:dyDescent="0.2">
      <c r="A134" s="5" t="s">
        <v>513</v>
      </c>
      <c r="B134" s="9" t="s">
        <v>162</v>
      </c>
      <c r="C134" s="5" t="s">
        <v>748</v>
      </c>
      <c r="D134" s="7">
        <f t="shared" si="0"/>
        <v>25.1</v>
      </c>
      <c r="E134" s="5">
        <v>0</v>
      </c>
      <c r="F134" s="5">
        <v>0</v>
      </c>
      <c r="G134" s="5">
        <v>0</v>
      </c>
      <c r="H134" s="5">
        <v>0</v>
      </c>
      <c r="I134" s="5">
        <v>0</v>
      </c>
      <c r="J134" s="9">
        <v>0</v>
      </c>
      <c r="K134" s="5">
        <v>0</v>
      </c>
      <c r="L134" s="5">
        <v>0</v>
      </c>
      <c r="M134" s="5">
        <v>0</v>
      </c>
      <c r="N134" s="9">
        <v>0</v>
      </c>
      <c r="O134" s="5">
        <v>8</v>
      </c>
      <c r="P134" s="5">
        <v>111</v>
      </c>
      <c r="Q134" s="5">
        <v>1</v>
      </c>
      <c r="R134" s="9">
        <v>0</v>
      </c>
      <c r="S134" s="5">
        <v>0</v>
      </c>
      <c r="T134" s="5">
        <v>0</v>
      </c>
    </row>
    <row r="135" spans="1:20" x14ac:dyDescent="0.2">
      <c r="A135" s="5" t="s">
        <v>264</v>
      </c>
      <c r="B135" s="9" t="s">
        <v>162</v>
      </c>
      <c r="C135" s="5" t="s">
        <v>743</v>
      </c>
      <c r="D135" s="7">
        <f t="shared" si="0"/>
        <v>21.3</v>
      </c>
      <c r="E135" s="5">
        <v>0</v>
      </c>
      <c r="F135" s="5">
        <v>0</v>
      </c>
      <c r="G135" s="5">
        <v>0</v>
      </c>
      <c r="H135" s="5">
        <v>0</v>
      </c>
      <c r="I135" s="5">
        <v>0</v>
      </c>
      <c r="J135" s="9">
        <v>0</v>
      </c>
      <c r="K135" s="5">
        <v>0</v>
      </c>
      <c r="L135" s="5">
        <v>0</v>
      </c>
      <c r="M135" s="5">
        <v>0</v>
      </c>
      <c r="N135" s="9">
        <v>0</v>
      </c>
      <c r="O135" s="5">
        <v>4</v>
      </c>
      <c r="P135" s="5">
        <v>113</v>
      </c>
      <c r="Q135" s="5">
        <v>1</v>
      </c>
      <c r="R135" s="9">
        <v>0</v>
      </c>
      <c r="S135" s="5">
        <v>0</v>
      </c>
      <c r="T135" s="5">
        <v>0</v>
      </c>
    </row>
    <row r="136" spans="1:20" x14ac:dyDescent="0.2">
      <c r="A136" s="5" t="s">
        <v>200</v>
      </c>
      <c r="B136" s="9" t="s">
        <v>162</v>
      </c>
      <c r="C136" s="5" t="s">
        <v>744</v>
      </c>
      <c r="D136" s="7">
        <f t="shared" si="0"/>
        <v>21.9</v>
      </c>
      <c r="E136" s="5">
        <v>0</v>
      </c>
      <c r="F136" s="5">
        <v>0</v>
      </c>
      <c r="G136" s="5">
        <v>0</v>
      </c>
      <c r="H136" s="5">
        <v>0</v>
      </c>
      <c r="I136" s="5">
        <v>0</v>
      </c>
      <c r="J136" s="9">
        <v>0</v>
      </c>
      <c r="K136" s="5">
        <v>1</v>
      </c>
      <c r="L136" s="5">
        <v>11</v>
      </c>
      <c r="M136" s="5">
        <v>0</v>
      </c>
      <c r="N136" s="9">
        <v>0</v>
      </c>
      <c r="O136" s="5">
        <v>4</v>
      </c>
      <c r="P136" s="5">
        <v>48</v>
      </c>
      <c r="Q136" s="5">
        <v>2</v>
      </c>
      <c r="R136" s="9">
        <v>0</v>
      </c>
      <c r="S136" s="5">
        <v>0</v>
      </c>
      <c r="T136" s="5">
        <v>0</v>
      </c>
    </row>
    <row r="137" spans="1:20" x14ac:dyDescent="0.2">
      <c r="A137" s="5" t="s">
        <v>173</v>
      </c>
      <c r="B137" s="9" t="s">
        <v>162</v>
      </c>
      <c r="C137" s="5" t="s">
        <v>741</v>
      </c>
      <c r="D137" s="7">
        <f t="shared" si="0"/>
        <v>24.200000000000003</v>
      </c>
      <c r="E137" s="5">
        <v>0</v>
      </c>
      <c r="F137" s="5">
        <v>0</v>
      </c>
      <c r="G137" s="5">
        <v>0</v>
      </c>
      <c r="H137" s="5">
        <v>0</v>
      </c>
      <c r="I137" s="5">
        <v>0</v>
      </c>
      <c r="J137" s="9">
        <v>0</v>
      </c>
      <c r="K137" s="5">
        <v>0</v>
      </c>
      <c r="L137" s="5">
        <v>0</v>
      </c>
      <c r="M137" s="5">
        <v>0</v>
      </c>
      <c r="N137" s="9">
        <v>0</v>
      </c>
      <c r="O137" s="5">
        <v>7</v>
      </c>
      <c r="P137" s="5">
        <v>112</v>
      </c>
      <c r="Q137" s="5">
        <v>1</v>
      </c>
      <c r="R137" s="9">
        <v>0</v>
      </c>
      <c r="S137" s="5">
        <v>0</v>
      </c>
      <c r="T137" s="5">
        <v>0</v>
      </c>
    </row>
    <row r="138" spans="1:20" x14ac:dyDescent="0.2">
      <c r="A138" s="5" t="s">
        <v>365</v>
      </c>
      <c r="B138" s="9" t="s">
        <v>162</v>
      </c>
      <c r="C138" s="5" t="s">
        <v>743</v>
      </c>
      <c r="D138" s="7">
        <f t="shared" si="0"/>
        <v>20.7</v>
      </c>
      <c r="E138" s="5">
        <v>0</v>
      </c>
      <c r="F138" s="5">
        <v>0</v>
      </c>
      <c r="G138" s="5">
        <v>0</v>
      </c>
      <c r="H138" s="5">
        <v>0</v>
      </c>
      <c r="I138" s="5">
        <v>0</v>
      </c>
      <c r="J138" s="9">
        <v>0</v>
      </c>
      <c r="K138" s="5">
        <v>1</v>
      </c>
      <c r="L138" s="5">
        <v>-2</v>
      </c>
      <c r="M138" s="5">
        <v>0</v>
      </c>
      <c r="N138" s="9">
        <v>0</v>
      </c>
      <c r="O138" s="5">
        <v>3</v>
      </c>
      <c r="P138" s="5">
        <v>59</v>
      </c>
      <c r="Q138" s="5">
        <v>2</v>
      </c>
      <c r="R138" s="9">
        <v>0</v>
      </c>
      <c r="S138" s="5">
        <v>0</v>
      </c>
      <c r="T138" s="5">
        <v>0</v>
      </c>
    </row>
    <row r="139" spans="1:20" x14ac:dyDescent="0.2">
      <c r="A139" s="5" t="s">
        <v>190</v>
      </c>
      <c r="B139" s="9" t="s">
        <v>162</v>
      </c>
      <c r="C139" s="5" t="s">
        <v>743</v>
      </c>
      <c r="D139" s="7">
        <f t="shared" si="0"/>
        <v>24.1</v>
      </c>
      <c r="E139" s="5">
        <v>0</v>
      </c>
      <c r="F139" s="5">
        <v>0</v>
      </c>
      <c r="G139" s="5">
        <v>0</v>
      </c>
      <c r="H139" s="5">
        <v>0</v>
      </c>
      <c r="I139" s="5">
        <v>0</v>
      </c>
      <c r="J139" s="9">
        <v>0</v>
      </c>
      <c r="K139" s="5">
        <v>0</v>
      </c>
      <c r="L139" s="5">
        <v>0</v>
      </c>
      <c r="M139" s="5">
        <v>0</v>
      </c>
      <c r="N139" s="9">
        <v>0</v>
      </c>
      <c r="O139" s="5">
        <v>8</v>
      </c>
      <c r="P139" s="5">
        <v>101</v>
      </c>
      <c r="Q139" s="5">
        <v>1</v>
      </c>
      <c r="R139" s="9">
        <v>0</v>
      </c>
      <c r="S139" s="5">
        <v>0</v>
      </c>
      <c r="T139" s="5">
        <v>0</v>
      </c>
    </row>
    <row r="140" spans="1:20" x14ac:dyDescent="0.2">
      <c r="A140" s="5" t="s">
        <v>218</v>
      </c>
      <c r="B140" s="9" t="s">
        <v>162</v>
      </c>
      <c r="C140" s="5" t="s">
        <v>750</v>
      </c>
      <c r="D140" s="7">
        <f t="shared" si="0"/>
        <v>20.9</v>
      </c>
      <c r="E140" s="5">
        <v>0</v>
      </c>
      <c r="F140" s="5">
        <v>0</v>
      </c>
      <c r="G140" s="5">
        <v>0</v>
      </c>
      <c r="H140" s="5">
        <v>0</v>
      </c>
      <c r="I140" s="5">
        <v>0</v>
      </c>
      <c r="J140" s="9">
        <v>0</v>
      </c>
      <c r="K140" s="5">
        <v>0</v>
      </c>
      <c r="L140" s="5">
        <v>0</v>
      </c>
      <c r="M140" s="5">
        <v>0</v>
      </c>
      <c r="N140" s="9">
        <v>0</v>
      </c>
      <c r="O140" s="5">
        <v>4</v>
      </c>
      <c r="P140" s="5">
        <v>109</v>
      </c>
      <c r="Q140" s="5">
        <v>1</v>
      </c>
      <c r="R140" s="9">
        <v>0</v>
      </c>
      <c r="S140" s="5">
        <v>0</v>
      </c>
      <c r="T140" s="5">
        <v>0</v>
      </c>
    </row>
    <row r="141" spans="1:20" x14ac:dyDescent="0.2">
      <c r="A141" s="5" t="s">
        <v>199</v>
      </c>
      <c r="B141" s="9" t="s">
        <v>162</v>
      </c>
      <c r="C141" s="5" t="s">
        <v>748</v>
      </c>
      <c r="D141" s="7">
        <f t="shared" si="0"/>
        <v>21.1</v>
      </c>
      <c r="E141" s="5">
        <v>0</v>
      </c>
      <c r="F141" s="5">
        <v>0</v>
      </c>
      <c r="G141" s="5">
        <v>0</v>
      </c>
      <c r="H141" s="5">
        <v>0</v>
      </c>
      <c r="I141" s="5">
        <v>0</v>
      </c>
      <c r="J141" s="9">
        <v>0</v>
      </c>
      <c r="K141" s="5">
        <v>0</v>
      </c>
      <c r="L141" s="5">
        <v>0</v>
      </c>
      <c r="M141" s="5">
        <v>0</v>
      </c>
      <c r="N141" s="9">
        <v>0</v>
      </c>
      <c r="O141" s="5">
        <v>5</v>
      </c>
      <c r="P141" s="5">
        <v>41</v>
      </c>
      <c r="Q141" s="5">
        <v>2</v>
      </c>
      <c r="R141" s="9">
        <v>0</v>
      </c>
      <c r="S141" s="5">
        <v>0</v>
      </c>
      <c r="T141" s="5">
        <v>0</v>
      </c>
    </row>
    <row r="142" spans="1:20" x14ac:dyDescent="0.2">
      <c r="A142" s="5" t="s">
        <v>198</v>
      </c>
      <c r="B142" s="9" t="s">
        <v>162</v>
      </c>
      <c r="C142" s="5" t="s">
        <v>742</v>
      </c>
      <c r="D142" s="7">
        <f t="shared" si="0"/>
        <v>25.5</v>
      </c>
      <c r="E142" s="5">
        <v>0</v>
      </c>
      <c r="F142" s="5">
        <v>0</v>
      </c>
      <c r="G142" s="5">
        <v>0</v>
      </c>
      <c r="H142" s="5">
        <v>0</v>
      </c>
      <c r="I142" s="5">
        <v>0</v>
      </c>
      <c r="J142" s="9">
        <v>0</v>
      </c>
      <c r="K142" s="5">
        <v>0</v>
      </c>
      <c r="L142" s="5">
        <v>0</v>
      </c>
      <c r="M142" s="5">
        <v>0</v>
      </c>
      <c r="N142" s="9">
        <v>0</v>
      </c>
      <c r="O142" s="5">
        <v>10</v>
      </c>
      <c r="P142" s="5">
        <v>155</v>
      </c>
      <c r="Q142" s="5">
        <v>0</v>
      </c>
      <c r="R142" s="9">
        <v>0</v>
      </c>
      <c r="S142" s="5">
        <v>0</v>
      </c>
      <c r="T142" s="5">
        <v>0</v>
      </c>
    </row>
    <row r="143" spans="1:20" x14ac:dyDescent="0.2">
      <c r="A143" s="5" t="s">
        <v>164</v>
      </c>
      <c r="B143" s="9" t="s">
        <v>162</v>
      </c>
      <c r="C143" s="5" t="s">
        <v>743</v>
      </c>
      <c r="D143" s="7">
        <f t="shared" si="0"/>
        <v>15.68</v>
      </c>
      <c r="E143" s="5">
        <v>2</v>
      </c>
      <c r="F143" s="5">
        <v>2</v>
      </c>
      <c r="G143" s="5">
        <v>12</v>
      </c>
      <c r="H143" s="5">
        <v>1</v>
      </c>
      <c r="I143" s="5">
        <v>0</v>
      </c>
      <c r="J143" s="9">
        <v>0</v>
      </c>
      <c r="K143" s="5">
        <v>0</v>
      </c>
      <c r="L143" s="5">
        <v>0</v>
      </c>
      <c r="M143" s="5">
        <v>0</v>
      </c>
      <c r="N143" s="9">
        <v>0</v>
      </c>
      <c r="O143" s="5">
        <v>2</v>
      </c>
      <c r="P143" s="5">
        <v>32</v>
      </c>
      <c r="Q143" s="5">
        <v>1</v>
      </c>
      <c r="R143" s="9">
        <v>0</v>
      </c>
      <c r="S143" s="5">
        <v>0</v>
      </c>
      <c r="T143" s="5">
        <v>0</v>
      </c>
    </row>
    <row r="144" spans="1:20" x14ac:dyDescent="0.2">
      <c r="A144" s="5" t="s">
        <v>193</v>
      </c>
      <c r="B144" s="9" t="s">
        <v>162</v>
      </c>
      <c r="C144" s="5" t="s">
        <v>751</v>
      </c>
      <c r="D144" s="7">
        <f t="shared" si="0"/>
        <v>24.1</v>
      </c>
      <c r="E144" s="5">
        <v>0</v>
      </c>
      <c r="F144" s="5">
        <v>0</v>
      </c>
      <c r="G144" s="5">
        <v>0</v>
      </c>
      <c r="H144" s="5">
        <v>0</v>
      </c>
      <c r="I144" s="5">
        <v>0</v>
      </c>
      <c r="J144" s="9">
        <v>0</v>
      </c>
      <c r="K144" s="5">
        <v>0</v>
      </c>
      <c r="L144" s="5">
        <v>0</v>
      </c>
      <c r="M144" s="5">
        <v>0</v>
      </c>
      <c r="N144" s="9">
        <v>0</v>
      </c>
      <c r="O144" s="5">
        <v>9</v>
      </c>
      <c r="P144" s="5">
        <v>91</v>
      </c>
      <c r="Q144" s="5">
        <v>1</v>
      </c>
      <c r="R144" s="9">
        <v>0</v>
      </c>
      <c r="S144" s="5">
        <v>0</v>
      </c>
      <c r="T144" s="5">
        <v>0</v>
      </c>
    </row>
    <row r="145" spans="1:20" x14ac:dyDescent="0.2">
      <c r="A145" s="5" t="s">
        <v>229</v>
      </c>
      <c r="B145" s="9" t="s">
        <v>162</v>
      </c>
      <c r="C145" s="5" t="s">
        <v>757</v>
      </c>
      <c r="D145" s="7">
        <f t="shared" si="0"/>
        <v>22.200000000000003</v>
      </c>
      <c r="E145" s="5">
        <v>0</v>
      </c>
      <c r="F145" s="5">
        <v>0</v>
      </c>
      <c r="G145" s="5">
        <v>0</v>
      </c>
      <c r="H145" s="5">
        <v>0</v>
      </c>
      <c r="I145" s="5">
        <v>0</v>
      </c>
      <c r="J145" s="9">
        <v>0</v>
      </c>
      <c r="K145" s="5">
        <v>0</v>
      </c>
      <c r="L145" s="5">
        <v>0</v>
      </c>
      <c r="M145" s="5">
        <v>0</v>
      </c>
      <c r="N145" s="9">
        <v>0</v>
      </c>
      <c r="O145" s="5">
        <v>8</v>
      </c>
      <c r="P145" s="5">
        <v>82</v>
      </c>
      <c r="Q145" s="5">
        <v>1</v>
      </c>
      <c r="R145" s="9">
        <v>0</v>
      </c>
      <c r="S145" s="5">
        <v>0</v>
      </c>
      <c r="T145" s="5">
        <v>0</v>
      </c>
    </row>
    <row r="146" spans="1:20" x14ac:dyDescent="0.2">
      <c r="A146" s="5" t="s">
        <v>268</v>
      </c>
      <c r="B146" s="9" t="s">
        <v>162</v>
      </c>
      <c r="C146" s="5" t="s">
        <v>752</v>
      </c>
      <c r="D146" s="7">
        <f t="shared" si="0"/>
        <v>15</v>
      </c>
      <c r="E146" s="5">
        <v>0</v>
      </c>
      <c r="F146" s="5">
        <v>0</v>
      </c>
      <c r="G146" s="5">
        <v>0</v>
      </c>
      <c r="H146" s="5">
        <v>0</v>
      </c>
      <c r="I146" s="5">
        <v>0</v>
      </c>
      <c r="J146" s="9">
        <v>0</v>
      </c>
      <c r="K146" s="5">
        <v>0</v>
      </c>
      <c r="L146" s="5">
        <v>0</v>
      </c>
      <c r="M146" s="5">
        <v>0</v>
      </c>
      <c r="N146" s="9">
        <v>0</v>
      </c>
      <c r="O146" s="5">
        <v>2</v>
      </c>
      <c r="P146" s="5">
        <v>70</v>
      </c>
      <c r="Q146" s="5">
        <v>1</v>
      </c>
      <c r="R146" s="9">
        <v>0</v>
      </c>
      <c r="S146" s="5">
        <v>0</v>
      </c>
      <c r="T146" s="5">
        <v>0</v>
      </c>
    </row>
    <row r="147" spans="1:20" x14ac:dyDescent="0.2">
      <c r="A147" s="5" t="s">
        <v>214</v>
      </c>
      <c r="B147" s="9" t="s">
        <v>162</v>
      </c>
      <c r="C147" s="5" t="s">
        <v>746</v>
      </c>
      <c r="D147" s="7">
        <f t="shared" si="0"/>
        <v>16.2</v>
      </c>
      <c r="E147" s="5">
        <v>0</v>
      </c>
      <c r="F147" s="5">
        <v>0</v>
      </c>
      <c r="G147" s="5">
        <v>0</v>
      </c>
      <c r="H147" s="5">
        <v>0</v>
      </c>
      <c r="I147" s="5">
        <v>0</v>
      </c>
      <c r="J147" s="9">
        <v>0</v>
      </c>
      <c r="K147" s="5">
        <v>0</v>
      </c>
      <c r="L147" s="5">
        <v>0</v>
      </c>
      <c r="M147" s="5">
        <v>0</v>
      </c>
      <c r="N147" s="9">
        <v>0</v>
      </c>
      <c r="O147" s="5">
        <v>4</v>
      </c>
      <c r="P147" s="5">
        <v>62</v>
      </c>
      <c r="Q147" s="5">
        <v>1</v>
      </c>
      <c r="R147" s="9">
        <v>0</v>
      </c>
      <c r="S147" s="5">
        <v>0</v>
      </c>
      <c r="T147" s="5">
        <v>0</v>
      </c>
    </row>
    <row r="148" spans="1:20" x14ac:dyDescent="0.2">
      <c r="A148" s="5" t="s">
        <v>739</v>
      </c>
      <c r="B148" s="9" t="s">
        <v>162</v>
      </c>
      <c r="C148" s="5" t="s">
        <v>742</v>
      </c>
      <c r="D148" s="7">
        <f t="shared" si="0"/>
        <v>14.8</v>
      </c>
      <c r="E148" s="5">
        <v>0</v>
      </c>
      <c r="F148" s="5">
        <v>0</v>
      </c>
      <c r="G148" s="5">
        <v>0</v>
      </c>
      <c r="H148" s="5">
        <v>0</v>
      </c>
      <c r="I148" s="5">
        <v>0</v>
      </c>
      <c r="J148" s="9">
        <v>0</v>
      </c>
      <c r="K148" s="5">
        <v>0</v>
      </c>
      <c r="L148" s="5">
        <v>0</v>
      </c>
      <c r="M148" s="5">
        <v>0</v>
      </c>
      <c r="N148" s="9">
        <v>0</v>
      </c>
      <c r="O148" s="5">
        <v>2</v>
      </c>
      <c r="P148" s="5">
        <v>68</v>
      </c>
      <c r="Q148" s="5">
        <v>1</v>
      </c>
      <c r="R148" s="9">
        <v>0</v>
      </c>
      <c r="S148" s="5">
        <v>0</v>
      </c>
      <c r="T148" s="5">
        <v>0</v>
      </c>
    </row>
    <row r="149" spans="1:20" x14ac:dyDescent="0.2">
      <c r="A149" s="5" t="s">
        <v>627</v>
      </c>
      <c r="B149" s="9" t="s">
        <v>162</v>
      </c>
      <c r="C149" s="5" t="s">
        <v>748</v>
      </c>
      <c r="D149" s="7">
        <f t="shared" si="0"/>
        <v>14.700000000000001</v>
      </c>
      <c r="E149" s="5">
        <v>0</v>
      </c>
      <c r="F149" s="5">
        <v>0</v>
      </c>
      <c r="G149" s="5">
        <v>0</v>
      </c>
      <c r="H149" s="5">
        <v>0</v>
      </c>
      <c r="I149" s="5">
        <v>0</v>
      </c>
      <c r="J149" s="9">
        <v>0</v>
      </c>
      <c r="K149" s="5">
        <v>1</v>
      </c>
      <c r="L149" s="5">
        <v>23</v>
      </c>
      <c r="M149" s="5">
        <v>0</v>
      </c>
      <c r="N149" s="9">
        <v>0</v>
      </c>
      <c r="O149" s="5">
        <v>2</v>
      </c>
      <c r="P149" s="5">
        <v>44</v>
      </c>
      <c r="Q149" s="5">
        <v>1</v>
      </c>
      <c r="R149" s="9">
        <v>0</v>
      </c>
      <c r="S149" s="5">
        <v>0</v>
      </c>
      <c r="T149" s="5">
        <v>0</v>
      </c>
    </row>
    <row r="150" spans="1:20" x14ac:dyDescent="0.2">
      <c r="A150" s="5" t="s">
        <v>175</v>
      </c>
      <c r="B150" s="9" t="s">
        <v>162</v>
      </c>
      <c r="C150" s="5" t="s">
        <v>742</v>
      </c>
      <c r="D150" s="7">
        <f t="shared" si="0"/>
        <v>15.7</v>
      </c>
      <c r="E150" s="5">
        <v>0</v>
      </c>
      <c r="F150" s="5">
        <v>0</v>
      </c>
      <c r="G150" s="5">
        <v>0</v>
      </c>
      <c r="H150" s="5">
        <v>0</v>
      </c>
      <c r="I150" s="5">
        <v>0</v>
      </c>
      <c r="J150" s="9">
        <v>0</v>
      </c>
      <c r="K150" s="5">
        <v>0</v>
      </c>
      <c r="L150" s="5">
        <v>0</v>
      </c>
      <c r="M150" s="5">
        <v>0</v>
      </c>
      <c r="N150" s="9">
        <v>0</v>
      </c>
      <c r="O150" s="5">
        <v>4</v>
      </c>
      <c r="P150" s="5">
        <v>57</v>
      </c>
      <c r="Q150" s="5">
        <v>1</v>
      </c>
      <c r="R150" s="9">
        <v>0</v>
      </c>
      <c r="S150" s="5">
        <v>0</v>
      </c>
      <c r="T150" s="5">
        <v>0</v>
      </c>
    </row>
    <row r="151" spans="1:20" x14ac:dyDescent="0.2">
      <c r="A151" s="5" t="s">
        <v>192</v>
      </c>
      <c r="B151" s="9" t="s">
        <v>162</v>
      </c>
      <c r="C151" s="5" t="s">
        <v>753</v>
      </c>
      <c r="D151" s="7">
        <f t="shared" si="0"/>
        <v>18.600000000000001</v>
      </c>
      <c r="E151" s="5">
        <v>0</v>
      </c>
      <c r="F151" s="5">
        <v>0</v>
      </c>
      <c r="G151" s="5">
        <v>0</v>
      </c>
      <c r="H151" s="5">
        <v>0</v>
      </c>
      <c r="I151" s="5">
        <v>0</v>
      </c>
      <c r="J151" s="9">
        <v>0</v>
      </c>
      <c r="K151" s="5">
        <v>1</v>
      </c>
      <c r="L151" s="5">
        <v>3</v>
      </c>
      <c r="M151" s="5">
        <v>1</v>
      </c>
      <c r="N151" s="9">
        <v>0</v>
      </c>
      <c r="O151" s="5">
        <v>7</v>
      </c>
      <c r="P151" s="5">
        <v>53</v>
      </c>
      <c r="Q151" s="5">
        <v>0</v>
      </c>
      <c r="R151" s="9">
        <v>0</v>
      </c>
      <c r="S151" s="5">
        <v>0</v>
      </c>
      <c r="T151" s="5">
        <v>0</v>
      </c>
    </row>
    <row r="152" spans="1:20" x14ac:dyDescent="0.2">
      <c r="A152" s="5" t="s">
        <v>225</v>
      </c>
      <c r="B152" s="9" t="s">
        <v>162</v>
      </c>
      <c r="C152" s="5" t="s">
        <v>742</v>
      </c>
      <c r="D152" s="7">
        <f t="shared" si="0"/>
        <v>17.2</v>
      </c>
      <c r="E152" s="5">
        <v>0</v>
      </c>
      <c r="F152" s="5">
        <v>0</v>
      </c>
      <c r="G152" s="5">
        <v>0</v>
      </c>
      <c r="H152" s="5">
        <v>0</v>
      </c>
      <c r="I152" s="5">
        <v>0</v>
      </c>
      <c r="J152" s="9">
        <v>0</v>
      </c>
      <c r="K152" s="5">
        <v>0</v>
      </c>
      <c r="L152" s="5">
        <v>0</v>
      </c>
      <c r="M152" s="5">
        <v>0</v>
      </c>
      <c r="N152" s="9">
        <v>0</v>
      </c>
      <c r="O152" s="5">
        <v>6</v>
      </c>
      <c r="P152" s="5">
        <v>52</v>
      </c>
      <c r="Q152" s="5">
        <v>1</v>
      </c>
      <c r="R152" s="9">
        <v>0</v>
      </c>
      <c r="S152" s="5">
        <v>0</v>
      </c>
      <c r="T152" s="5">
        <v>0</v>
      </c>
    </row>
    <row r="153" spans="1:20" x14ac:dyDescent="0.2">
      <c r="A153" s="5" t="s">
        <v>763</v>
      </c>
      <c r="B153" s="9" t="s">
        <v>162</v>
      </c>
      <c r="C153" s="5" t="s">
        <v>746</v>
      </c>
      <c r="D153" s="7">
        <f t="shared" si="0"/>
        <v>12.8</v>
      </c>
      <c r="E153" s="5">
        <v>0</v>
      </c>
      <c r="F153" s="5">
        <v>0</v>
      </c>
      <c r="G153" s="5">
        <v>0</v>
      </c>
      <c r="H153" s="5">
        <v>0</v>
      </c>
      <c r="I153" s="5">
        <v>0</v>
      </c>
      <c r="J153" s="9">
        <v>0</v>
      </c>
      <c r="K153" s="5">
        <v>0</v>
      </c>
      <c r="L153" s="5">
        <v>0</v>
      </c>
      <c r="M153" s="5">
        <v>0</v>
      </c>
      <c r="N153" s="9">
        <v>0</v>
      </c>
      <c r="O153" s="5">
        <v>2</v>
      </c>
      <c r="P153" s="5">
        <v>48</v>
      </c>
      <c r="Q153" s="5">
        <v>1</v>
      </c>
      <c r="R153" s="9">
        <v>0</v>
      </c>
      <c r="S153" s="5">
        <v>0</v>
      </c>
      <c r="T153" s="5">
        <v>0</v>
      </c>
    </row>
    <row r="154" spans="1:20" x14ac:dyDescent="0.2">
      <c r="A154" s="5" t="s">
        <v>237</v>
      </c>
      <c r="B154" s="9" t="s">
        <v>162</v>
      </c>
      <c r="C154" s="5" t="s">
        <v>749</v>
      </c>
      <c r="D154" s="7">
        <f t="shared" si="0"/>
        <v>14.8</v>
      </c>
      <c r="E154" s="5">
        <v>0</v>
      </c>
      <c r="F154" s="5">
        <v>0</v>
      </c>
      <c r="G154" s="5">
        <v>0</v>
      </c>
      <c r="H154" s="5">
        <v>0</v>
      </c>
      <c r="I154" s="5">
        <v>0</v>
      </c>
      <c r="J154" s="9">
        <v>0</v>
      </c>
      <c r="K154" s="5">
        <v>0</v>
      </c>
      <c r="L154" s="5">
        <v>0</v>
      </c>
      <c r="M154" s="5">
        <v>0</v>
      </c>
      <c r="N154" s="9">
        <v>0</v>
      </c>
      <c r="O154" s="5">
        <v>4</v>
      </c>
      <c r="P154" s="5">
        <v>48</v>
      </c>
      <c r="Q154" s="5">
        <v>1</v>
      </c>
      <c r="R154" s="9">
        <v>0</v>
      </c>
      <c r="S154" s="5">
        <v>0</v>
      </c>
      <c r="T154" s="5">
        <v>0</v>
      </c>
    </row>
    <row r="155" spans="1:20" x14ac:dyDescent="0.2">
      <c r="A155" s="5" t="s">
        <v>344</v>
      </c>
      <c r="B155" s="9" t="s">
        <v>162</v>
      </c>
      <c r="C155" s="5" t="s">
        <v>742</v>
      </c>
      <c r="D155" s="7">
        <f t="shared" si="0"/>
        <v>15.700000000000001</v>
      </c>
      <c r="E155" s="5">
        <v>0</v>
      </c>
      <c r="F155" s="5">
        <v>0</v>
      </c>
      <c r="G155" s="5">
        <v>0</v>
      </c>
      <c r="H155" s="5">
        <v>0</v>
      </c>
      <c r="I155" s="5">
        <v>0</v>
      </c>
      <c r="J155" s="9">
        <v>0</v>
      </c>
      <c r="K155" s="5">
        <v>0</v>
      </c>
      <c r="L155" s="5">
        <v>0</v>
      </c>
      <c r="M155" s="5">
        <v>0</v>
      </c>
      <c r="N155" s="9">
        <v>0</v>
      </c>
      <c r="O155" s="5">
        <v>6</v>
      </c>
      <c r="P155" s="5">
        <v>97</v>
      </c>
      <c r="Q155" s="5">
        <v>0</v>
      </c>
      <c r="R155" s="9">
        <v>0</v>
      </c>
      <c r="S155" s="5">
        <v>0</v>
      </c>
      <c r="T155" s="5">
        <v>0</v>
      </c>
    </row>
    <row r="156" spans="1:20" x14ac:dyDescent="0.2">
      <c r="A156" s="5" t="s">
        <v>167</v>
      </c>
      <c r="B156" s="9" t="s">
        <v>162</v>
      </c>
      <c r="C156" s="5" t="s">
        <v>747</v>
      </c>
      <c r="D156" s="7">
        <f t="shared" si="0"/>
        <v>15.4</v>
      </c>
      <c r="E156" s="5">
        <v>1</v>
      </c>
      <c r="F156" s="5">
        <v>0</v>
      </c>
      <c r="G156" s="5">
        <v>0</v>
      </c>
      <c r="H156" s="5">
        <v>0</v>
      </c>
      <c r="I156" s="5">
        <v>0</v>
      </c>
      <c r="J156" s="9">
        <v>0</v>
      </c>
      <c r="K156" s="5">
        <v>0</v>
      </c>
      <c r="L156" s="5">
        <v>0</v>
      </c>
      <c r="M156" s="5">
        <v>0</v>
      </c>
      <c r="N156" s="9">
        <v>0</v>
      </c>
      <c r="O156" s="5">
        <v>7</v>
      </c>
      <c r="P156" s="5">
        <v>84</v>
      </c>
      <c r="Q156" s="5">
        <v>0</v>
      </c>
      <c r="R156" s="9">
        <v>0</v>
      </c>
      <c r="S156" s="5">
        <v>0</v>
      </c>
      <c r="T156" s="5">
        <v>0</v>
      </c>
    </row>
    <row r="157" spans="1:20" x14ac:dyDescent="0.2">
      <c r="A157" s="5" t="s">
        <v>253</v>
      </c>
      <c r="B157" s="9" t="s">
        <v>162</v>
      </c>
      <c r="C157" s="5" t="s">
        <v>743</v>
      </c>
      <c r="D157" s="7">
        <f t="shared" si="0"/>
        <v>10.3</v>
      </c>
      <c r="E157" s="5">
        <v>0</v>
      </c>
      <c r="F157" s="5">
        <v>0</v>
      </c>
      <c r="G157" s="5">
        <v>0</v>
      </c>
      <c r="H157" s="5">
        <v>0</v>
      </c>
      <c r="I157" s="5">
        <v>0</v>
      </c>
      <c r="J157" s="9">
        <v>0</v>
      </c>
      <c r="K157" s="5">
        <v>0</v>
      </c>
      <c r="L157" s="5">
        <v>0</v>
      </c>
      <c r="M157" s="5">
        <v>0</v>
      </c>
      <c r="N157" s="9">
        <v>0</v>
      </c>
      <c r="O157" s="5">
        <v>2</v>
      </c>
      <c r="P157" s="5">
        <v>23</v>
      </c>
      <c r="Q157" s="5">
        <v>1</v>
      </c>
      <c r="R157" s="9">
        <v>0</v>
      </c>
      <c r="S157" s="5">
        <v>0</v>
      </c>
      <c r="T157" s="5">
        <v>0</v>
      </c>
    </row>
    <row r="158" spans="1:20" x14ac:dyDescent="0.2">
      <c r="A158" s="5" t="s">
        <v>678</v>
      </c>
      <c r="B158" s="9" t="s">
        <v>162</v>
      </c>
      <c r="C158" s="5" t="s">
        <v>743</v>
      </c>
      <c r="D158" s="7">
        <f t="shared" si="0"/>
        <v>8.3000000000000007</v>
      </c>
      <c r="E158" s="5">
        <v>0</v>
      </c>
      <c r="F158" s="5">
        <v>0</v>
      </c>
      <c r="G158" s="5">
        <v>0</v>
      </c>
      <c r="H158" s="5">
        <v>0</v>
      </c>
      <c r="I158" s="5">
        <v>0</v>
      </c>
      <c r="J158" s="9">
        <v>0</v>
      </c>
      <c r="K158" s="5">
        <v>0</v>
      </c>
      <c r="L158" s="5">
        <v>0</v>
      </c>
      <c r="M158" s="5">
        <v>0</v>
      </c>
      <c r="N158" s="9">
        <v>0</v>
      </c>
      <c r="O158" s="5">
        <v>1</v>
      </c>
      <c r="P158" s="5">
        <v>13</v>
      </c>
      <c r="Q158" s="5">
        <v>1</v>
      </c>
      <c r="R158" s="9">
        <v>0</v>
      </c>
      <c r="S158" s="5">
        <v>0</v>
      </c>
      <c r="T158" s="5">
        <v>0</v>
      </c>
    </row>
    <row r="159" spans="1:20" x14ac:dyDescent="0.2">
      <c r="A159" s="5" t="s">
        <v>204</v>
      </c>
      <c r="B159" s="9" t="s">
        <v>162</v>
      </c>
      <c r="C159" s="5" t="s">
        <v>741</v>
      </c>
      <c r="D159" s="7">
        <f t="shared" si="0"/>
        <v>10.6</v>
      </c>
      <c r="E159" s="5">
        <v>0</v>
      </c>
      <c r="F159" s="5">
        <v>0</v>
      </c>
      <c r="G159" s="5">
        <v>0</v>
      </c>
      <c r="H159" s="5">
        <v>0</v>
      </c>
      <c r="I159" s="5">
        <v>0</v>
      </c>
      <c r="J159" s="9">
        <v>0</v>
      </c>
      <c r="K159" s="5">
        <v>0</v>
      </c>
      <c r="L159" s="5">
        <v>0</v>
      </c>
      <c r="M159" s="5">
        <v>0</v>
      </c>
      <c r="N159" s="9">
        <v>0</v>
      </c>
      <c r="O159" s="5">
        <v>3</v>
      </c>
      <c r="P159" s="5">
        <v>16</v>
      </c>
      <c r="Q159" s="5">
        <v>1</v>
      </c>
      <c r="R159" s="9">
        <v>0</v>
      </c>
      <c r="S159" s="5">
        <v>0</v>
      </c>
      <c r="T159" s="5">
        <v>0</v>
      </c>
    </row>
    <row r="160" spans="1:20" x14ac:dyDescent="0.2">
      <c r="A160" s="5" t="s">
        <v>360</v>
      </c>
      <c r="B160" s="9" t="s">
        <v>162</v>
      </c>
      <c r="C160" s="5" t="s">
        <v>741</v>
      </c>
      <c r="D160" s="7">
        <f t="shared" si="0"/>
        <v>10.4</v>
      </c>
      <c r="E160" s="5">
        <v>0</v>
      </c>
      <c r="F160" s="5">
        <v>0</v>
      </c>
      <c r="G160" s="5">
        <v>0</v>
      </c>
      <c r="H160" s="5">
        <v>0</v>
      </c>
      <c r="I160" s="5">
        <v>0</v>
      </c>
      <c r="J160" s="9">
        <v>0</v>
      </c>
      <c r="K160" s="5">
        <v>0</v>
      </c>
      <c r="L160" s="5">
        <v>0</v>
      </c>
      <c r="M160" s="5">
        <v>0</v>
      </c>
      <c r="N160" s="9">
        <v>0</v>
      </c>
      <c r="O160" s="5">
        <v>3</v>
      </c>
      <c r="P160" s="5">
        <v>74</v>
      </c>
      <c r="Q160" s="5">
        <v>0</v>
      </c>
      <c r="R160" s="9">
        <v>0</v>
      </c>
      <c r="S160" s="5">
        <v>0</v>
      </c>
      <c r="T160" s="5">
        <v>0</v>
      </c>
    </row>
    <row r="161" spans="1:20" x14ac:dyDescent="0.2">
      <c r="A161" s="5" t="s">
        <v>188</v>
      </c>
      <c r="B161" s="9" t="s">
        <v>162</v>
      </c>
      <c r="C161" s="5" t="s">
        <v>749</v>
      </c>
      <c r="D161" s="7">
        <f t="shared" si="0"/>
        <v>12.8</v>
      </c>
      <c r="E161" s="5">
        <v>0</v>
      </c>
      <c r="F161" s="5">
        <v>0</v>
      </c>
      <c r="G161" s="5">
        <v>0</v>
      </c>
      <c r="H161" s="5">
        <v>0</v>
      </c>
      <c r="I161" s="5">
        <v>0</v>
      </c>
      <c r="J161" s="9">
        <v>0</v>
      </c>
      <c r="K161" s="5">
        <v>0</v>
      </c>
      <c r="L161" s="5">
        <v>0</v>
      </c>
      <c r="M161" s="5">
        <v>0</v>
      </c>
      <c r="N161" s="9">
        <v>0</v>
      </c>
      <c r="O161" s="5">
        <v>5</v>
      </c>
      <c r="P161" s="5">
        <v>78</v>
      </c>
      <c r="Q161" s="5">
        <v>0</v>
      </c>
      <c r="R161" s="9">
        <v>0</v>
      </c>
      <c r="S161" s="5">
        <v>0</v>
      </c>
      <c r="T161" s="5">
        <v>0</v>
      </c>
    </row>
    <row r="162" spans="1:20" x14ac:dyDescent="0.2">
      <c r="A162" s="5" t="s">
        <v>169</v>
      </c>
      <c r="B162" s="9" t="s">
        <v>162</v>
      </c>
      <c r="C162" s="5" t="s">
        <v>746</v>
      </c>
      <c r="D162" s="7">
        <f t="shared" si="0"/>
        <v>11.8</v>
      </c>
      <c r="E162" s="5">
        <v>0</v>
      </c>
      <c r="F162" s="5">
        <v>0</v>
      </c>
      <c r="G162" s="5">
        <v>0</v>
      </c>
      <c r="H162" s="5">
        <v>0</v>
      </c>
      <c r="I162" s="5">
        <v>0</v>
      </c>
      <c r="J162" s="9">
        <v>0</v>
      </c>
      <c r="K162" s="5">
        <v>0</v>
      </c>
      <c r="L162" s="5">
        <v>0</v>
      </c>
      <c r="M162" s="5">
        <v>0</v>
      </c>
      <c r="N162" s="9">
        <v>0</v>
      </c>
      <c r="O162" s="5">
        <v>4</v>
      </c>
      <c r="P162" s="5">
        <v>78</v>
      </c>
      <c r="Q162" s="5">
        <v>0</v>
      </c>
      <c r="R162" s="9">
        <v>0</v>
      </c>
      <c r="S162" s="5">
        <v>0</v>
      </c>
      <c r="T162" s="5">
        <v>0</v>
      </c>
    </row>
    <row r="163" spans="1:20" x14ac:dyDescent="0.2">
      <c r="A163" s="5" t="s">
        <v>189</v>
      </c>
      <c r="B163" s="9" t="s">
        <v>162</v>
      </c>
      <c r="C163" s="5" t="s">
        <v>741</v>
      </c>
      <c r="D163" s="7">
        <f t="shared" si="0"/>
        <v>12.100000000000001</v>
      </c>
      <c r="E163" s="5">
        <v>0</v>
      </c>
      <c r="F163" s="5">
        <v>0</v>
      </c>
      <c r="G163" s="5">
        <v>0</v>
      </c>
      <c r="H163" s="5">
        <v>0</v>
      </c>
      <c r="I163" s="5">
        <v>0</v>
      </c>
      <c r="J163" s="9">
        <v>0</v>
      </c>
      <c r="K163" s="5">
        <v>0</v>
      </c>
      <c r="L163" s="5">
        <v>0</v>
      </c>
      <c r="M163" s="5">
        <v>0</v>
      </c>
      <c r="N163" s="9">
        <v>0</v>
      </c>
      <c r="O163" s="5">
        <v>5</v>
      </c>
      <c r="P163" s="5">
        <v>71</v>
      </c>
      <c r="Q163" s="5">
        <v>0</v>
      </c>
      <c r="R163" s="9">
        <v>0</v>
      </c>
      <c r="S163" s="5">
        <v>0</v>
      </c>
      <c r="T163" s="5">
        <v>0</v>
      </c>
    </row>
    <row r="164" spans="1:20" x14ac:dyDescent="0.2">
      <c r="A164" s="5" t="s">
        <v>239</v>
      </c>
      <c r="B164" s="9" t="s">
        <v>162</v>
      </c>
      <c r="C164" s="5" t="s">
        <v>757</v>
      </c>
      <c r="D164" s="7">
        <f t="shared" si="0"/>
        <v>9.4</v>
      </c>
      <c r="E164" s="5">
        <v>0</v>
      </c>
      <c r="F164" s="5">
        <v>0</v>
      </c>
      <c r="G164" s="5">
        <v>0</v>
      </c>
      <c r="H164" s="5">
        <v>0</v>
      </c>
      <c r="I164" s="5">
        <v>0</v>
      </c>
      <c r="J164" s="9">
        <v>0</v>
      </c>
      <c r="K164" s="5">
        <v>1</v>
      </c>
      <c r="L164" s="5">
        <v>2</v>
      </c>
      <c r="M164" s="5">
        <v>0</v>
      </c>
      <c r="N164" s="9">
        <v>0</v>
      </c>
      <c r="O164" s="5">
        <v>3</v>
      </c>
      <c r="P164" s="5">
        <v>62</v>
      </c>
      <c r="Q164" s="5">
        <v>0</v>
      </c>
      <c r="R164" s="9">
        <v>0</v>
      </c>
      <c r="S164" s="5">
        <v>0</v>
      </c>
      <c r="T164" s="5">
        <v>0</v>
      </c>
    </row>
    <row r="165" spans="1:20" x14ac:dyDescent="0.2">
      <c r="A165" s="5" t="s">
        <v>206</v>
      </c>
      <c r="B165" s="9" t="s">
        <v>162</v>
      </c>
      <c r="C165" s="5" t="s">
        <v>747</v>
      </c>
      <c r="D165" s="7">
        <f t="shared" si="0"/>
        <v>10.4</v>
      </c>
      <c r="E165" s="5">
        <v>0</v>
      </c>
      <c r="F165" s="5">
        <v>0</v>
      </c>
      <c r="G165" s="5">
        <v>0</v>
      </c>
      <c r="H165" s="5">
        <v>0</v>
      </c>
      <c r="I165" s="5">
        <v>0</v>
      </c>
      <c r="J165" s="9">
        <v>0</v>
      </c>
      <c r="K165" s="5">
        <v>0</v>
      </c>
      <c r="L165" s="5">
        <v>0</v>
      </c>
      <c r="M165" s="5">
        <v>0</v>
      </c>
      <c r="N165" s="9">
        <v>0</v>
      </c>
      <c r="O165" s="5">
        <v>4</v>
      </c>
      <c r="P165" s="5">
        <v>64</v>
      </c>
      <c r="Q165" s="5">
        <v>0</v>
      </c>
      <c r="R165" s="9">
        <v>0</v>
      </c>
      <c r="S165" s="5">
        <v>0</v>
      </c>
      <c r="T165" s="5">
        <v>0</v>
      </c>
    </row>
    <row r="166" spans="1:20" x14ac:dyDescent="0.2">
      <c r="A166" s="5" t="s">
        <v>530</v>
      </c>
      <c r="B166" s="9" t="s">
        <v>162</v>
      </c>
      <c r="C166" s="5" t="s">
        <v>745</v>
      </c>
      <c r="D166" s="7">
        <f t="shared" si="0"/>
        <v>7.7</v>
      </c>
      <c r="E166" s="5">
        <v>0</v>
      </c>
      <c r="F166" s="5">
        <v>0</v>
      </c>
      <c r="G166" s="5">
        <v>0</v>
      </c>
      <c r="H166" s="5">
        <v>0</v>
      </c>
      <c r="I166" s="5">
        <v>0</v>
      </c>
      <c r="J166" s="9">
        <v>0</v>
      </c>
      <c r="K166" s="5">
        <v>0</v>
      </c>
      <c r="L166" s="5">
        <v>0</v>
      </c>
      <c r="M166" s="5">
        <v>0</v>
      </c>
      <c r="N166" s="9">
        <v>0</v>
      </c>
      <c r="O166" s="5">
        <v>1</v>
      </c>
      <c r="P166" s="5">
        <v>7</v>
      </c>
      <c r="Q166" s="5">
        <v>1</v>
      </c>
      <c r="R166" s="9">
        <v>0</v>
      </c>
      <c r="S166" s="5">
        <v>0</v>
      </c>
      <c r="T166" s="5">
        <v>0</v>
      </c>
    </row>
    <row r="167" spans="1:20" x14ac:dyDescent="0.2">
      <c r="A167" s="5" t="s">
        <v>236</v>
      </c>
      <c r="B167" s="9" t="s">
        <v>162</v>
      </c>
      <c r="C167" s="5" t="s">
        <v>745</v>
      </c>
      <c r="D167" s="7">
        <f t="shared" si="0"/>
        <v>10.3</v>
      </c>
      <c r="E167" s="5">
        <v>0</v>
      </c>
      <c r="F167" s="5">
        <v>0</v>
      </c>
      <c r="G167" s="5">
        <v>0</v>
      </c>
      <c r="H167" s="5">
        <v>0</v>
      </c>
      <c r="I167" s="5">
        <v>0</v>
      </c>
      <c r="J167" s="9">
        <v>0</v>
      </c>
      <c r="K167" s="5">
        <v>0</v>
      </c>
      <c r="L167" s="5">
        <v>0</v>
      </c>
      <c r="M167" s="5">
        <v>0</v>
      </c>
      <c r="N167" s="9">
        <v>0</v>
      </c>
      <c r="O167" s="5">
        <v>4</v>
      </c>
      <c r="P167" s="5">
        <v>63</v>
      </c>
      <c r="Q167" s="5">
        <v>0</v>
      </c>
      <c r="R167" s="9">
        <v>0</v>
      </c>
      <c r="S167" s="5">
        <v>0</v>
      </c>
      <c r="T167" s="5">
        <v>0</v>
      </c>
    </row>
    <row r="168" spans="1:20" x14ac:dyDescent="0.2">
      <c r="A168" s="5" t="s">
        <v>238</v>
      </c>
      <c r="B168" s="9" t="s">
        <v>162</v>
      </c>
      <c r="C168" s="5" t="s">
        <v>747</v>
      </c>
      <c r="D168" s="7">
        <f t="shared" si="0"/>
        <v>7.3000000000000007</v>
      </c>
      <c r="E168" s="5">
        <v>0</v>
      </c>
      <c r="F168" s="5">
        <v>0</v>
      </c>
      <c r="G168" s="5">
        <v>0</v>
      </c>
      <c r="H168" s="5">
        <v>0</v>
      </c>
      <c r="I168" s="5">
        <v>0</v>
      </c>
      <c r="J168" s="9">
        <v>0</v>
      </c>
      <c r="K168" s="5">
        <v>0</v>
      </c>
      <c r="L168" s="5">
        <v>0</v>
      </c>
      <c r="M168" s="5">
        <v>0</v>
      </c>
      <c r="N168" s="9">
        <v>0</v>
      </c>
      <c r="O168" s="5">
        <v>2</v>
      </c>
      <c r="P168" s="5">
        <v>53</v>
      </c>
      <c r="Q168" s="5">
        <v>0</v>
      </c>
      <c r="R168" s="9">
        <v>0</v>
      </c>
      <c r="S168" s="5">
        <v>0</v>
      </c>
      <c r="T168" s="5">
        <v>0</v>
      </c>
    </row>
    <row r="169" spans="1:20" x14ac:dyDescent="0.2">
      <c r="A169" s="5" t="s">
        <v>182</v>
      </c>
      <c r="B169" s="9" t="s">
        <v>162</v>
      </c>
      <c r="C169" s="5" t="s">
        <v>749</v>
      </c>
      <c r="D169" s="7">
        <f t="shared" si="0"/>
        <v>10.600000000000001</v>
      </c>
      <c r="E169" s="5">
        <v>0</v>
      </c>
      <c r="F169" s="5">
        <v>0</v>
      </c>
      <c r="G169" s="5">
        <v>0</v>
      </c>
      <c r="H169" s="5">
        <v>0</v>
      </c>
      <c r="I169" s="5">
        <v>0</v>
      </c>
      <c r="J169" s="9">
        <v>0</v>
      </c>
      <c r="K169" s="5">
        <v>0</v>
      </c>
      <c r="L169" s="5">
        <v>0</v>
      </c>
      <c r="M169" s="5">
        <v>0</v>
      </c>
      <c r="N169" s="9">
        <v>0</v>
      </c>
      <c r="O169" s="5">
        <v>5</v>
      </c>
      <c r="P169" s="5">
        <v>56</v>
      </c>
      <c r="Q169" s="5">
        <v>0</v>
      </c>
      <c r="R169" s="9">
        <v>0</v>
      </c>
      <c r="S169" s="5">
        <v>0</v>
      </c>
      <c r="T169" s="5">
        <v>0</v>
      </c>
    </row>
    <row r="170" spans="1:20" x14ac:dyDescent="0.2">
      <c r="A170" s="5" t="s">
        <v>454</v>
      </c>
      <c r="B170" s="9" t="s">
        <v>162</v>
      </c>
      <c r="C170" s="5" t="s">
        <v>750</v>
      </c>
      <c r="D170" s="7">
        <f t="shared" si="0"/>
        <v>6.7</v>
      </c>
      <c r="E170" s="5">
        <v>0</v>
      </c>
      <c r="F170" s="5">
        <v>0</v>
      </c>
      <c r="G170" s="5">
        <v>0</v>
      </c>
      <c r="H170" s="5">
        <v>0</v>
      </c>
      <c r="I170" s="5">
        <v>0</v>
      </c>
      <c r="J170" s="9">
        <v>0</v>
      </c>
      <c r="K170" s="5">
        <v>0</v>
      </c>
      <c r="L170" s="5">
        <v>0</v>
      </c>
      <c r="M170" s="5">
        <v>0</v>
      </c>
      <c r="N170" s="9">
        <v>0</v>
      </c>
      <c r="O170" s="5">
        <v>1</v>
      </c>
      <c r="P170" s="5">
        <v>57</v>
      </c>
      <c r="Q170" s="5">
        <v>0</v>
      </c>
      <c r="R170" s="9">
        <v>0</v>
      </c>
      <c r="S170" s="5">
        <v>0</v>
      </c>
      <c r="T170" s="5">
        <v>0</v>
      </c>
    </row>
    <row r="171" spans="1:20" x14ac:dyDescent="0.2">
      <c r="A171" s="5" t="s">
        <v>180</v>
      </c>
      <c r="B171" s="9" t="s">
        <v>162</v>
      </c>
      <c r="C171" s="5" t="s">
        <v>752</v>
      </c>
      <c r="D171" s="7">
        <f t="shared" si="0"/>
        <v>10.9</v>
      </c>
      <c r="E171" s="5">
        <v>0</v>
      </c>
      <c r="F171" s="5">
        <v>0</v>
      </c>
      <c r="G171" s="5">
        <v>0</v>
      </c>
      <c r="H171" s="5">
        <v>0</v>
      </c>
      <c r="I171" s="5">
        <v>0</v>
      </c>
      <c r="J171" s="9">
        <v>0</v>
      </c>
      <c r="K171" s="5">
        <v>0</v>
      </c>
      <c r="L171" s="5">
        <v>0</v>
      </c>
      <c r="M171" s="5">
        <v>0</v>
      </c>
      <c r="N171" s="9">
        <v>0</v>
      </c>
      <c r="O171" s="5">
        <v>5</v>
      </c>
      <c r="P171" s="5">
        <v>59</v>
      </c>
      <c r="Q171" s="5">
        <v>0</v>
      </c>
      <c r="R171" s="9">
        <v>0</v>
      </c>
      <c r="S171" s="5">
        <v>0</v>
      </c>
      <c r="T171" s="5">
        <v>0</v>
      </c>
    </row>
    <row r="172" spans="1:20" x14ac:dyDescent="0.2">
      <c r="A172" s="5" t="s">
        <v>235</v>
      </c>
      <c r="B172" s="9" t="s">
        <v>162</v>
      </c>
      <c r="C172" s="5" t="s">
        <v>750</v>
      </c>
      <c r="D172" s="7">
        <f t="shared" si="0"/>
        <v>9.1999999999999993</v>
      </c>
      <c r="E172" s="5">
        <v>0</v>
      </c>
      <c r="F172" s="5">
        <v>0</v>
      </c>
      <c r="G172" s="5">
        <v>0</v>
      </c>
      <c r="H172" s="5">
        <v>0</v>
      </c>
      <c r="I172" s="5">
        <v>0</v>
      </c>
      <c r="J172" s="9">
        <v>0</v>
      </c>
      <c r="K172" s="5">
        <v>0</v>
      </c>
      <c r="L172" s="5">
        <v>0</v>
      </c>
      <c r="M172" s="5">
        <v>0</v>
      </c>
      <c r="N172" s="9">
        <v>0</v>
      </c>
      <c r="O172" s="5">
        <v>4</v>
      </c>
      <c r="P172" s="5">
        <v>52</v>
      </c>
      <c r="Q172" s="5">
        <v>0</v>
      </c>
      <c r="R172" s="9">
        <v>0</v>
      </c>
      <c r="S172" s="5">
        <v>0</v>
      </c>
      <c r="T172" s="5">
        <v>0</v>
      </c>
    </row>
    <row r="173" spans="1:20" x14ac:dyDescent="0.2">
      <c r="A173" s="5" t="s">
        <v>170</v>
      </c>
      <c r="B173" s="9" t="s">
        <v>162</v>
      </c>
      <c r="C173" s="5" t="s">
        <v>748</v>
      </c>
      <c r="D173" s="7">
        <f t="shared" si="0"/>
        <v>10.3</v>
      </c>
      <c r="E173" s="5">
        <v>0</v>
      </c>
      <c r="F173" s="5">
        <v>0</v>
      </c>
      <c r="G173" s="5">
        <v>0</v>
      </c>
      <c r="H173" s="5">
        <v>0</v>
      </c>
      <c r="I173" s="5">
        <v>0</v>
      </c>
      <c r="J173" s="9">
        <v>0</v>
      </c>
      <c r="K173" s="5">
        <v>2</v>
      </c>
      <c r="L173" s="5">
        <v>3</v>
      </c>
      <c r="M173" s="5">
        <v>0</v>
      </c>
      <c r="N173" s="9">
        <v>0</v>
      </c>
      <c r="O173" s="5">
        <v>5</v>
      </c>
      <c r="P173" s="5">
        <v>50</v>
      </c>
      <c r="Q173" s="5">
        <v>0</v>
      </c>
      <c r="R173" s="9">
        <v>0</v>
      </c>
      <c r="S173" s="5">
        <v>0</v>
      </c>
      <c r="T173" s="5">
        <v>0</v>
      </c>
    </row>
    <row r="174" spans="1:20" x14ac:dyDescent="0.2">
      <c r="A174" s="5" t="s">
        <v>177</v>
      </c>
      <c r="B174" s="9" t="s">
        <v>162</v>
      </c>
      <c r="C174" s="5" t="s">
        <v>749</v>
      </c>
      <c r="D174" s="7">
        <f t="shared" si="0"/>
        <v>10</v>
      </c>
      <c r="E174" s="5">
        <v>0</v>
      </c>
      <c r="F174" s="5">
        <v>0</v>
      </c>
      <c r="G174" s="5">
        <v>0</v>
      </c>
      <c r="H174" s="5">
        <v>0</v>
      </c>
      <c r="I174" s="5">
        <v>0</v>
      </c>
      <c r="J174" s="9">
        <v>0</v>
      </c>
      <c r="K174" s="5">
        <v>0</v>
      </c>
      <c r="L174" s="5">
        <v>0</v>
      </c>
      <c r="M174" s="5">
        <v>0</v>
      </c>
      <c r="N174" s="9">
        <v>0</v>
      </c>
      <c r="O174" s="5">
        <v>5</v>
      </c>
      <c r="P174" s="5">
        <v>50</v>
      </c>
      <c r="Q174" s="5">
        <v>0</v>
      </c>
      <c r="R174" s="9">
        <v>0</v>
      </c>
      <c r="S174" s="5">
        <v>0</v>
      </c>
      <c r="T174" s="5">
        <v>0</v>
      </c>
    </row>
    <row r="175" spans="1:20" x14ac:dyDescent="0.2">
      <c r="A175" s="5" t="s">
        <v>495</v>
      </c>
      <c r="B175" s="9" t="s">
        <v>162</v>
      </c>
      <c r="C175" s="5" t="s">
        <v>750</v>
      </c>
      <c r="D175" s="7">
        <f t="shared" si="0"/>
        <v>9.1999999999999993</v>
      </c>
      <c r="E175" s="5">
        <v>0</v>
      </c>
      <c r="F175" s="5">
        <v>0</v>
      </c>
      <c r="G175" s="5">
        <v>0</v>
      </c>
      <c r="H175" s="5">
        <v>0</v>
      </c>
      <c r="I175" s="5">
        <v>0</v>
      </c>
      <c r="J175" s="9">
        <v>0</v>
      </c>
      <c r="K175" s="5">
        <v>0</v>
      </c>
      <c r="L175" s="5">
        <v>0</v>
      </c>
      <c r="M175" s="5">
        <v>0</v>
      </c>
      <c r="N175" s="9">
        <v>0</v>
      </c>
      <c r="O175" s="5">
        <v>4</v>
      </c>
      <c r="P175" s="5">
        <v>52</v>
      </c>
      <c r="Q175" s="5">
        <v>0</v>
      </c>
      <c r="R175" s="9">
        <v>0</v>
      </c>
      <c r="S175" s="5">
        <v>0</v>
      </c>
      <c r="T175" s="5">
        <v>0</v>
      </c>
    </row>
    <row r="176" spans="1:20" x14ac:dyDescent="0.2">
      <c r="A176" s="5" t="s">
        <v>165</v>
      </c>
      <c r="B176" s="9" t="s">
        <v>162</v>
      </c>
      <c r="C176" s="5" t="s">
        <v>753</v>
      </c>
      <c r="D176" s="7">
        <f t="shared" si="0"/>
        <v>8.8000000000000007</v>
      </c>
      <c r="E176" s="5">
        <v>0</v>
      </c>
      <c r="F176" s="5">
        <v>0</v>
      </c>
      <c r="G176" s="5">
        <v>0</v>
      </c>
      <c r="H176" s="5">
        <v>0</v>
      </c>
      <c r="I176" s="5">
        <v>0</v>
      </c>
      <c r="J176" s="9">
        <v>0</v>
      </c>
      <c r="K176" s="5">
        <v>0</v>
      </c>
      <c r="L176" s="5">
        <v>0</v>
      </c>
      <c r="M176" s="5">
        <v>0</v>
      </c>
      <c r="N176" s="9">
        <v>0</v>
      </c>
      <c r="O176" s="5">
        <v>4</v>
      </c>
      <c r="P176" s="5">
        <v>48</v>
      </c>
      <c r="Q176" s="5">
        <v>0</v>
      </c>
      <c r="R176" s="9">
        <v>0</v>
      </c>
      <c r="S176" s="5">
        <v>0</v>
      </c>
      <c r="T176" s="5">
        <v>0</v>
      </c>
    </row>
    <row r="177" spans="1:20" x14ac:dyDescent="0.2">
      <c r="A177" s="5" t="s">
        <v>345</v>
      </c>
      <c r="B177" s="9" t="s">
        <v>162</v>
      </c>
      <c r="C177" s="5" t="s">
        <v>751</v>
      </c>
      <c r="D177" s="7">
        <f t="shared" si="0"/>
        <v>9.4</v>
      </c>
      <c r="E177" s="5">
        <v>0</v>
      </c>
      <c r="F177" s="5">
        <v>0</v>
      </c>
      <c r="G177" s="5">
        <v>0</v>
      </c>
      <c r="H177" s="5">
        <v>0</v>
      </c>
      <c r="I177" s="5">
        <v>0</v>
      </c>
      <c r="J177" s="9">
        <v>0</v>
      </c>
      <c r="K177" s="5">
        <v>0</v>
      </c>
      <c r="L177" s="5">
        <v>0</v>
      </c>
      <c r="M177" s="5">
        <v>0</v>
      </c>
      <c r="N177" s="9">
        <v>0</v>
      </c>
      <c r="O177" s="5">
        <v>5</v>
      </c>
      <c r="P177" s="5">
        <v>44</v>
      </c>
      <c r="Q177" s="5">
        <v>0</v>
      </c>
      <c r="R177" s="9">
        <v>0</v>
      </c>
      <c r="S177" s="5">
        <v>0</v>
      </c>
      <c r="T177" s="5">
        <v>0</v>
      </c>
    </row>
    <row r="178" spans="1:20" x14ac:dyDescent="0.2">
      <c r="A178" s="5" t="s">
        <v>210</v>
      </c>
      <c r="B178" s="9" t="s">
        <v>162</v>
      </c>
      <c r="C178" s="5" t="s">
        <v>746</v>
      </c>
      <c r="D178" s="7">
        <f t="shared" si="0"/>
        <v>7.7</v>
      </c>
      <c r="E178" s="5">
        <v>0</v>
      </c>
      <c r="F178" s="5">
        <v>0</v>
      </c>
      <c r="G178" s="5">
        <v>0</v>
      </c>
      <c r="H178" s="5">
        <v>0</v>
      </c>
      <c r="I178" s="5">
        <v>0</v>
      </c>
      <c r="J178" s="9">
        <v>0</v>
      </c>
      <c r="K178" s="5">
        <v>0</v>
      </c>
      <c r="L178" s="5">
        <v>0</v>
      </c>
      <c r="M178" s="5">
        <v>0</v>
      </c>
      <c r="N178" s="9">
        <v>0</v>
      </c>
      <c r="O178" s="5">
        <v>3</v>
      </c>
      <c r="P178" s="5">
        <v>47</v>
      </c>
      <c r="Q178" s="5">
        <v>0</v>
      </c>
      <c r="R178" s="9">
        <v>0</v>
      </c>
      <c r="S178" s="5">
        <v>0</v>
      </c>
      <c r="T178" s="5">
        <v>0</v>
      </c>
    </row>
    <row r="179" spans="1:20" x14ac:dyDescent="0.2">
      <c r="A179" s="5" t="s">
        <v>191</v>
      </c>
      <c r="B179" s="9" t="s">
        <v>162</v>
      </c>
      <c r="C179" s="5" t="s">
        <v>741</v>
      </c>
      <c r="D179" s="7">
        <f t="shared" si="0"/>
        <v>6.1000000000000005</v>
      </c>
      <c r="E179" s="5">
        <v>0</v>
      </c>
      <c r="F179" s="5">
        <v>0</v>
      </c>
      <c r="G179" s="5">
        <v>0</v>
      </c>
      <c r="H179" s="5">
        <v>0</v>
      </c>
      <c r="I179" s="5">
        <v>0</v>
      </c>
      <c r="J179" s="9">
        <v>0</v>
      </c>
      <c r="K179" s="5">
        <v>0</v>
      </c>
      <c r="L179" s="5">
        <v>0</v>
      </c>
      <c r="M179" s="5">
        <v>0</v>
      </c>
      <c r="N179" s="9">
        <v>0</v>
      </c>
      <c r="O179" s="5">
        <v>2</v>
      </c>
      <c r="P179" s="5">
        <v>41</v>
      </c>
      <c r="Q179" s="5">
        <v>0</v>
      </c>
      <c r="R179" s="9">
        <v>0</v>
      </c>
      <c r="S179" s="5">
        <v>0</v>
      </c>
      <c r="T179" s="5">
        <v>0</v>
      </c>
    </row>
    <row r="180" spans="1:20" x14ac:dyDescent="0.2">
      <c r="A180" s="5" t="s">
        <v>244</v>
      </c>
      <c r="B180" s="9" t="s">
        <v>162</v>
      </c>
      <c r="C180" s="5" t="s">
        <v>750</v>
      </c>
      <c r="D180" s="7">
        <f t="shared" si="0"/>
        <v>7.6000000000000005</v>
      </c>
      <c r="E180" s="5">
        <v>0</v>
      </c>
      <c r="F180" s="5">
        <v>0</v>
      </c>
      <c r="G180" s="5">
        <v>0</v>
      </c>
      <c r="H180" s="5">
        <v>0</v>
      </c>
      <c r="I180" s="5">
        <v>0</v>
      </c>
      <c r="J180" s="9">
        <v>0</v>
      </c>
      <c r="K180" s="5">
        <v>1</v>
      </c>
      <c r="L180" s="5">
        <v>-3</v>
      </c>
      <c r="M180" s="5">
        <v>0</v>
      </c>
      <c r="N180" s="9">
        <v>0</v>
      </c>
      <c r="O180" s="5">
        <v>3</v>
      </c>
      <c r="P180" s="5">
        <v>49</v>
      </c>
      <c r="Q180" s="5">
        <v>0</v>
      </c>
      <c r="R180" s="9">
        <v>0</v>
      </c>
      <c r="S180" s="5">
        <v>0</v>
      </c>
      <c r="T180" s="5">
        <v>0</v>
      </c>
    </row>
    <row r="181" spans="1:20" x14ac:dyDescent="0.2">
      <c r="A181" s="5" t="s">
        <v>246</v>
      </c>
      <c r="B181" s="9" t="s">
        <v>162</v>
      </c>
      <c r="C181" s="5" t="s">
        <v>758</v>
      </c>
      <c r="D181" s="7">
        <f t="shared" si="0"/>
        <v>8.3000000000000007</v>
      </c>
      <c r="E181" s="5">
        <v>0</v>
      </c>
      <c r="F181" s="5">
        <v>0</v>
      </c>
      <c r="G181" s="5">
        <v>0</v>
      </c>
      <c r="H181" s="5">
        <v>0</v>
      </c>
      <c r="I181" s="5">
        <v>0</v>
      </c>
      <c r="J181" s="9">
        <v>0</v>
      </c>
      <c r="K181" s="5">
        <v>0</v>
      </c>
      <c r="L181" s="5">
        <v>0</v>
      </c>
      <c r="M181" s="5">
        <v>0</v>
      </c>
      <c r="N181" s="9">
        <v>0</v>
      </c>
      <c r="O181" s="5">
        <v>4</v>
      </c>
      <c r="P181" s="5">
        <v>43</v>
      </c>
      <c r="Q181" s="5">
        <v>0</v>
      </c>
      <c r="R181" s="9">
        <v>0</v>
      </c>
      <c r="S181" s="5">
        <v>0</v>
      </c>
      <c r="T181" s="5">
        <v>0</v>
      </c>
    </row>
    <row r="182" spans="1:20" x14ac:dyDescent="0.2">
      <c r="A182" s="5" t="s">
        <v>523</v>
      </c>
      <c r="B182" s="9" t="s">
        <v>162</v>
      </c>
      <c r="C182" s="5" t="s">
        <v>741</v>
      </c>
      <c r="D182" s="7">
        <f t="shared" si="0"/>
        <v>8.6999999999999993</v>
      </c>
      <c r="E182" s="5">
        <v>0</v>
      </c>
      <c r="F182" s="5">
        <v>0</v>
      </c>
      <c r="G182" s="5">
        <v>0</v>
      </c>
      <c r="H182" s="5">
        <v>0</v>
      </c>
      <c r="I182" s="5">
        <v>0</v>
      </c>
      <c r="J182" s="9">
        <v>0</v>
      </c>
      <c r="K182" s="5">
        <v>0</v>
      </c>
      <c r="L182" s="5">
        <v>0</v>
      </c>
      <c r="M182" s="5">
        <v>0</v>
      </c>
      <c r="N182" s="9">
        <v>0</v>
      </c>
      <c r="O182" s="5">
        <v>4</v>
      </c>
      <c r="P182" s="5">
        <v>47</v>
      </c>
      <c r="Q182" s="5">
        <v>0</v>
      </c>
      <c r="R182" s="9">
        <v>0</v>
      </c>
      <c r="S182" s="5">
        <v>0</v>
      </c>
      <c r="T182" s="5">
        <v>0</v>
      </c>
    </row>
    <row r="183" spans="1:20" x14ac:dyDescent="0.2">
      <c r="A183" s="5" t="s">
        <v>163</v>
      </c>
      <c r="B183" s="9" t="s">
        <v>162</v>
      </c>
      <c r="C183" s="5" t="s">
        <v>744</v>
      </c>
      <c r="D183" s="7">
        <f t="shared" si="0"/>
        <v>6.7</v>
      </c>
      <c r="E183" s="5">
        <v>0</v>
      </c>
      <c r="F183" s="5">
        <v>0</v>
      </c>
      <c r="G183" s="5">
        <v>0</v>
      </c>
      <c r="H183" s="5">
        <v>0</v>
      </c>
      <c r="I183" s="5">
        <v>0</v>
      </c>
      <c r="J183" s="9">
        <v>0</v>
      </c>
      <c r="K183" s="5">
        <v>0</v>
      </c>
      <c r="L183" s="5">
        <v>0</v>
      </c>
      <c r="M183" s="5">
        <v>0</v>
      </c>
      <c r="N183" s="9">
        <v>0</v>
      </c>
      <c r="O183" s="5">
        <v>3</v>
      </c>
      <c r="P183" s="5">
        <v>37</v>
      </c>
      <c r="Q183" s="5">
        <v>0</v>
      </c>
      <c r="R183" s="9">
        <v>0</v>
      </c>
      <c r="S183" s="5">
        <v>0</v>
      </c>
      <c r="T183" s="5">
        <v>0</v>
      </c>
    </row>
    <row r="184" spans="1:20" x14ac:dyDescent="0.2">
      <c r="A184" s="5" t="s">
        <v>217</v>
      </c>
      <c r="B184" s="9" t="s">
        <v>162</v>
      </c>
      <c r="C184" s="5" t="s">
        <v>752</v>
      </c>
      <c r="D184" s="7">
        <f t="shared" si="0"/>
        <v>6.9</v>
      </c>
      <c r="E184" s="5">
        <v>0</v>
      </c>
      <c r="F184" s="5">
        <v>0</v>
      </c>
      <c r="G184" s="5">
        <v>0</v>
      </c>
      <c r="H184" s="5">
        <v>0</v>
      </c>
      <c r="I184" s="5">
        <v>0</v>
      </c>
      <c r="J184" s="9">
        <v>0</v>
      </c>
      <c r="K184" s="5">
        <v>0</v>
      </c>
      <c r="L184" s="5">
        <v>0</v>
      </c>
      <c r="M184" s="5">
        <v>0</v>
      </c>
      <c r="N184" s="9">
        <v>0</v>
      </c>
      <c r="O184" s="5">
        <v>3</v>
      </c>
      <c r="P184" s="5">
        <v>39</v>
      </c>
      <c r="Q184" s="5">
        <v>0</v>
      </c>
      <c r="R184" s="9">
        <v>0</v>
      </c>
      <c r="S184" s="5">
        <v>0</v>
      </c>
      <c r="T184" s="5">
        <v>0</v>
      </c>
    </row>
    <row r="185" spans="1:20" x14ac:dyDescent="0.2">
      <c r="A185" s="5" t="s">
        <v>652</v>
      </c>
      <c r="B185" s="9" t="s">
        <v>162</v>
      </c>
      <c r="C185" s="5" t="s">
        <v>745</v>
      </c>
      <c r="D185" s="7">
        <f t="shared" si="0"/>
        <v>6.1</v>
      </c>
      <c r="E185" s="5">
        <v>0</v>
      </c>
      <c r="F185" s="5">
        <v>0</v>
      </c>
      <c r="G185" s="5">
        <v>0</v>
      </c>
      <c r="H185" s="5">
        <v>0</v>
      </c>
      <c r="I185" s="5">
        <v>0</v>
      </c>
      <c r="J185" s="9">
        <v>0</v>
      </c>
      <c r="K185" s="5">
        <v>0</v>
      </c>
      <c r="L185" s="5">
        <v>0</v>
      </c>
      <c r="M185" s="5">
        <v>0</v>
      </c>
      <c r="N185" s="9">
        <v>0</v>
      </c>
      <c r="O185" s="5">
        <v>3</v>
      </c>
      <c r="P185" s="5">
        <v>31</v>
      </c>
      <c r="Q185" s="5">
        <v>0</v>
      </c>
      <c r="R185" s="9">
        <v>0</v>
      </c>
      <c r="S185" s="5">
        <v>0</v>
      </c>
      <c r="T185" s="5">
        <v>0</v>
      </c>
    </row>
    <row r="186" spans="1:20" x14ac:dyDescent="0.2">
      <c r="A186" s="5" t="s">
        <v>174</v>
      </c>
      <c r="B186" s="9" t="s">
        <v>162</v>
      </c>
      <c r="C186" s="5" t="s">
        <v>742</v>
      </c>
      <c r="D186" s="7">
        <f t="shared" si="0"/>
        <v>6</v>
      </c>
      <c r="E186" s="5">
        <v>0</v>
      </c>
      <c r="F186" s="5">
        <v>0</v>
      </c>
      <c r="G186" s="5">
        <v>0</v>
      </c>
      <c r="H186" s="5">
        <v>0</v>
      </c>
      <c r="I186" s="5">
        <v>0</v>
      </c>
      <c r="J186" s="9">
        <v>0</v>
      </c>
      <c r="K186" s="5">
        <v>0</v>
      </c>
      <c r="L186" s="5">
        <v>0</v>
      </c>
      <c r="M186" s="5">
        <v>0</v>
      </c>
      <c r="N186" s="9">
        <v>0</v>
      </c>
      <c r="O186" s="5">
        <v>3</v>
      </c>
      <c r="P186" s="5">
        <v>30</v>
      </c>
      <c r="Q186" s="5">
        <v>0</v>
      </c>
      <c r="R186" s="9">
        <v>0</v>
      </c>
      <c r="S186" s="5">
        <v>0</v>
      </c>
      <c r="T186" s="5">
        <v>0</v>
      </c>
    </row>
    <row r="187" spans="1:20" x14ac:dyDescent="0.2">
      <c r="A187" s="5" t="s">
        <v>207</v>
      </c>
      <c r="B187" s="9" t="s">
        <v>162</v>
      </c>
      <c r="C187" s="5" t="s">
        <v>751</v>
      </c>
      <c r="D187" s="7">
        <f t="shared" si="0"/>
        <v>6.3000000000000007</v>
      </c>
      <c r="E187" s="5">
        <v>0</v>
      </c>
      <c r="F187" s="5">
        <v>0</v>
      </c>
      <c r="G187" s="5">
        <v>0</v>
      </c>
      <c r="H187" s="5">
        <v>0</v>
      </c>
      <c r="I187" s="5">
        <v>0</v>
      </c>
      <c r="J187" s="9">
        <v>0</v>
      </c>
      <c r="K187" s="5">
        <v>0</v>
      </c>
      <c r="L187" s="5">
        <v>0</v>
      </c>
      <c r="M187" s="5">
        <v>0</v>
      </c>
      <c r="N187" s="9">
        <v>0</v>
      </c>
      <c r="O187" s="5">
        <v>3</v>
      </c>
      <c r="P187" s="5">
        <v>33</v>
      </c>
      <c r="Q187" s="5">
        <v>0</v>
      </c>
      <c r="R187" s="9">
        <v>0</v>
      </c>
      <c r="S187" s="5">
        <v>0</v>
      </c>
      <c r="T187" s="5">
        <v>0</v>
      </c>
    </row>
    <row r="188" spans="1:20" x14ac:dyDescent="0.2">
      <c r="A188" s="5" t="s">
        <v>242</v>
      </c>
      <c r="B188" s="9" t="s">
        <v>162</v>
      </c>
      <c r="C188" s="5" t="s">
        <v>758</v>
      </c>
      <c r="D188" s="7">
        <f t="shared" si="0"/>
        <v>7.2</v>
      </c>
      <c r="E188" s="5">
        <v>0</v>
      </c>
      <c r="F188" s="5">
        <v>0</v>
      </c>
      <c r="G188" s="5">
        <v>0</v>
      </c>
      <c r="H188" s="5">
        <v>0</v>
      </c>
      <c r="I188" s="5">
        <v>0</v>
      </c>
      <c r="J188" s="9">
        <v>0</v>
      </c>
      <c r="K188" s="5">
        <v>0</v>
      </c>
      <c r="L188" s="5">
        <v>0</v>
      </c>
      <c r="M188" s="5">
        <v>0</v>
      </c>
      <c r="N188" s="9">
        <v>0</v>
      </c>
      <c r="O188" s="5">
        <v>4</v>
      </c>
      <c r="P188" s="5">
        <v>32</v>
      </c>
      <c r="Q188" s="5">
        <v>0</v>
      </c>
      <c r="R188" s="9">
        <v>0</v>
      </c>
      <c r="S188" s="5">
        <v>0</v>
      </c>
      <c r="T188" s="5">
        <v>0</v>
      </c>
    </row>
    <row r="189" spans="1:20" x14ac:dyDescent="0.2">
      <c r="A189" s="5" t="s">
        <v>357</v>
      </c>
      <c r="B189" s="9" t="s">
        <v>162</v>
      </c>
      <c r="C189" s="5" t="s">
        <v>757</v>
      </c>
      <c r="D189" s="7">
        <f t="shared" si="0"/>
        <v>6.9</v>
      </c>
      <c r="E189" s="5">
        <v>0</v>
      </c>
      <c r="F189" s="5">
        <v>0</v>
      </c>
      <c r="G189" s="5">
        <v>0</v>
      </c>
      <c r="H189" s="5">
        <v>0</v>
      </c>
      <c r="I189" s="5">
        <v>0</v>
      </c>
      <c r="J189" s="9">
        <v>0</v>
      </c>
      <c r="K189" s="5">
        <v>0</v>
      </c>
      <c r="L189" s="5">
        <v>0</v>
      </c>
      <c r="M189" s="5">
        <v>0</v>
      </c>
      <c r="N189" s="9">
        <v>0</v>
      </c>
      <c r="O189" s="5">
        <v>3</v>
      </c>
      <c r="P189" s="5">
        <v>39</v>
      </c>
      <c r="Q189" s="5">
        <v>0</v>
      </c>
      <c r="R189" s="9">
        <v>0</v>
      </c>
      <c r="S189" s="5">
        <v>0</v>
      </c>
      <c r="T189" s="5">
        <v>0</v>
      </c>
    </row>
    <row r="190" spans="1:20" x14ac:dyDescent="0.2">
      <c r="A190" s="5" t="s">
        <v>647</v>
      </c>
      <c r="B190" s="9" t="s">
        <v>162</v>
      </c>
      <c r="C190" s="5" t="s">
        <v>745</v>
      </c>
      <c r="D190" s="7">
        <f t="shared" si="0"/>
        <v>5.4</v>
      </c>
      <c r="E190" s="5">
        <v>0</v>
      </c>
      <c r="F190" s="5">
        <v>0</v>
      </c>
      <c r="G190" s="5">
        <v>0</v>
      </c>
      <c r="H190" s="5">
        <v>0</v>
      </c>
      <c r="I190" s="5">
        <v>0</v>
      </c>
      <c r="J190" s="9">
        <v>0</v>
      </c>
      <c r="K190" s="5">
        <v>0</v>
      </c>
      <c r="L190" s="5">
        <v>0</v>
      </c>
      <c r="M190" s="5">
        <v>0</v>
      </c>
      <c r="N190" s="9">
        <v>0</v>
      </c>
      <c r="O190" s="5">
        <v>2</v>
      </c>
      <c r="P190" s="5">
        <v>34</v>
      </c>
      <c r="Q190" s="5">
        <v>0</v>
      </c>
      <c r="R190" s="9">
        <v>0</v>
      </c>
      <c r="S190" s="5">
        <v>0</v>
      </c>
      <c r="T190" s="5">
        <v>0</v>
      </c>
    </row>
    <row r="191" spans="1:20" x14ac:dyDescent="0.2">
      <c r="A191" s="5" t="s">
        <v>168</v>
      </c>
      <c r="B191" s="9" t="s">
        <v>162</v>
      </c>
      <c r="C191" s="5" t="s">
        <v>752</v>
      </c>
      <c r="D191" s="7">
        <f t="shared" si="0"/>
        <v>8.9</v>
      </c>
      <c r="E191" s="5">
        <v>0</v>
      </c>
      <c r="F191" s="5">
        <v>0</v>
      </c>
      <c r="G191" s="5">
        <v>0</v>
      </c>
      <c r="H191" s="5">
        <v>0</v>
      </c>
      <c r="I191" s="5">
        <v>0</v>
      </c>
      <c r="J191" s="9">
        <v>0</v>
      </c>
      <c r="K191" s="5">
        <v>0</v>
      </c>
      <c r="L191" s="5">
        <v>0</v>
      </c>
      <c r="M191" s="5">
        <v>0</v>
      </c>
      <c r="N191" s="9">
        <v>0</v>
      </c>
      <c r="O191" s="5">
        <v>5</v>
      </c>
      <c r="P191" s="5">
        <v>39</v>
      </c>
      <c r="Q191" s="5">
        <v>0</v>
      </c>
      <c r="R191" s="9">
        <v>0</v>
      </c>
      <c r="S191" s="5">
        <v>0</v>
      </c>
      <c r="T191" s="5">
        <v>0</v>
      </c>
    </row>
    <row r="192" spans="1:20" x14ac:dyDescent="0.2">
      <c r="A192" s="5" t="s">
        <v>172</v>
      </c>
      <c r="B192" s="9" t="s">
        <v>162</v>
      </c>
      <c r="C192" s="5" t="s">
        <v>745</v>
      </c>
      <c r="D192" s="7">
        <f t="shared" si="0"/>
        <v>6.6</v>
      </c>
      <c r="E192" s="5">
        <v>0</v>
      </c>
      <c r="F192" s="5">
        <v>0</v>
      </c>
      <c r="G192" s="5">
        <v>0</v>
      </c>
      <c r="H192" s="5">
        <v>0</v>
      </c>
      <c r="I192" s="5">
        <v>0</v>
      </c>
      <c r="J192" s="9">
        <v>0</v>
      </c>
      <c r="K192" s="5">
        <v>0</v>
      </c>
      <c r="L192" s="5">
        <v>0</v>
      </c>
      <c r="M192" s="5">
        <v>0</v>
      </c>
      <c r="N192" s="9">
        <v>0</v>
      </c>
      <c r="O192" s="5">
        <v>3</v>
      </c>
      <c r="P192" s="5">
        <v>36</v>
      </c>
      <c r="Q192" s="5">
        <v>0</v>
      </c>
      <c r="R192" s="9">
        <v>0</v>
      </c>
      <c r="S192" s="5">
        <v>0</v>
      </c>
      <c r="T192" s="5">
        <v>0</v>
      </c>
    </row>
    <row r="193" spans="1:20" x14ac:dyDescent="0.2">
      <c r="A193" s="5" t="s">
        <v>698</v>
      </c>
      <c r="B193" s="9" t="s">
        <v>162</v>
      </c>
      <c r="C193" s="5" t="s">
        <v>758</v>
      </c>
      <c r="D193" s="7">
        <f t="shared" si="0"/>
        <v>5.1999999999999993</v>
      </c>
      <c r="E193" s="5">
        <v>0</v>
      </c>
      <c r="F193" s="5">
        <v>0</v>
      </c>
      <c r="G193" s="5">
        <v>0</v>
      </c>
      <c r="H193" s="5">
        <v>0</v>
      </c>
      <c r="I193" s="5">
        <v>0</v>
      </c>
      <c r="J193" s="9">
        <v>0</v>
      </c>
      <c r="K193" s="5">
        <v>4</v>
      </c>
      <c r="L193" s="5">
        <v>31</v>
      </c>
      <c r="M193" s="5">
        <v>0</v>
      </c>
      <c r="N193" s="9">
        <v>0</v>
      </c>
      <c r="O193" s="5">
        <v>2</v>
      </c>
      <c r="P193" s="5">
        <v>1</v>
      </c>
      <c r="Q193" s="5">
        <v>0</v>
      </c>
      <c r="R193" s="9">
        <v>0</v>
      </c>
      <c r="S193" s="5">
        <v>0</v>
      </c>
      <c r="T193" s="5">
        <v>0</v>
      </c>
    </row>
    <row r="194" spans="1:20" x14ac:dyDescent="0.2">
      <c r="A194" s="5" t="s">
        <v>227</v>
      </c>
      <c r="B194" s="9" t="s">
        <v>162</v>
      </c>
      <c r="C194" s="5" t="s">
        <v>751</v>
      </c>
      <c r="D194" s="7">
        <f t="shared" si="0"/>
        <v>4.0999999999999996</v>
      </c>
      <c r="E194" s="5">
        <v>0</v>
      </c>
      <c r="F194" s="5">
        <v>0</v>
      </c>
      <c r="G194" s="5">
        <v>0</v>
      </c>
      <c r="H194" s="5">
        <v>0</v>
      </c>
      <c r="I194" s="5">
        <v>0</v>
      </c>
      <c r="J194" s="9">
        <v>0</v>
      </c>
      <c r="K194" s="5">
        <v>0</v>
      </c>
      <c r="L194" s="5">
        <v>0</v>
      </c>
      <c r="M194" s="5">
        <v>0</v>
      </c>
      <c r="N194" s="9">
        <v>0</v>
      </c>
      <c r="O194" s="5">
        <v>1</v>
      </c>
      <c r="P194" s="5">
        <v>31</v>
      </c>
      <c r="Q194" s="5">
        <v>0</v>
      </c>
      <c r="R194" s="9">
        <v>0</v>
      </c>
      <c r="S194" s="5">
        <v>0</v>
      </c>
      <c r="T194" s="5">
        <v>0</v>
      </c>
    </row>
    <row r="195" spans="1:20" x14ac:dyDescent="0.2">
      <c r="A195" s="5" t="s">
        <v>205</v>
      </c>
      <c r="B195" s="9" t="s">
        <v>162</v>
      </c>
      <c r="C195" s="5" t="s">
        <v>757</v>
      </c>
      <c r="D195" s="7">
        <f t="shared" si="0"/>
        <v>4.3000000000000007</v>
      </c>
      <c r="E195" s="5">
        <v>0</v>
      </c>
      <c r="F195" s="5">
        <v>0</v>
      </c>
      <c r="G195" s="5">
        <v>0</v>
      </c>
      <c r="H195" s="5">
        <v>0</v>
      </c>
      <c r="I195" s="5">
        <v>0</v>
      </c>
      <c r="J195" s="9">
        <v>0</v>
      </c>
      <c r="K195" s="5">
        <v>0</v>
      </c>
      <c r="L195" s="5">
        <v>0</v>
      </c>
      <c r="M195" s="5">
        <v>0</v>
      </c>
      <c r="N195" s="9">
        <v>0</v>
      </c>
      <c r="O195" s="5">
        <v>1</v>
      </c>
      <c r="P195" s="5">
        <v>33</v>
      </c>
      <c r="Q195" s="5">
        <v>0</v>
      </c>
      <c r="R195" s="9">
        <v>0</v>
      </c>
      <c r="S195" s="5">
        <v>0</v>
      </c>
      <c r="T195" s="5">
        <v>0</v>
      </c>
    </row>
    <row r="196" spans="1:20" x14ac:dyDescent="0.2">
      <c r="A196" s="5" t="s">
        <v>197</v>
      </c>
      <c r="B196" s="9" t="s">
        <v>162</v>
      </c>
      <c r="C196" s="5" t="s">
        <v>757</v>
      </c>
      <c r="D196" s="7">
        <f t="shared" si="0"/>
        <v>6</v>
      </c>
      <c r="E196" s="5">
        <v>0</v>
      </c>
      <c r="F196" s="5">
        <v>0</v>
      </c>
      <c r="G196" s="5">
        <v>0</v>
      </c>
      <c r="H196" s="5">
        <v>0</v>
      </c>
      <c r="I196" s="5">
        <v>0</v>
      </c>
      <c r="J196" s="9">
        <v>0</v>
      </c>
      <c r="K196" s="5">
        <v>0</v>
      </c>
      <c r="L196" s="5">
        <v>0</v>
      </c>
      <c r="M196" s="5">
        <v>0</v>
      </c>
      <c r="N196" s="9">
        <v>0</v>
      </c>
      <c r="O196" s="5">
        <v>3</v>
      </c>
      <c r="P196" s="5">
        <v>30</v>
      </c>
      <c r="Q196" s="5">
        <v>0</v>
      </c>
      <c r="R196" s="9">
        <v>0</v>
      </c>
      <c r="S196" s="5">
        <v>0</v>
      </c>
      <c r="T196" s="5">
        <v>0</v>
      </c>
    </row>
    <row r="197" spans="1:20" x14ac:dyDescent="0.2">
      <c r="A197" s="5" t="s">
        <v>484</v>
      </c>
      <c r="B197" s="9" t="s">
        <v>162</v>
      </c>
      <c r="C197" s="5" t="s">
        <v>755</v>
      </c>
      <c r="D197" s="7">
        <f t="shared" si="0"/>
        <v>4.9000000000000004</v>
      </c>
      <c r="E197" s="5">
        <v>0</v>
      </c>
      <c r="F197" s="5">
        <v>0</v>
      </c>
      <c r="G197" s="5">
        <v>0</v>
      </c>
      <c r="H197" s="5">
        <v>0</v>
      </c>
      <c r="I197" s="5">
        <v>0</v>
      </c>
      <c r="J197" s="9">
        <v>0</v>
      </c>
      <c r="K197" s="5">
        <v>0</v>
      </c>
      <c r="L197" s="5">
        <v>0</v>
      </c>
      <c r="M197" s="5">
        <v>0</v>
      </c>
      <c r="N197" s="9">
        <v>0</v>
      </c>
      <c r="O197" s="5">
        <v>2</v>
      </c>
      <c r="P197" s="5">
        <v>29</v>
      </c>
      <c r="Q197" s="5">
        <v>0</v>
      </c>
      <c r="R197" s="9">
        <v>0</v>
      </c>
      <c r="S197" s="5">
        <v>0</v>
      </c>
      <c r="T197" s="5">
        <v>0</v>
      </c>
    </row>
    <row r="198" spans="1:20" x14ac:dyDescent="0.2">
      <c r="A198" s="5" t="s">
        <v>679</v>
      </c>
      <c r="B198" s="9" t="s">
        <v>162</v>
      </c>
      <c r="C198" s="5" t="s">
        <v>742</v>
      </c>
      <c r="D198" s="7">
        <f t="shared" si="0"/>
        <v>5.9</v>
      </c>
      <c r="E198" s="5">
        <v>0</v>
      </c>
      <c r="F198" s="5">
        <v>0</v>
      </c>
      <c r="G198" s="5">
        <v>0</v>
      </c>
      <c r="H198" s="5">
        <v>0</v>
      </c>
      <c r="I198" s="5">
        <v>0</v>
      </c>
      <c r="J198" s="9">
        <v>0</v>
      </c>
      <c r="K198" s="5">
        <v>0</v>
      </c>
      <c r="L198" s="5">
        <v>0</v>
      </c>
      <c r="M198" s="5">
        <v>0</v>
      </c>
      <c r="N198" s="9">
        <v>0</v>
      </c>
      <c r="O198" s="5">
        <v>3</v>
      </c>
      <c r="P198" s="5">
        <v>29</v>
      </c>
      <c r="Q198" s="5">
        <v>0</v>
      </c>
      <c r="R198" s="9">
        <v>0</v>
      </c>
      <c r="S198" s="5">
        <v>0</v>
      </c>
      <c r="T198" s="5">
        <v>0</v>
      </c>
    </row>
    <row r="199" spans="1:20" x14ac:dyDescent="0.2">
      <c r="A199" s="5" t="s">
        <v>187</v>
      </c>
      <c r="B199" s="9" t="s">
        <v>162</v>
      </c>
      <c r="C199" s="5" t="s">
        <v>757</v>
      </c>
      <c r="D199" s="7">
        <f t="shared" si="0"/>
        <v>4.0999999999999996</v>
      </c>
      <c r="E199" s="5">
        <v>0</v>
      </c>
      <c r="F199" s="5">
        <v>0</v>
      </c>
      <c r="G199" s="5">
        <v>0</v>
      </c>
      <c r="H199" s="5">
        <v>0</v>
      </c>
      <c r="I199" s="5">
        <v>0</v>
      </c>
      <c r="J199" s="9">
        <v>0</v>
      </c>
      <c r="K199" s="5">
        <v>0</v>
      </c>
      <c r="L199" s="5">
        <v>0</v>
      </c>
      <c r="M199" s="5">
        <v>0</v>
      </c>
      <c r="N199" s="9">
        <v>0</v>
      </c>
      <c r="O199" s="5">
        <v>2</v>
      </c>
      <c r="P199" s="5">
        <v>21</v>
      </c>
      <c r="Q199" s="5">
        <v>0</v>
      </c>
      <c r="R199" s="9">
        <v>0</v>
      </c>
      <c r="S199" s="5">
        <v>0</v>
      </c>
      <c r="T199" s="5">
        <v>0</v>
      </c>
    </row>
    <row r="200" spans="1:20" x14ac:dyDescent="0.2">
      <c r="A200" s="5" t="s">
        <v>353</v>
      </c>
      <c r="B200" s="9" t="s">
        <v>162</v>
      </c>
      <c r="C200" s="5" t="s">
        <v>744</v>
      </c>
      <c r="D200" s="7">
        <f t="shared" si="0"/>
        <v>4.5</v>
      </c>
      <c r="E200" s="5">
        <v>0</v>
      </c>
      <c r="F200" s="5">
        <v>0</v>
      </c>
      <c r="G200" s="5">
        <v>0</v>
      </c>
      <c r="H200" s="5">
        <v>0</v>
      </c>
      <c r="I200" s="5">
        <v>0</v>
      </c>
      <c r="J200" s="9">
        <v>0</v>
      </c>
      <c r="K200" s="5">
        <v>0</v>
      </c>
      <c r="L200" s="5">
        <v>0</v>
      </c>
      <c r="M200" s="5">
        <v>0</v>
      </c>
      <c r="N200" s="9">
        <v>0</v>
      </c>
      <c r="O200" s="5">
        <v>2</v>
      </c>
      <c r="P200" s="5">
        <v>25</v>
      </c>
      <c r="Q200" s="5">
        <v>0</v>
      </c>
      <c r="R200" s="9">
        <v>0</v>
      </c>
      <c r="S200" s="5">
        <v>0</v>
      </c>
      <c r="T200" s="5">
        <v>0</v>
      </c>
    </row>
    <row r="201" spans="1:20" x14ac:dyDescent="0.2">
      <c r="A201" s="5" t="s">
        <v>398</v>
      </c>
      <c r="B201" s="9" t="s">
        <v>162</v>
      </c>
      <c r="C201" s="5" t="s">
        <v>750</v>
      </c>
      <c r="D201" s="7">
        <f t="shared" si="0"/>
        <v>2.3000000000000003</v>
      </c>
      <c r="E201" s="5">
        <v>0</v>
      </c>
      <c r="F201" s="5">
        <v>0</v>
      </c>
      <c r="G201" s="5">
        <v>0</v>
      </c>
      <c r="H201" s="5">
        <v>0</v>
      </c>
      <c r="I201" s="5">
        <v>0</v>
      </c>
      <c r="J201" s="9">
        <v>0</v>
      </c>
      <c r="K201" s="5">
        <v>2</v>
      </c>
      <c r="L201" s="5">
        <v>23</v>
      </c>
      <c r="M201" s="5">
        <v>0</v>
      </c>
      <c r="N201" s="9">
        <v>0</v>
      </c>
      <c r="O201" s="5">
        <v>0</v>
      </c>
      <c r="P201" s="5">
        <v>0</v>
      </c>
      <c r="Q201" s="5">
        <v>0</v>
      </c>
      <c r="R201" s="9">
        <v>0</v>
      </c>
      <c r="S201" s="5">
        <v>0</v>
      </c>
      <c r="T201" s="5">
        <v>0</v>
      </c>
    </row>
    <row r="202" spans="1:20" x14ac:dyDescent="0.2">
      <c r="A202" s="5" t="s">
        <v>223</v>
      </c>
      <c r="B202" s="9" t="s">
        <v>162</v>
      </c>
      <c r="C202" s="5" t="s">
        <v>755</v>
      </c>
      <c r="D202" s="7">
        <f t="shared" si="0"/>
        <v>5.0999999999999996</v>
      </c>
      <c r="E202" s="5">
        <v>0</v>
      </c>
      <c r="F202" s="5">
        <v>0</v>
      </c>
      <c r="G202" s="5">
        <v>0</v>
      </c>
      <c r="H202" s="5">
        <v>0</v>
      </c>
      <c r="I202" s="5">
        <v>0</v>
      </c>
      <c r="J202" s="9">
        <v>0</v>
      </c>
      <c r="K202" s="5">
        <v>0</v>
      </c>
      <c r="L202" s="5">
        <v>0</v>
      </c>
      <c r="M202" s="5">
        <v>0</v>
      </c>
      <c r="N202" s="9">
        <v>0</v>
      </c>
      <c r="O202" s="5">
        <v>3</v>
      </c>
      <c r="P202" s="5">
        <v>21</v>
      </c>
      <c r="Q202" s="5">
        <v>0</v>
      </c>
      <c r="R202" s="9">
        <v>0</v>
      </c>
      <c r="S202" s="5">
        <v>0</v>
      </c>
      <c r="T202" s="5">
        <v>0</v>
      </c>
    </row>
    <row r="203" spans="1:20" x14ac:dyDescent="0.2">
      <c r="A203" s="5" t="s">
        <v>241</v>
      </c>
      <c r="B203" s="9" t="s">
        <v>162</v>
      </c>
      <c r="C203" s="5" t="s">
        <v>749</v>
      </c>
      <c r="D203" s="7">
        <f t="shared" si="0"/>
        <v>5.0999999999999996</v>
      </c>
      <c r="E203" s="5">
        <v>0</v>
      </c>
      <c r="F203" s="5">
        <v>0</v>
      </c>
      <c r="G203" s="5">
        <v>0</v>
      </c>
      <c r="H203" s="5">
        <v>0</v>
      </c>
      <c r="I203" s="5">
        <v>0</v>
      </c>
      <c r="J203" s="9">
        <v>0</v>
      </c>
      <c r="K203" s="5">
        <v>0</v>
      </c>
      <c r="L203" s="5">
        <v>0</v>
      </c>
      <c r="M203" s="5">
        <v>0</v>
      </c>
      <c r="N203" s="9">
        <v>0</v>
      </c>
      <c r="O203" s="5">
        <v>3</v>
      </c>
      <c r="P203" s="5">
        <v>21</v>
      </c>
      <c r="Q203" s="5">
        <v>0</v>
      </c>
      <c r="R203" s="9">
        <v>0</v>
      </c>
      <c r="S203" s="5">
        <v>0</v>
      </c>
      <c r="T203" s="5">
        <v>0</v>
      </c>
    </row>
    <row r="204" spans="1:20" x14ac:dyDescent="0.2">
      <c r="A204" s="5" t="s">
        <v>339</v>
      </c>
      <c r="B204" s="9" t="s">
        <v>162</v>
      </c>
      <c r="C204" s="5" t="s">
        <v>758</v>
      </c>
      <c r="D204" s="7">
        <f t="shared" si="0"/>
        <v>4.4000000000000004</v>
      </c>
      <c r="E204" s="5">
        <v>0</v>
      </c>
      <c r="F204" s="5">
        <v>0</v>
      </c>
      <c r="G204" s="5">
        <v>0</v>
      </c>
      <c r="H204" s="5">
        <v>0</v>
      </c>
      <c r="I204" s="5">
        <v>0</v>
      </c>
      <c r="J204" s="9">
        <v>0</v>
      </c>
      <c r="K204" s="5">
        <v>0</v>
      </c>
      <c r="L204" s="5">
        <v>0</v>
      </c>
      <c r="M204" s="5">
        <v>0</v>
      </c>
      <c r="N204" s="9">
        <v>0</v>
      </c>
      <c r="O204" s="5">
        <v>2</v>
      </c>
      <c r="P204" s="5">
        <v>24</v>
      </c>
      <c r="Q204" s="5">
        <v>0</v>
      </c>
      <c r="R204" s="9">
        <v>0</v>
      </c>
      <c r="S204" s="5">
        <v>0</v>
      </c>
      <c r="T204" s="5">
        <v>0</v>
      </c>
    </row>
    <row r="205" spans="1:20" x14ac:dyDescent="0.2">
      <c r="A205" s="5" t="s">
        <v>427</v>
      </c>
      <c r="B205" s="9" t="s">
        <v>162</v>
      </c>
      <c r="C205" s="5" t="s">
        <v>745</v>
      </c>
      <c r="D205" s="7">
        <f t="shared" si="0"/>
        <v>6.5</v>
      </c>
      <c r="E205" s="5">
        <v>0</v>
      </c>
      <c r="F205" s="5">
        <v>0</v>
      </c>
      <c r="G205" s="5">
        <v>0</v>
      </c>
      <c r="H205" s="5">
        <v>0</v>
      </c>
      <c r="I205" s="5">
        <v>0</v>
      </c>
      <c r="J205" s="9">
        <v>0</v>
      </c>
      <c r="K205" s="5">
        <v>0</v>
      </c>
      <c r="L205" s="5">
        <v>0</v>
      </c>
      <c r="M205" s="5">
        <v>0</v>
      </c>
      <c r="N205" s="9">
        <v>0</v>
      </c>
      <c r="O205" s="5">
        <v>4</v>
      </c>
      <c r="P205" s="5">
        <v>25</v>
      </c>
      <c r="Q205" s="5">
        <v>0</v>
      </c>
      <c r="R205" s="9">
        <v>0</v>
      </c>
      <c r="S205" s="5">
        <v>0</v>
      </c>
      <c r="T205" s="5">
        <v>0</v>
      </c>
    </row>
    <row r="206" spans="1:20" x14ac:dyDescent="0.2">
      <c r="A206" s="5" t="s">
        <v>184</v>
      </c>
      <c r="B206" s="9" t="s">
        <v>162</v>
      </c>
      <c r="C206" s="5" t="s">
        <v>755</v>
      </c>
      <c r="D206" s="7">
        <f t="shared" si="0"/>
        <v>5.9</v>
      </c>
      <c r="E206" s="5">
        <v>0</v>
      </c>
      <c r="F206" s="5">
        <v>0</v>
      </c>
      <c r="G206" s="5">
        <v>0</v>
      </c>
      <c r="H206" s="5">
        <v>0</v>
      </c>
      <c r="I206" s="5">
        <v>0</v>
      </c>
      <c r="J206" s="9">
        <v>0</v>
      </c>
      <c r="K206" s="5">
        <v>0</v>
      </c>
      <c r="L206" s="5">
        <v>0</v>
      </c>
      <c r="M206" s="5">
        <v>0</v>
      </c>
      <c r="N206" s="9">
        <v>0</v>
      </c>
      <c r="O206" s="5">
        <v>3</v>
      </c>
      <c r="P206" s="5">
        <v>29</v>
      </c>
      <c r="Q206" s="5">
        <v>0</v>
      </c>
      <c r="R206" s="9">
        <v>0</v>
      </c>
      <c r="S206" s="5">
        <v>0</v>
      </c>
      <c r="T206" s="5">
        <v>0</v>
      </c>
    </row>
    <row r="207" spans="1:20" x14ac:dyDescent="0.2">
      <c r="A207" s="5" t="s">
        <v>228</v>
      </c>
      <c r="B207" s="9" t="s">
        <v>162</v>
      </c>
      <c r="C207" s="5" t="s">
        <v>752</v>
      </c>
      <c r="D207" s="7">
        <f t="shared" si="0"/>
        <v>2.4000000000000004</v>
      </c>
      <c r="E207" s="5">
        <v>0</v>
      </c>
      <c r="F207" s="5">
        <v>0</v>
      </c>
      <c r="G207" s="5">
        <v>0</v>
      </c>
      <c r="H207" s="5">
        <v>0</v>
      </c>
      <c r="I207" s="5">
        <v>0</v>
      </c>
      <c r="J207" s="9">
        <v>0</v>
      </c>
      <c r="K207" s="5">
        <v>0</v>
      </c>
      <c r="L207" s="5">
        <v>0</v>
      </c>
      <c r="M207" s="5">
        <v>0</v>
      </c>
      <c r="N207" s="9">
        <v>0</v>
      </c>
      <c r="O207" s="5">
        <v>1</v>
      </c>
      <c r="P207" s="5">
        <v>14</v>
      </c>
      <c r="Q207" s="5">
        <v>0</v>
      </c>
      <c r="R207" s="9">
        <v>0</v>
      </c>
      <c r="S207" s="5">
        <v>0</v>
      </c>
      <c r="T207" s="5">
        <v>0</v>
      </c>
    </row>
    <row r="208" spans="1:20" x14ac:dyDescent="0.2">
      <c r="A208" s="5" t="s">
        <v>212</v>
      </c>
      <c r="B208" s="9" t="s">
        <v>162</v>
      </c>
      <c r="C208" s="5" t="s">
        <v>755</v>
      </c>
      <c r="D208" s="7">
        <f t="shared" si="0"/>
        <v>2.2000000000000002</v>
      </c>
      <c r="E208" s="5">
        <v>0</v>
      </c>
      <c r="F208" s="5">
        <v>0</v>
      </c>
      <c r="G208" s="5">
        <v>0</v>
      </c>
      <c r="H208" s="5">
        <v>0</v>
      </c>
      <c r="I208" s="5">
        <v>0</v>
      </c>
      <c r="J208" s="9">
        <v>0</v>
      </c>
      <c r="K208" s="5">
        <v>0</v>
      </c>
      <c r="L208" s="5">
        <v>0</v>
      </c>
      <c r="M208" s="5">
        <v>0</v>
      </c>
      <c r="N208" s="9">
        <v>0</v>
      </c>
      <c r="O208" s="5">
        <v>1</v>
      </c>
      <c r="P208" s="5">
        <v>12</v>
      </c>
      <c r="Q208" s="5">
        <v>0</v>
      </c>
      <c r="R208" s="9">
        <v>0</v>
      </c>
      <c r="S208" s="5">
        <v>0</v>
      </c>
      <c r="T208" s="5">
        <v>0</v>
      </c>
    </row>
    <row r="209" spans="1:20" x14ac:dyDescent="0.2">
      <c r="A209" s="5" t="s">
        <v>371</v>
      </c>
      <c r="B209" s="9" t="s">
        <v>162</v>
      </c>
      <c r="C209" s="5" t="s">
        <v>758</v>
      </c>
      <c r="D209" s="7">
        <f t="shared" si="0"/>
        <v>2.8</v>
      </c>
      <c r="E209" s="5">
        <v>0</v>
      </c>
      <c r="F209" s="5">
        <v>0</v>
      </c>
      <c r="G209" s="5">
        <v>0</v>
      </c>
      <c r="H209" s="5">
        <v>0</v>
      </c>
      <c r="I209" s="5">
        <v>0</v>
      </c>
      <c r="J209" s="9">
        <v>0</v>
      </c>
      <c r="K209" s="5">
        <v>0</v>
      </c>
      <c r="L209" s="5">
        <v>0</v>
      </c>
      <c r="M209" s="5">
        <v>0</v>
      </c>
      <c r="N209" s="9">
        <v>0</v>
      </c>
      <c r="O209" s="5">
        <v>1</v>
      </c>
      <c r="P209" s="5">
        <v>18</v>
      </c>
      <c r="Q209" s="5">
        <v>0</v>
      </c>
      <c r="R209" s="9">
        <v>0</v>
      </c>
      <c r="S209" s="5">
        <v>0</v>
      </c>
      <c r="T209" s="5">
        <v>0</v>
      </c>
    </row>
    <row r="210" spans="1:20" x14ac:dyDescent="0.2">
      <c r="A210" s="5" t="s">
        <v>233</v>
      </c>
      <c r="B210" s="9" t="s">
        <v>162</v>
      </c>
      <c r="C210" s="5" t="s">
        <v>753</v>
      </c>
      <c r="D210" s="7">
        <f t="shared" si="0"/>
        <v>3</v>
      </c>
      <c r="E210" s="5">
        <v>0</v>
      </c>
      <c r="F210" s="5">
        <v>0</v>
      </c>
      <c r="G210" s="5">
        <v>0</v>
      </c>
      <c r="H210" s="5">
        <v>0</v>
      </c>
      <c r="I210" s="5">
        <v>0</v>
      </c>
      <c r="J210" s="9">
        <v>0</v>
      </c>
      <c r="K210" s="5">
        <v>0</v>
      </c>
      <c r="L210" s="5">
        <v>0</v>
      </c>
      <c r="M210" s="5">
        <v>0</v>
      </c>
      <c r="N210" s="9">
        <v>0</v>
      </c>
      <c r="O210" s="5">
        <v>2</v>
      </c>
      <c r="P210" s="5">
        <v>10</v>
      </c>
      <c r="Q210" s="5">
        <v>0</v>
      </c>
      <c r="R210" s="9">
        <v>0</v>
      </c>
      <c r="S210" s="5">
        <v>0</v>
      </c>
      <c r="T210" s="5">
        <v>0</v>
      </c>
    </row>
    <row r="211" spans="1:20" x14ac:dyDescent="0.2">
      <c r="A211" s="5" t="s">
        <v>629</v>
      </c>
      <c r="B211" s="9" t="s">
        <v>162</v>
      </c>
      <c r="C211" s="5" t="s">
        <v>744</v>
      </c>
      <c r="D211" s="7">
        <f t="shared" si="0"/>
        <v>4</v>
      </c>
      <c r="E211" s="5">
        <v>0</v>
      </c>
      <c r="F211" s="5">
        <v>0</v>
      </c>
      <c r="G211" s="5">
        <v>0</v>
      </c>
      <c r="H211" s="5">
        <v>0</v>
      </c>
      <c r="I211" s="5">
        <v>0</v>
      </c>
      <c r="J211" s="9">
        <v>0</v>
      </c>
      <c r="K211" s="5">
        <v>1</v>
      </c>
      <c r="L211" s="5">
        <v>5</v>
      </c>
      <c r="M211" s="5">
        <v>0</v>
      </c>
      <c r="N211" s="9">
        <v>0</v>
      </c>
      <c r="O211" s="5">
        <v>2</v>
      </c>
      <c r="P211" s="5">
        <v>15</v>
      </c>
      <c r="Q211" s="5">
        <v>0</v>
      </c>
      <c r="R211" s="9">
        <v>0</v>
      </c>
      <c r="S211" s="5">
        <v>0</v>
      </c>
      <c r="T211" s="5">
        <v>0</v>
      </c>
    </row>
    <row r="212" spans="1:20" x14ac:dyDescent="0.2">
      <c r="A212" s="5" t="s">
        <v>203</v>
      </c>
      <c r="B212" s="9" t="s">
        <v>162</v>
      </c>
      <c r="C212" s="5" t="s">
        <v>748</v>
      </c>
      <c r="D212" s="7">
        <f t="shared" si="0"/>
        <v>2.2000000000000002</v>
      </c>
      <c r="E212" s="5">
        <v>0</v>
      </c>
      <c r="F212" s="5">
        <v>0</v>
      </c>
      <c r="G212" s="5">
        <v>0</v>
      </c>
      <c r="H212" s="5">
        <v>0</v>
      </c>
      <c r="I212" s="5">
        <v>0</v>
      </c>
      <c r="J212" s="9">
        <v>0</v>
      </c>
      <c r="K212" s="5">
        <v>0</v>
      </c>
      <c r="L212" s="5">
        <v>0</v>
      </c>
      <c r="M212" s="5">
        <v>0</v>
      </c>
      <c r="N212" s="9">
        <v>0</v>
      </c>
      <c r="O212" s="5">
        <v>1</v>
      </c>
      <c r="P212" s="5">
        <v>12</v>
      </c>
      <c r="Q212" s="5">
        <v>0</v>
      </c>
      <c r="R212" s="9">
        <v>0</v>
      </c>
      <c r="S212" s="5">
        <v>0</v>
      </c>
      <c r="T212" s="5">
        <v>0</v>
      </c>
    </row>
    <row r="213" spans="1:20" x14ac:dyDescent="0.2">
      <c r="A213" s="5" t="s">
        <v>220</v>
      </c>
      <c r="B213" s="9" t="s">
        <v>162</v>
      </c>
      <c r="C213" s="5" t="s">
        <v>746</v>
      </c>
      <c r="D213" s="7">
        <f t="shared" si="0"/>
        <v>4.9000000000000004</v>
      </c>
      <c r="E213" s="5">
        <v>0</v>
      </c>
      <c r="F213" s="5">
        <v>0</v>
      </c>
      <c r="G213" s="5">
        <v>0</v>
      </c>
      <c r="H213" s="5">
        <v>0</v>
      </c>
      <c r="I213" s="5">
        <v>0</v>
      </c>
      <c r="J213" s="9">
        <v>0</v>
      </c>
      <c r="K213" s="5">
        <v>0</v>
      </c>
      <c r="L213" s="5">
        <v>0</v>
      </c>
      <c r="M213" s="5">
        <v>0</v>
      </c>
      <c r="N213" s="9">
        <v>0</v>
      </c>
      <c r="O213" s="5">
        <v>3</v>
      </c>
      <c r="P213" s="5">
        <v>19</v>
      </c>
      <c r="Q213" s="5">
        <v>0</v>
      </c>
      <c r="R213" s="9">
        <v>0</v>
      </c>
      <c r="S213" s="5">
        <v>0</v>
      </c>
      <c r="T213" s="5">
        <v>0</v>
      </c>
    </row>
    <row r="214" spans="1:20" x14ac:dyDescent="0.2">
      <c r="A214" s="5" t="s">
        <v>646</v>
      </c>
      <c r="B214" s="9" t="s">
        <v>162</v>
      </c>
      <c r="C214" s="5" t="s">
        <v>743</v>
      </c>
      <c r="D214" s="7">
        <f t="shared" si="0"/>
        <v>3.9000000000000004</v>
      </c>
      <c r="E214" s="5">
        <v>0</v>
      </c>
      <c r="F214" s="5">
        <v>0</v>
      </c>
      <c r="G214" s="5">
        <v>0</v>
      </c>
      <c r="H214" s="5">
        <v>0</v>
      </c>
      <c r="I214" s="5">
        <v>0</v>
      </c>
      <c r="J214" s="9">
        <v>0</v>
      </c>
      <c r="K214" s="5">
        <v>0</v>
      </c>
      <c r="L214" s="5">
        <v>0</v>
      </c>
      <c r="M214" s="5">
        <v>0</v>
      </c>
      <c r="N214" s="9">
        <v>0</v>
      </c>
      <c r="O214" s="5">
        <v>2</v>
      </c>
      <c r="P214" s="5">
        <v>19</v>
      </c>
      <c r="Q214" s="5">
        <v>0</v>
      </c>
      <c r="R214" s="9">
        <v>0</v>
      </c>
      <c r="S214" s="5">
        <v>0</v>
      </c>
      <c r="T214" s="5">
        <v>0</v>
      </c>
    </row>
    <row r="215" spans="1:20" x14ac:dyDescent="0.2">
      <c r="A215" s="5" t="s">
        <v>439</v>
      </c>
      <c r="B215" s="9" t="s">
        <v>162</v>
      </c>
      <c r="C215" s="5" t="s">
        <v>758</v>
      </c>
      <c r="D215" s="7">
        <f t="shared" si="0"/>
        <v>2</v>
      </c>
      <c r="E215" s="5">
        <v>0</v>
      </c>
      <c r="F215" s="5">
        <v>0</v>
      </c>
      <c r="G215" s="5">
        <v>0</v>
      </c>
      <c r="H215" s="5">
        <v>0</v>
      </c>
      <c r="I215" s="5">
        <v>0</v>
      </c>
      <c r="J215" s="9">
        <v>0</v>
      </c>
      <c r="K215" s="5">
        <v>0</v>
      </c>
      <c r="L215" s="5">
        <v>0</v>
      </c>
      <c r="M215" s="5">
        <v>0</v>
      </c>
      <c r="N215" s="9">
        <v>0</v>
      </c>
      <c r="O215" s="5">
        <v>1</v>
      </c>
      <c r="P215" s="5">
        <v>10</v>
      </c>
      <c r="Q215" s="5">
        <v>0</v>
      </c>
      <c r="R215" s="9">
        <v>0</v>
      </c>
      <c r="S215" s="5">
        <v>0</v>
      </c>
      <c r="T215" s="5">
        <v>0</v>
      </c>
    </row>
    <row r="216" spans="1:20" x14ac:dyDescent="0.2">
      <c r="A216" s="5" t="s">
        <v>261</v>
      </c>
      <c r="B216" s="9" t="s">
        <v>162</v>
      </c>
      <c r="C216" s="5" t="s">
        <v>751</v>
      </c>
      <c r="D216" s="7">
        <f t="shared" si="0"/>
        <v>2.7</v>
      </c>
      <c r="E216" s="5">
        <v>0</v>
      </c>
      <c r="F216" s="5">
        <v>0</v>
      </c>
      <c r="G216" s="5">
        <v>0</v>
      </c>
      <c r="H216" s="5">
        <v>0</v>
      </c>
      <c r="I216" s="5">
        <v>0</v>
      </c>
      <c r="J216" s="9">
        <v>0</v>
      </c>
      <c r="K216" s="5">
        <v>0</v>
      </c>
      <c r="L216" s="5">
        <v>0</v>
      </c>
      <c r="M216" s="5">
        <v>0</v>
      </c>
      <c r="N216" s="9">
        <v>0</v>
      </c>
      <c r="O216" s="5">
        <v>1</v>
      </c>
      <c r="P216" s="5">
        <v>17</v>
      </c>
      <c r="Q216" s="5">
        <v>0</v>
      </c>
      <c r="R216" s="9">
        <v>0</v>
      </c>
      <c r="S216" s="5">
        <v>0</v>
      </c>
      <c r="T216" s="5">
        <v>0</v>
      </c>
    </row>
    <row r="217" spans="1:20" x14ac:dyDescent="0.2">
      <c r="A217" s="5" t="s">
        <v>447</v>
      </c>
      <c r="B217" s="9" t="s">
        <v>162</v>
      </c>
      <c r="C217" s="5" t="s">
        <v>747</v>
      </c>
      <c r="D217" s="7">
        <f t="shared" si="0"/>
        <v>3</v>
      </c>
      <c r="E217" s="5">
        <v>0</v>
      </c>
      <c r="F217" s="5">
        <v>0</v>
      </c>
      <c r="G217" s="5">
        <v>0</v>
      </c>
      <c r="H217" s="5">
        <v>0</v>
      </c>
      <c r="I217" s="5">
        <v>0</v>
      </c>
      <c r="J217" s="9">
        <v>0</v>
      </c>
      <c r="K217" s="5">
        <v>0</v>
      </c>
      <c r="L217" s="5">
        <v>0</v>
      </c>
      <c r="M217" s="5">
        <v>0</v>
      </c>
      <c r="N217" s="9">
        <v>0</v>
      </c>
      <c r="O217" s="5">
        <v>2</v>
      </c>
      <c r="P217" s="5">
        <v>10</v>
      </c>
      <c r="Q217" s="5">
        <v>0</v>
      </c>
      <c r="R217" s="9">
        <v>0</v>
      </c>
      <c r="S217" s="5">
        <v>0</v>
      </c>
      <c r="T217" s="5">
        <v>0</v>
      </c>
    </row>
    <row r="218" spans="1:20" x14ac:dyDescent="0.2">
      <c r="A218" s="5" t="s">
        <v>254</v>
      </c>
      <c r="B218" s="9" t="s">
        <v>162</v>
      </c>
      <c r="C218" s="5" t="s">
        <v>741</v>
      </c>
      <c r="D218" s="7">
        <f t="shared" si="0"/>
        <v>1.1000000000000001</v>
      </c>
      <c r="E218" s="5">
        <v>0</v>
      </c>
      <c r="F218" s="5">
        <v>0</v>
      </c>
      <c r="G218" s="5">
        <v>0</v>
      </c>
      <c r="H218" s="5">
        <v>0</v>
      </c>
      <c r="I218" s="5">
        <v>0</v>
      </c>
      <c r="J218" s="9">
        <v>0</v>
      </c>
      <c r="K218" s="5">
        <v>1</v>
      </c>
      <c r="L218" s="5">
        <v>11</v>
      </c>
      <c r="M218" s="5">
        <v>0</v>
      </c>
      <c r="N218" s="9">
        <v>0</v>
      </c>
      <c r="O218" s="5">
        <v>0</v>
      </c>
      <c r="P218" s="5">
        <v>0</v>
      </c>
      <c r="Q218" s="5">
        <v>0</v>
      </c>
      <c r="R218" s="9">
        <v>0</v>
      </c>
      <c r="S218" s="5">
        <v>0</v>
      </c>
      <c r="T218" s="5">
        <v>0</v>
      </c>
    </row>
    <row r="219" spans="1:20" x14ac:dyDescent="0.2">
      <c r="A219" s="5" t="s">
        <v>181</v>
      </c>
      <c r="B219" s="9" t="s">
        <v>162</v>
      </c>
      <c r="C219" s="5" t="s">
        <v>750</v>
      </c>
      <c r="D219" s="7">
        <f t="shared" si="0"/>
        <v>3.4000000000000004</v>
      </c>
      <c r="E219" s="5">
        <v>0</v>
      </c>
      <c r="F219" s="5">
        <v>0</v>
      </c>
      <c r="G219" s="5">
        <v>0</v>
      </c>
      <c r="H219" s="5">
        <v>0</v>
      </c>
      <c r="I219" s="5">
        <v>0</v>
      </c>
      <c r="J219" s="9">
        <v>0</v>
      </c>
      <c r="K219" s="5">
        <v>0</v>
      </c>
      <c r="L219" s="5">
        <v>0</v>
      </c>
      <c r="M219" s="5">
        <v>0</v>
      </c>
      <c r="N219" s="9">
        <v>0</v>
      </c>
      <c r="O219" s="5">
        <v>2</v>
      </c>
      <c r="P219" s="5">
        <v>14</v>
      </c>
      <c r="Q219" s="5">
        <v>0</v>
      </c>
      <c r="R219" s="9">
        <v>0</v>
      </c>
      <c r="S219" s="5">
        <v>0</v>
      </c>
      <c r="T219" s="5">
        <v>0</v>
      </c>
    </row>
    <row r="220" spans="1:20" x14ac:dyDescent="0.2">
      <c r="A220" s="5" t="s">
        <v>208</v>
      </c>
      <c r="B220" s="9" t="s">
        <v>162</v>
      </c>
      <c r="C220" s="5" t="s">
        <v>750</v>
      </c>
      <c r="D220" s="7">
        <f t="shared" si="0"/>
        <v>3.7</v>
      </c>
      <c r="E220" s="5">
        <v>0</v>
      </c>
      <c r="F220" s="5">
        <v>0</v>
      </c>
      <c r="G220" s="5">
        <v>0</v>
      </c>
      <c r="H220" s="5">
        <v>0</v>
      </c>
      <c r="I220" s="5">
        <v>0</v>
      </c>
      <c r="J220" s="9">
        <v>0</v>
      </c>
      <c r="K220" s="5">
        <v>0</v>
      </c>
      <c r="L220" s="5">
        <v>0</v>
      </c>
      <c r="M220" s="5">
        <v>0</v>
      </c>
      <c r="N220" s="9">
        <v>0</v>
      </c>
      <c r="O220" s="5">
        <v>2</v>
      </c>
      <c r="P220" s="5">
        <v>17</v>
      </c>
      <c r="Q220" s="5">
        <v>0</v>
      </c>
      <c r="R220" s="9">
        <v>0</v>
      </c>
      <c r="S220" s="5">
        <v>0</v>
      </c>
      <c r="T220" s="5">
        <v>0</v>
      </c>
    </row>
    <row r="221" spans="1:20" x14ac:dyDescent="0.2">
      <c r="A221" s="5" t="s">
        <v>265</v>
      </c>
      <c r="B221" s="9" t="s">
        <v>162</v>
      </c>
      <c r="C221" s="5" t="s">
        <v>746</v>
      </c>
      <c r="D221" s="7">
        <f t="shared" si="0"/>
        <v>2.2999999999999998</v>
      </c>
      <c r="E221" s="5">
        <v>0</v>
      </c>
      <c r="F221" s="5">
        <v>0</v>
      </c>
      <c r="G221" s="5">
        <v>0</v>
      </c>
      <c r="H221" s="5">
        <v>0</v>
      </c>
      <c r="I221" s="5">
        <v>0</v>
      </c>
      <c r="J221" s="9">
        <v>0</v>
      </c>
      <c r="K221" s="5">
        <v>0</v>
      </c>
      <c r="L221" s="5">
        <v>0</v>
      </c>
      <c r="M221" s="5">
        <v>0</v>
      </c>
      <c r="N221" s="9">
        <v>0</v>
      </c>
      <c r="O221" s="5">
        <v>1</v>
      </c>
      <c r="P221" s="5">
        <v>13</v>
      </c>
      <c r="Q221" s="5">
        <v>0</v>
      </c>
      <c r="R221" s="9">
        <v>0</v>
      </c>
      <c r="S221" s="5">
        <v>0</v>
      </c>
      <c r="T221" s="5">
        <v>0</v>
      </c>
    </row>
    <row r="222" spans="1:20" x14ac:dyDescent="0.2">
      <c r="A222" s="5" t="s">
        <v>243</v>
      </c>
      <c r="B222" s="9" t="s">
        <v>162</v>
      </c>
      <c r="C222" s="5" t="s">
        <v>741</v>
      </c>
      <c r="D222" s="7">
        <f t="shared" si="0"/>
        <v>2.2000000000000002</v>
      </c>
      <c r="E222" s="5">
        <v>0</v>
      </c>
      <c r="F222" s="5">
        <v>0</v>
      </c>
      <c r="G222" s="5">
        <v>0</v>
      </c>
      <c r="H222" s="5">
        <v>0</v>
      </c>
      <c r="I222" s="5">
        <v>0</v>
      </c>
      <c r="J222" s="9">
        <v>0</v>
      </c>
      <c r="K222" s="5">
        <v>0</v>
      </c>
      <c r="L222" s="5">
        <v>0</v>
      </c>
      <c r="M222" s="5">
        <v>0</v>
      </c>
      <c r="N222" s="9">
        <v>0</v>
      </c>
      <c r="O222" s="5">
        <v>1</v>
      </c>
      <c r="P222" s="5">
        <v>12</v>
      </c>
      <c r="Q222" s="5">
        <v>0</v>
      </c>
      <c r="R222" s="9">
        <v>0</v>
      </c>
      <c r="S222" s="5">
        <v>0</v>
      </c>
      <c r="T222" s="5">
        <v>0</v>
      </c>
    </row>
    <row r="223" spans="1:20" x14ac:dyDescent="0.2">
      <c r="A223" s="5" t="s">
        <v>194</v>
      </c>
      <c r="B223" s="9" t="s">
        <v>162</v>
      </c>
      <c r="C223" s="5" t="s">
        <v>746</v>
      </c>
      <c r="D223" s="7">
        <f t="shared" si="0"/>
        <v>4.9000000000000004</v>
      </c>
      <c r="E223" s="5">
        <v>0</v>
      </c>
      <c r="F223" s="5">
        <v>0</v>
      </c>
      <c r="G223" s="5">
        <v>0</v>
      </c>
      <c r="H223" s="5">
        <v>0</v>
      </c>
      <c r="I223" s="5">
        <v>0</v>
      </c>
      <c r="J223" s="9">
        <v>0</v>
      </c>
      <c r="K223" s="5">
        <v>0</v>
      </c>
      <c r="L223" s="5">
        <v>0</v>
      </c>
      <c r="M223" s="5">
        <v>0</v>
      </c>
      <c r="N223" s="9">
        <v>0</v>
      </c>
      <c r="O223" s="5">
        <v>3</v>
      </c>
      <c r="P223" s="5">
        <v>19</v>
      </c>
      <c r="Q223" s="5">
        <v>0</v>
      </c>
      <c r="R223" s="9">
        <v>0</v>
      </c>
      <c r="S223" s="5">
        <v>0</v>
      </c>
      <c r="T223" s="5">
        <v>0</v>
      </c>
    </row>
    <row r="224" spans="1:20" x14ac:dyDescent="0.2">
      <c r="A224" s="5" t="s">
        <v>226</v>
      </c>
      <c r="B224" s="9" t="s">
        <v>162</v>
      </c>
      <c r="C224" s="5" t="s">
        <v>751</v>
      </c>
      <c r="D224" s="7">
        <f t="shared" si="0"/>
        <v>2.7</v>
      </c>
      <c r="E224" s="5">
        <v>0</v>
      </c>
      <c r="F224" s="5">
        <v>0</v>
      </c>
      <c r="G224" s="5">
        <v>0</v>
      </c>
      <c r="H224" s="5">
        <v>0</v>
      </c>
      <c r="I224" s="5">
        <v>0</v>
      </c>
      <c r="J224" s="9">
        <v>0</v>
      </c>
      <c r="K224" s="5">
        <v>0</v>
      </c>
      <c r="L224" s="5">
        <v>0</v>
      </c>
      <c r="M224" s="5">
        <v>0</v>
      </c>
      <c r="N224" s="9">
        <v>0</v>
      </c>
      <c r="O224" s="5">
        <v>1</v>
      </c>
      <c r="P224" s="5">
        <v>17</v>
      </c>
      <c r="Q224" s="5">
        <v>0</v>
      </c>
      <c r="R224" s="9">
        <v>0</v>
      </c>
      <c r="S224" s="5">
        <v>0</v>
      </c>
      <c r="T224" s="5">
        <v>0</v>
      </c>
    </row>
    <row r="225" spans="1:20" x14ac:dyDescent="0.2">
      <c r="A225" s="5" t="s">
        <v>712</v>
      </c>
      <c r="B225" s="9" t="s">
        <v>162</v>
      </c>
      <c r="C225" s="5" t="s">
        <v>752</v>
      </c>
      <c r="D225" s="7">
        <f t="shared" si="0"/>
        <v>5.2</v>
      </c>
      <c r="E225" s="5">
        <v>0</v>
      </c>
      <c r="F225" s="5">
        <v>0</v>
      </c>
      <c r="G225" s="5">
        <v>0</v>
      </c>
      <c r="H225" s="5">
        <v>0</v>
      </c>
      <c r="I225" s="5">
        <v>0</v>
      </c>
      <c r="J225" s="9">
        <v>0</v>
      </c>
      <c r="K225" s="5">
        <v>0</v>
      </c>
      <c r="L225" s="5">
        <v>0</v>
      </c>
      <c r="M225" s="5">
        <v>0</v>
      </c>
      <c r="N225" s="9">
        <v>0</v>
      </c>
      <c r="O225" s="5">
        <v>4</v>
      </c>
      <c r="P225" s="5">
        <v>12</v>
      </c>
      <c r="Q225" s="5">
        <v>0</v>
      </c>
      <c r="R225" s="9">
        <v>0</v>
      </c>
      <c r="S225" s="5">
        <v>0</v>
      </c>
      <c r="T225" s="5">
        <v>0</v>
      </c>
    </row>
    <row r="226" spans="1:20" x14ac:dyDescent="0.2">
      <c r="A226" s="5" t="s">
        <v>387</v>
      </c>
      <c r="B226" s="9" t="s">
        <v>162</v>
      </c>
      <c r="C226" s="5" t="s">
        <v>749</v>
      </c>
      <c r="D226" s="7">
        <f t="shared" si="0"/>
        <v>1.4</v>
      </c>
      <c r="E226" s="5">
        <v>0</v>
      </c>
      <c r="F226" s="5">
        <v>0</v>
      </c>
      <c r="G226" s="5">
        <v>0</v>
      </c>
      <c r="H226" s="5">
        <v>0</v>
      </c>
      <c r="I226" s="5">
        <v>0</v>
      </c>
      <c r="J226" s="9">
        <v>0</v>
      </c>
      <c r="K226" s="5">
        <v>0</v>
      </c>
      <c r="L226" s="5">
        <v>0</v>
      </c>
      <c r="M226" s="5">
        <v>0</v>
      </c>
      <c r="N226" s="9">
        <v>0</v>
      </c>
      <c r="O226" s="5">
        <v>1</v>
      </c>
      <c r="P226" s="5">
        <v>4</v>
      </c>
      <c r="Q226" s="5">
        <v>0</v>
      </c>
      <c r="R226" s="9">
        <v>0</v>
      </c>
      <c r="S226" s="5">
        <v>0</v>
      </c>
      <c r="T226" s="5">
        <v>0</v>
      </c>
    </row>
    <row r="227" spans="1:20" x14ac:dyDescent="0.2">
      <c r="A227" s="5" t="s">
        <v>342</v>
      </c>
      <c r="B227" s="9" t="s">
        <v>162</v>
      </c>
      <c r="C227" s="5" t="s">
        <v>755</v>
      </c>
      <c r="D227" s="7">
        <f t="shared" si="0"/>
        <v>2.8</v>
      </c>
      <c r="E227" s="5">
        <v>0</v>
      </c>
      <c r="F227" s="5">
        <v>0</v>
      </c>
      <c r="G227" s="5">
        <v>0</v>
      </c>
      <c r="H227" s="5">
        <v>0</v>
      </c>
      <c r="I227" s="5">
        <v>0</v>
      </c>
      <c r="J227" s="9">
        <v>0</v>
      </c>
      <c r="K227" s="5">
        <v>0</v>
      </c>
      <c r="L227" s="5">
        <v>0</v>
      </c>
      <c r="M227" s="5">
        <v>0</v>
      </c>
      <c r="N227" s="9">
        <v>0</v>
      </c>
      <c r="O227" s="5">
        <v>2</v>
      </c>
      <c r="P227" s="5">
        <v>8</v>
      </c>
      <c r="Q227" s="5">
        <v>0</v>
      </c>
      <c r="R227" s="9">
        <v>0</v>
      </c>
      <c r="S227" s="5">
        <v>0</v>
      </c>
      <c r="T227" s="5">
        <v>0</v>
      </c>
    </row>
    <row r="228" spans="1:20" x14ac:dyDescent="0.2">
      <c r="A228" s="5" t="s">
        <v>179</v>
      </c>
      <c r="B228" s="9" t="s">
        <v>162</v>
      </c>
      <c r="C228" s="5" t="s">
        <v>752</v>
      </c>
      <c r="D228" s="7">
        <f t="shared" si="0"/>
        <v>1.7000000000000002</v>
      </c>
      <c r="E228" s="5">
        <v>0</v>
      </c>
      <c r="F228" s="5">
        <v>0</v>
      </c>
      <c r="G228" s="5">
        <v>0</v>
      </c>
      <c r="H228" s="5">
        <v>0</v>
      </c>
      <c r="I228" s="5">
        <v>0</v>
      </c>
      <c r="J228" s="9">
        <v>0</v>
      </c>
      <c r="K228" s="5">
        <v>0</v>
      </c>
      <c r="L228" s="5">
        <v>0</v>
      </c>
      <c r="M228" s="5">
        <v>0</v>
      </c>
      <c r="N228" s="9">
        <v>0</v>
      </c>
      <c r="O228" s="5">
        <v>1</v>
      </c>
      <c r="P228" s="5">
        <v>7</v>
      </c>
      <c r="Q228" s="5">
        <v>0</v>
      </c>
      <c r="R228" s="9">
        <v>0</v>
      </c>
      <c r="S228" s="5">
        <v>0</v>
      </c>
      <c r="T228" s="5">
        <v>0</v>
      </c>
    </row>
    <row r="229" spans="1:20" x14ac:dyDescent="0.2">
      <c r="A229" s="5" t="s">
        <v>251</v>
      </c>
      <c r="B229" s="9" t="s">
        <v>162</v>
      </c>
      <c r="C229" s="5" t="s">
        <v>753</v>
      </c>
      <c r="D229" s="7">
        <f t="shared" si="0"/>
        <v>1.9</v>
      </c>
      <c r="E229" s="5">
        <v>0</v>
      </c>
      <c r="F229" s="5">
        <v>0</v>
      </c>
      <c r="G229" s="5">
        <v>0</v>
      </c>
      <c r="H229" s="5">
        <v>0</v>
      </c>
      <c r="I229" s="5">
        <v>0</v>
      </c>
      <c r="J229" s="9">
        <v>0</v>
      </c>
      <c r="K229" s="5">
        <v>0</v>
      </c>
      <c r="L229" s="5">
        <v>0</v>
      </c>
      <c r="M229" s="5">
        <v>0</v>
      </c>
      <c r="N229" s="9">
        <v>0</v>
      </c>
      <c r="O229" s="5">
        <v>1</v>
      </c>
      <c r="P229" s="5">
        <v>9</v>
      </c>
      <c r="Q229" s="5">
        <v>0</v>
      </c>
      <c r="R229" s="9">
        <v>0</v>
      </c>
      <c r="S229" s="5">
        <v>0</v>
      </c>
      <c r="T229" s="5">
        <v>0</v>
      </c>
    </row>
    <row r="230" spans="1:20" x14ac:dyDescent="0.2">
      <c r="A230" s="5" t="s">
        <v>260</v>
      </c>
      <c r="B230" s="9" t="s">
        <v>162</v>
      </c>
      <c r="C230" s="5" t="s">
        <v>757</v>
      </c>
      <c r="D230" s="7">
        <f t="shared" si="0"/>
        <v>0.5</v>
      </c>
      <c r="E230" s="5">
        <v>0</v>
      </c>
      <c r="F230" s="5">
        <v>0</v>
      </c>
      <c r="G230" s="5">
        <v>0</v>
      </c>
      <c r="H230" s="5">
        <v>0</v>
      </c>
      <c r="I230" s="5">
        <v>0</v>
      </c>
      <c r="J230" s="9">
        <v>0</v>
      </c>
      <c r="K230" s="5">
        <v>1</v>
      </c>
      <c r="L230" s="5">
        <v>5</v>
      </c>
      <c r="M230" s="5">
        <v>0</v>
      </c>
      <c r="N230" s="9">
        <v>0</v>
      </c>
      <c r="O230" s="5">
        <v>0</v>
      </c>
      <c r="P230" s="5">
        <v>0</v>
      </c>
      <c r="Q230" s="5">
        <v>0</v>
      </c>
      <c r="R230" s="9">
        <v>0</v>
      </c>
      <c r="S230" s="5">
        <v>0</v>
      </c>
      <c r="T230" s="5">
        <v>0</v>
      </c>
    </row>
    <row r="231" spans="1:20" x14ac:dyDescent="0.2">
      <c r="A231" s="5" t="s">
        <v>527</v>
      </c>
      <c r="B231" s="9" t="s">
        <v>162</v>
      </c>
      <c r="C231" s="5" t="s">
        <v>747</v>
      </c>
      <c r="D231" s="7">
        <f t="shared" si="0"/>
        <v>1.5</v>
      </c>
      <c r="E231" s="5">
        <v>0</v>
      </c>
      <c r="F231" s="5">
        <v>0</v>
      </c>
      <c r="G231" s="5">
        <v>0</v>
      </c>
      <c r="H231" s="5">
        <v>0</v>
      </c>
      <c r="I231" s="5">
        <v>0</v>
      </c>
      <c r="J231" s="9">
        <v>0</v>
      </c>
      <c r="K231" s="5">
        <v>0</v>
      </c>
      <c r="L231" s="5">
        <v>0</v>
      </c>
      <c r="M231" s="5">
        <v>0</v>
      </c>
      <c r="N231" s="9">
        <v>0</v>
      </c>
      <c r="O231" s="5">
        <v>1</v>
      </c>
      <c r="P231" s="5">
        <v>5</v>
      </c>
      <c r="Q231" s="5">
        <v>0</v>
      </c>
      <c r="R231" s="9">
        <v>0</v>
      </c>
      <c r="S231" s="5">
        <v>0</v>
      </c>
      <c r="T231" s="5">
        <v>0</v>
      </c>
    </row>
    <row r="232" spans="1:20" x14ac:dyDescent="0.2">
      <c r="A232" s="5" t="s">
        <v>582</v>
      </c>
      <c r="B232" s="9" t="s">
        <v>162</v>
      </c>
      <c r="C232" s="5" t="s">
        <v>749</v>
      </c>
      <c r="D232" s="7">
        <f t="shared" si="0"/>
        <v>1.6</v>
      </c>
      <c r="E232" s="5">
        <v>0</v>
      </c>
      <c r="F232" s="5">
        <v>0</v>
      </c>
      <c r="G232" s="5">
        <v>0</v>
      </c>
      <c r="H232" s="5">
        <v>0</v>
      </c>
      <c r="I232" s="5">
        <v>0</v>
      </c>
      <c r="J232" s="9">
        <v>0</v>
      </c>
      <c r="K232" s="5">
        <v>0</v>
      </c>
      <c r="L232" s="5">
        <v>0</v>
      </c>
      <c r="M232" s="5">
        <v>0</v>
      </c>
      <c r="N232" s="9">
        <v>0</v>
      </c>
      <c r="O232" s="5">
        <v>1</v>
      </c>
      <c r="P232" s="5">
        <v>6</v>
      </c>
      <c r="Q232" s="5">
        <v>0</v>
      </c>
      <c r="R232" s="9">
        <v>0</v>
      </c>
      <c r="S232" s="5">
        <v>0</v>
      </c>
      <c r="T232" s="5">
        <v>0</v>
      </c>
    </row>
    <row r="233" spans="1:20" x14ac:dyDescent="0.2">
      <c r="A233" s="5" t="s">
        <v>764</v>
      </c>
      <c r="B233" s="9" t="s">
        <v>162</v>
      </c>
      <c r="C233" s="5" t="s">
        <v>742</v>
      </c>
      <c r="D233" s="7">
        <f t="shared" si="0"/>
        <v>1.7000000000000002</v>
      </c>
      <c r="E233" s="5">
        <v>0</v>
      </c>
      <c r="F233" s="5">
        <v>0</v>
      </c>
      <c r="G233" s="5">
        <v>0</v>
      </c>
      <c r="H233" s="5">
        <v>0</v>
      </c>
      <c r="I233" s="5">
        <v>0</v>
      </c>
      <c r="J233" s="9">
        <v>0</v>
      </c>
      <c r="K233" s="5">
        <v>0</v>
      </c>
      <c r="L233" s="5">
        <v>0</v>
      </c>
      <c r="M233" s="5">
        <v>0</v>
      </c>
      <c r="N233" s="9">
        <v>0</v>
      </c>
      <c r="O233" s="5">
        <v>1</v>
      </c>
      <c r="P233" s="5">
        <v>7</v>
      </c>
      <c r="Q233" s="5">
        <v>0</v>
      </c>
      <c r="R233" s="9">
        <v>0</v>
      </c>
      <c r="S233" s="5">
        <v>0</v>
      </c>
      <c r="T233" s="5">
        <v>0</v>
      </c>
    </row>
    <row r="234" spans="1:20" x14ac:dyDescent="0.2">
      <c r="A234" s="5" t="s">
        <v>369</v>
      </c>
      <c r="B234" s="9" t="s">
        <v>162</v>
      </c>
      <c r="C234" s="5" t="s">
        <v>757</v>
      </c>
      <c r="D234" s="7">
        <f t="shared" si="0"/>
        <v>1.1000000000000001</v>
      </c>
      <c r="E234" s="5">
        <v>0</v>
      </c>
      <c r="F234" s="5">
        <v>0</v>
      </c>
      <c r="G234" s="5">
        <v>0</v>
      </c>
      <c r="H234" s="5">
        <v>0</v>
      </c>
      <c r="I234" s="5">
        <v>0</v>
      </c>
      <c r="J234" s="9">
        <v>0</v>
      </c>
      <c r="K234" s="5">
        <v>0</v>
      </c>
      <c r="L234" s="5">
        <v>0</v>
      </c>
      <c r="M234" s="5">
        <v>0</v>
      </c>
      <c r="N234" s="9">
        <v>0</v>
      </c>
      <c r="O234" s="5">
        <v>1</v>
      </c>
      <c r="P234" s="5">
        <v>1</v>
      </c>
      <c r="Q234" s="5">
        <v>0</v>
      </c>
      <c r="R234" s="9">
        <v>0</v>
      </c>
      <c r="S234" s="5">
        <v>0</v>
      </c>
      <c r="T234" s="5">
        <v>0</v>
      </c>
    </row>
    <row r="235" spans="1:20" x14ac:dyDescent="0.2">
      <c r="A235" s="5" t="s">
        <v>215</v>
      </c>
      <c r="B235" s="9" t="s">
        <v>162</v>
      </c>
      <c r="C235" s="5" t="s">
        <v>744</v>
      </c>
      <c r="D235" s="7">
        <f t="shared" si="0"/>
        <v>2.8</v>
      </c>
      <c r="E235" s="5">
        <v>0</v>
      </c>
      <c r="F235" s="5">
        <v>0</v>
      </c>
      <c r="G235" s="5">
        <v>0</v>
      </c>
      <c r="H235" s="5">
        <v>0</v>
      </c>
      <c r="I235" s="5">
        <v>0</v>
      </c>
      <c r="J235" s="9">
        <v>0</v>
      </c>
      <c r="K235" s="5">
        <v>1</v>
      </c>
      <c r="L235" s="5">
        <v>3</v>
      </c>
      <c r="M235" s="5">
        <v>0</v>
      </c>
      <c r="N235" s="9">
        <v>0</v>
      </c>
      <c r="O235" s="5">
        <v>2</v>
      </c>
      <c r="P235" s="5">
        <v>5</v>
      </c>
      <c r="Q235" s="5">
        <v>0</v>
      </c>
      <c r="R235" s="9">
        <v>0</v>
      </c>
      <c r="S235" s="5">
        <v>0</v>
      </c>
      <c r="T235" s="5">
        <v>0</v>
      </c>
    </row>
    <row r="236" spans="1:20" x14ac:dyDescent="0.2">
      <c r="A236" s="5" t="s">
        <v>224</v>
      </c>
      <c r="B236" s="9" t="s">
        <v>162</v>
      </c>
      <c r="C236" s="5" t="s">
        <v>747</v>
      </c>
      <c r="D236" s="7">
        <f t="shared" si="0"/>
        <v>1.3</v>
      </c>
      <c r="E236" s="5">
        <v>0</v>
      </c>
      <c r="F236" s="5">
        <v>0</v>
      </c>
      <c r="G236" s="5">
        <v>0</v>
      </c>
      <c r="H236" s="5">
        <v>0</v>
      </c>
      <c r="I236" s="5">
        <v>0</v>
      </c>
      <c r="J236" s="9">
        <v>0</v>
      </c>
      <c r="K236" s="5">
        <v>0</v>
      </c>
      <c r="L236" s="5">
        <v>0</v>
      </c>
      <c r="M236" s="5">
        <v>0</v>
      </c>
      <c r="N236" s="9">
        <v>0</v>
      </c>
      <c r="O236" s="5">
        <v>1</v>
      </c>
      <c r="P236" s="5">
        <v>3</v>
      </c>
      <c r="Q236" s="5">
        <v>0</v>
      </c>
      <c r="R236" s="9">
        <v>0</v>
      </c>
      <c r="S236" s="5">
        <v>0</v>
      </c>
      <c r="T236" s="5">
        <v>0</v>
      </c>
    </row>
    <row r="237" spans="1:20" x14ac:dyDescent="0.2">
      <c r="A237" s="5" t="s">
        <v>209</v>
      </c>
      <c r="B237" s="9" t="s">
        <v>162</v>
      </c>
      <c r="C237" s="5" t="s">
        <v>742</v>
      </c>
      <c r="D237" s="7">
        <f t="shared" si="0"/>
        <v>1.5</v>
      </c>
      <c r="E237" s="5">
        <v>0</v>
      </c>
      <c r="F237" s="5">
        <v>0</v>
      </c>
      <c r="G237" s="5">
        <v>0</v>
      </c>
      <c r="H237" s="5">
        <v>0</v>
      </c>
      <c r="I237" s="5">
        <v>0</v>
      </c>
      <c r="J237" s="9">
        <v>0</v>
      </c>
      <c r="K237" s="5">
        <v>0</v>
      </c>
      <c r="L237" s="5">
        <v>0</v>
      </c>
      <c r="M237" s="5">
        <v>0</v>
      </c>
      <c r="N237" s="9">
        <v>0</v>
      </c>
      <c r="O237" s="5">
        <v>1</v>
      </c>
      <c r="P237" s="5">
        <v>5</v>
      </c>
      <c r="Q237" s="5">
        <v>0</v>
      </c>
      <c r="R237" s="9">
        <v>0</v>
      </c>
      <c r="S237" s="5">
        <v>0</v>
      </c>
      <c r="T237" s="5">
        <v>0</v>
      </c>
    </row>
    <row r="238" spans="1:20" x14ac:dyDescent="0.2">
      <c r="A238" s="5" t="s">
        <v>255</v>
      </c>
      <c r="B238" s="9" t="s">
        <v>162</v>
      </c>
      <c r="C238" s="5" t="s">
        <v>741</v>
      </c>
      <c r="D238" s="7">
        <f t="shared" si="0"/>
        <v>1.5</v>
      </c>
      <c r="E238" s="5">
        <v>0</v>
      </c>
      <c r="F238" s="5">
        <v>0</v>
      </c>
      <c r="G238" s="5">
        <v>0</v>
      </c>
      <c r="H238" s="5">
        <v>0</v>
      </c>
      <c r="I238" s="5">
        <v>0</v>
      </c>
      <c r="J238" s="9">
        <v>0</v>
      </c>
      <c r="K238" s="5">
        <v>0</v>
      </c>
      <c r="L238" s="5">
        <v>0</v>
      </c>
      <c r="M238" s="5">
        <v>0</v>
      </c>
      <c r="N238" s="9">
        <v>0</v>
      </c>
      <c r="O238" s="5">
        <v>1</v>
      </c>
      <c r="P238" s="5">
        <v>5</v>
      </c>
      <c r="Q238" s="5">
        <v>0</v>
      </c>
      <c r="R238" s="9">
        <v>0</v>
      </c>
      <c r="S238" s="5">
        <v>0</v>
      </c>
      <c r="T238" s="5">
        <v>0</v>
      </c>
    </row>
    <row r="239" spans="1:20" x14ac:dyDescent="0.2">
      <c r="A239" s="5" t="s">
        <v>384</v>
      </c>
      <c r="B239" s="9" t="s">
        <v>162</v>
      </c>
      <c r="C239" s="5" t="s">
        <v>748</v>
      </c>
      <c r="D239" s="7">
        <f t="shared" si="0"/>
        <v>1.5</v>
      </c>
      <c r="E239" s="5">
        <v>0</v>
      </c>
      <c r="F239" s="5">
        <v>0</v>
      </c>
      <c r="G239" s="5">
        <v>0</v>
      </c>
      <c r="H239" s="5">
        <v>0</v>
      </c>
      <c r="I239" s="5">
        <v>0</v>
      </c>
      <c r="J239" s="9">
        <v>0</v>
      </c>
      <c r="K239" s="5">
        <v>0</v>
      </c>
      <c r="L239" s="5">
        <v>0</v>
      </c>
      <c r="M239" s="5">
        <v>0</v>
      </c>
      <c r="N239" s="9">
        <v>0</v>
      </c>
      <c r="O239" s="5">
        <v>1</v>
      </c>
      <c r="P239" s="5">
        <v>5</v>
      </c>
      <c r="Q239" s="5">
        <v>0</v>
      </c>
      <c r="R239" s="9">
        <v>0</v>
      </c>
      <c r="S239" s="5">
        <v>0</v>
      </c>
      <c r="T239" s="5">
        <v>0</v>
      </c>
    </row>
    <row r="240" spans="1:20" x14ac:dyDescent="0.2">
      <c r="A240" s="5" t="s">
        <v>677</v>
      </c>
      <c r="B240" s="9" t="s">
        <v>162</v>
      </c>
      <c r="C240" s="5" t="s">
        <v>757</v>
      </c>
      <c r="D240" s="7">
        <f t="shared" si="0"/>
        <v>1.1000000000000001</v>
      </c>
      <c r="E240" s="5">
        <v>0</v>
      </c>
      <c r="F240" s="5">
        <v>0</v>
      </c>
      <c r="G240" s="5">
        <v>0</v>
      </c>
      <c r="H240" s="5">
        <v>0</v>
      </c>
      <c r="I240" s="5">
        <v>0</v>
      </c>
      <c r="J240" s="9">
        <v>0</v>
      </c>
      <c r="K240" s="5">
        <v>1</v>
      </c>
      <c r="L240" s="5">
        <v>1</v>
      </c>
      <c r="M240" s="5">
        <v>0</v>
      </c>
      <c r="N240" s="9">
        <v>0</v>
      </c>
      <c r="O240" s="5">
        <v>1</v>
      </c>
      <c r="P240" s="5">
        <v>0</v>
      </c>
      <c r="Q240" s="5">
        <v>0</v>
      </c>
      <c r="R240" s="9">
        <v>0</v>
      </c>
      <c r="S240" s="5">
        <v>0</v>
      </c>
      <c r="T240" s="5">
        <v>0</v>
      </c>
    </row>
    <row r="241" spans="1:20" x14ac:dyDescent="0.2">
      <c r="A241" s="5" t="s">
        <v>247</v>
      </c>
      <c r="B241" s="9" t="s">
        <v>162</v>
      </c>
      <c r="C241" s="5" t="s">
        <v>742</v>
      </c>
      <c r="D241" s="7">
        <f t="shared" si="0"/>
        <v>-0.1</v>
      </c>
      <c r="E241" s="5">
        <v>0</v>
      </c>
      <c r="F241" s="5">
        <v>0</v>
      </c>
      <c r="G241" s="5">
        <v>0</v>
      </c>
      <c r="H241" s="5">
        <v>0</v>
      </c>
      <c r="I241" s="5">
        <v>0</v>
      </c>
      <c r="J241" s="9">
        <v>0</v>
      </c>
      <c r="K241" s="5">
        <v>1</v>
      </c>
      <c r="L241" s="5">
        <v>-1</v>
      </c>
      <c r="M241" s="5">
        <v>0</v>
      </c>
      <c r="N241" s="9">
        <v>0</v>
      </c>
      <c r="O241" s="5">
        <v>0</v>
      </c>
      <c r="P241" s="5">
        <v>0</v>
      </c>
      <c r="Q241" s="5">
        <v>0</v>
      </c>
      <c r="R241" s="9">
        <v>0</v>
      </c>
      <c r="S241" s="5">
        <v>0</v>
      </c>
      <c r="T241" s="5">
        <v>0</v>
      </c>
    </row>
    <row r="242" spans="1:20" x14ac:dyDescent="0.2">
      <c r="A242" s="5" t="s">
        <v>557</v>
      </c>
      <c r="B242" s="9" t="s">
        <v>162</v>
      </c>
      <c r="C242" s="5" t="s">
        <v>751</v>
      </c>
      <c r="D242" s="7">
        <f t="shared" si="0"/>
        <v>1.5</v>
      </c>
      <c r="E242" s="5">
        <v>0</v>
      </c>
      <c r="F242" s="5">
        <v>0</v>
      </c>
      <c r="G242" s="5">
        <v>0</v>
      </c>
      <c r="H242" s="5">
        <v>0</v>
      </c>
      <c r="I242" s="5">
        <v>0</v>
      </c>
      <c r="J242" s="9">
        <v>0</v>
      </c>
      <c r="K242" s="5">
        <v>0</v>
      </c>
      <c r="L242" s="5">
        <v>0</v>
      </c>
      <c r="M242" s="5">
        <v>0</v>
      </c>
      <c r="N242" s="9">
        <v>0</v>
      </c>
      <c r="O242" s="5">
        <v>1</v>
      </c>
      <c r="P242" s="5">
        <v>5</v>
      </c>
      <c r="Q242" s="5">
        <v>0</v>
      </c>
      <c r="R242" s="9">
        <v>0</v>
      </c>
      <c r="S242" s="5">
        <v>0</v>
      </c>
      <c r="T242" s="5">
        <v>0</v>
      </c>
    </row>
    <row r="243" spans="1:20" x14ac:dyDescent="0.2">
      <c r="A243" s="5" t="s">
        <v>267</v>
      </c>
      <c r="B243" s="9" t="s">
        <v>162</v>
      </c>
      <c r="C243" s="5" t="s">
        <v>751</v>
      </c>
      <c r="D243" s="7">
        <f t="shared" si="0"/>
        <v>2.5</v>
      </c>
      <c r="E243" s="5">
        <v>0</v>
      </c>
      <c r="F243" s="5">
        <v>0</v>
      </c>
      <c r="G243" s="5">
        <v>0</v>
      </c>
      <c r="H243" s="5">
        <v>0</v>
      </c>
      <c r="I243" s="5">
        <v>0</v>
      </c>
      <c r="J243" s="9">
        <v>0</v>
      </c>
      <c r="K243" s="5">
        <v>0</v>
      </c>
      <c r="L243" s="5">
        <v>0</v>
      </c>
      <c r="M243" s="5">
        <v>0</v>
      </c>
      <c r="N243" s="9">
        <v>0</v>
      </c>
      <c r="O243" s="5">
        <v>2</v>
      </c>
      <c r="P243" s="5">
        <v>5</v>
      </c>
      <c r="Q243" s="5">
        <v>0</v>
      </c>
      <c r="R243" s="9">
        <v>0</v>
      </c>
      <c r="S243" s="5">
        <v>0</v>
      </c>
      <c r="T243" s="5">
        <v>0</v>
      </c>
    </row>
    <row r="244" spans="1:20" x14ac:dyDescent="0.2">
      <c r="A244" s="5" t="s">
        <v>485</v>
      </c>
      <c r="B244" s="9" t="s">
        <v>162</v>
      </c>
      <c r="C244" s="5" t="s">
        <v>755</v>
      </c>
      <c r="D244" s="7">
        <f t="shared" si="0"/>
        <v>2.2000000000000002</v>
      </c>
      <c r="E244" s="5">
        <v>0</v>
      </c>
      <c r="F244" s="5">
        <v>0</v>
      </c>
      <c r="G244" s="5">
        <v>0</v>
      </c>
      <c r="H244" s="5">
        <v>0</v>
      </c>
      <c r="I244" s="5">
        <v>0</v>
      </c>
      <c r="J244" s="9">
        <v>0</v>
      </c>
      <c r="K244" s="5">
        <v>0</v>
      </c>
      <c r="L244" s="5">
        <v>0</v>
      </c>
      <c r="M244" s="5">
        <v>0</v>
      </c>
      <c r="N244" s="9">
        <v>0</v>
      </c>
      <c r="O244" s="5">
        <v>2</v>
      </c>
      <c r="P244" s="5">
        <v>2</v>
      </c>
      <c r="Q244" s="5">
        <v>0</v>
      </c>
      <c r="R244" s="9">
        <v>0</v>
      </c>
      <c r="S244" s="5">
        <v>0</v>
      </c>
      <c r="T244" s="5">
        <v>0</v>
      </c>
    </row>
    <row r="245" spans="1:20" x14ac:dyDescent="0.2">
      <c r="A245" s="5" t="s">
        <v>258</v>
      </c>
      <c r="B245" s="9" t="s">
        <v>162</v>
      </c>
      <c r="C245" s="5" t="s">
        <v>743</v>
      </c>
      <c r="D245" s="7">
        <f t="shared" si="0"/>
        <v>-1.2</v>
      </c>
      <c r="E245" s="5">
        <v>0</v>
      </c>
      <c r="F245" s="5">
        <v>0</v>
      </c>
      <c r="G245" s="5">
        <v>0</v>
      </c>
      <c r="H245" s="5">
        <v>0</v>
      </c>
      <c r="I245" s="5">
        <v>0</v>
      </c>
      <c r="J245" s="9">
        <v>0</v>
      </c>
      <c r="K245" s="5">
        <v>0</v>
      </c>
      <c r="L245" s="5">
        <v>0</v>
      </c>
      <c r="M245" s="5">
        <v>0</v>
      </c>
      <c r="N245" s="9">
        <v>0</v>
      </c>
      <c r="O245" s="5">
        <v>1</v>
      </c>
      <c r="P245" s="5">
        <v>-2</v>
      </c>
      <c r="Q245" s="5">
        <v>0</v>
      </c>
      <c r="R245" s="9">
        <v>0</v>
      </c>
      <c r="S245" s="5">
        <v>1</v>
      </c>
      <c r="T245" s="5">
        <v>0</v>
      </c>
    </row>
    <row r="246" spans="1:20" x14ac:dyDescent="0.2">
      <c r="A246" s="5" t="s">
        <v>610</v>
      </c>
      <c r="B246" s="9" t="s">
        <v>162</v>
      </c>
      <c r="C246" s="5" t="s">
        <v>750</v>
      </c>
      <c r="D246" s="7">
        <f t="shared" si="0"/>
        <v>-2</v>
      </c>
      <c r="E246" s="5">
        <v>0</v>
      </c>
      <c r="F246" s="5">
        <v>0</v>
      </c>
      <c r="G246" s="5">
        <v>0</v>
      </c>
      <c r="H246" s="5">
        <v>0</v>
      </c>
      <c r="I246" s="5">
        <v>0</v>
      </c>
      <c r="J246" s="9">
        <v>0</v>
      </c>
      <c r="K246" s="5">
        <v>0</v>
      </c>
      <c r="L246" s="5">
        <v>0</v>
      </c>
      <c r="M246" s="5">
        <v>0</v>
      </c>
      <c r="N246" s="9">
        <v>0</v>
      </c>
      <c r="O246" s="5">
        <v>0</v>
      </c>
      <c r="P246" s="5">
        <v>0</v>
      </c>
      <c r="Q246" s="5">
        <v>0</v>
      </c>
      <c r="R246" s="9">
        <v>0</v>
      </c>
      <c r="S246" s="5">
        <v>1</v>
      </c>
      <c r="T246" s="5">
        <v>0</v>
      </c>
    </row>
    <row r="247" spans="1:20" x14ac:dyDescent="0.2">
      <c r="A247" s="5" t="s">
        <v>280</v>
      </c>
      <c r="B247" s="9" t="s">
        <v>69</v>
      </c>
      <c r="C247" s="5" t="s">
        <v>741</v>
      </c>
      <c r="D247" s="7">
        <f t="shared" si="0"/>
        <v>28.6</v>
      </c>
      <c r="E247" s="5">
        <v>0</v>
      </c>
      <c r="F247" s="5">
        <v>0</v>
      </c>
      <c r="G247" s="5">
        <v>0</v>
      </c>
      <c r="H247" s="5">
        <v>0</v>
      </c>
      <c r="I247" s="5">
        <v>0</v>
      </c>
      <c r="J247" s="9">
        <v>0</v>
      </c>
      <c r="K247" s="5">
        <v>0</v>
      </c>
      <c r="L247" s="5">
        <v>0</v>
      </c>
      <c r="M247" s="5">
        <v>0</v>
      </c>
      <c r="N247" s="9">
        <v>0</v>
      </c>
      <c r="O247" s="5">
        <v>5</v>
      </c>
      <c r="P247" s="5">
        <v>56</v>
      </c>
      <c r="Q247" s="5">
        <v>3</v>
      </c>
      <c r="R247" s="9">
        <v>0</v>
      </c>
      <c r="S247" s="5">
        <v>0</v>
      </c>
      <c r="T247" s="5">
        <v>0</v>
      </c>
    </row>
    <row r="248" spans="1:20" x14ac:dyDescent="0.2">
      <c r="A248" s="5" t="s">
        <v>300</v>
      </c>
      <c r="B248" s="9" t="s">
        <v>69</v>
      </c>
      <c r="C248" s="5" t="s">
        <v>750</v>
      </c>
      <c r="D248" s="7">
        <f t="shared" si="0"/>
        <v>26.4</v>
      </c>
      <c r="E248" s="5">
        <v>0</v>
      </c>
      <c r="F248" s="5">
        <v>0</v>
      </c>
      <c r="G248" s="5">
        <v>0</v>
      </c>
      <c r="H248" s="5">
        <v>0</v>
      </c>
      <c r="I248" s="5">
        <v>0</v>
      </c>
      <c r="J248" s="9">
        <v>0</v>
      </c>
      <c r="K248" s="5">
        <v>0</v>
      </c>
      <c r="L248" s="5">
        <v>0</v>
      </c>
      <c r="M248" s="5">
        <v>0</v>
      </c>
      <c r="N248" s="9">
        <v>0</v>
      </c>
      <c r="O248" s="5">
        <v>10</v>
      </c>
      <c r="P248" s="5">
        <v>104</v>
      </c>
      <c r="Q248" s="5">
        <v>1</v>
      </c>
      <c r="R248" s="9">
        <v>0</v>
      </c>
      <c r="S248" s="5">
        <v>0</v>
      </c>
      <c r="T248" s="5">
        <v>0</v>
      </c>
    </row>
    <row r="249" spans="1:20" x14ac:dyDescent="0.2">
      <c r="A249" s="5" t="s">
        <v>317</v>
      </c>
      <c r="B249" s="9" t="s">
        <v>69</v>
      </c>
      <c r="C249" s="5" t="s">
        <v>752</v>
      </c>
      <c r="D249" s="7">
        <f t="shared" si="0"/>
        <v>18</v>
      </c>
      <c r="E249" s="5">
        <v>0</v>
      </c>
      <c r="F249" s="5">
        <v>0</v>
      </c>
      <c r="G249" s="5">
        <v>0</v>
      </c>
      <c r="H249" s="5">
        <v>0</v>
      </c>
      <c r="I249" s="5">
        <v>0</v>
      </c>
      <c r="J249" s="9">
        <v>0</v>
      </c>
      <c r="K249" s="5">
        <v>0</v>
      </c>
      <c r="L249" s="5">
        <v>0</v>
      </c>
      <c r="M249" s="5">
        <v>0</v>
      </c>
      <c r="N249" s="9">
        <v>0</v>
      </c>
      <c r="O249" s="5">
        <v>5</v>
      </c>
      <c r="P249" s="5">
        <v>70</v>
      </c>
      <c r="Q249" s="5">
        <v>1</v>
      </c>
      <c r="R249" s="9">
        <v>0</v>
      </c>
      <c r="S249" s="5">
        <v>0</v>
      </c>
      <c r="T249" s="5">
        <v>0</v>
      </c>
    </row>
    <row r="250" spans="1:20" x14ac:dyDescent="0.2">
      <c r="A250" s="5" t="s">
        <v>271</v>
      </c>
      <c r="B250" s="9" t="s">
        <v>69</v>
      </c>
      <c r="C250" s="5" t="s">
        <v>751</v>
      </c>
      <c r="D250" s="7">
        <f t="shared" si="0"/>
        <v>19.600000000000001</v>
      </c>
      <c r="E250" s="5">
        <v>0</v>
      </c>
      <c r="F250" s="5">
        <v>0</v>
      </c>
      <c r="G250" s="5">
        <v>0</v>
      </c>
      <c r="H250" s="5">
        <v>0</v>
      </c>
      <c r="I250" s="5">
        <v>0</v>
      </c>
      <c r="J250" s="9">
        <v>0</v>
      </c>
      <c r="K250" s="5">
        <v>0</v>
      </c>
      <c r="L250" s="5">
        <v>0</v>
      </c>
      <c r="M250" s="5">
        <v>0</v>
      </c>
      <c r="N250" s="9">
        <v>0</v>
      </c>
      <c r="O250" s="5">
        <v>7</v>
      </c>
      <c r="P250" s="5">
        <v>66</v>
      </c>
      <c r="Q250" s="5">
        <v>1</v>
      </c>
      <c r="R250" s="9">
        <v>0</v>
      </c>
      <c r="S250" s="5">
        <v>0</v>
      </c>
      <c r="T250" s="5">
        <v>0</v>
      </c>
    </row>
    <row r="251" spans="1:20" x14ac:dyDescent="0.2">
      <c r="A251" s="5" t="s">
        <v>486</v>
      </c>
      <c r="B251" s="9" t="s">
        <v>69</v>
      </c>
      <c r="C251" s="5" t="s">
        <v>742</v>
      </c>
      <c r="D251" s="7">
        <f t="shared" si="0"/>
        <v>15.7</v>
      </c>
      <c r="E251" s="5">
        <v>0</v>
      </c>
      <c r="F251" s="5">
        <v>0</v>
      </c>
      <c r="G251" s="5">
        <v>0</v>
      </c>
      <c r="H251" s="5">
        <v>0</v>
      </c>
      <c r="I251" s="5">
        <v>0</v>
      </c>
      <c r="J251" s="9">
        <v>0</v>
      </c>
      <c r="K251" s="5">
        <v>0</v>
      </c>
      <c r="L251" s="5">
        <v>0</v>
      </c>
      <c r="M251" s="5">
        <v>0</v>
      </c>
      <c r="N251" s="9">
        <v>0</v>
      </c>
      <c r="O251" s="5">
        <v>4</v>
      </c>
      <c r="P251" s="5">
        <v>57</v>
      </c>
      <c r="Q251" s="5">
        <v>1</v>
      </c>
      <c r="R251" s="9">
        <v>0</v>
      </c>
      <c r="S251" s="5">
        <v>0</v>
      </c>
      <c r="T251" s="5">
        <v>0</v>
      </c>
    </row>
    <row r="252" spans="1:20" x14ac:dyDescent="0.2">
      <c r="A252" s="5" t="s">
        <v>583</v>
      </c>
      <c r="B252" s="9" t="s">
        <v>69</v>
      </c>
      <c r="C252" s="5" t="s">
        <v>744</v>
      </c>
      <c r="D252" s="7">
        <f t="shared" si="0"/>
        <v>14.4</v>
      </c>
      <c r="E252" s="5">
        <v>0</v>
      </c>
      <c r="F252" s="5">
        <v>0</v>
      </c>
      <c r="G252" s="5">
        <v>0</v>
      </c>
      <c r="H252" s="5">
        <v>0</v>
      </c>
      <c r="I252" s="5">
        <v>0</v>
      </c>
      <c r="J252" s="9">
        <v>0</v>
      </c>
      <c r="K252" s="5">
        <v>0</v>
      </c>
      <c r="L252" s="5">
        <v>0</v>
      </c>
      <c r="M252" s="5">
        <v>0</v>
      </c>
      <c r="N252" s="9">
        <v>0</v>
      </c>
      <c r="O252" s="5">
        <v>4</v>
      </c>
      <c r="P252" s="5">
        <v>44</v>
      </c>
      <c r="Q252" s="5">
        <v>1</v>
      </c>
      <c r="R252" s="9">
        <v>0</v>
      </c>
      <c r="S252" s="5">
        <v>0</v>
      </c>
      <c r="T252" s="5">
        <v>0</v>
      </c>
    </row>
    <row r="253" spans="1:20" x14ac:dyDescent="0.2">
      <c r="A253" s="5" t="s">
        <v>299</v>
      </c>
      <c r="B253" s="9" t="s">
        <v>69</v>
      </c>
      <c r="C253" s="5" t="s">
        <v>744</v>
      </c>
      <c r="D253" s="7">
        <f t="shared" si="0"/>
        <v>20.200000000000003</v>
      </c>
      <c r="E253" s="5">
        <v>0</v>
      </c>
      <c r="F253" s="5">
        <v>0</v>
      </c>
      <c r="G253" s="5">
        <v>0</v>
      </c>
      <c r="H253" s="5">
        <v>0</v>
      </c>
      <c r="I253" s="5">
        <v>0</v>
      </c>
      <c r="J253" s="9">
        <v>0</v>
      </c>
      <c r="K253" s="5">
        <v>0</v>
      </c>
      <c r="L253" s="5">
        <v>0</v>
      </c>
      <c r="M253" s="5">
        <v>0</v>
      </c>
      <c r="N253" s="9">
        <v>0</v>
      </c>
      <c r="O253" s="5">
        <v>10</v>
      </c>
      <c r="P253" s="5">
        <v>102</v>
      </c>
      <c r="Q253" s="5">
        <v>0</v>
      </c>
      <c r="R253" s="9">
        <v>0</v>
      </c>
      <c r="S253" s="5">
        <v>0</v>
      </c>
      <c r="T253" s="5">
        <v>0</v>
      </c>
    </row>
    <row r="254" spans="1:20" x14ac:dyDescent="0.2">
      <c r="A254" s="5" t="s">
        <v>290</v>
      </c>
      <c r="B254" s="9" t="s">
        <v>69</v>
      </c>
      <c r="C254" s="5" t="s">
        <v>745</v>
      </c>
      <c r="D254" s="7">
        <f t="shared" si="0"/>
        <v>11.8</v>
      </c>
      <c r="E254" s="5">
        <v>0</v>
      </c>
      <c r="F254" s="5">
        <v>0</v>
      </c>
      <c r="G254" s="5">
        <v>0</v>
      </c>
      <c r="H254" s="5">
        <v>0</v>
      </c>
      <c r="I254" s="5">
        <v>0</v>
      </c>
      <c r="J254" s="9">
        <v>0</v>
      </c>
      <c r="K254" s="5">
        <v>0</v>
      </c>
      <c r="L254" s="5">
        <v>0</v>
      </c>
      <c r="M254" s="5">
        <v>0</v>
      </c>
      <c r="N254" s="9">
        <v>0</v>
      </c>
      <c r="O254" s="5">
        <v>2</v>
      </c>
      <c r="P254" s="5">
        <v>38</v>
      </c>
      <c r="Q254" s="5">
        <v>1</v>
      </c>
      <c r="R254" s="9">
        <v>0</v>
      </c>
      <c r="S254" s="5">
        <v>0</v>
      </c>
      <c r="T254" s="5">
        <v>0</v>
      </c>
    </row>
    <row r="255" spans="1:20" x14ac:dyDescent="0.2">
      <c r="A255" s="5" t="s">
        <v>389</v>
      </c>
      <c r="B255" s="9" t="s">
        <v>69</v>
      </c>
      <c r="C255" s="5" t="s">
        <v>743</v>
      </c>
      <c r="D255" s="7">
        <f t="shared" si="0"/>
        <v>13.9</v>
      </c>
      <c r="E255" s="5">
        <v>0</v>
      </c>
      <c r="F255" s="5">
        <v>0</v>
      </c>
      <c r="G255" s="5">
        <v>0</v>
      </c>
      <c r="H255" s="5">
        <v>0</v>
      </c>
      <c r="I255" s="5">
        <v>0</v>
      </c>
      <c r="J255" s="9">
        <v>0</v>
      </c>
      <c r="K255" s="5">
        <v>0</v>
      </c>
      <c r="L255" s="5">
        <v>0</v>
      </c>
      <c r="M255" s="5">
        <v>0</v>
      </c>
      <c r="N255" s="9">
        <v>0</v>
      </c>
      <c r="O255" s="5">
        <v>4</v>
      </c>
      <c r="P255" s="5">
        <v>39</v>
      </c>
      <c r="Q255" s="5">
        <v>1</v>
      </c>
      <c r="R255" s="9">
        <v>0</v>
      </c>
      <c r="S255" s="5">
        <v>0</v>
      </c>
      <c r="T255" s="5">
        <v>0</v>
      </c>
    </row>
    <row r="256" spans="1:20" x14ac:dyDescent="0.2">
      <c r="A256" s="5" t="s">
        <v>372</v>
      </c>
      <c r="B256" s="9" t="s">
        <v>69</v>
      </c>
      <c r="C256" s="5" t="s">
        <v>746</v>
      </c>
      <c r="D256" s="7">
        <f t="shared" si="0"/>
        <v>10.1</v>
      </c>
      <c r="E256" s="5">
        <v>0</v>
      </c>
      <c r="F256" s="5">
        <v>0</v>
      </c>
      <c r="G256" s="5">
        <v>0</v>
      </c>
      <c r="H256" s="5">
        <v>0</v>
      </c>
      <c r="I256" s="5">
        <v>0</v>
      </c>
      <c r="J256" s="9">
        <v>0</v>
      </c>
      <c r="K256" s="5">
        <v>0</v>
      </c>
      <c r="L256" s="5">
        <v>0</v>
      </c>
      <c r="M256" s="5">
        <v>0</v>
      </c>
      <c r="N256" s="9">
        <v>0</v>
      </c>
      <c r="O256" s="5">
        <v>2</v>
      </c>
      <c r="P256" s="5">
        <v>21</v>
      </c>
      <c r="Q256" s="5">
        <v>1</v>
      </c>
      <c r="R256" s="9">
        <v>0</v>
      </c>
      <c r="S256" s="5">
        <v>0</v>
      </c>
      <c r="T256" s="5">
        <v>0</v>
      </c>
    </row>
    <row r="257" spans="1:20" x14ac:dyDescent="0.2">
      <c r="A257" s="5" t="s">
        <v>277</v>
      </c>
      <c r="B257" s="9" t="s">
        <v>69</v>
      </c>
      <c r="C257" s="5" t="s">
        <v>750</v>
      </c>
      <c r="D257" s="7">
        <f t="shared" si="0"/>
        <v>13.3</v>
      </c>
      <c r="E257" s="5">
        <v>0</v>
      </c>
      <c r="F257" s="5">
        <v>0</v>
      </c>
      <c r="G257" s="5">
        <v>0</v>
      </c>
      <c r="H257" s="5">
        <v>0</v>
      </c>
      <c r="I257" s="5">
        <v>0</v>
      </c>
      <c r="J257" s="9">
        <v>0</v>
      </c>
      <c r="K257" s="5">
        <v>0</v>
      </c>
      <c r="L257" s="5">
        <v>0</v>
      </c>
      <c r="M257" s="5">
        <v>0</v>
      </c>
      <c r="N257" s="9">
        <v>0</v>
      </c>
      <c r="O257" s="5">
        <v>5</v>
      </c>
      <c r="P257" s="5">
        <v>23</v>
      </c>
      <c r="Q257" s="5">
        <v>1</v>
      </c>
      <c r="R257" s="9">
        <v>0</v>
      </c>
      <c r="S257" s="5">
        <v>0</v>
      </c>
      <c r="T257" s="5">
        <v>0</v>
      </c>
    </row>
    <row r="258" spans="1:20" x14ac:dyDescent="0.2">
      <c r="A258" s="5" t="s">
        <v>422</v>
      </c>
      <c r="B258" s="9" t="s">
        <v>69</v>
      </c>
      <c r="C258" s="5" t="s">
        <v>745</v>
      </c>
      <c r="D258" s="7">
        <f t="shared" ref="D258:D306" si="1">0.04*G258+4*H258-2*I258+2*J258+0.1*L258+6*M258+2*N258+1*O258+0.1*P258+6*Q258+2*R258-2*S258</f>
        <v>8.9</v>
      </c>
      <c r="E258" s="5">
        <v>0</v>
      </c>
      <c r="F258" s="5">
        <v>0</v>
      </c>
      <c r="G258" s="5">
        <v>0</v>
      </c>
      <c r="H258" s="5">
        <v>0</v>
      </c>
      <c r="I258" s="5">
        <v>0</v>
      </c>
      <c r="J258" s="9">
        <v>0</v>
      </c>
      <c r="K258" s="5">
        <v>0</v>
      </c>
      <c r="L258" s="5">
        <v>0</v>
      </c>
      <c r="M258" s="5">
        <v>0</v>
      </c>
      <c r="N258" s="9">
        <v>0</v>
      </c>
      <c r="O258" s="5">
        <v>2</v>
      </c>
      <c r="P258" s="5">
        <v>9</v>
      </c>
      <c r="Q258" s="5">
        <v>1</v>
      </c>
      <c r="R258" s="9">
        <v>0</v>
      </c>
      <c r="S258" s="5">
        <v>0</v>
      </c>
      <c r="T258" s="5">
        <v>0</v>
      </c>
    </row>
    <row r="259" spans="1:20" x14ac:dyDescent="0.2">
      <c r="A259" s="5" t="s">
        <v>273</v>
      </c>
      <c r="B259" s="9" t="s">
        <v>69</v>
      </c>
      <c r="C259" s="5" t="s">
        <v>747</v>
      </c>
      <c r="D259" s="7">
        <f t="shared" si="1"/>
        <v>12.3</v>
      </c>
      <c r="E259" s="5">
        <v>0</v>
      </c>
      <c r="F259" s="5">
        <v>0</v>
      </c>
      <c r="G259" s="5">
        <v>0</v>
      </c>
      <c r="H259" s="5">
        <v>0</v>
      </c>
      <c r="I259" s="5">
        <v>0</v>
      </c>
      <c r="J259" s="9">
        <v>0</v>
      </c>
      <c r="K259" s="5">
        <v>0</v>
      </c>
      <c r="L259" s="5">
        <v>0</v>
      </c>
      <c r="M259" s="5">
        <v>0</v>
      </c>
      <c r="N259" s="9">
        <v>0</v>
      </c>
      <c r="O259" s="5">
        <v>6</v>
      </c>
      <c r="P259" s="5">
        <v>63</v>
      </c>
      <c r="Q259" s="5">
        <v>0</v>
      </c>
      <c r="R259" s="9">
        <v>0</v>
      </c>
      <c r="S259" s="5">
        <v>0</v>
      </c>
      <c r="T259" s="5">
        <v>0</v>
      </c>
    </row>
    <row r="260" spans="1:20" x14ac:dyDescent="0.2">
      <c r="A260" s="5" t="s">
        <v>765</v>
      </c>
      <c r="B260" s="9" t="s">
        <v>69</v>
      </c>
      <c r="C260" s="5" t="s">
        <v>742</v>
      </c>
      <c r="D260" s="7">
        <f t="shared" si="1"/>
        <v>7.2</v>
      </c>
      <c r="E260" s="5">
        <v>0</v>
      </c>
      <c r="F260" s="5">
        <v>0</v>
      </c>
      <c r="G260" s="5">
        <v>0</v>
      </c>
      <c r="H260" s="5">
        <v>0</v>
      </c>
      <c r="I260" s="5">
        <v>0</v>
      </c>
      <c r="J260" s="9">
        <v>0</v>
      </c>
      <c r="K260" s="5">
        <v>0</v>
      </c>
      <c r="L260" s="5">
        <v>0</v>
      </c>
      <c r="M260" s="5">
        <v>0</v>
      </c>
      <c r="N260" s="9">
        <v>0</v>
      </c>
      <c r="O260" s="5">
        <v>1</v>
      </c>
      <c r="P260" s="5">
        <v>2</v>
      </c>
      <c r="Q260" s="5">
        <v>1</v>
      </c>
      <c r="R260" s="9">
        <v>0</v>
      </c>
      <c r="S260" s="5">
        <v>0</v>
      </c>
      <c r="T260" s="5">
        <v>0</v>
      </c>
    </row>
    <row r="261" spans="1:20" x14ac:dyDescent="0.2">
      <c r="A261" s="5" t="s">
        <v>348</v>
      </c>
      <c r="B261" s="9" t="s">
        <v>69</v>
      </c>
      <c r="C261" s="5" t="s">
        <v>758</v>
      </c>
      <c r="D261" s="7">
        <f t="shared" si="1"/>
        <v>8.1000000000000014</v>
      </c>
      <c r="E261" s="5">
        <v>0</v>
      </c>
      <c r="F261" s="5">
        <v>0</v>
      </c>
      <c r="G261" s="5">
        <v>0</v>
      </c>
      <c r="H261" s="5">
        <v>0</v>
      </c>
      <c r="I261" s="5">
        <v>0</v>
      </c>
      <c r="J261" s="9">
        <v>0</v>
      </c>
      <c r="K261" s="5">
        <v>0</v>
      </c>
      <c r="L261" s="5">
        <v>0</v>
      </c>
      <c r="M261" s="5">
        <v>0</v>
      </c>
      <c r="N261" s="9">
        <v>0</v>
      </c>
      <c r="O261" s="5">
        <v>2</v>
      </c>
      <c r="P261" s="5">
        <v>61</v>
      </c>
      <c r="Q261" s="5">
        <v>0</v>
      </c>
      <c r="R261" s="9">
        <v>0</v>
      </c>
      <c r="S261" s="5">
        <v>0</v>
      </c>
      <c r="T261" s="5">
        <v>0</v>
      </c>
    </row>
    <row r="262" spans="1:20" x14ac:dyDescent="0.2">
      <c r="A262" s="5" t="s">
        <v>298</v>
      </c>
      <c r="B262" s="9" t="s">
        <v>69</v>
      </c>
      <c r="C262" s="5" t="s">
        <v>744</v>
      </c>
      <c r="D262" s="7">
        <f t="shared" si="1"/>
        <v>7.4</v>
      </c>
      <c r="E262" s="5">
        <v>0</v>
      </c>
      <c r="F262" s="5">
        <v>0</v>
      </c>
      <c r="G262" s="5">
        <v>0</v>
      </c>
      <c r="H262" s="5">
        <v>0</v>
      </c>
      <c r="I262" s="5">
        <v>0</v>
      </c>
      <c r="J262" s="9">
        <v>0</v>
      </c>
      <c r="K262" s="5">
        <v>0</v>
      </c>
      <c r="L262" s="5">
        <v>0</v>
      </c>
      <c r="M262" s="5">
        <v>0</v>
      </c>
      <c r="N262" s="9">
        <v>0</v>
      </c>
      <c r="O262" s="5">
        <v>2</v>
      </c>
      <c r="P262" s="5">
        <v>54</v>
      </c>
      <c r="Q262" s="5">
        <v>0</v>
      </c>
      <c r="R262" s="9">
        <v>0</v>
      </c>
      <c r="S262" s="5">
        <v>0</v>
      </c>
      <c r="T262" s="5">
        <v>0</v>
      </c>
    </row>
    <row r="263" spans="1:20" x14ac:dyDescent="0.2">
      <c r="A263" s="5" t="s">
        <v>313</v>
      </c>
      <c r="B263" s="9" t="s">
        <v>69</v>
      </c>
      <c r="C263" s="5" t="s">
        <v>757</v>
      </c>
      <c r="D263" s="7">
        <f t="shared" si="1"/>
        <v>9.8000000000000007</v>
      </c>
      <c r="E263" s="5">
        <v>0</v>
      </c>
      <c r="F263" s="5">
        <v>0</v>
      </c>
      <c r="G263" s="5">
        <v>0</v>
      </c>
      <c r="H263" s="5">
        <v>0</v>
      </c>
      <c r="I263" s="5">
        <v>0</v>
      </c>
      <c r="J263" s="9">
        <v>0</v>
      </c>
      <c r="K263" s="5">
        <v>0</v>
      </c>
      <c r="L263" s="5">
        <v>0</v>
      </c>
      <c r="M263" s="5">
        <v>0</v>
      </c>
      <c r="N263" s="9">
        <v>0</v>
      </c>
      <c r="O263" s="5">
        <v>4</v>
      </c>
      <c r="P263" s="5">
        <v>58</v>
      </c>
      <c r="Q263" s="5">
        <v>0</v>
      </c>
      <c r="R263" s="9">
        <v>0</v>
      </c>
      <c r="S263" s="5">
        <v>0</v>
      </c>
      <c r="T263" s="5">
        <v>0</v>
      </c>
    </row>
    <row r="264" spans="1:20" x14ac:dyDescent="0.2">
      <c r="A264" s="5" t="s">
        <v>297</v>
      </c>
      <c r="B264" s="9" t="s">
        <v>69</v>
      </c>
      <c r="C264" s="5" t="s">
        <v>743</v>
      </c>
      <c r="D264" s="7">
        <f t="shared" si="1"/>
        <v>9.1000000000000014</v>
      </c>
      <c r="E264" s="5">
        <v>0</v>
      </c>
      <c r="F264" s="5">
        <v>0</v>
      </c>
      <c r="G264" s="5">
        <v>0</v>
      </c>
      <c r="H264" s="5">
        <v>0</v>
      </c>
      <c r="I264" s="5">
        <v>0</v>
      </c>
      <c r="J264" s="9">
        <v>0</v>
      </c>
      <c r="K264" s="5">
        <v>0</v>
      </c>
      <c r="L264" s="5">
        <v>0</v>
      </c>
      <c r="M264" s="5">
        <v>0</v>
      </c>
      <c r="N264" s="9">
        <v>0</v>
      </c>
      <c r="O264" s="5">
        <v>5</v>
      </c>
      <c r="P264" s="5">
        <v>41</v>
      </c>
      <c r="Q264" s="5">
        <v>0</v>
      </c>
      <c r="R264" s="9">
        <v>0</v>
      </c>
      <c r="S264" s="5">
        <v>0</v>
      </c>
      <c r="T264" s="5">
        <v>0</v>
      </c>
    </row>
    <row r="265" spans="1:20" x14ac:dyDescent="0.2">
      <c r="A265" s="5" t="s">
        <v>304</v>
      </c>
      <c r="B265" s="9" t="s">
        <v>69</v>
      </c>
      <c r="C265" s="5" t="s">
        <v>753</v>
      </c>
      <c r="D265" s="7">
        <f t="shared" si="1"/>
        <v>10.4</v>
      </c>
      <c r="E265" s="5">
        <v>0</v>
      </c>
      <c r="F265" s="5">
        <v>0</v>
      </c>
      <c r="G265" s="5">
        <v>0</v>
      </c>
      <c r="H265" s="5">
        <v>0</v>
      </c>
      <c r="I265" s="5">
        <v>0</v>
      </c>
      <c r="J265" s="9">
        <v>0</v>
      </c>
      <c r="K265" s="5">
        <v>0</v>
      </c>
      <c r="L265" s="5">
        <v>0</v>
      </c>
      <c r="M265" s="5">
        <v>0</v>
      </c>
      <c r="N265" s="9">
        <v>0</v>
      </c>
      <c r="O265" s="5">
        <v>6</v>
      </c>
      <c r="P265" s="5">
        <v>44</v>
      </c>
      <c r="Q265" s="5">
        <v>0</v>
      </c>
      <c r="R265" s="9">
        <v>0</v>
      </c>
      <c r="S265" s="5">
        <v>0</v>
      </c>
      <c r="T265" s="5">
        <v>0</v>
      </c>
    </row>
    <row r="266" spans="1:20" x14ac:dyDescent="0.2">
      <c r="A266" s="5" t="s">
        <v>429</v>
      </c>
      <c r="B266" s="9" t="s">
        <v>69</v>
      </c>
      <c r="C266" s="5" t="s">
        <v>747</v>
      </c>
      <c r="D266" s="7">
        <f t="shared" si="1"/>
        <v>9.9</v>
      </c>
      <c r="E266" s="5">
        <v>0</v>
      </c>
      <c r="F266" s="5">
        <v>0</v>
      </c>
      <c r="G266" s="5">
        <v>0</v>
      </c>
      <c r="H266" s="5">
        <v>0</v>
      </c>
      <c r="I266" s="5">
        <v>0</v>
      </c>
      <c r="J266" s="9">
        <v>0</v>
      </c>
      <c r="K266" s="5">
        <v>0</v>
      </c>
      <c r="L266" s="5">
        <v>0</v>
      </c>
      <c r="M266" s="5">
        <v>0</v>
      </c>
      <c r="N266" s="9">
        <v>0</v>
      </c>
      <c r="O266" s="5">
        <v>5</v>
      </c>
      <c r="P266" s="5">
        <v>49</v>
      </c>
      <c r="Q266" s="5">
        <v>0</v>
      </c>
      <c r="R266" s="9">
        <v>0</v>
      </c>
      <c r="S266" s="5">
        <v>0</v>
      </c>
      <c r="T266" s="5">
        <v>0</v>
      </c>
    </row>
    <row r="267" spans="1:20" x14ac:dyDescent="0.2">
      <c r="A267" s="5" t="s">
        <v>309</v>
      </c>
      <c r="B267" s="9" t="s">
        <v>69</v>
      </c>
      <c r="C267" s="5" t="s">
        <v>742</v>
      </c>
      <c r="D267" s="7">
        <f t="shared" si="1"/>
        <v>6.4</v>
      </c>
      <c r="E267" s="5">
        <v>0</v>
      </c>
      <c r="F267" s="5">
        <v>0</v>
      </c>
      <c r="G267" s="5">
        <v>0</v>
      </c>
      <c r="H267" s="5">
        <v>0</v>
      </c>
      <c r="I267" s="5">
        <v>0</v>
      </c>
      <c r="J267" s="9">
        <v>0</v>
      </c>
      <c r="K267" s="5">
        <v>0</v>
      </c>
      <c r="L267" s="5">
        <v>0</v>
      </c>
      <c r="M267" s="5">
        <v>0</v>
      </c>
      <c r="N267" s="9">
        <v>0</v>
      </c>
      <c r="O267" s="5">
        <v>2</v>
      </c>
      <c r="P267" s="5">
        <v>44</v>
      </c>
      <c r="Q267" s="5">
        <v>0</v>
      </c>
      <c r="R267" s="9">
        <v>0</v>
      </c>
      <c r="S267" s="5">
        <v>0</v>
      </c>
      <c r="T267" s="5">
        <v>0</v>
      </c>
    </row>
    <row r="268" spans="1:20" x14ac:dyDescent="0.2">
      <c r="A268" s="5" t="s">
        <v>294</v>
      </c>
      <c r="B268" s="9" t="s">
        <v>69</v>
      </c>
      <c r="C268" s="5" t="s">
        <v>745</v>
      </c>
      <c r="D268" s="7">
        <f t="shared" si="1"/>
        <v>8</v>
      </c>
      <c r="E268" s="5">
        <v>0</v>
      </c>
      <c r="F268" s="5">
        <v>0</v>
      </c>
      <c r="G268" s="5">
        <v>0</v>
      </c>
      <c r="H268" s="5">
        <v>0</v>
      </c>
      <c r="I268" s="5">
        <v>0</v>
      </c>
      <c r="J268" s="9">
        <v>0</v>
      </c>
      <c r="K268" s="5">
        <v>0</v>
      </c>
      <c r="L268" s="5">
        <v>0</v>
      </c>
      <c r="M268" s="5">
        <v>0</v>
      </c>
      <c r="N268" s="9">
        <v>0</v>
      </c>
      <c r="O268" s="5">
        <v>4</v>
      </c>
      <c r="P268" s="5">
        <v>40</v>
      </c>
      <c r="Q268" s="5">
        <v>0</v>
      </c>
      <c r="R268" s="9">
        <v>0</v>
      </c>
      <c r="S268" s="5">
        <v>0</v>
      </c>
      <c r="T268" s="5">
        <v>0</v>
      </c>
    </row>
    <row r="269" spans="1:20" x14ac:dyDescent="0.2">
      <c r="A269" s="5" t="s">
        <v>349</v>
      </c>
      <c r="B269" s="9" t="s">
        <v>69</v>
      </c>
      <c r="C269" s="5" t="s">
        <v>749</v>
      </c>
      <c r="D269" s="7">
        <f t="shared" si="1"/>
        <v>7.1</v>
      </c>
      <c r="E269" s="5">
        <v>0</v>
      </c>
      <c r="F269" s="5">
        <v>0</v>
      </c>
      <c r="G269" s="5">
        <v>0</v>
      </c>
      <c r="H269" s="5">
        <v>0</v>
      </c>
      <c r="I269" s="5">
        <v>0</v>
      </c>
      <c r="J269" s="9">
        <v>0</v>
      </c>
      <c r="K269" s="5">
        <v>1</v>
      </c>
      <c r="L269" s="5">
        <v>1</v>
      </c>
      <c r="M269" s="5">
        <v>0</v>
      </c>
      <c r="N269" s="9">
        <v>0</v>
      </c>
      <c r="O269" s="5">
        <v>4</v>
      </c>
      <c r="P269" s="5">
        <v>30</v>
      </c>
      <c r="Q269" s="5">
        <v>0</v>
      </c>
      <c r="R269" s="9">
        <v>0</v>
      </c>
      <c r="S269" s="5">
        <v>0</v>
      </c>
      <c r="T269" s="5">
        <v>0</v>
      </c>
    </row>
    <row r="270" spans="1:20" x14ac:dyDescent="0.2">
      <c r="A270" s="5" t="s">
        <v>289</v>
      </c>
      <c r="B270" s="9" t="s">
        <v>69</v>
      </c>
      <c r="C270" s="5" t="s">
        <v>751</v>
      </c>
      <c r="D270" s="7">
        <f t="shared" si="1"/>
        <v>5.7</v>
      </c>
      <c r="E270" s="5">
        <v>0</v>
      </c>
      <c r="F270" s="5">
        <v>0</v>
      </c>
      <c r="G270" s="5">
        <v>0</v>
      </c>
      <c r="H270" s="5">
        <v>0</v>
      </c>
      <c r="I270" s="5">
        <v>0</v>
      </c>
      <c r="J270" s="9">
        <v>0</v>
      </c>
      <c r="K270" s="5">
        <v>0</v>
      </c>
      <c r="L270" s="5">
        <v>0</v>
      </c>
      <c r="M270" s="5">
        <v>0</v>
      </c>
      <c r="N270" s="9">
        <v>0</v>
      </c>
      <c r="O270" s="5">
        <v>2</v>
      </c>
      <c r="P270" s="5">
        <v>37</v>
      </c>
      <c r="Q270" s="5">
        <v>0</v>
      </c>
      <c r="R270" s="9">
        <v>0</v>
      </c>
      <c r="S270" s="5">
        <v>0</v>
      </c>
      <c r="T270" s="5">
        <v>0</v>
      </c>
    </row>
    <row r="271" spans="1:20" x14ac:dyDescent="0.2">
      <c r="A271" s="5" t="s">
        <v>286</v>
      </c>
      <c r="B271" s="9" t="s">
        <v>69</v>
      </c>
      <c r="C271" s="5" t="s">
        <v>748</v>
      </c>
      <c r="D271" s="7">
        <f t="shared" si="1"/>
        <v>7.6</v>
      </c>
      <c r="E271" s="5">
        <v>0</v>
      </c>
      <c r="F271" s="5">
        <v>0</v>
      </c>
      <c r="G271" s="5">
        <v>0</v>
      </c>
      <c r="H271" s="5">
        <v>0</v>
      </c>
      <c r="I271" s="5">
        <v>0</v>
      </c>
      <c r="J271" s="9">
        <v>0</v>
      </c>
      <c r="K271" s="5">
        <v>0</v>
      </c>
      <c r="L271" s="5">
        <v>0</v>
      </c>
      <c r="M271" s="5">
        <v>0</v>
      </c>
      <c r="N271" s="9">
        <v>0</v>
      </c>
      <c r="O271" s="5">
        <v>4</v>
      </c>
      <c r="P271" s="5">
        <v>36</v>
      </c>
      <c r="Q271" s="5">
        <v>0</v>
      </c>
      <c r="R271" s="9">
        <v>0</v>
      </c>
      <c r="S271" s="5">
        <v>0</v>
      </c>
      <c r="T271" s="5">
        <v>0</v>
      </c>
    </row>
    <row r="272" spans="1:20" x14ac:dyDescent="0.2">
      <c r="A272" s="5" t="s">
        <v>352</v>
      </c>
      <c r="B272" s="9" t="s">
        <v>69</v>
      </c>
      <c r="C272" s="5" t="s">
        <v>757</v>
      </c>
      <c r="D272" s="7">
        <f t="shared" si="1"/>
        <v>6.6</v>
      </c>
      <c r="E272" s="5">
        <v>0</v>
      </c>
      <c r="F272" s="5">
        <v>0</v>
      </c>
      <c r="G272" s="5">
        <v>0</v>
      </c>
      <c r="H272" s="5">
        <v>0</v>
      </c>
      <c r="I272" s="5">
        <v>0</v>
      </c>
      <c r="J272" s="9">
        <v>0</v>
      </c>
      <c r="K272" s="5">
        <v>0</v>
      </c>
      <c r="L272" s="5">
        <v>0</v>
      </c>
      <c r="M272" s="5">
        <v>0</v>
      </c>
      <c r="N272" s="9">
        <v>0</v>
      </c>
      <c r="O272" s="5">
        <v>3</v>
      </c>
      <c r="P272" s="5">
        <v>36</v>
      </c>
      <c r="Q272" s="5">
        <v>0</v>
      </c>
      <c r="R272" s="9">
        <v>0</v>
      </c>
      <c r="S272" s="5">
        <v>0</v>
      </c>
      <c r="T272" s="5">
        <v>0</v>
      </c>
    </row>
    <row r="273" spans="1:20" x14ac:dyDescent="0.2">
      <c r="A273" s="5" t="s">
        <v>293</v>
      </c>
      <c r="B273" s="9" t="s">
        <v>69</v>
      </c>
      <c r="C273" s="5" t="s">
        <v>758</v>
      </c>
      <c r="D273" s="7">
        <f t="shared" si="1"/>
        <v>6.7</v>
      </c>
      <c r="E273" s="5">
        <v>0</v>
      </c>
      <c r="F273" s="5">
        <v>0</v>
      </c>
      <c r="G273" s="5">
        <v>0</v>
      </c>
      <c r="H273" s="5">
        <v>0</v>
      </c>
      <c r="I273" s="5">
        <v>0</v>
      </c>
      <c r="J273" s="9">
        <v>0</v>
      </c>
      <c r="K273" s="5">
        <v>0</v>
      </c>
      <c r="L273" s="5">
        <v>0</v>
      </c>
      <c r="M273" s="5">
        <v>0</v>
      </c>
      <c r="N273" s="9">
        <v>0</v>
      </c>
      <c r="O273" s="5">
        <v>3</v>
      </c>
      <c r="P273" s="5">
        <v>37</v>
      </c>
      <c r="Q273" s="5">
        <v>0</v>
      </c>
      <c r="R273" s="9">
        <v>0</v>
      </c>
      <c r="S273" s="5">
        <v>0</v>
      </c>
      <c r="T273" s="5">
        <v>0</v>
      </c>
    </row>
    <row r="274" spans="1:20" x14ac:dyDescent="0.2">
      <c r="A274" s="5" t="s">
        <v>287</v>
      </c>
      <c r="B274" s="9" t="s">
        <v>69</v>
      </c>
      <c r="C274" s="5" t="s">
        <v>755</v>
      </c>
      <c r="D274" s="7">
        <f t="shared" si="1"/>
        <v>7.2</v>
      </c>
      <c r="E274" s="5">
        <v>0</v>
      </c>
      <c r="F274" s="5">
        <v>0</v>
      </c>
      <c r="G274" s="5">
        <v>0</v>
      </c>
      <c r="H274" s="5">
        <v>0</v>
      </c>
      <c r="I274" s="5">
        <v>0</v>
      </c>
      <c r="J274" s="9">
        <v>0</v>
      </c>
      <c r="K274" s="5">
        <v>0</v>
      </c>
      <c r="L274" s="5">
        <v>0</v>
      </c>
      <c r="M274" s="5">
        <v>0</v>
      </c>
      <c r="N274" s="9">
        <v>0</v>
      </c>
      <c r="O274" s="5">
        <v>4</v>
      </c>
      <c r="P274" s="5">
        <v>32</v>
      </c>
      <c r="Q274" s="5">
        <v>0</v>
      </c>
      <c r="R274" s="9">
        <v>0</v>
      </c>
      <c r="S274" s="5">
        <v>0</v>
      </c>
      <c r="T274" s="5">
        <v>0</v>
      </c>
    </row>
    <row r="275" spans="1:20" x14ac:dyDescent="0.2">
      <c r="A275" s="5" t="s">
        <v>440</v>
      </c>
      <c r="B275" s="9" t="s">
        <v>69</v>
      </c>
      <c r="C275" s="5" t="s">
        <v>758</v>
      </c>
      <c r="D275" s="7">
        <f t="shared" si="1"/>
        <v>5.2</v>
      </c>
      <c r="E275" s="5">
        <v>0</v>
      </c>
      <c r="F275" s="5">
        <v>0</v>
      </c>
      <c r="G275" s="5">
        <v>0</v>
      </c>
      <c r="H275" s="5">
        <v>0</v>
      </c>
      <c r="I275" s="5">
        <v>0</v>
      </c>
      <c r="J275" s="9">
        <v>0</v>
      </c>
      <c r="K275" s="5">
        <v>0</v>
      </c>
      <c r="L275" s="5">
        <v>0</v>
      </c>
      <c r="M275" s="5">
        <v>0</v>
      </c>
      <c r="N275" s="9">
        <v>0</v>
      </c>
      <c r="O275" s="5">
        <v>2</v>
      </c>
      <c r="P275" s="5">
        <v>32</v>
      </c>
      <c r="Q275" s="5">
        <v>0</v>
      </c>
      <c r="R275" s="9">
        <v>0</v>
      </c>
      <c r="S275" s="5">
        <v>0</v>
      </c>
      <c r="T275" s="5">
        <v>0</v>
      </c>
    </row>
    <row r="276" spans="1:20" x14ac:dyDescent="0.2">
      <c r="A276" s="5" t="s">
        <v>276</v>
      </c>
      <c r="B276" s="9" t="s">
        <v>69</v>
      </c>
      <c r="C276" s="5" t="s">
        <v>752</v>
      </c>
      <c r="D276" s="7">
        <f t="shared" si="1"/>
        <v>6.8000000000000007</v>
      </c>
      <c r="E276" s="5">
        <v>0</v>
      </c>
      <c r="F276" s="5">
        <v>0</v>
      </c>
      <c r="G276" s="5">
        <v>0</v>
      </c>
      <c r="H276" s="5">
        <v>0</v>
      </c>
      <c r="I276" s="5">
        <v>0</v>
      </c>
      <c r="J276" s="9">
        <v>0</v>
      </c>
      <c r="K276" s="5">
        <v>0</v>
      </c>
      <c r="L276" s="5">
        <v>0</v>
      </c>
      <c r="M276" s="5">
        <v>0</v>
      </c>
      <c r="N276" s="9">
        <v>0</v>
      </c>
      <c r="O276" s="5">
        <v>4</v>
      </c>
      <c r="P276" s="5">
        <v>28</v>
      </c>
      <c r="Q276" s="5">
        <v>0</v>
      </c>
      <c r="R276" s="9">
        <v>0</v>
      </c>
      <c r="S276" s="5">
        <v>0</v>
      </c>
      <c r="T276" s="5">
        <v>0</v>
      </c>
    </row>
    <row r="277" spans="1:20" x14ac:dyDescent="0.2">
      <c r="A277" s="5" t="s">
        <v>449</v>
      </c>
      <c r="B277" s="9" t="s">
        <v>69</v>
      </c>
      <c r="C277" s="5" t="s">
        <v>752</v>
      </c>
      <c r="D277" s="7">
        <f t="shared" si="1"/>
        <v>3.8000000000000003</v>
      </c>
      <c r="E277" s="5">
        <v>0</v>
      </c>
      <c r="F277" s="5">
        <v>0</v>
      </c>
      <c r="G277" s="5">
        <v>0</v>
      </c>
      <c r="H277" s="5">
        <v>0</v>
      </c>
      <c r="I277" s="5">
        <v>0</v>
      </c>
      <c r="J277" s="9">
        <v>0</v>
      </c>
      <c r="K277" s="5">
        <v>0</v>
      </c>
      <c r="L277" s="5">
        <v>0</v>
      </c>
      <c r="M277" s="5">
        <v>0</v>
      </c>
      <c r="N277" s="9">
        <v>0</v>
      </c>
      <c r="O277" s="5">
        <v>1</v>
      </c>
      <c r="P277" s="5">
        <v>28</v>
      </c>
      <c r="Q277" s="5">
        <v>0</v>
      </c>
      <c r="R277" s="9">
        <v>0</v>
      </c>
      <c r="S277" s="5">
        <v>0</v>
      </c>
      <c r="T277" s="5">
        <v>0</v>
      </c>
    </row>
    <row r="278" spans="1:20" x14ac:dyDescent="0.2">
      <c r="A278" s="5" t="s">
        <v>343</v>
      </c>
      <c r="B278" s="9" t="s">
        <v>69</v>
      </c>
      <c r="C278" s="5" t="s">
        <v>751</v>
      </c>
      <c r="D278" s="7">
        <f t="shared" si="1"/>
        <v>7.8000000000000007</v>
      </c>
      <c r="E278" s="5">
        <v>0</v>
      </c>
      <c r="F278" s="5">
        <v>0</v>
      </c>
      <c r="G278" s="5">
        <v>0</v>
      </c>
      <c r="H278" s="5">
        <v>0</v>
      </c>
      <c r="I278" s="5">
        <v>0</v>
      </c>
      <c r="J278" s="9">
        <v>0</v>
      </c>
      <c r="K278" s="5">
        <v>0</v>
      </c>
      <c r="L278" s="5">
        <v>0</v>
      </c>
      <c r="M278" s="5">
        <v>0</v>
      </c>
      <c r="N278" s="9">
        <v>0</v>
      </c>
      <c r="O278" s="5">
        <v>5</v>
      </c>
      <c r="P278" s="5">
        <v>28</v>
      </c>
      <c r="Q278" s="5">
        <v>0</v>
      </c>
      <c r="R278" s="9">
        <v>0</v>
      </c>
      <c r="S278" s="5">
        <v>0</v>
      </c>
      <c r="T278" s="5">
        <v>0</v>
      </c>
    </row>
    <row r="279" spans="1:20" x14ac:dyDescent="0.2">
      <c r="A279" s="5" t="s">
        <v>516</v>
      </c>
      <c r="B279" s="9" t="s">
        <v>69</v>
      </c>
      <c r="C279" s="5" t="s">
        <v>744</v>
      </c>
      <c r="D279" s="7">
        <f t="shared" si="1"/>
        <v>3.6</v>
      </c>
      <c r="E279" s="5">
        <v>0</v>
      </c>
      <c r="F279" s="5">
        <v>0</v>
      </c>
      <c r="G279" s="5">
        <v>0</v>
      </c>
      <c r="H279" s="5">
        <v>0</v>
      </c>
      <c r="I279" s="5">
        <v>0</v>
      </c>
      <c r="J279" s="9">
        <v>0</v>
      </c>
      <c r="K279" s="5">
        <v>0</v>
      </c>
      <c r="L279" s="5">
        <v>0</v>
      </c>
      <c r="M279" s="5">
        <v>0</v>
      </c>
      <c r="N279" s="9">
        <v>0</v>
      </c>
      <c r="O279" s="5">
        <v>1</v>
      </c>
      <c r="P279" s="5">
        <v>26</v>
      </c>
      <c r="Q279" s="5">
        <v>0</v>
      </c>
      <c r="R279" s="9">
        <v>0</v>
      </c>
      <c r="S279" s="5">
        <v>0</v>
      </c>
      <c r="T279" s="5">
        <v>0</v>
      </c>
    </row>
    <row r="280" spans="1:20" x14ac:dyDescent="0.2">
      <c r="A280" s="5" t="s">
        <v>283</v>
      </c>
      <c r="B280" s="9" t="s">
        <v>69</v>
      </c>
      <c r="C280" s="5" t="s">
        <v>741</v>
      </c>
      <c r="D280" s="7">
        <f t="shared" si="1"/>
        <v>3.4000000000000004</v>
      </c>
      <c r="E280" s="5">
        <v>0</v>
      </c>
      <c r="F280" s="5">
        <v>0</v>
      </c>
      <c r="G280" s="5">
        <v>0</v>
      </c>
      <c r="H280" s="5">
        <v>0</v>
      </c>
      <c r="I280" s="5">
        <v>0</v>
      </c>
      <c r="J280" s="9">
        <v>0</v>
      </c>
      <c r="K280" s="5">
        <v>0</v>
      </c>
      <c r="L280" s="5">
        <v>0</v>
      </c>
      <c r="M280" s="5">
        <v>0</v>
      </c>
      <c r="N280" s="9">
        <v>0</v>
      </c>
      <c r="O280" s="5">
        <v>1</v>
      </c>
      <c r="P280" s="5">
        <v>24</v>
      </c>
      <c r="Q280" s="5">
        <v>0</v>
      </c>
      <c r="R280" s="9">
        <v>0</v>
      </c>
      <c r="S280" s="5">
        <v>0</v>
      </c>
      <c r="T280" s="5">
        <v>0</v>
      </c>
    </row>
    <row r="281" spans="1:20" x14ac:dyDescent="0.2">
      <c r="A281" s="5" t="s">
        <v>437</v>
      </c>
      <c r="B281" s="9" t="s">
        <v>69</v>
      </c>
      <c r="C281" s="5" t="s">
        <v>747</v>
      </c>
      <c r="D281" s="7">
        <f t="shared" si="1"/>
        <v>4</v>
      </c>
      <c r="E281" s="5">
        <v>0</v>
      </c>
      <c r="F281" s="5">
        <v>0</v>
      </c>
      <c r="G281" s="5">
        <v>0</v>
      </c>
      <c r="H281" s="5">
        <v>0</v>
      </c>
      <c r="I281" s="5">
        <v>0</v>
      </c>
      <c r="J281" s="9">
        <v>0</v>
      </c>
      <c r="K281" s="5">
        <v>0</v>
      </c>
      <c r="L281" s="5">
        <v>0</v>
      </c>
      <c r="M281" s="5">
        <v>0</v>
      </c>
      <c r="N281" s="9">
        <v>0</v>
      </c>
      <c r="O281" s="5">
        <v>2</v>
      </c>
      <c r="P281" s="5">
        <v>20</v>
      </c>
      <c r="Q281" s="5">
        <v>0</v>
      </c>
      <c r="R281" s="9">
        <v>0</v>
      </c>
      <c r="S281" s="5">
        <v>0</v>
      </c>
      <c r="T281" s="5">
        <v>0</v>
      </c>
    </row>
    <row r="282" spans="1:20" x14ac:dyDescent="0.2">
      <c r="A282" s="5" t="s">
        <v>699</v>
      </c>
      <c r="B282" s="9" t="s">
        <v>69</v>
      </c>
      <c r="C282" s="5" t="s">
        <v>748</v>
      </c>
      <c r="D282" s="7">
        <f t="shared" si="1"/>
        <v>2.4000000000000004</v>
      </c>
      <c r="E282" s="5">
        <v>0</v>
      </c>
      <c r="F282" s="5">
        <v>0</v>
      </c>
      <c r="G282" s="5">
        <v>0</v>
      </c>
      <c r="H282" s="5">
        <v>0</v>
      </c>
      <c r="I282" s="5">
        <v>0</v>
      </c>
      <c r="J282" s="9">
        <v>0</v>
      </c>
      <c r="K282" s="5">
        <v>0</v>
      </c>
      <c r="L282" s="5">
        <v>0</v>
      </c>
      <c r="M282" s="5">
        <v>0</v>
      </c>
      <c r="N282" s="9">
        <v>0</v>
      </c>
      <c r="O282" s="5">
        <v>1</v>
      </c>
      <c r="P282" s="5">
        <v>14</v>
      </c>
      <c r="Q282" s="5">
        <v>0</v>
      </c>
      <c r="R282" s="9">
        <v>0</v>
      </c>
      <c r="S282" s="5">
        <v>0</v>
      </c>
      <c r="T282" s="5">
        <v>0</v>
      </c>
    </row>
    <row r="283" spans="1:20" x14ac:dyDescent="0.2">
      <c r="A283" s="5" t="s">
        <v>315</v>
      </c>
      <c r="B283" s="9" t="s">
        <v>69</v>
      </c>
      <c r="C283" s="5" t="s">
        <v>745</v>
      </c>
      <c r="D283" s="7">
        <f t="shared" si="1"/>
        <v>3.3</v>
      </c>
      <c r="E283" s="5">
        <v>0</v>
      </c>
      <c r="F283" s="5">
        <v>0</v>
      </c>
      <c r="G283" s="5">
        <v>0</v>
      </c>
      <c r="H283" s="5">
        <v>0</v>
      </c>
      <c r="I283" s="5">
        <v>0</v>
      </c>
      <c r="J283" s="9">
        <v>0</v>
      </c>
      <c r="K283" s="5">
        <v>0</v>
      </c>
      <c r="L283" s="5">
        <v>0</v>
      </c>
      <c r="M283" s="5">
        <v>0</v>
      </c>
      <c r="N283" s="9">
        <v>0</v>
      </c>
      <c r="O283" s="5">
        <v>2</v>
      </c>
      <c r="P283" s="5">
        <v>13</v>
      </c>
      <c r="Q283" s="5">
        <v>0</v>
      </c>
      <c r="R283" s="9">
        <v>0</v>
      </c>
      <c r="S283" s="5">
        <v>0</v>
      </c>
      <c r="T283" s="5">
        <v>0</v>
      </c>
    </row>
    <row r="284" spans="1:20" x14ac:dyDescent="0.2">
      <c r="A284" s="5" t="s">
        <v>316</v>
      </c>
      <c r="B284" s="9" t="s">
        <v>69</v>
      </c>
      <c r="C284" s="5" t="s">
        <v>755</v>
      </c>
      <c r="D284" s="7">
        <f t="shared" si="1"/>
        <v>5.8</v>
      </c>
      <c r="E284" s="5">
        <v>0</v>
      </c>
      <c r="F284" s="5">
        <v>0</v>
      </c>
      <c r="G284" s="5">
        <v>0</v>
      </c>
      <c r="H284" s="5">
        <v>0</v>
      </c>
      <c r="I284" s="5">
        <v>0</v>
      </c>
      <c r="J284" s="9">
        <v>0</v>
      </c>
      <c r="K284" s="5">
        <v>0</v>
      </c>
      <c r="L284" s="5">
        <v>0</v>
      </c>
      <c r="M284" s="5">
        <v>0</v>
      </c>
      <c r="N284" s="9">
        <v>0</v>
      </c>
      <c r="O284" s="5">
        <v>4</v>
      </c>
      <c r="P284" s="5">
        <v>18</v>
      </c>
      <c r="Q284" s="5">
        <v>0</v>
      </c>
      <c r="R284" s="9">
        <v>0</v>
      </c>
      <c r="S284" s="5">
        <v>0</v>
      </c>
      <c r="T284" s="5">
        <v>0</v>
      </c>
    </row>
    <row r="285" spans="1:20" x14ac:dyDescent="0.2">
      <c r="A285" s="5" t="s">
        <v>347</v>
      </c>
      <c r="B285" s="9" t="s">
        <v>69</v>
      </c>
      <c r="C285" s="5" t="s">
        <v>749</v>
      </c>
      <c r="D285" s="7">
        <f t="shared" si="1"/>
        <v>4.5999999999999996</v>
      </c>
      <c r="E285" s="5">
        <v>0</v>
      </c>
      <c r="F285" s="5">
        <v>0</v>
      </c>
      <c r="G285" s="5">
        <v>0</v>
      </c>
      <c r="H285" s="5">
        <v>0</v>
      </c>
      <c r="I285" s="5">
        <v>0</v>
      </c>
      <c r="J285" s="9">
        <v>0</v>
      </c>
      <c r="K285" s="5">
        <v>0</v>
      </c>
      <c r="L285" s="5">
        <v>0</v>
      </c>
      <c r="M285" s="5">
        <v>0</v>
      </c>
      <c r="N285" s="9">
        <v>0</v>
      </c>
      <c r="O285" s="5">
        <v>3</v>
      </c>
      <c r="P285" s="5">
        <v>16</v>
      </c>
      <c r="Q285" s="5">
        <v>0</v>
      </c>
      <c r="R285" s="9">
        <v>0</v>
      </c>
      <c r="S285" s="5">
        <v>0</v>
      </c>
      <c r="T285" s="5">
        <v>0</v>
      </c>
    </row>
    <row r="286" spans="1:20" x14ac:dyDescent="0.2">
      <c r="A286" s="5" t="s">
        <v>284</v>
      </c>
      <c r="B286" s="9" t="s">
        <v>69</v>
      </c>
      <c r="C286" s="5" t="s">
        <v>746</v>
      </c>
      <c r="D286" s="7">
        <f t="shared" si="1"/>
        <v>4.5999999999999996</v>
      </c>
      <c r="E286" s="5">
        <v>0</v>
      </c>
      <c r="F286" s="5">
        <v>0</v>
      </c>
      <c r="G286" s="5">
        <v>0</v>
      </c>
      <c r="H286" s="5">
        <v>0</v>
      </c>
      <c r="I286" s="5">
        <v>0</v>
      </c>
      <c r="J286" s="9">
        <v>0</v>
      </c>
      <c r="K286" s="5">
        <v>0</v>
      </c>
      <c r="L286" s="5">
        <v>0</v>
      </c>
      <c r="M286" s="5">
        <v>0</v>
      </c>
      <c r="N286" s="9">
        <v>0</v>
      </c>
      <c r="O286" s="5">
        <v>3</v>
      </c>
      <c r="P286" s="5">
        <v>16</v>
      </c>
      <c r="Q286" s="5">
        <v>0</v>
      </c>
      <c r="R286" s="9">
        <v>0</v>
      </c>
      <c r="S286" s="5">
        <v>0</v>
      </c>
      <c r="T286" s="5">
        <v>0</v>
      </c>
    </row>
    <row r="287" spans="1:20" x14ac:dyDescent="0.2">
      <c r="A287" s="5" t="s">
        <v>362</v>
      </c>
      <c r="B287" s="9" t="s">
        <v>69</v>
      </c>
      <c r="C287" s="5" t="s">
        <v>757</v>
      </c>
      <c r="D287" s="7">
        <f t="shared" si="1"/>
        <v>2.4000000000000004</v>
      </c>
      <c r="E287" s="5">
        <v>0</v>
      </c>
      <c r="F287" s="5">
        <v>0</v>
      </c>
      <c r="G287" s="5">
        <v>0</v>
      </c>
      <c r="H287" s="5">
        <v>0</v>
      </c>
      <c r="I287" s="5">
        <v>0</v>
      </c>
      <c r="J287" s="9">
        <v>0</v>
      </c>
      <c r="K287" s="5">
        <v>0</v>
      </c>
      <c r="L287" s="5">
        <v>0</v>
      </c>
      <c r="M287" s="5">
        <v>0</v>
      </c>
      <c r="N287" s="9">
        <v>0</v>
      </c>
      <c r="O287" s="5">
        <v>1</v>
      </c>
      <c r="P287" s="5">
        <v>14</v>
      </c>
      <c r="Q287" s="5">
        <v>0</v>
      </c>
      <c r="R287" s="9">
        <v>0</v>
      </c>
      <c r="S287" s="5">
        <v>0</v>
      </c>
      <c r="T287" s="5">
        <v>0</v>
      </c>
    </row>
    <row r="288" spans="1:20" x14ac:dyDescent="0.2">
      <c r="A288" s="5" t="s">
        <v>680</v>
      </c>
      <c r="B288" s="9" t="s">
        <v>69</v>
      </c>
      <c r="C288" s="5" t="s">
        <v>752</v>
      </c>
      <c r="D288" s="7">
        <f t="shared" si="1"/>
        <v>2.5</v>
      </c>
      <c r="E288" s="5">
        <v>0</v>
      </c>
      <c r="F288" s="5">
        <v>0</v>
      </c>
      <c r="G288" s="5">
        <v>0</v>
      </c>
      <c r="H288" s="5">
        <v>0</v>
      </c>
      <c r="I288" s="5">
        <v>0</v>
      </c>
      <c r="J288" s="9">
        <v>0</v>
      </c>
      <c r="K288" s="5">
        <v>0</v>
      </c>
      <c r="L288" s="5">
        <v>0</v>
      </c>
      <c r="M288" s="5">
        <v>0</v>
      </c>
      <c r="N288" s="9">
        <v>0</v>
      </c>
      <c r="O288" s="5">
        <v>1</v>
      </c>
      <c r="P288" s="5">
        <v>15</v>
      </c>
      <c r="Q288" s="5">
        <v>0</v>
      </c>
      <c r="R288" s="9">
        <v>0</v>
      </c>
      <c r="S288" s="5">
        <v>0</v>
      </c>
      <c r="T288" s="5">
        <v>0</v>
      </c>
    </row>
    <row r="289" spans="1:20" x14ac:dyDescent="0.2">
      <c r="A289" s="5" t="s">
        <v>737</v>
      </c>
      <c r="B289" s="9" t="s">
        <v>69</v>
      </c>
      <c r="C289" s="5" t="s">
        <v>741</v>
      </c>
      <c r="D289" s="7">
        <f t="shared" si="1"/>
        <v>2.8</v>
      </c>
      <c r="E289" s="5">
        <v>0</v>
      </c>
      <c r="F289" s="5">
        <v>0</v>
      </c>
      <c r="G289" s="5">
        <v>0</v>
      </c>
      <c r="H289" s="5">
        <v>0</v>
      </c>
      <c r="I289" s="5">
        <v>0</v>
      </c>
      <c r="J289" s="9">
        <v>0</v>
      </c>
      <c r="K289" s="5">
        <v>0</v>
      </c>
      <c r="L289" s="5">
        <v>0</v>
      </c>
      <c r="M289" s="5">
        <v>0</v>
      </c>
      <c r="N289" s="9">
        <v>0</v>
      </c>
      <c r="O289" s="5">
        <v>1</v>
      </c>
      <c r="P289" s="5">
        <v>18</v>
      </c>
      <c r="Q289" s="5">
        <v>0</v>
      </c>
      <c r="R289" s="9">
        <v>0</v>
      </c>
      <c r="S289" s="5">
        <v>0</v>
      </c>
      <c r="T289" s="5">
        <v>0</v>
      </c>
    </row>
    <row r="290" spans="1:20" x14ac:dyDescent="0.2">
      <c r="A290" s="5" t="s">
        <v>363</v>
      </c>
      <c r="B290" s="9" t="s">
        <v>69</v>
      </c>
      <c r="C290" s="5" t="s">
        <v>745</v>
      </c>
      <c r="D290" s="7">
        <f t="shared" si="1"/>
        <v>4.3</v>
      </c>
      <c r="E290" s="5">
        <v>0</v>
      </c>
      <c r="F290" s="5">
        <v>0</v>
      </c>
      <c r="G290" s="5">
        <v>0</v>
      </c>
      <c r="H290" s="5">
        <v>0</v>
      </c>
      <c r="I290" s="5">
        <v>0</v>
      </c>
      <c r="J290" s="9">
        <v>0</v>
      </c>
      <c r="K290" s="5">
        <v>0</v>
      </c>
      <c r="L290" s="5">
        <v>0</v>
      </c>
      <c r="M290" s="5">
        <v>0</v>
      </c>
      <c r="N290" s="9">
        <v>0</v>
      </c>
      <c r="O290" s="5">
        <v>3</v>
      </c>
      <c r="P290" s="5">
        <v>13</v>
      </c>
      <c r="Q290" s="5">
        <v>0</v>
      </c>
      <c r="R290" s="9">
        <v>0</v>
      </c>
      <c r="S290" s="5">
        <v>0</v>
      </c>
      <c r="T290" s="5">
        <v>0</v>
      </c>
    </row>
    <row r="291" spans="1:20" x14ac:dyDescent="0.2">
      <c r="A291" s="5" t="s">
        <v>292</v>
      </c>
      <c r="B291" s="9" t="s">
        <v>69</v>
      </c>
      <c r="C291" s="5" t="s">
        <v>747</v>
      </c>
      <c r="D291" s="7">
        <f t="shared" si="1"/>
        <v>3.4000000000000004</v>
      </c>
      <c r="E291" s="5">
        <v>0</v>
      </c>
      <c r="F291" s="5">
        <v>0</v>
      </c>
      <c r="G291" s="5">
        <v>0</v>
      </c>
      <c r="H291" s="5">
        <v>0</v>
      </c>
      <c r="I291" s="5">
        <v>0</v>
      </c>
      <c r="J291" s="9">
        <v>0</v>
      </c>
      <c r="K291" s="5">
        <v>0</v>
      </c>
      <c r="L291" s="5">
        <v>0</v>
      </c>
      <c r="M291" s="5">
        <v>0</v>
      </c>
      <c r="N291" s="9">
        <v>0</v>
      </c>
      <c r="O291" s="5">
        <v>2</v>
      </c>
      <c r="P291" s="5">
        <v>14</v>
      </c>
      <c r="Q291" s="5">
        <v>0</v>
      </c>
      <c r="R291" s="9">
        <v>0</v>
      </c>
      <c r="S291" s="5">
        <v>0</v>
      </c>
      <c r="T291" s="5">
        <v>0</v>
      </c>
    </row>
    <row r="292" spans="1:20" x14ac:dyDescent="0.2">
      <c r="A292" s="5" t="s">
        <v>477</v>
      </c>
      <c r="B292" s="9" t="s">
        <v>69</v>
      </c>
      <c r="C292" s="5" t="s">
        <v>755</v>
      </c>
      <c r="D292" s="7">
        <f t="shared" si="1"/>
        <v>3.6</v>
      </c>
      <c r="E292" s="5">
        <v>0</v>
      </c>
      <c r="F292" s="5">
        <v>0</v>
      </c>
      <c r="G292" s="5">
        <v>0</v>
      </c>
      <c r="H292" s="5">
        <v>0</v>
      </c>
      <c r="I292" s="5">
        <v>0</v>
      </c>
      <c r="J292" s="9">
        <v>0</v>
      </c>
      <c r="K292" s="5">
        <v>0</v>
      </c>
      <c r="L292" s="5">
        <v>0</v>
      </c>
      <c r="M292" s="5">
        <v>0</v>
      </c>
      <c r="N292" s="9">
        <v>0</v>
      </c>
      <c r="O292" s="5">
        <v>2</v>
      </c>
      <c r="P292" s="5">
        <v>16</v>
      </c>
      <c r="Q292" s="5">
        <v>0</v>
      </c>
      <c r="R292" s="9">
        <v>0</v>
      </c>
      <c r="S292" s="5">
        <v>0</v>
      </c>
      <c r="T292" s="5">
        <v>0</v>
      </c>
    </row>
    <row r="293" spans="1:20" x14ac:dyDescent="0.2">
      <c r="A293" s="5" t="s">
        <v>366</v>
      </c>
      <c r="B293" s="9" t="s">
        <v>69</v>
      </c>
      <c r="C293" s="5" t="s">
        <v>743</v>
      </c>
      <c r="D293" s="7">
        <f t="shared" si="1"/>
        <v>4.5</v>
      </c>
      <c r="E293" s="5">
        <v>0</v>
      </c>
      <c r="F293" s="5">
        <v>0</v>
      </c>
      <c r="G293" s="5">
        <v>0</v>
      </c>
      <c r="H293" s="5">
        <v>0</v>
      </c>
      <c r="I293" s="5">
        <v>0</v>
      </c>
      <c r="J293" s="9">
        <v>0</v>
      </c>
      <c r="K293" s="5">
        <v>0</v>
      </c>
      <c r="L293" s="5">
        <v>0</v>
      </c>
      <c r="M293" s="5">
        <v>0</v>
      </c>
      <c r="N293" s="9">
        <v>0</v>
      </c>
      <c r="O293" s="5">
        <v>3</v>
      </c>
      <c r="P293" s="5">
        <v>15</v>
      </c>
      <c r="Q293" s="5">
        <v>0</v>
      </c>
      <c r="R293" s="9">
        <v>0</v>
      </c>
      <c r="S293" s="5">
        <v>0</v>
      </c>
      <c r="T293" s="5">
        <v>0</v>
      </c>
    </row>
    <row r="294" spans="1:20" x14ac:dyDescent="0.2">
      <c r="A294" s="5" t="s">
        <v>301</v>
      </c>
      <c r="B294" s="9" t="s">
        <v>69</v>
      </c>
      <c r="C294" s="5" t="s">
        <v>747</v>
      </c>
      <c r="D294" s="7">
        <f t="shared" si="1"/>
        <v>3.8</v>
      </c>
      <c r="E294" s="5">
        <v>0</v>
      </c>
      <c r="F294" s="5">
        <v>0</v>
      </c>
      <c r="G294" s="5">
        <v>0</v>
      </c>
      <c r="H294" s="5">
        <v>0</v>
      </c>
      <c r="I294" s="5">
        <v>0</v>
      </c>
      <c r="J294" s="9">
        <v>0</v>
      </c>
      <c r="K294" s="5">
        <v>0</v>
      </c>
      <c r="L294" s="5">
        <v>0</v>
      </c>
      <c r="M294" s="5">
        <v>0</v>
      </c>
      <c r="N294" s="9">
        <v>0</v>
      </c>
      <c r="O294" s="5">
        <v>2</v>
      </c>
      <c r="P294" s="5">
        <v>18</v>
      </c>
      <c r="Q294" s="5">
        <v>0</v>
      </c>
      <c r="R294" s="9">
        <v>0</v>
      </c>
      <c r="S294" s="5">
        <v>0</v>
      </c>
      <c r="T294" s="5">
        <v>0</v>
      </c>
    </row>
    <row r="295" spans="1:20" x14ac:dyDescent="0.2">
      <c r="A295" s="5" t="s">
        <v>606</v>
      </c>
      <c r="B295" s="9" t="s">
        <v>69</v>
      </c>
      <c r="C295" s="5" t="s">
        <v>758</v>
      </c>
      <c r="D295" s="7">
        <f t="shared" si="1"/>
        <v>2.4000000000000004</v>
      </c>
      <c r="E295" s="5">
        <v>0</v>
      </c>
      <c r="F295" s="5">
        <v>0</v>
      </c>
      <c r="G295" s="5">
        <v>0</v>
      </c>
      <c r="H295" s="5">
        <v>0</v>
      </c>
      <c r="I295" s="5">
        <v>0</v>
      </c>
      <c r="J295" s="9">
        <v>0</v>
      </c>
      <c r="K295" s="5">
        <v>0</v>
      </c>
      <c r="L295" s="5">
        <v>0</v>
      </c>
      <c r="M295" s="5">
        <v>0</v>
      </c>
      <c r="N295" s="9">
        <v>0</v>
      </c>
      <c r="O295" s="5">
        <v>1</v>
      </c>
      <c r="P295" s="5">
        <v>14</v>
      </c>
      <c r="Q295" s="5">
        <v>0</v>
      </c>
      <c r="R295" s="9">
        <v>0</v>
      </c>
      <c r="S295" s="5">
        <v>0</v>
      </c>
      <c r="T295" s="5">
        <v>0</v>
      </c>
    </row>
    <row r="296" spans="1:20" x14ac:dyDescent="0.2">
      <c r="A296" s="5" t="s">
        <v>311</v>
      </c>
      <c r="B296" s="9" t="s">
        <v>69</v>
      </c>
      <c r="C296" s="5" t="s">
        <v>750</v>
      </c>
      <c r="D296" s="7">
        <f t="shared" si="1"/>
        <v>1.8</v>
      </c>
      <c r="E296" s="5">
        <v>0</v>
      </c>
      <c r="F296" s="5">
        <v>0</v>
      </c>
      <c r="G296" s="5">
        <v>0</v>
      </c>
      <c r="H296" s="5">
        <v>0</v>
      </c>
      <c r="I296" s="5">
        <v>0</v>
      </c>
      <c r="J296" s="9">
        <v>0</v>
      </c>
      <c r="K296" s="5">
        <v>0</v>
      </c>
      <c r="L296" s="5">
        <v>0</v>
      </c>
      <c r="M296" s="5">
        <v>0</v>
      </c>
      <c r="N296" s="9">
        <v>0</v>
      </c>
      <c r="O296" s="5">
        <v>1</v>
      </c>
      <c r="P296" s="5">
        <v>8</v>
      </c>
      <c r="Q296" s="5">
        <v>0</v>
      </c>
      <c r="R296" s="9">
        <v>0</v>
      </c>
      <c r="S296" s="5">
        <v>0</v>
      </c>
      <c r="T296" s="5">
        <v>0</v>
      </c>
    </row>
    <row r="297" spans="1:20" x14ac:dyDescent="0.2">
      <c r="A297" s="5" t="s">
        <v>417</v>
      </c>
      <c r="B297" s="9" t="s">
        <v>69</v>
      </c>
      <c r="C297" s="5" t="s">
        <v>751</v>
      </c>
      <c r="D297" s="7">
        <f t="shared" si="1"/>
        <v>1.4</v>
      </c>
      <c r="E297" s="5">
        <v>0</v>
      </c>
      <c r="F297" s="5">
        <v>0</v>
      </c>
      <c r="G297" s="5">
        <v>0</v>
      </c>
      <c r="H297" s="5">
        <v>0</v>
      </c>
      <c r="I297" s="5">
        <v>0</v>
      </c>
      <c r="J297" s="9">
        <v>0</v>
      </c>
      <c r="K297" s="5">
        <v>0</v>
      </c>
      <c r="L297" s="5">
        <v>0</v>
      </c>
      <c r="M297" s="5">
        <v>0</v>
      </c>
      <c r="N297" s="9">
        <v>0</v>
      </c>
      <c r="O297" s="5">
        <v>1</v>
      </c>
      <c r="P297" s="5">
        <v>4</v>
      </c>
      <c r="Q297" s="5">
        <v>0</v>
      </c>
      <c r="R297" s="9">
        <v>0</v>
      </c>
      <c r="S297" s="5">
        <v>0</v>
      </c>
      <c r="T297" s="5">
        <v>0</v>
      </c>
    </row>
    <row r="298" spans="1:20" x14ac:dyDescent="0.2">
      <c r="A298" s="5" t="s">
        <v>302</v>
      </c>
      <c r="B298" s="9" t="s">
        <v>69</v>
      </c>
      <c r="C298" s="5" t="s">
        <v>745</v>
      </c>
      <c r="D298" s="7">
        <f t="shared" si="1"/>
        <v>1.9</v>
      </c>
      <c r="E298" s="5">
        <v>0</v>
      </c>
      <c r="F298" s="5">
        <v>0</v>
      </c>
      <c r="G298" s="5">
        <v>0</v>
      </c>
      <c r="H298" s="5">
        <v>0</v>
      </c>
      <c r="I298" s="5">
        <v>0</v>
      </c>
      <c r="J298" s="9">
        <v>0</v>
      </c>
      <c r="K298" s="5">
        <v>0</v>
      </c>
      <c r="L298" s="5">
        <v>0</v>
      </c>
      <c r="M298" s="5">
        <v>0</v>
      </c>
      <c r="N298" s="9">
        <v>0</v>
      </c>
      <c r="O298" s="5">
        <v>1</v>
      </c>
      <c r="P298" s="5">
        <v>9</v>
      </c>
      <c r="Q298" s="5">
        <v>0</v>
      </c>
      <c r="R298" s="9">
        <v>0</v>
      </c>
      <c r="S298" s="5">
        <v>0</v>
      </c>
      <c r="T298" s="5">
        <v>0</v>
      </c>
    </row>
    <row r="299" spans="1:20" x14ac:dyDescent="0.2">
      <c r="A299" s="5" t="s">
        <v>303</v>
      </c>
      <c r="B299" s="9" t="s">
        <v>69</v>
      </c>
      <c r="C299" s="5" t="s">
        <v>749</v>
      </c>
      <c r="D299" s="7">
        <f t="shared" si="1"/>
        <v>2.9</v>
      </c>
      <c r="E299" s="5">
        <v>0</v>
      </c>
      <c r="F299" s="5">
        <v>0</v>
      </c>
      <c r="G299" s="5">
        <v>0</v>
      </c>
      <c r="H299" s="5">
        <v>0</v>
      </c>
      <c r="I299" s="5">
        <v>0</v>
      </c>
      <c r="J299" s="9">
        <v>0</v>
      </c>
      <c r="K299" s="5">
        <v>0</v>
      </c>
      <c r="L299" s="5">
        <v>0</v>
      </c>
      <c r="M299" s="5">
        <v>0</v>
      </c>
      <c r="N299" s="9">
        <v>0</v>
      </c>
      <c r="O299" s="5">
        <v>2</v>
      </c>
      <c r="P299" s="5">
        <v>9</v>
      </c>
      <c r="Q299" s="5">
        <v>0</v>
      </c>
      <c r="R299" s="9">
        <v>0</v>
      </c>
      <c r="S299" s="5">
        <v>0</v>
      </c>
      <c r="T299" s="5">
        <v>0</v>
      </c>
    </row>
    <row r="300" spans="1:20" x14ac:dyDescent="0.2">
      <c r="A300" s="5" t="s">
        <v>766</v>
      </c>
      <c r="B300" s="9" t="s">
        <v>69</v>
      </c>
      <c r="C300" s="5" t="s">
        <v>758</v>
      </c>
      <c r="D300" s="7">
        <f t="shared" si="1"/>
        <v>1.9</v>
      </c>
      <c r="E300" s="5">
        <v>0</v>
      </c>
      <c r="F300" s="5">
        <v>0</v>
      </c>
      <c r="G300" s="5">
        <v>0</v>
      </c>
      <c r="H300" s="5">
        <v>0</v>
      </c>
      <c r="I300" s="5">
        <v>0</v>
      </c>
      <c r="J300" s="9">
        <v>0</v>
      </c>
      <c r="K300" s="5">
        <v>0</v>
      </c>
      <c r="L300" s="5">
        <v>0</v>
      </c>
      <c r="M300" s="5">
        <v>0</v>
      </c>
      <c r="N300" s="9">
        <v>0</v>
      </c>
      <c r="O300" s="5">
        <v>1</v>
      </c>
      <c r="P300" s="5">
        <v>9</v>
      </c>
      <c r="Q300" s="5">
        <v>0</v>
      </c>
      <c r="R300" s="9">
        <v>0</v>
      </c>
      <c r="S300" s="5">
        <v>0</v>
      </c>
      <c r="T300" s="5">
        <v>0</v>
      </c>
    </row>
    <row r="301" spans="1:20" x14ac:dyDescent="0.2">
      <c r="A301" s="5" t="s">
        <v>288</v>
      </c>
      <c r="B301" s="9" t="s">
        <v>69</v>
      </c>
      <c r="C301" s="5" t="s">
        <v>751</v>
      </c>
      <c r="D301" s="7">
        <f t="shared" si="1"/>
        <v>1.7000000000000002</v>
      </c>
      <c r="E301" s="5">
        <v>0</v>
      </c>
      <c r="F301" s="5">
        <v>0</v>
      </c>
      <c r="G301" s="5">
        <v>0</v>
      </c>
      <c r="H301" s="5">
        <v>0</v>
      </c>
      <c r="I301" s="5">
        <v>0</v>
      </c>
      <c r="J301" s="9">
        <v>0</v>
      </c>
      <c r="K301" s="5">
        <v>0</v>
      </c>
      <c r="L301" s="5">
        <v>0</v>
      </c>
      <c r="M301" s="5">
        <v>0</v>
      </c>
      <c r="N301" s="9">
        <v>0</v>
      </c>
      <c r="O301" s="5">
        <v>1</v>
      </c>
      <c r="P301" s="5">
        <v>7</v>
      </c>
      <c r="Q301" s="5">
        <v>0</v>
      </c>
      <c r="R301" s="9">
        <v>0</v>
      </c>
      <c r="S301" s="5">
        <v>0</v>
      </c>
      <c r="T301" s="5">
        <v>0</v>
      </c>
    </row>
    <row r="302" spans="1:20" x14ac:dyDescent="0.2">
      <c r="A302" s="5" t="s">
        <v>285</v>
      </c>
      <c r="B302" s="9" t="s">
        <v>69</v>
      </c>
      <c r="C302" s="5" t="s">
        <v>746</v>
      </c>
      <c r="D302" s="7">
        <f t="shared" si="1"/>
        <v>1.6</v>
      </c>
      <c r="E302" s="5">
        <v>0</v>
      </c>
      <c r="F302" s="5">
        <v>0</v>
      </c>
      <c r="G302" s="5">
        <v>0</v>
      </c>
      <c r="H302" s="5">
        <v>0</v>
      </c>
      <c r="I302" s="5">
        <v>0</v>
      </c>
      <c r="J302" s="9">
        <v>0</v>
      </c>
      <c r="K302" s="5">
        <v>0</v>
      </c>
      <c r="L302" s="5">
        <v>0</v>
      </c>
      <c r="M302" s="5">
        <v>0</v>
      </c>
      <c r="N302" s="9">
        <v>0</v>
      </c>
      <c r="O302" s="5">
        <v>1</v>
      </c>
      <c r="P302" s="5">
        <v>6</v>
      </c>
      <c r="Q302" s="5">
        <v>0</v>
      </c>
      <c r="R302" s="9">
        <v>0</v>
      </c>
      <c r="S302" s="5">
        <v>0</v>
      </c>
      <c r="T302" s="5">
        <v>0</v>
      </c>
    </row>
    <row r="303" spans="1:20" x14ac:dyDescent="0.2">
      <c r="A303" s="5" t="s">
        <v>396</v>
      </c>
      <c r="B303" s="9" t="s">
        <v>69</v>
      </c>
      <c r="C303" s="5" t="s">
        <v>753</v>
      </c>
      <c r="D303" s="7">
        <f t="shared" si="1"/>
        <v>1.5</v>
      </c>
      <c r="E303" s="5">
        <v>0</v>
      </c>
      <c r="F303" s="5">
        <v>0</v>
      </c>
      <c r="G303" s="5">
        <v>0</v>
      </c>
      <c r="H303" s="5">
        <v>0</v>
      </c>
      <c r="I303" s="5">
        <v>0</v>
      </c>
      <c r="J303" s="9">
        <v>0</v>
      </c>
      <c r="K303" s="5">
        <v>0</v>
      </c>
      <c r="L303" s="5">
        <v>0</v>
      </c>
      <c r="M303" s="5">
        <v>0</v>
      </c>
      <c r="N303" s="9">
        <v>0</v>
      </c>
      <c r="O303" s="5">
        <v>1</v>
      </c>
      <c r="P303" s="5">
        <v>5</v>
      </c>
      <c r="Q303" s="5">
        <v>0</v>
      </c>
      <c r="R303" s="9">
        <v>0</v>
      </c>
      <c r="S303" s="5">
        <v>0</v>
      </c>
      <c r="T303" s="5">
        <v>0</v>
      </c>
    </row>
    <row r="304" spans="1:20" x14ac:dyDescent="0.2">
      <c r="A304" s="5" t="s">
        <v>526</v>
      </c>
      <c r="B304" s="9" t="s">
        <v>69</v>
      </c>
      <c r="C304" s="5" t="s">
        <v>747</v>
      </c>
      <c r="D304" s="7">
        <f t="shared" si="1"/>
        <v>1.3</v>
      </c>
      <c r="E304" s="5">
        <v>0</v>
      </c>
      <c r="F304" s="5">
        <v>0</v>
      </c>
      <c r="G304" s="5">
        <v>0</v>
      </c>
      <c r="H304" s="5">
        <v>0</v>
      </c>
      <c r="I304" s="5">
        <v>0</v>
      </c>
      <c r="J304" s="9">
        <v>0</v>
      </c>
      <c r="K304" s="5">
        <v>0</v>
      </c>
      <c r="L304" s="5">
        <v>0</v>
      </c>
      <c r="M304" s="5">
        <v>0</v>
      </c>
      <c r="N304" s="9">
        <v>0</v>
      </c>
      <c r="O304" s="5">
        <v>1</v>
      </c>
      <c r="P304" s="5">
        <v>3</v>
      </c>
      <c r="Q304" s="5">
        <v>0</v>
      </c>
      <c r="R304" s="9">
        <v>0</v>
      </c>
      <c r="S304" s="5">
        <v>0</v>
      </c>
      <c r="T304" s="5">
        <v>0</v>
      </c>
    </row>
    <row r="305" spans="1:20" x14ac:dyDescent="0.2">
      <c r="A305" s="5" t="s">
        <v>318</v>
      </c>
      <c r="B305" s="9" t="s">
        <v>69</v>
      </c>
      <c r="C305" s="5" t="s">
        <v>749</v>
      </c>
      <c r="D305" s="7">
        <f t="shared" si="1"/>
        <v>1.6</v>
      </c>
      <c r="E305" s="5">
        <v>0</v>
      </c>
      <c r="F305" s="5">
        <v>0</v>
      </c>
      <c r="G305" s="5">
        <v>0</v>
      </c>
      <c r="H305" s="5">
        <v>0</v>
      </c>
      <c r="I305" s="5">
        <v>0</v>
      </c>
      <c r="J305" s="9">
        <v>0</v>
      </c>
      <c r="K305" s="5">
        <v>0</v>
      </c>
      <c r="L305" s="5">
        <v>0</v>
      </c>
      <c r="M305" s="5">
        <v>0</v>
      </c>
      <c r="N305" s="9">
        <v>0</v>
      </c>
      <c r="O305" s="5">
        <v>1</v>
      </c>
      <c r="P305" s="5">
        <v>6</v>
      </c>
      <c r="Q305" s="5">
        <v>0</v>
      </c>
      <c r="R305" s="9">
        <v>0</v>
      </c>
      <c r="S305" s="5">
        <v>0</v>
      </c>
      <c r="T305" s="5">
        <v>0</v>
      </c>
    </row>
    <row r="306" spans="1:20" x14ac:dyDescent="0.2">
      <c r="A306" s="5" t="s">
        <v>282</v>
      </c>
      <c r="B306" s="9" t="s">
        <v>69</v>
      </c>
      <c r="C306" s="5" t="s">
        <v>748</v>
      </c>
      <c r="D306" s="7">
        <f t="shared" si="1"/>
        <v>1.7000000000000002</v>
      </c>
      <c r="E306" s="5">
        <v>0</v>
      </c>
      <c r="F306" s="5">
        <v>0</v>
      </c>
      <c r="G306" s="5">
        <v>0</v>
      </c>
      <c r="H306" s="5">
        <v>0</v>
      </c>
      <c r="I306" s="5">
        <v>0</v>
      </c>
      <c r="J306" s="9">
        <v>0</v>
      </c>
      <c r="K306" s="5">
        <v>0</v>
      </c>
      <c r="L306" s="5">
        <v>0</v>
      </c>
      <c r="M306" s="5">
        <v>0</v>
      </c>
      <c r="N306" s="9">
        <v>0</v>
      </c>
      <c r="O306" s="5">
        <v>1</v>
      </c>
      <c r="P306" s="5">
        <v>7</v>
      </c>
      <c r="Q306" s="5">
        <v>0</v>
      </c>
      <c r="R306" s="9">
        <v>0</v>
      </c>
      <c r="S306" s="5">
        <v>0</v>
      </c>
      <c r="T306" s="5">
        <v>0</v>
      </c>
    </row>
    <row r="307" spans="1:20" x14ac:dyDescent="0.2">
      <c r="B307" s="9"/>
      <c r="J307" s="9"/>
      <c r="N307" s="9"/>
      <c r="R307" s="9"/>
    </row>
    <row r="308" spans="1:20" x14ac:dyDescent="0.2">
      <c r="B308" s="9"/>
      <c r="J308" s="9"/>
      <c r="N308" s="9"/>
      <c r="R308" s="9"/>
    </row>
    <row r="309" spans="1:20" x14ac:dyDescent="0.2">
      <c r="B309" s="9"/>
      <c r="J309" s="9"/>
      <c r="N309" s="9"/>
      <c r="R309" s="9"/>
    </row>
    <row r="310" spans="1:20" x14ac:dyDescent="0.2">
      <c r="B310" s="9"/>
      <c r="J310" s="9"/>
      <c r="N310" s="9"/>
      <c r="R310" s="9"/>
    </row>
  </sheetData>
  <autoFilter ref="A2:T306" xr:uid="{00000000-0009-0000-0000-00000E000000}"/>
  <mergeCells count="4">
    <mergeCell ref="E1:J1"/>
    <mergeCell ref="K1:N1"/>
    <mergeCell ref="O1:R1"/>
    <mergeCell ref="S1:T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7"/>
      <c r="B1" s="28"/>
      <c r="C1" s="28"/>
      <c r="D1" s="28"/>
      <c r="E1" s="59" t="s">
        <v>0</v>
      </c>
      <c r="F1" s="55"/>
      <c r="G1" s="55"/>
      <c r="H1" s="55"/>
      <c r="I1" s="55"/>
      <c r="J1" s="56"/>
      <c r="K1" s="59" t="s">
        <v>1</v>
      </c>
      <c r="L1" s="55"/>
      <c r="M1" s="55"/>
      <c r="N1" s="56"/>
      <c r="O1" s="59" t="s">
        <v>2</v>
      </c>
      <c r="P1" s="55"/>
      <c r="Q1" s="55"/>
      <c r="R1" s="56"/>
      <c r="S1" s="59" t="s">
        <v>3</v>
      </c>
      <c r="T1" s="56"/>
    </row>
    <row r="2" spans="1:20" x14ac:dyDescent="0.2">
      <c r="A2" s="29" t="s">
        <v>4</v>
      </c>
      <c r="B2" s="30" t="s">
        <v>5</v>
      </c>
      <c r="C2" s="30" t="s">
        <v>6</v>
      </c>
      <c r="D2" s="30" t="s">
        <v>7</v>
      </c>
      <c r="E2" s="29" t="s">
        <v>8</v>
      </c>
      <c r="F2" s="29" t="s">
        <v>9</v>
      </c>
      <c r="G2" s="29" t="s">
        <v>10</v>
      </c>
      <c r="H2" s="29" t="s">
        <v>11</v>
      </c>
      <c r="I2" s="29" t="s">
        <v>12</v>
      </c>
      <c r="J2" s="30" t="s">
        <v>13</v>
      </c>
      <c r="K2" s="29" t="s">
        <v>8</v>
      </c>
      <c r="L2" s="29" t="s">
        <v>10</v>
      </c>
      <c r="M2" s="29" t="s">
        <v>11</v>
      </c>
      <c r="N2" s="30" t="s">
        <v>13</v>
      </c>
      <c r="O2" s="29" t="s">
        <v>14</v>
      </c>
      <c r="P2" s="29" t="s">
        <v>10</v>
      </c>
      <c r="Q2" s="29" t="s">
        <v>11</v>
      </c>
      <c r="R2" s="30" t="s">
        <v>13</v>
      </c>
      <c r="S2" s="29" t="s">
        <v>15</v>
      </c>
      <c r="T2" s="30" t="s">
        <v>11</v>
      </c>
    </row>
    <row r="3" spans="1:20" x14ac:dyDescent="0.2">
      <c r="A3" s="5" t="s">
        <v>41</v>
      </c>
      <c r="B3" s="9" t="s">
        <v>17</v>
      </c>
      <c r="C3" s="5" t="s">
        <v>767</v>
      </c>
      <c r="D3" s="7">
        <f t="shared" ref="D3:D257" si="0">0.04*G3+4*H3-2*I3+2*J3+0.1*L3+6*M3+2*N3+1*O3+0.1*P3+6*Q3+2*R3-2*S3</f>
        <v>24.959999999999997</v>
      </c>
      <c r="E3" s="5">
        <v>40</v>
      </c>
      <c r="F3" s="5">
        <v>27</v>
      </c>
      <c r="G3" s="5">
        <v>319</v>
      </c>
      <c r="H3" s="5">
        <v>3</v>
      </c>
      <c r="I3" s="5">
        <v>1</v>
      </c>
      <c r="J3" s="9">
        <v>1</v>
      </c>
      <c r="K3" s="5">
        <v>2</v>
      </c>
      <c r="L3" s="5">
        <v>2</v>
      </c>
      <c r="M3" s="5">
        <v>0</v>
      </c>
      <c r="N3" s="9">
        <v>0</v>
      </c>
      <c r="O3" s="5">
        <v>0</v>
      </c>
      <c r="P3" s="5">
        <v>0</v>
      </c>
      <c r="Q3" s="5">
        <v>0</v>
      </c>
      <c r="R3" s="9">
        <v>0</v>
      </c>
      <c r="S3" s="5">
        <v>0</v>
      </c>
      <c r="T3" s="5">
        <v>0</v>
      </c>
    </row>
    <row r="4" spans="1:20" x14ac:dyDescent="0.2">
      <c r="A4" s="5" t="s">
        <v>713</v>
      </c>
      <c r="B4" s="9" t="s">
        <v>17</v>
      </c>
      <c r="C4" s="5" t="s">
        <v>768</v>
      </c>
      <c r="D4" s="7">
        <f t="shared" si="0"/>
        <v>24.82</v>
      </c>
      <c r="E4" s="5">
        <v>42</v>
      </c>
      <c r="F4" s="5">
        <v>27</v>
      </c>
      <c r="G4" s="5">
        <v>368</v>
      </c>
      <c r="H4" s="5">
        <v>3</v>
      </c>
      <c r="I4" s="5">
        <v>2</v>
      </c>
      <c r="J4" s="9">
        <v>1</v>
      </c>
      <c r="K4" s="5">
        <v>2</v>
      </c>
      <c r="L4" s="5">
        <v>1</v>
      </c>
      <c r="M4" s="5">
        <v>0</v>
      </c>
      <c r="N4" s="9">
        <v>0</v>
      </c>
      <c r="O4" s="5">
        <v>0</v>
      </c>
      <c r="P4" s="5">
        <v>0</v>
      </c>
      <c r="Q4" s="5">
        <v>0</v>
      </c>
      <c r="R4" s="9">
        <v>0</v>
      </c>
      <c r="S4" s="5">
        <v>0</v>
      </c>
      <c r="T4" s="5">
        <v>0</v>
      </c>
    </row>
    <row r="5" spans="1:20" x14ac:dyDescent="0.2">
      <c r="A5" s="5" t="s">
        <v>21</v>
      </c>
      <c r="B5" s="9" t="s">
        <v>17</v>
      </c>
      <c r="C5" s="5" t="s">
        <v>769</v>
      </c>
      <c r="D5" s="7">
        <f t="shared" si="0"/>
        <v>23.959999999999997</v>
      </c>
      <c r="E5" s="5">
        <v>28</v>
      </c>
      <c r="F5" s="5">
        <v>17</v>
      </c>
      <c r="G5" s="5">
        <v>219</v>
      </c>
      <c r="H5" s="5">
        <v>2</v>
      </c>
      <c r="I5" s="5">
        <v>0</v>
      </c>
      <c r="J5" s="9">
        <v>0</v>
      </c>
      <c r="K5" s="5">
        <v>2</v>
      </c>
      <c r="L5" s="5">
        <v>12</v>
      </c>
      <c r="M5" s="5">
        <v>1</v>
      </c>
      <c r="N5" s="9">
        <v>0</v>
      </c>
      <c r="O5" s="5">
        <v>0</v>
      </c>
      <c r="P5" s="5">
        <v>0</v>
      </c>
      <c r="Q5" s="5">
        <v>0</v>
      </c>
      <c r="R5" s="9">
        <v>0</v>
      </c>
      <c r="S5" s="5">
        <v>0</v>
      </c>
      <c r="T5" s="5">
        <v>0</v>
      </c>
    </row>
    <row r="6" spans="1:20" x14ac:dyDescent="0.2">
      <c r="A6" s="5" t="s">
        <v>38</v>
      </c>
      <c r="B6" s="9" t="s">
        <v>17</v>
      </c>
      <c r="C6" s="5" t="s">
        <v>770</v>
      </c>
      <c r="D6" s="7">
        <f t="shared" si="0"/>
        <v>23.52</v>
      </c>
      <c r="E6" s="5">
        <v>37</v>
      </c>
      <c r="F6" s="5">
        <v>25</v>
      </c>
      <c r="G6" s="5">
        <v>238</v>
      </c>
      <c r="H6" s="5">
        <v>2</v>
      </c>
      <c r="I6" s="5">
        <v>0</v>
      </c>
      <c r="J6" s="9">
        <v>2</v>
      </c>
      <c r="K6" s="5">
        <v>4</v>
      </c>
      <c r="L6" s="5">
        <v>20</v>
      </c>
      <c r="M6" s="5">
        <v>0</v>
      </c>
      <c r="N6" s="9">
        <v>0</v>
      </c>
      <c r="O6" s="5">
        <v>0</v>
      </c>
      <c r="P6" s="5">
        <v>0</v>
      </c>
      <c r="Q6" s="5">
        <v>0</v>
      </c>
      <c r="R6" s="9">
        <v>0</v>
      </c>
      <c r="S6" s="5">
        <v>0</v>
      </c>
      <c r="T6" s="5">
        <v>0</v>
      </c>
    </row>
    <row r="7" spans="1:20" x14ac:dyDescent="0.2">
      <c r="A7" s="5" t="s">
        <v>48</v>
      </c>
      <c r="B7" s="9" t="s">
        <v>17</v>
      </c>
      <c r="C7" s="5" t="s">
        <v>771</v>
      </c>
      <c r="D7" s="7">
        <f t="shared" si="0"/>
        <v>24.98</v>
      </c>
      <c r="E7" s="5">
        <v>21</v>
      </c>
      <c r="F7" s="5">
        <v>15</v>
      </c>
      <c r="G7" s="5">
        <v>237</v>
      </c>
      <c r="H7" s="5">
        <v>1</v>
      </c>
      <c r="I7" s="5">
        <v>1</v>
      </c>
      <c r="J7" s="9">
        <v>0</v>
      </c>
      <c r="K7" s="5">
        <v>5</v>
      </c>
      <c r="L7" s="5">
        <v>15</v>
      </c>
      <c r="M7" s="5">
        <v>2</v>
      </c>
      <c r="N7" s="9">
        <v>0</v>
      </c>
      <c r="O7" s="5">
        <v>0</v>
      </c>
      <c r="P7" s="5">
        <v>0</v>
      </c>
      <c r="Q7" s="5">
        <v>0</v>
      </c>
      <c r="R7" s="9">
        <v>0</v>
      </c>
      <c r="S7" s="5">
        <v>0</v>
      </c>
      <c r="T7" s="5">
        <v>0</v>
      </c>
    </row>
    <row r="8" spans="1:20" x14ac:dyDescent="0.2">
      <c r="A8" s="5" t="s">
        <v>58</v>
      </c>
      <c r="B8" s="9" t="s">
        <v>17</v>
      </c>
      <c r="C8" s="5" t="s">
        <v>772</v>
      </c>
      <c r="D8" s="7">
        <f t="shared" si="0"/>
        <v>22.58</v>
      </c>
      <c r="E8" s="5">
        <v>35</v>
      </c>
      <c r="F8" s="5">
        <v>23</v>
      </c>
      <c r="G8" s="5">
        <v>252</v>
      </c>
      <c r="H8" s="5">
        <v>2</v>
      </c>
      <c r="I8" s="5">
        <v>0</v>
      </c>
      <c r="J8" s="9">
        <v>0</v>
      </c>
      <c r="K8" s="5">
        <v>7</v>
      </c>
      <c r="L8" s="5">
        <v>45</v>
      </c>
      <c r="M8" s="5">
        <v>0</v>
      </c>
      <c r="N8" s="9">
        <v>0</v>
      </c>
      <c r="O8" s="5">
        <v>0</v>
      </c>
      <c r="P8" s="5">
        <v>0</v>
      </c>
      <c r="Q8" s="5">
        <v>0</v>
      </c>
      <c r="R8" s="9">
        <v>0</v>
      </c>
      <c r="S8" s="5">
        <v>0</v>
      </c>
      <c r="T8" s="5">
        <v>0</v>
      </c>
    </row>
    <row r="9" spans="1:20" x14ac:dyDescent="0.2">
      <c r="A9" s="5" t="s">
        <v>43</v>
      </c>
      <c r="B9" s="9" t="s">
        <v>17</v>
      </c>
      <c r="C9" s="5" t="s">
        <v>773</v>
      </c>
      <c r="D9" s="7">
        <f t="shared" si="0"/>
        <v>24.5</v>
      </c>
      <c r="E9" s="5">
        <v>27</v>
      </c>
      <c r="F9" s="5">
        <v>15</v>
      </c>
      <c r="G9" s="5">
        <v>170</v>
      </c>
      <c r="H9" s="5">
        <v>1</v>
      </c>
      <c r="I9" s="5">
        <v>1</v>
      </c>
      <c r="J9" s="9">
        <v>0</v>
      </c>
      <c r="K9" s="5">
        <v>9</v>
      </c>
      <c r="L9" s="5">
        <v>97</v>
      </c>
      <c r="M9" s="5">
        <v>1</v>
      </c>
      <c r="N9" s="9">
        <v>0</v>
      </c>
      <c r="O9" s="5">
        <v>0</v>
      </c>
      <c r="P9" s="5">
        <v>0</v>
      </c>
      <c r="Q9" s="5">
        <v>0</v>
      </c>
      <c r="R9" s="9">
        <v>0</v>
      </c>
      <c r="S9" s="5">
        <v>0</v>
      </c>
      <c r="T9" s="5">
        <v>0</v>
      </c>
    </row>
    <row r="10" spans="1:20" x14ac:dyDescent="0.2">
      <c r="A10" s="5" t="s">
        <v>45</v>
      </c>
      <c r="B10" s="9" t="s">
        <v>17</v>
      </c>
      <c r="C10" s="5" t="s">
        <v>774</v>
      </c>
      <c r="D10" s="7">
        <f t="shared" si="0"/>
        <v>23.439999999999998</v>
      </c>
      <c r="E10" s="5">
        <v>38</v>
      </c>
      <c r="F10" s="5">
        <v>24</v>
      </c>
      <c r="G10" s="5">
        <v>301</v>
      </c>
      <c r="H10" s="5">
        <v>1</v>
      </c>
      <c r="I10" s="5">
        <v>1</v>
      </c>
      <c r="J10" s="9">
        <v>0</v>
      </c>
      <c r="K10" s="5">
        <v>8</v>
      </c>
      <c r="L10" s="5">
        <v>34</v>
      </c>
      <c r="M10" s="5">
        <v>1</v>
      </c>
      <c r="N10" s="9">
        <v>0</v>
      </c>
      <c r="O10" s="5">
        <v>0</v>
      </c>
      <c r="P10" s="5">
        <v>0</v>
      </c>
      <c r="Q10" s="5">
        <v>0</v>
      </c>
      <c r="R10" s="9">
        <v>0</v>
      </c>
      <c r="S10" s="5">
        <v>0</v>
      </c>
      <c r="T10" s="5">
        <v>0</v>
      </c>
    </row>
    <row r="11" spans="1:20" x14ac:dyDescent="0.2">
      <c r="A11" s="5" t="s">
        <v>46</v>
      </c>
      <c r="B11" s="9" t="s">
        <v>17</v>
      </c>
      <c r="C11" s="5" t="s">
        <v>767</v>
      </c>
      <c r="D11" s="7">
        <f t="shared" si="0"/>
        <v>20.720000000000002</v>
      </c>
      <c r="E11" s="5">
        <v>34</v>
      </c>
      <c r="F11" s="5">
        <v>24</v>
      </c>
      <c r="G11" s="5">
        <v>328</v>
      </c>
      <c r="H11" s="5">
        <v>2</v>
      </c>
      <c r="I11" s="5">
        <v>0</v>
      </c>
      <c r="J11" s="9">
        <v>0</v>
      </c>
      <c r="K11" s="5">
        <v>1</v>
      </c>
      <c r="L11" s="5">
        <v>-4</v>
      </c>
      <c r="M11" s="5">
        <v>0</v>
      </c>
      <c r="N11" s="9">
        <v>0</v>
      </c>
      <c r="O11" s="5">
        <v>0</v>
      </c>
      <c r="P11" s="5">
        <v>0</v>
      </c>
      <c r="Q11" s="5">
        <v>0</v>
      </c>
      <c r="R11" s="9">
        <v>0</v>
      </c>
      <c r="S11" s="5">
        <v>0</v>
      </c>
      <c r="T11" s="5">
        <v>0</v>
      </c>
    </row>
    <row r="12" spans="1:20" x14ac:dyDescent="0.2">
      <c r="A12" s="5" t="s">
        <v>57</v>
      </c>
      <c r="B12" s="9" t="s">
        <v>17</v>
      </c>
      <c r="C12" s="5" t="s">
        <v>769</v>
      </c>
      <c r="D12" s="7">
        <f t="shared" si="0"/>
        <v>22.18</v>
      </c>
      <c r="E12" s="5">
        <v>36</v>
      </c>
      <c r="F12" s="5">
        <v>23</v>
      </c>
      <c r="G12" s="5">
        <v>312</v>
      </c>
      <c r="H12" s="5">
        <v>2</v>
      </c>
      <c r="I12" s="5">
        <v>0</v>
      </c>
      <c r="J12" s="9">
        <v>0</v>
      </c>
      <c r="K12" s="5">
        <v>4</v>
      </c>
      <c r="L12" s="5">
        <v>17</v>
      </c>
      <c r="M12" s="5">
        <v>0</v>
      </c>
      <c r="N12" s="9">
        <v>0</v>
      </c>
      <c r="O12" s="5">
        <v>0</v>
      </c>
      <c r="P12" s="5">
        <v>0</v>
      </c>
      <c r="Q12" s="5">
        <v>0</v>
      </c>
      <c r="R12" s="9">
        <v>0</v>
      </c>
      <c r="S12" s="5">
        <v>0</v>
      </c>
      <c r="T12" s="5">
        <v>0</v>
      </c>
    </row>
    <row r="13" spans="1:20" x14ac:dyDescent="0.2">
      <c r="A13" s="5" t="s">
        <v>642</v>
      </c>
      <c r="B13" s="9" t="s">
        <v>17</v>
      </c>
      <c r="C13" s="5" t="s">
        <v>773</v>
      </c>
      <c r="D13" s="7">
        <f t="shared" si="0"/>
        <v>20.400000000000002</v>
      </c>
      <c r="E13" s="5">
        <v>38</v>
      </c>
      <c r="F13" s="5">
        <v>24</v>
      </c>
      <c r="G13" s="5">
        <v>230</v>
      </c>
      <c r="H13" s="5">
        <v>2</v>
      </c>
      <c r="I13" s="5">
        <v>0</v>
      </c>
      <c r="J13" s="9">
        <v>0</v>
      </c>
      <c r="K13" s="5">
        <v>5</v>
      </c>
      <c r="L13" s="5">
        <v>32</v>
      </c>
      <c r="M13" s="5">
        <v>0</v>
      </c>
      <c r="N13" s="9">
        <v>0</v>
      </c>
      <c r="O13" s="5">
        <v>0</v>
      </c>
      <c r="P13" s="5">
        <v>0</v>
      </c>
      <c r="Q13" s="5">
        <v>0</v>
      </c>
      <c r="R13" s="9">
        <v>0</v>
      </c>
      <c r="S13" s="5">
        <v>0</v>
      </c>
      <c r="T13" s="5">
        <v>0</v>
      </c>
    </row>
    <row r="14" spans="1:20" x14ac:dyDescent="0.2">
      <c r="A14" s="5" t="s">
        <v>37</v>
      </c>
      <c r="B14" s="9" t="s">
        <v>17</v>
      </c>
      <c r="C14" s="5" t="s">
        <v>775</v>
      </c>
      <c r="D14" s="7">
        <f t="shared" si="0"/>
        <v>19.82</v>
      </c>
      <c r="E14" s="5">
        <v>35</v>
      </c>
      <c r="F14" s="5">
        <v>26</v>
      </c>
      <c r="G14" s="5">
        <v>283</v>
      </c>
      <c r="H14" s="5">
        <v>2</v>
      </c>
      <c r="I14" s="5">
        <v>0</v>
      </c>
      <c r="J14" s="9">
        <v>0</v>
      </c>
      <c r="K14" s="5">
        <v>5</v>
      </c>
      <c r="L14" s="5">
        <v>5</v>
      </c>
      <c r="M14" s="5">
        <v>0</v>
      </c>
      <c r="N14" s="9">
        <v>0</v>
      </c>
      <c r="O14" s="5">
        <v>0</v>
      </c>
      <c r="P14" s="5">
        <v>0</v>
      </c>
      <c r="Q14" s="5">
        <v>0</v>
      </c>
      <c r="R14" s="9">
        <v>0</v>
      </c>
      <c r="S14" s="5">
        <v>0</v>
      </c>
      <c r="T14" s="5">
        <v>0</v>
      </c>
    </row>
    <row r="15" spans="1:20" x14ac:dyDescent="0.2">
      <c r="A15" s="5" t="s">
        <v>59</v>
      </c>
      <c r="B15" s="9" t="s">
        <v>17</v>
      </c>
      <c r="C15" s="5" t="s">
        <v>776</v>
      </c>
      <c r="D15" s="7">
        <f t="shared" si="0"/>
        <v>18.62</v>
      </c>
      <c r="E15" s="5">
        <v>32</v>
      </c>
      <c r="F15" s="5">
        <v>20</v>
      </c>
      <c r="G15" s="5">
        <v>253</v>
      </c>
      <c r="H15" s="5">
        <v>2</v>
      </c>
      <c r="I15" s="5">
        <v>0</v>
      </c>
      <c r="J15" s="9">
        <v>0</v>
      </c>
      <c r="K15" s="5">
        <v>5</v>
      </c>
      <c r="L15" s="5">
        <v>25</v>
      </c>
      <c r="M15" s="5">
        <v>0</v>
      </c>
      <c r="N15" s="9">
        <v>0</v>
      </c>
      <c r="O15" s="5">
        <v>0</v>
      </c>
      <c r="P15" s="5">
        <v>0</v>
      </c>
      <c r="Q15" s="5">
        <v>0</v>
      </c>
      <c r="R15" s="9">
        <v>0</v>
      </c>
      <c r="S15" s="5">
        <v>1</v>
      </c>
      <c r="T15" s="5">
        <v>0</v>
      </c>
    </row>
    <row r="16" spans="1:20" x14ac:dyDescent="0.2">
      <c r="A16" s="5" t="s">
        <v>759</v>
      </c>
      <c r="B16" s="9" t="s">
        <v>17</v>
      </c>
      <c r="C16" s="5" t="s">
        <v>777</v>
      </c>
      <c r="D16" s="7">
        <f t="shared" si="0"/>
        <v>20</v>
      </c>
      <c r="E16" s="5">
        <v>27</v>
      </c>
      <c r="F16" s="5">
        <v>17</v>
      </c>
      <c r="G16" s="5">
        <v>290</v>
      </c>
      <c r="H16" s="5">
        <v>2</v>
      </c>
      <c r="I16" s="5">
        <v>0</v>
      </c>
      <c r="J16" s="9">
        <v>0</v>
      </c>
      <c r="K16" s="5">
        <v>2</v>
      </c>
      <c r="L16" s="5">
        <v>4</v>
      </c>
      <c r="M16" s="5">
        <v>0</v>
      </c>
      <c r="N16" s="9">
        <v>0</v>
      </c>
      <c r="O16" s="5">
        <v>0</v>
      </c>
      <c r="P16" s="5">
        <v>0</v>
      </c>
      <c r="Q16" s="5">
        <v>0</v>
      </c>
      <c r="R16" s="9">
        <v>0</v>
      </c>
      <c r="S16" s="5">
        <v>0</v>
      </c>
      <c r="T16" s="5">
        <v>0</v>
      </c>
    </row>
    <row r="17" spans="1:20" x14ac:dyDescent="0.2">
      <c r="A17" s="5" t="s">
        <v>55</v>
      </c>
      <c r="B17" s="9" t="s">
        <v>17</v>
      </c>
      <c r="C17" s="5" t="s">
        <v>778</v>
      </c>
      <c r="D17" s="7">
        <f t="shared" si="0"/>
        <v>17.279999999999998</v>
      </c>
      <c r="E17" s="5">
        <v>36</v>
      </c>
      <c r="F17" s="5">
        <v>25</v>
      </c>
      <c r="G17" s="5">
        <v>227</v>
      </c>
      <c r="H17" s="5">
        <v>2</v>
      </c>
      <c r="I17" s="5">
        <v>0</v>
      </c>
      <c r="J17" s="9">
        <v>0</v>
      </c>
      <c r="K17" s="5">
        <v>1</v>
      </c>
      <c r="L17" s="5">
        <v>2</v>
      </c>
      <c r="M17" s="5">
        <v>0</v>
      </c>
      <c r="N17" s="9">
        <v>0</v>
      </c>
      <c r="O17" s="5">
        <v>0</v>
      </c>
      <c r="P17" s="5">
        <v>0</v>
      </c>
      <c r="Q17" s="5">
        <v>0</v>
      </c>
      <c r="R17" s="9">
        <v>0</v>
      </c>
      <c r="S17" s="5">
        <v>0</v>
      </c>
      <c r="T17" s="5">
        <v>0</v>
      </c>
    </row>
    <row r="18" spans="1:20" x14ac:dyDescent="0.2">
      <c r="A18" s="5" t="s">
        <v>488</v>
      </c>
      <c r="B18" s="9" t="s">
        <v>17</v>
      </c>
      <c r="C18" s="5" t="s">
        <v>770</v>
      </c>
      <c r="D18" s="7">
        <f t="shared" si="0"/>
        <v>16.440000000000001</v>
      </c>
      <c r="E18" s="5">
        <v>33</v>
      </c>
      <c r="F18" s="5">
        <v>25</v>
      </c>
      <c r="G18" s="5">
        <v>256</v>
      </c>
      <c r="H18" s="5">
        <v>2</v>
      </c>
      <c r="I18" s="5">
        <v>0</v>
      </c>
      <c r="J18" s="9">
        <v>0</v>
      </c>
      <c r="K18" s="5">
        <v>1</v>
      </c>
      <c r="L18" s="5">
        <v>2</v>
      </c>
      <c r="M18" s="5">
        <v>0</v>
      </c>
      <c r="N18" s="9">
        <v>0</v>
      </c>
      <c r="O18" s="5">
        <v>0</v>
      </c>
      <c r="P18" s="5">
        <v>0</v>
      </c>
      <c r="Q18" s="5">
        <v>0</v>
      </c>
      <c r="R18" s="9">
        <v>0</v>
      </c>
      <c r="S18" s="5">
        <v>1</v>
      </c>
      <c r="T18" s="5">
        <v>0</v>
      </c>
    </row>
    <row r="19" spans="1:20" x14ac:dyDescent="0.2">
      <c r="A19" s="5" t="s">
        <v>738</v>
      </c>
      <c r="B19" s="9" t="s">
        <v>17</v>
      </c>
      <c r="C19" s="5" t="s">
        <v>779</v>
      </c>
      <c r="D19" s="7">
        <f t="shared" si="0"/>
        <v>16.540000000000003</v>
      </c>
      <c r="E19" s="5">
        <v>36</v>
      </c>
      <c r="F19" s="5">
        <v>22</v>
      </c>
      <c r="G19" s="5">
        <v>411</v>
      </c>
      <c r="H19" s="5">
        <v>2</v>
      </c>
      <c r="I19" s="5">
        <v>4</v>
      </c>
      <c r="J19" s="9">
        <v>0</v>
      </c>
      <c r="K19" s="5">
        <v>1</v>
      </c>
      <c r="L19" s="5">
        <v>1</v>
      </c>
      <c r="M19" s="5">
        <v>0</v>
      </c>
      <c r="N19" s="9">
        <v>0</v>
      </c>
      <c r="O19" s="5">
        <v>0</v>
      </c>
      <c r="P19" s="5">
        <v>0</v>
      </c>
      <c r="Q19" s="5">
        <v>0</v>
      </c>
      <c r="R19" s="9">
        <v>0</v>
      </c>
      <c r="S19" s="5">
        <v>0</v>
      </c>
      <c r="T19" s="5">
        <v>0</v>
      </c>
    </row>
    <row r="20" spans="1:20" x14ac:dyDescent="0.2">
      <c r="A20" s="5" t="s">
        <v>673</v>
      </c>
      <c r="B20" s="9" t="s">
        <v>17</v>
      </c>
      <c r="C20" s="5" t="s">
        <v>768</v>
      </c>
      <c r="D20" s="7">
        <f t="shared" si="0"/>
        <v>16.86</v>
      </c>
      <c r="E20" s="5">
        <v>32</v>
      </c>
      <c r="F20" s="5">
        <v>15</v>
      </c>
      <c r="G20" s="5">
        <v>149</v>
      </c>
      <c r="H20" s="5">
        <v>2</v>
      </c>
      <c r="I20" s="5">
        <v>0</v>
      </c>
      <c r="J20" s="9">
        <v>1</v>
      </c>
      <c r="K20" s="5">
        <v>2</v>
      </c>
      <c r="L20" s="5">
        <v>9</v>
      </c>
      <c r="M20" s="5">
        <v>0</v>
      </c>
      <c r="N20" s="9">
        <v>0</v>
      </c>
      <c r="O20" s="5">
        <v>0</v>
      </c>
      <c r="P20" s="5">
        <v>0</v>
      </c>
      <c r="Q20" s="5">
        <v>0</v>
      </c>
      <c r="R20" s="9">
        <v>0</v>
      </c>
      <c r="S20" s="5">
        <v>0</v>
      </c>
      <c r="T20" s="5">
        <v>0</v>
      </c>
    </row>
    <row r="21" spans="1:20" x14ac:dyDescent="0.2">
      <c r="A21" s="5" t="s">
        <v>23</v>
      </c>
      <c r="B21" s="9" t="s">
        <v>17</v>
      </c>
      <c r="C21" s="5" t="s">
        <v>780</v>
      </c>
      <c r="D21" s="7">
        <f t="shared" si="0"/>
        <v>16.700000000000003</v>
      </c>
      <c r="E21" s="5">
        <v>44</v>
      </c>
      <c r="F21" s="5">
        <v>27</v>
      </c>
      <c r="G21" s="5">
        <v>235</v>
      </c>
      <c r="H21" s="5">
        <v>1</v>
      </c>
      <c r="I21" s="5">
        <v>1</v>
      </c>
      <c r="J21" s="9">
        <v>0</v>
      </c>
      <c r="K21" s="5">
        <v>10</v>
      </c>
      <c r="L21" s="5">
        <v>53</v>
      </c>
      <c r="M21" s="5">
        <v>0</v>
      </c>
      <c r="N21" s="9">
        <v>0</v>
      </c>
      <c r="O21" s="5">
        <v>0</v>
      </c>
      <c r="P21" s="5">
        <v>0</v>
      </c>
      <c r="Q21" s="5">
        <v>0</v>
      </c>
      <c r="R21" s="9">
        <v>0</v>
      </c>
      <c r="S21" s="5">
        <v>0</v>
      </c>
      <c r="T21" s="5">
        <v>0</v>
      </c>
    </row>
    <row r="22" spans="1:20" x14ac:dyDescent="0.2">
      <c r="A22" s="5" t="s">
        <v>16</v>
      </c>
      <c r="B22" s="9" t="s">
        <v>17</v>
      </c>
      <c r="C22" s="5" t="s">
        <v>776</v>
      </c>
      <c r="D22" s="7">
        <f t="shared" si="0"/>
        <v>15.520000000000001</v>
      </c>
      <c r="E22" s="5">
        <v>37</v>
      </c>
      <c r="F22" s="5">
        <v>24</v>
      </c>
      <c r="G22" s="5">
        <v>293</v>
      </c>
      <c r="H22" s="5">
        <v>1</v>
      </c>
      <c r="I22" s="5">
        <v>0</v>
      </c>
      <c r="J22" s="9">
        <v>0</v>
      </c>
      <c r="K22" s="5">
        <v>2</v>
      </c>
      <c r="L22" s="5">
        <v>-2</v>
      </c>
      <c r="M22" s="5">
        <v>0</v>
      </c>
      <c r="N22" s="9">
        <v>0</v>
      </c>
      <c r="O22" s="5">
        <v>0</v>
      </c>
      <c r="P22" s="5">
        <v>0</v>
      </c>
      <c r="Q22" s="5">
        <v>0</v>
      </c>
      <c r="R22" s="9">
        <v>0</v>
      </c>
      <c r="S22" s="5">
        <v>0</v>
      </c>
      <c r="T22" s="5">
        <v>0</v>
      </c>
    </row>
    <row r="23" spans="1:20" x14ac:dyDescent="0.2">
      <c r="A23" s="5" t="s">
        <v>44</v>
      </c>
      <c r="B23" s="9" t="s">
        <v>17</v>
      </c>
      <c r="C23" s="5" t="s">
        <v>779</v>
      </c>
      <c r="D23" s="7">
        <f t="shared" si="0"/>
        <v>14.28</v>
      </c>
      <c r="E23" s="5">
        <v>40</v>
      </c>
      <c r="F23" s="5">
        <v>30</v>
      </c>
      <c r="G23" s="5">
        <v>257</v>
      </c>
      <c r="H23" s="5">
        <v>1</v>
      </c>
      <c r="I23" s="5">
        <v>0</v>
      </c>
      <c r="J23" s="9">
        <v>0</v>
      </c>
      <c r="K23" s="5">
        <v>3</v>
      </c>
      <c r="L23" s="5">
        <v>0</v>
      </c>
      <c r="M23" s="5">
        <v>0</v>
      </c>
      <c r="N23" s="9">
        <v>0</v>
      </c>
      <c r="O23" s="5">
        <v>0</v>
      </c>
      <c r="P23" s="5">
        <v>0</v>
      </c>
      <c r="Q23" s="5">
        <v>0</v>
      </c>
      <c r="R23" s="9">
        <v>0</v>
      </c>
      <c r="S23" s="5">
        <v>0</v>
      </c>
      <c r="T23" s="5">
        <v>0</v>
      </c>
    </row>
    <row r="24" spans="1:20" x14ac:dyDescent="0.2">
      <c r="A24" s="5" t="s">
        <v>603</v>
      </c>
      <c r="B24" s="9" t="s">
        <v>17</v>
      </c>
      <c r="C24" s="5" t="s">
        <v>781</v>
      </c>
      <c r="D24" s="7">
        <f t="shared" si="0"/>
        <v>14.16</v>
      </c>
      <c r="E24" s="5">
        <v>33</v>
      </c>
      <c r="F24" s="5">
        <v>23</v>
      </c>
      <c r="G24" s="5">
        <v>229</v>
      </c>
      <c r="H24" s="5">
        <v>1</v>
      </c>
      <c r="I24" s="5">
        <v>0</v>
      </c>
      <c r="J24" s="9">
        <v>0</v>
      </c>
      <c r="K24" s="5">
        <v>2</v>
      </c>
      <c r="L24" s="5">
        <v>10</v>
      </c>
      <c r="M24" s="5">
        <v>0</v>
      </c>
      <c r="N24" s="9">
        <v>0</v>
      </c>
      <c r="O24" s="5">
        <v>0</v>
      </c>
      <c r="P24" s="5">
        <v>0</v>
      </c>
      <c r="Q24" s="5">
        <v>0</v>
      </c>
      <c r="R24" s="9">
        <v>0</v>
      </c>
      <c r="S24" s="5">
        <v>0</v>
      </c>
      <c r="T24" s="5">
        <v>0</v>
      </c>
    </row>
    <row r="25" spans="1:20" x14ac:dyDescent="0.2">
      <c r="A25" s="5" t="s">
        <v>736</v>
      </c>
      <c r="B25" s="9" t="s">
        <v>17</v>
      </c>
      <c r="C25" s="5" t="s">
        <v>771</v>
      </c>
      <c r="D25" s="7">
        <f t="shared" si="0"/>
        <v>17.100000000000001</v>
      </c>
      <c r="E25" s="5">
        <v>33</v>
      </c>
      <c r="F25" s="5">
        <v>23</v>
      </c>
      <c r="G25" s="5">
        <v>215</v>
      </c>
      <c r="H25" s="5">
        <v>0</v>
      </c>
      <c r="I25" s="5">
        <v>0</v>
      </c>
      <c r="J25" s="9">
        <v>0</v>
      </c>
      <c r="K25" s="5">
        <v>7</v>
      </c>
      <c r="L25" s="5">
        <v>25</v>
      </c>
      <c r="M25" s="5">
        <v>1</v>
      </c>
      <c r="N25" s="9">
        <v>0</v>
      </c>
      <c r="O25" s="5">
        <v>0</v>
      </c>
      <c r="P25" s="5">
        <v>0</v>
      </c>
      <c r="Q25" s="5">
        <v>0</v>
      </c>
      <c r="R25" s="9">
        <v>0</v>
      </c>
      <c r="S25" s="5">
        <v>0</v>
      </c>
      <c r="T25" s="5">
        <v>0</v>
      </c>
    </row>
    <row r="26" spans="1:20" x14ac:dyDescent="0.2">
      <c r="A26" s="5" t="s">
        <v>65</v>
      </c>
      <c r="B26" s="9" t="s">
        <v>17</v>
      </c>
      <c r="C26" s="5" t="s">
        <v>777</v>
      </c>
      <c r="D26" s="7">
        <f t="shared" si="0"/>
        <v>13.399999999999999</v>
      </c>
      <c r="E26" s="5">
        <v>42</v>
      </c>
      <c r="F26" s="5">
        <v>28</v>
      </c>
      <c r="G26" s="5">
        <v>335</v>
      </c>
      <c r="H26" s="5">
        <v>1</v>
      </c>
      <c r="I26" s="5">
        <v>3</v>
      </c>
      <c r="J26" s="9">
        <v>1</v>
      </c>
      <c r="K26" s="5">
        <v>1</v>
      </c>
      <c r="L26" s="5">
        <v>0</v>
      </c>
      <c r="M26" s="5">
        <v>0</v>
      </c>
      <c r="N26" s="9">
        <v>0</v>
      </c>
      <c r="O26" s="5">
        <v>0</v>
      </c>
      <c r="P26" s="5">
        <v>0</v>
      </c>
      <c r="Q26" s="5">
        <v>0</v>
      </c>
      <c r="R26" s="9">
        <v>0</v>
      </c>
      <c r="S26" s="5">
        <v>0</v>
      </c>
      <c r="T26" s="5">
        <v>0</v>
      </c>
    </row>
    <row r="27" spans="1:20" x14ac:dyDescent="0.2">
      <c r="A27" s="5" t="s">
        <v>718</v>
      </c>
      <c r="B27" s="9" t="s">
        <v>17</v>
      </c>
      <c r="C27" s="5" t="s">
        <v>782</v>
      </c>
      <c r="D27" s="7">
        <f t="shared" si="0"/>
        <v>10.48</v>
      </c>
      <c r="E27" s="5">
        <v>49</v>
      </c>
      <c r="F27" s="5">
        <v>27</v>
      </c>
      <c r="G27" s="5">
        <v>217</v>
      </c>
      <c r="H27" s="5">
        <v>1</v>
      </c>
      <c r="I27" s="5">
        <v>1</v>
      </c>
      <c r="J27" s="9">
        <v>0</v>
      </c>
      <c r="K27" s="5">
        <v>4</v>
      </c>
      <c r="L27" s="5">
        <v>18</v>
      </c>
      <c r="M27" s="5">
        <v>0</v>
      </c>
      <c r="N27" s="9">
        <v>0</v>
      </c>
      <c r="O27" s="5">
        <v>0</v>
      </c>
      <c r="P27" s="5">
        <v>0</v>
      </c>
      <c r="Q27" s="5">
        <v>0</v>
      </c>
      <c r="R27" s="9">
        <v>0</v>
      </c>
      <c r="S27" s="5">
        <v>1</v>
      </c>
      <c r="T27" s="5">
        <v>0</v>
      </c>
    </row>
    <row r="28" spans="1:20" x14ac:dyDescent="0.2">
      <c r="A28" s="5" t="s">
        <v>754</v>
      </c>
      <c r="B28" s="9" t="s">
        <v>17</v>
      </c>
      <c r="C28" s="5" t="s">
        <v>782</v>
      </c>
      <c r="D28" s="7">
        <f t="shared" si="0"/>
        <v>9</v>
      </c>
      <c r="E28" s="5">
        <v>13</v>
      </c>
      <c r="F28" s="5">
        <v>10</v>
      </c>
      <c r="G28" s="5">
        <v>100</v>
      </c>
      <c r="H28" s="5">
        <v>1</v>
      </c>
      <c r="I28" s="5">
        <v>0</v>
      </c>
      <c r="J28" s="9">
        <v>0</v>
      </c>
      <c r="K28" s="5">
        <v>1</v>
      </c>
      <c r="L28" s="5">
        <v>10</v>
      </c>
      <c r="M28" s="5">
        <v>0</v>
      </c>
      <c r="N28" s="9">
        <v>0</v>
      </c>
      <c r="O28" s="5">
        <v>0</v>
      </c>
      <c r="P28" s="5">
        <v>0</v>
      </c>
      <c r="Q28" s="5">
        <v>0</v>
      </c>
      <c r="R28" s="9">
        <v>0</v>
      </c>
      <c r="S28" s="5">
        <v>0</v>
      </c>
      <c r="T28" s="5">
        <v>0</v>
      </c>
    </row>
    <row r="29" spans="1:20" x14ac:dyDescent="0.2">
      <c r="A29" s="5" t="s">
        <v>32</v>
      </c>
      <c r="B29" s="9" t="s">
        <v>17</v>
      </c>
      <c r="C29" s="5" t="s">
        <v>775</v>
      </c>
      <c r="D29" s="7">
        <f t="shared" si="0"/>
        <v>9.34</v>
      </c>
      <c r="E29" s="5">
        <v>29</v>
      </c>
      <c r="F29" s="5">
        <v>17</v>
      </c>
      <c r="G29" s="5">
        <v>211</v>
      </c>
      <c r="H29" s="5">
        <v>1</v>
      </c>
      <c r="I29" s="5">
        <v>2</v>
      </c>
      <c r="J29" s="9">
        <v>0</v>
      </c>
      <c r="K29" s="5">
        <v>4</v>
      </c>
      <c r="L29" s="5">
        <v>29</v>
      </c>
      <c r="M29" s="5">
        <v>0</v>
      </c>
      <c r="N29" s="9">
        <v>0</v>
      </c>
      <c r="O29" s="5">
        <v>0</v>
      </c>
      <c r="P29" s="5">
        <v>0</v>
      </c>
      <c r="Q29" s="5">
        <v>0</v>
      </c>
      <c r="R29" s="9">
        <v>0</v>
      </c>
      <c r="S29" s="5">
        <v>1</v>
      </c>
      <c r="T29" s="5">
        <v>0</v>
      </c>
    </row>
    <row r="30" spans="1:20" x14ac:dyDescent="0.2">
      <c r="A30" s="5" t="s">
        <v>73</v>
      </c>
      <c r="B30" s="9" t="s">
        <v>17</v>
      </c>
      <c r="C30" s="5" t="s">
        <v>774</v>
      </c>
      <c r="D30" s="7">
        <f t="shared" si="0"/>
        <v>9.42</v>
      </c>
      <c r="E30" s="5">
        <v>16</v>
      </c>
      <c r="F30" s="5">
        <v>7</v>
      </c>
      <c r="G30" s="5">
        <v>133</v>
      </c>
      <c r="H30" s="5">
        <v>1</v>
      </c>
      <c r="I30" s="5">
        <v>1</v>
      </c>
      <c r="J30" s="9">
        <v>0</v>
      </c>
      <c r="K30" s="5">
        <v>2</v>
      </c>
      <c r="L30" s="5">
        <v>21</v>
      </c>
      <c r="M30" s="5">
        <v>0</v>
      </c>
      <c r="N30" s="9">
        <v>0</v>
      </c>
      <c r="O30" s="5">
        <v>0</v>
      </c>
      <c r="P30" s="5">
        <v>0</v>
      </c>
      <c r="Q30" s="5">
        <v>0</v>
      </c>
      <c r="R30" s="9">
        <v>0</v>
      </c>
      <c r="S30" s="5">
        <v>0</v>
      </c>
      <c r="T30" s="5">
        <v>0</v>
      </c>
    </row>
    <row r="31" spans="1:20" x14ac:dyDescent="0.2">
      <c r="A31" s="5" t="s">
        <v>452</v>
      </c>
      <c r="B31" s="9" t="s">
        <v>17</v>
      </c>
      <c r="C31" s="5" t="s">
        <v>775</v>
      </c>
      <c r="D31" s="7">
        <f t="shared" si="0"/>
        <v>8.36</v>
      </c>
      <c r="E31" s="5">
        <v>15</v>
      </c>
      <c r="F31" s="5">
        <v>11</v>
      </c>
      <c r="G31" s="5">
        <v>94</v>
      </c>
      <c r="H31" s="5">
        <v>1</v>
      </c>
      <c r="I31" s="5">
        <v>0</v>
      </c>
      <c r="J31" s="9">
        <v>0</v>
      </c>
      <c r="K31" s="5">
        <v>1</v>
      </c>
      <c r="L31" s="5">
        <v>6</v>
      </c>
      <c r="M31" s="5">
        <v>0</v>
      </c>
      <c r="N31" s="9">
        <v>0</v>
      </c>
      <c r="O31" s="5">
        <v>0</v>
      </c>
      <c r="P31" s="5">
        <v>0</v>
      </c>
      <c r="Q31" s="5">
        <v>0</v>
      </c>
      <c r="R31" s="9">
        <v>0</v>
      </c>
      <c r="S31" s="5">
        <v>0</v>
      </c>
      <c r="T31" s="5">
        <v>0</v>
      </c>
    </row>
    <row r="32" spans="1:20" x14ac:dyDescent="0.2">
      <c r="A32" s="5" t="s">
        <v>70</v>
      </c>
      <c r="B32" s="9" t="s">
        <v>17</v>
      </c>
      <c r="C32" s="5" t="s">
        <v>781</v>
      </c>
      <c r="D32" s="7">
        <f t="shared" si="0"/>
        <v>9.14</v>
      </c>
      <c r="E32" s="5">
        <v>37</v>
      </c>
      <c r="F32" s="5">
        <v>20</v>
      </c>
      <c r="G32" s="5">
        <v>201</v>
      </c>
      <c r="H32" s="5">
        <v>0</v>
      </c>
      <c r="I32" s="5">
        <v>1</v>
      </c>
      <c r="J32" s="9">
        <v>0</v>
      </c>
      <c r="K32" s="5">
        <v>4</v>
      </c>
      <c r="L32" s="5">
        <v>31</v>
      </c>
      <c r="M32" s="5">
        <v>0</v>
      </c>
      <c r="N32" s="9">
        <v>0</v>
      </c>
      <c r="O32" s="5">
        <v>0</v>
      </c>
      <c r="P32" s="5">
        <v>0</v>
      </c>
      <c r="Q32" s="5">
        <v>0</v>
      </c>
      <c r="R32" s="9">
        <v>0</v>
      </c>
      <c r="S32" s="5">
        <v>0</v>
      </c>
      <c r="T32" s="5">
        <v>0</v>
      </c>
    </row>
    <row r="33" spans="1:20" x14ac:dyDescent="0.2">
      <c r="A33" s="5" t="s">
        <v>64</v>
      </c>
      <c r="B33" s="9" t="s">
        <v>17</v>
      </c>
      <c r="C33" s="5" t="s">
        <v>778</v>
      </c>
      <c r="D33" s="7">
        <f t="shared" si="0"/>
        <v>9.7800000000000011</v>
      </c>
      <c r="E33" s="5">
        <v>26</v>
      </c>
      <c r="F33" s="5">
        <v>18</v>
      </c>
      <c r="G33" s="5">
        <v>152</v>
      </c>
      <c r="H33" s="5">
        <v>0</v>
      </c>
      <c r="I33" s="5">
        <v>0</v>
      </c>
      <c r="J33" s="9">
        <v>0</v>
      </c>
      <c r="K33" s="5">
        <v>2</v>
      </c>
      <c r="L33" s="5">
        <v>37</v>
      </c>
      <c r="M33" s="5">
        <v>0</v>
      </c>
      <c r="N33" s="9">
        <v>0</v>
      </c>
      <c r="O33" s="5">
        <v>0</v>
      </c>
      <c r="P33" s="5">
        <v>0</v>
      </c>
      <c r="Q33" s="5">
        <v>0</v>
      </c>
      <c r="R33" s="9">
        <v>0</v>
      </c>
      <c r="S33" s="5">
        <v>0</v>
      </c>
      <c r="T33" s="5">
        <v>0</v>
      </c>
    </row>
    <row r="34" spans="1:20" x14ac:dyDescent="0.2">
      <c r="A34" s="5" t="s">
        <v>67</v>
      </c>
      <c r="B34" s="9" t="s">
        <v>17</v>
      </c>
      <c r="C34" s="5" t="s">
        <v>772</v>
      </c>
      <c r="D34" s="7">
        <f t="shared" si="0"/>
        <v>6.1400000000000006</v>
      </c>
      <c r="E34" s="5">
        <v>14</v>
      </c>
      <c r="F34" s="5">
        <v>8</v>
      </c>
      <c r="G34" s="5">
        <v>81</v>
      </c>
      <c r="H34" s="5">
        <v>1</v>
      </c>
      <c r="I34" s="5">
        <v>1</v>
      </c>
      <c r="J34" s="9">
        <v>0</v>
      </c>
      <c r="K34" s="5">
        <v>1</v>
      </c>
      <c r="L34" s="5">
        <v>9</v>
      </c>
      <c r="M34" s="5">
        <v>0</v>
      </c>
      <c r="N34" s="9">
        <v>0</v>
      </c>
      <c r="O34" s="5">
        <v>0</v>
      </c>
      <c r="P34" s="5">
        <v>0</v>
      </c>
      <c r="Q34" s="5">
        <v>0</v>
      </c>
      <c r="R34" s="9">
        <v>0</v>
      </c>
      <c r="S34" s="5">
        <v>0</v>
      </c>
      <c r="T34" s="5">
        <v>0</v>
      </c>
    </row>
    <row r="35" spans="1:20" x14ac:dyDescent="0.2">
      <c r="A35" s="5" t="s">
        <v>605</v>
      </c>
      <c r="B35" s="9" t="s">
        <v>17</v>
      </c>
      <c r="C35" s="5" t="s">
        <v>774</v>
      </c>
      <c r="D35" s="7">
        <f t="shared" si="0"/>
        <v>2.7</v>
      </c>
      <c r="E35" s="5">
        <v>16</v>
      </c>
      <c r="F35" s="5">
        <v>9</v>
      </c>
      <c r="G35" s="5">
        <v>55</v>
      </c>
      <c r="H35" s="5">
        <v>0</v>
      </c>
      <c r="I35" s="5">
        <v>0</v>
      </c>
      <c r="J35" s="9">
        <v>0</v>
      </c>
      <c r="K35" s="5">
        <v>1</v>
      </c>
      <c r="L35" s="5">
        <v>5</v>
      </c>
      <c r="M35" s="5">
        <v>0</v>
      </c>
      <c r="N35" s="9">
        <v>0</v>
      </c>
      <c r="O35" s="5">
        <v>0</v>
      </c>
      <c r="P35" s="5">
        <v>0</v>
      </c>
      <c r="Q35" s="5">
        <v>0</v>
      </c>
      <c r="R35" s="9">
        <v>0</v>
      </c>
      <c r="S35" s="5">
        <v>0</v>
      </c>
      <c r="T35" s="5">
        <v>0</v>
      </c>
    </row>
    <row r="36" spans="1:20" x14ac:dyDescent="0.2">
      <c r="A36" s="5" t="s">
        <v>476</v>
      </c>
      <c r="B36" s="9" t="s">
        <v>17</v>
      </c>
      <c r="C36" s="5" t="s">
        <v>780</v>
      </c>
      <c r="D36" s="7">
        <f t="shared" si="0"/>
        <v>2.08</v>
      </c>
      <c r="E36" s="5">
        <v>21</v>
      </c>
      <c r="F36" s="5">
        <v>9</v>
      </c>
      <c r="G36" s="5">
        <v>62</v>
      </c>
      <c r="H36" s="5">
        <v>0</v>
      </c>
      <c r="I36" s="5">
        <v>0</v>
      </c>
      <c r="J36" s="9">
        <v>0</v>
      </c>
      <c r="K36" s="5">
        <v>4</v>
      </c>
      <c r="L36" s="5">
        <v>-4</v>
      </c>
      <c r="M36" s="5">
        <v>0</v>
      </c>
      <c r="N36" s="9">
        <v>0</v>
      </c>
      <c r="O36" s="5">
        <v>0</v>
      </c>
      <c r="P36" s="5">
        <v>0</v>
      </c>
      <c r="Q36" s="5">
        <v>0</v>
      </c>
      <c r="R36" s="9">
        <v>0</v>
      </c>
      <c r="S36" s="5">
        <v>0</v>
      </c>
      <c r="T36" s="5">
        <v>0</v>
      </c>
    </row>
    <row r="37" spans="1:20" x14ac:dyDescent="0.2">
      <c r="A37" s="5" t="s">
        <v>33</v>
      </c>
      <c r="B37" s="9" t="s">
        <v>17</v>
      </c>
      <c r="C37" s="5" t="s">
        <v>772</v>
      </c>
      <c r="D37" s="7">
        <f t="shared" si="0"/>
        <v>2.4000000000000012</v>
      </c>
      <c r="E37" s="5">
        <v>32</v>
      </c>
      <c r="F37" s="5">
        <v>18</v>
      </c>
      <c r="G37" s="5">
        <v>255</v>
      </c>
      <c r="H37" s="5">
        <v>0</v>
      </c>
      <c r="I37" s="5">
        <v>4</v>
      </c>
      <c r="J37" s="9">
        <v>0</v>
      </c>
      <c r="K37" s="5">
        <v>1</v>
      </c>
      <c r="L37" s="5">
        <v>2</v>
      </c>
      <c r="M37" s="5">
        <v>0</v>
      </c>
      <c r="N37" s="9">
        <v>0</v>
      </c>
      <c r="O37" s="5">
        <v>0</v>
      </c>
      <c r="P37" s="5">
        <v>0</v>
      </c>
      <c r="Q37" s="5">
        <v>0</v>
      </c>
      <c r="R37" s="9">
        <v>0</v>
      </c>
      <c r="S37" s="5">
        <v>0</v>
      </c>
      <c r="T37" s="5">
        <v>0</v>
      </c>
    </row>
    <row r="38" spans="1:20" x14ac:dyDescent="0.2">
      <c r="A38" s="5" t="s">
        <v>496</v>
      </c>
      <c r="B38" s="9" t="s">
        <v>17</v>
      </c>
      <c r="C38" s="5" t="s">
        <v>768</v>
      </c>
      <c r="D38" s="7">
        <f t="shared" si="0"/>
        <v>1.74</v>
      </c>
      <c r="E38" s="5">
        <v>2</v>
      </c>
      <c r="F38" s="5">
        <v>1</v>
      </c>
      <c r="G38" s="5">
        <v>6</v>
      </c>
      <c r="H38" s="5">
        <v>0</v>
      </c>
      <c r="I38" s="5">
        <v>0</v>
      </c>
      <c r="J38" s="9">
        <v>0</v>
      </c>
      <c r="K38" s="5">
        <v>1</v>
      </c>
      <c r="L38" s="5">
        <v>-5</v>
      </c>
      <c r="M38" s="5">
        <v>0</v>
      </c>
      <c r="N38" s="9">
        <v>1</v>
      </c>
      <c r="O38" s="5">
        <v>0</v>
      </c>
      <c r="P38" s="5">
        <v>0</v>
      </c>
      <c r="Q38" s="5">
        <v>0</v>
      </c>
      <c r="R38" s="9">
        <v>0</v>
      </c>
      <c r="S38" s="5">
        <v>0</v>
      </c>
      <c r="T38" s="5">
        <v>0</v>
      </c>
    </row>
    <row r="39" spans="1:20" x14ac:dyDescent="0.2">
      <c r="A39" s="5" t="s">
        <v>68</v>
      </c>
      <c r="B39" s="9" t="s">
        <v>69</v>
      </c>
      <c r="C39" s="5" t="s">
        <v>767</v>
      </c>
      <c r="D39" s="7">
        <f t="shared" si="0"/>
        <v>0.2</v>
      </c>
      <c r="E39" s="5">
        <v>0</v>
      </c>
      <c r="F39" s="5">
        <v>0</v>
      </c>
      <c r="G39" s="5">
        <v>0</v>
      </c>
      <c r="H39" s="5">
        <v>0</v>
      </c>
      <c r="I39" s="5">
        <v>0</v>
      </c>
      <c r="J39" s="9">
        <v>0</v>
      </c>
      <c r="K39" s="5">
        <v>2</v>
      </c>
      <c r="L39" s="5">
        <v>2</v>
      </c>
      <c r="M39" s="5">
        <v>0</v>
      </c>
      <c r="N39" s="9">
        <v>0</v>
      </c>
      <c r="O39" s="5">
        <v>0</v>
      </c>
      <c r="P39" s="5">
        <v>0</v>
      </c>
      <c r="Q39" s="5">
        <v>0</v>
      </c>
      <c r="R39" s="9">
        <v>0</v>
      </c>
      <c r="S39" s="5">
        <v>0</v>
      </c>
      <c r="T39" s="5">
        <v>0</v>
      </c>
    </row>
    <row r="40" spans="1:20" x14ac:dyDescent="0.2">
      <c r="A40" s="5" t="s">
        <v>39</v>
      </c>
      <c r="B40" s="9" t="s">
        <v>17</v>
      </c>
      <c r="C40" s="5" t="s">
        <v>782</v>
      </c>
      <c r="D40" s="7">
        <f t="shared" si="0"/>
        <v>-1.7599999999999998</v>
      </c>
      <c r="E40" s="5">
        <v>22</v>
      </c>
      <c r="F40" s="5">
        <v>6</v>
      </c>
      <c r="G40" s="5">
        <v>56</v>
      </c>
      <c r="H40" s="5">
        <v>0</v>
      </c>
      <c r="I40" s="5">
        <v>2</v>
      </c>
      <c r="J40" s="9">
        <v>0</v>
      </c>
      <c r="K40" s="5">
        <v>0</v>
      </c>
      <c r="L40" s="5">
        <v>0</v>
      </c>
      <c r="M40" s="5">
        <v>0</v>
      </c>
      <c r="N40" s="9">
        <v>0</v>
      </c>
      <c r="O40" s="5">
        <v>0</v>
      </c>
      <c r="P40" s="5">
        <v>0</v>
      </c>
      <c r="Q40" s="5">
        <v>0</v>
      </c>
      <c r="R40" s="9">
        <v>0</v>
      </c>
      <c r="S40" s="5">
        <v>0</v>
      </c>
      <c r="T40" s="5">
        <v>0</v>
      </c>
    </row>
    <row r="41" spans="1:20" x14ac:dyDescent="0.2">
      <c r="A41" s="5" t="s">
        <v>756</v>
      </c>
      <c r="B41" s="9" t="s">
        <v>17</v>
      </c>
      <c r="C41" s="5" t="s">
        <v>768</v>
      </c>
      <c r="D41" s="7">
        <f t="shared" si="0"/>
        <v>-1.52</v>
      </c>
      <c r="E41" s="5">
        <v>17</v>
      </c>
      <c r="F41" s="5">
        <v>11</v>
      </c>
      <c r="G41" s="5">
        <v>62</v>
      </c>
      <c r="H41" s="5">
        <v>0</v>
      </c>
      <c r="I41" s="5">
        <v>2</v>
      </c>
      <c r="J41" s="9">
        <v>0</v>
      </c>
      <c r="K41" s="5">
        <v>0</v>
      </c>
      <c r="L41" s="5">
        <v>0</v>
      </c>
      <c r="M41" s="5">
        <v>0</v>
      </c>
      <c r="N41" s="9">
        <v>0</v>
      </c>
      <c r="O41" s="5">
        <v>0</v>
      </c>
      <c r="P41" s="5">
        <v>0</v>
      </c>
      <c r="Q41" s="5">
        <v>0</v>
      </c>
      <c r="R41" s="9">
        <v>0</v>
      </c>
      <c r="S41" s="5">
        <v>0</v>
      </c>
      <c r="T41" s="5">
        <v>0</v>
      </c>
    </row>
    <row r="42" spans="1:20" x14ac:dyDescent="0.2">
      <c r="A42" s="5" t="s">
        <v>85</v>
      </c>
      <c r="B42" s="9" t="s">
        <v>75</v>
      </c>
      <c r="C42" s="5" t="s">
        <v>782</v>
      </c>
      <c r="D42" s="7">
        <f t="shared" si="0"/>
        <v>43.1</v>
      </c>
      <c r="E42" s="5">
        <v>0</v>
      </c>
      <c r="F42" s="5">
        <v>0</v>
      </c>
      <c r="G42" s="5">
        <v>0</v>
      </c>
      <c r="H42" s="5">
        <v>0</v>
      </c>
      <c r="I42" s="5">
        <v>0</v>
      </c>
      <c r="J42" s="9">
        <v>0</v>
      </c>
      <c r="K42" s="5">
        <v>20</v>
      </c>
      <c r="L42" s="5">
        <v>95</v>
      </c>
      <c r="M42" s="5">
        <v>2</v>
      </c>
      <c r="N42" s="9">
        <v>0</v>
      </c>
      <c r="O42" s="5">
        <v>12</v>
      </c>
      <c r="P42" s="5">
        <v>96</v>
      </c>
      <c r="Q42" s="5">
        <v>0</v>
      </c>
      <c r="R42" s="9">
        <v>0</v>
      </c>
      <c r="S42" s="5">
        <v>0</v>
      </c>
      <c r="T42" s="5">
        <v>0</v>
      </c>
    </row>
    <row r="43" spans="1:20" x14ac:dyDescent="0.2">
      <c r="A43" s="5" t="s">
        <v>111</v>
      </c>
      <c r="B43" s="9" t="s">
        <v>75</v>
      </c>
      <c r="C43" s="5" t="s">
        <v>779</v>
      </c>
      <c r="D43" s="7">
        <f t="shared" si="0"/>
        <v>24</v>
      </c>
      <c r="E43" s="5">
        <v>0</v>
      </c>
      <c r="F43" s="5">
        <v>0</v>
      </c>
      <c r="G43" s="5">
        <v>0</v>
      </c>
      <c r="H43" s="5">
        <v>0</v>
      </c>
      <c r="I43" s="5">
        <v>0</v>
      </c>
      <c r="J43" s="9">
        <v>0</v>
      </c>
      <c r="K43" s="5">
        <v>15</v>
      </c>
      <c r="L43" s="5">
        <v>80</v>
      </c>
      <c r="M43" s="5">
        <v>2</v>
      </c>
      <c r="N43" s="9">
        <v>0</v>
      </c>
      <c r="O43" s="5">
        <v>4</v>
      </c>
      <c r="P43" s="5">
        <v>20</v>
      </c>
      <c r="Q43" s="5">
        <v>0</v>
      </c>
      <c r="R43" s="9">
        <v>0</v>
      </c>
      <c r="S43" s="5">
        <v>1</v>
      </c>
      <c r="T43" s="5">
        <v>0</v>
      </c>
    </row>
    <row r="44" spans="1:20" x14ac:dyDescent="0.2">
      <c r="A44" s="5" t="s">
        <v>88</v>
      </c>
      <c r="B44" s="9" t="s">
        <v>75</v>
      </c>
      <c r="C44" s="5" t="s">
        <v>778</v>
      </c>
      <c r="D44" s="7">
        <f t="shared" si="0"/>
        <v>21.380000000000003</v>
      </c>
      <c r="E44" s="5">
        <v>1</v>
      </c>
      <c r="F44" s="5">
        <v>1</v>
      </c>
      <c r="G44" s="5">
        <v>12</v>
      </c>
      <c r="H44" s="5">
        <v>1</v>
      </c>
      <c r="I44" s="5">
        <v>0</v>
      </c>
      <c r="J44" s="9">
        <v>0</v>
      </c>
      <c r="K44" s="5">
        <v>19</v>
      </c>
      <c r="L44" s="5">
        <v>88</v>
      </c>
      <c r="M44" s="5">
        <v>1</v>
      </c>
      <c r="N44" s="9">
        <v>0</v>
      </c>
      <c r="O44" s="5">
        <v>1</v>
      </c>
      <c r="P44" s="5">
        <v>11</v>
      </c>
      <c r="Q44" s="5">
        <v>0</v>
      </c>
      <c r="R44" s="9">
        <v>0</v>
      </c>
      <c r="S44" s="5">
        <v>0</v>
      </c>
      <c r="T44" s="5">
        <v>0</v>
      </c>
    </row>
    <row r="45" spans="1:20" x14ac:dyDescent="0.2">
      <c r="A45" s="5" t="s">
        <v>77</v>
      </c>
      <c r="B45" s="9" t="s">
        <v>75</v>
      </c>
      <c r="C45" s="5" t="s">
        <v>772</v>
      </c>
      <c r="D45" s="7">
        <f t="shared" si="0"/>
        <v>25.1</v>
      </c>
      <c r="E45" s="5">
        <v>0</v>
      </c>
      <c r="F45" s="5">
        <v>0</v>
      </c>
      <c r="G45" s="5">
        <v>0</v>
      </c>
      <c r="H45" s="5">
        <v>0</v>
      </c>
      <c r="I45" s="5">
        <v>0</v>
      </c>
      <c r="J45" s="9">
        <v>0</v>
      </c>
      <c r="K45" s="5">
        <v>14</v>
      </c>
      <c r="L45" s="5">
        <v>103</v>
      </c>
      <c r="M45" s="5">
        <v>1</v>
      </c>
      <c r="N45" s="9">
        <v>0</v>
      </c>
      <c r="O45" s="5">
        <v>6</v>
      </c>
      <c r="P45" s="5">
        <v>28</v>
      </c>
      <c r="Q45" s="5">
        <v>0</v>
      </c>
      <c r="R45" s="9">
        <v>0</v>
      </c>
      <c r="S45" s="5">
        <v>0</v>
      </c>
      <c r="T45" s="5">
        <v>0</v>
      </c>
    </row>
    <row r="46" spans="1:20" x14ac:dyDescent="0.2">
      <c r="A46" s="5" t="s">
        <v>99</v>
      </c>
      <c r="B46" s="9" t="s">
        <v>75</v>
      </c>
      <c r="C46" s="5" t="s">
        <v>773</v>
      </c>
      <c r="D46" s="7">
        <f t="shared" si="0"/>
        <v>19.100000000000001</v>
      </c>
      <c r="E46" s="5">
        <v>0</v>
      </c>
      <c r="F46" s="5">
        <v>0</v>
      </c>
      <c r="G46" s="5">
        <v>0</v>
      </c>
      <c r="H46" s="5">
        <v>0</v>
      </c>
      <c r="I46" s="5">
        <v>0</v>
      </c>
      <c r="J46" s="9">
        <v>0</v>
      </c>
      <c r="K46" s="5">
        <v>20</v>
      </c>
      <c r="L46" s="5">
        <v>112</v>
      </c>
      <c r="M46" s="5">
        <v>1</v>
      </c>
      <c r="N46" s="9">
        <v>0</v>
      </c>
      <c r="O46" s="5">
        <v>1</v>
      </c>
      <c r="P46" s="5">
        <v>9</v>
      </c>
      <c r="Q46" s="5">
        <v>0</v>
      </c>
      <c r="R46" s="9">
        <v>0</v>
      </c>
      <c r="S46" s="5">
        <v>0</v>
      </c>
      <c r="T46" s="5">
        <v>0</v>
      </c>
    </row>
    <row r="47" spans="1:20" x14ac:dyDescent="0.2">
      <c r="A47" s="5" t="s">
        <v>158</v>
      </c>
      <c r="B47" s="9" t="s">
        <v>75</v>
      </c>
      <c r="C47" s="5" t="s">
        <v>782</v>
      </c>
      <c r="D47" s="7">
        <f t="shared" si="0"/>
        <v>19.5</v>
      </c>
      <c r="E47" s="5">
        <v>0</v>
      </c>
      <c r="F47" s="5">
        <v>0</v>
      </c>
      <c r="G47" s="5">
        <v>0</v>
      </c>
      <c r="H47" s="5">
        <v>0</v>
      </c>
      <c r="I47" s="5">
        <v>0</v>
      </c>
      <c r="J47" s="9">
        <v>0</v>
      </c>
      <c r="K47" s="5">
        <v>10</v>
      </c>
      <c r="L47" s="5">
        <v>58</v>
      </c>
      <c r="M47" s="5">
        <v>2</v>
      </c>
      <c r="N47" s="9">
        <v>0</v>
      </c>
      <c r="O47" s="5">
        <v>1</v>
      </c>
      <c r="P47" s="5">
        <v>7</v>
      </c>
      <c r="Q47" s="5">
        <v>0</v>
      </c>
      <c r="R47" s="9">
        <v>0</v>
      </c>
      <c r="S47" s="5">
        <v>0</v>
      </c>
      <c r="T47" s="5">
        <v>0</v>
      </c>
    </row>
    <row r="48" spans="1:20" x14ac:dyDescent="0.2">
      <c r="A48" s="5" t="s">
        <v>101</v>
      </c>
      <c r="B48" s="9" t="s">
        <v>75</v>
      </c>
      <c r="C48" s="5" t="s">
        <v>774</v>
      </c>
      <c r="D48" s="7">
        <f t="shared" si="0"/>
        <v>19.399999999999999</v>
      </c>
      <c r="E48" s="5">
        <v>0</v>
      </c>
      <c r="F48" s="5">
        <v>0</v>
      </c>
      <c r="G48" s="5">
        <v>0</v>
      </c>
      <c r="H48" s="5">
        <v>0</v>
      </c>
      <c r="I48" s="5">
        <v>0</v>
      </c>
      <c r="J48" s="9">
        <v>0</v>
      </c>
      <c r="K48" s="5">
        <v>23</v>
      </c>
      <c r="L48" s="5">
        <v>80</v>
      </c>
      <c r="M48" s="5">
        <v>1</v>
      </c>
      <c r="N48" s="9">
        <v>1</v>
      </c>
      <c r="O48" s="5">
        <v>3</v>
      </c>
      <c r="P48" s="5">
        <v>4</v>
      </c>
      <c r="Q48" s="5">
        <v>0</v>
      </c>
      <c r="R48" s="9">
        <v>0</v>
      </c>
      <c r="S48" s="5">
        <v>0</v>
      </c>
      <c r="T48" s="5">
        <v>0</v>
      </c>
    </row>
    <row r="49" spans="1:20" x14ac:dyDescent="0.2">
      <c r="A49" s="5" t="s">
        <v>95</v>
      </c>
      <c r="B49" s="9" t="s">
        <v>75</v>
      </c>
      <c r="C49" s="5" t="s">
        <v>773</v>
      </c>
      <c r="D49" s="7">
        <f t="shared" si="0"/>
        <v>22.2</v>
      </c>
      <c r="E49" s="5">
        <v>0</v>
      </c>
      <c r="F49" s="5">
        <v>0</v>
      </c>
      <c r="G49" s="5">
        <v>0</v>
      </c>
      <c r="H49" s="5">
        <v>0</v>
      </c>
      <c r="I49" s="5">
        <v>0</v>
      </c>
      <c r="J49" s="9">
        <v>0</v>
      </c>
      <c r="K49" s="5">
        <v>12</v>
      </c>
      <c r="L49" s="5">
        <v>45</v>
      </c>
      <c r="M49" s="5">
        <v>0</v>
      </c>
      <c r="N49" s="9">
        <v>0</v>
      </c>
      <c r="O49" s="5">
        <v>5</v>
      </c>
      <c r="P49" s="5">
        <v>67</v>
      </c>
      <c r="Q49" s="5">
        <v>1</v>
      </c>
      <c r="R49" s="9">
        <v>0</v>
      </c>
      <c r="S49" s="5">
        <v>0</v>
      </c>
      <c r="T49" s="5">
        <v>0</v>
      </c>
    </row>
    <row r="50" spans="1:20" x14ac:dyDescent="0.2">
      <c r="A50" s="5" t="s">
        <v>83</v>
      </c>
      <c r="B50" s="9" t="s">
        <v>75</v>
      </c>
      <c r="C50" s="5" t="s">
        <v>767</v>
      </c>
      <c r="D50" s="7">
        <f t="shared" si="0"/>
        <v>16.399999999999999</v>
      </c>
      <c r="E50" s="5">
        <v>0</v>
      </c>
      <c r="F50" s="5">
        <v>0</v>
      </c>
      <c r="G50" s="5">
        <v>0</v>
      </c>
      <c r="H50" s="5">
        <v>0</v>
      </c>
      <c r="I50" s="5">
        <v>0</v>
      </c>
      <c r="J50" s="9">
        <v>0</v>
      </c>
      <c r="K50" s="5">
        <v>22</v>
      </c>
      <c r="L50" s="5">
        <v>104</v>
      </c>
      <c r="M50" s="5">
        <v>1</v>
      </c>
      <c r="N50" s="9">
        <v>0</v>
      </c>
      <c r="O50" s="5">
        <v>0</v>
      </c>
      <c r="P50" s="5">
        <v>0</v>
      </c>
      <c r="Q50" s="5">
        <v>0</v>
      </c>
      <c r="R50" s="9">
        <v>0</v>
      </c>
      <c r="S50" s="5">
        <v>0</v>
      </c>
      <c r="T50" s="5">
        <v>0</v>
      </c>
    </row>
    <row r="51" spans="1:20" x14ac:dyDescent="0.2">
      <c r="A51" s="5" t="s">
        <v>152</v>
      </c>
      <c r="B51" s="9" t="s">
        <v>75</v>
      </c>
      <c r="C51" s="5" t="s">
        <v>774</v>
      </c>
      <c r="D51" s="7">
        <f t="shared" si="0"/>
        <v>15.200000000000001</v>
      </c>
      <c r="E51" s="5">
        <v>0</v>
      </c>
      <c r="F51" s="5">
        <v>0</v>
      </c>
      <c r="G51" s="5">
        <v>0</v>
      </c>
      <c r="H51" s="5">
        <v>0</v>
      </c>
      <c r="I51" s="5">
        <v>0</v>
      </c>
      <c r="J51" s="9">
        <v>0</v>
      </c>
      <c r="K51" s="5">
        <v>20</v>
      </c>
      <c r="L51" s="5">
        <v>92</v>
      </c>
      <c r="M51" s="5">
        <v>1</v>
      </c>
      <c r="N51" s="9">
        <v>0</v>
      </c>
      <c r="O51" s="5">
        <v>0</v>
      </c>
      <c r="P51" s="5">
        <v>0</v>
      </c>
      <c r="Q51" s="5">
        <v>0</v>
      </c>
      <c r="R51" s="9">
        <v>0</v>
      </c>
      <c r="S51" s="5">
        <v>0</v>
      </c>
      <c r="T51" s="5">
        <v>0</v>
      </c>
    </row>
    <row r="52" spans="1:20" x14ac:dyDescent="0.2">
      <c r="A52" s="5" t="s">
        <v>153</v>
      </c>
      <c r="B52" s="9" t="s">
        <v>75</v>
      </c>
      <c r="C52" s="5" t="s">
        <v>780</v>
      </c>
      <c r="D52" s="7">
        <f t="shared" si="0"/>
        <v>14.5</v>
      </c>
      <c r="E52" s="5">
        <v>0</v>
      </c>
      <c r="F52" s="5">
        <v>0</v>
      </c>
      <c r="G52" s="5">
        <v>0</v>
      </c>
      <c r="H52" s="5">
        <v>0</v>
      </c>
      <c r="I52" s="5">
        <v>0</v>
      </c>
      <c r="J52" s="9">
        <v>0</v>
      </c>
      <c r="K52" s="5">
        <v>22</v>
      </c>
      <c r="L52" s="5">
        <v>145</v>
      </c>
      <c r="M52" s="5">
        <v>0</v>
      </c>
      <c r="N52" s="9">
        <v>0</v>
      </c>
      <c r="O52" s="5">
        <v>0</v>
      </c>
      <c r="P52" s="5">
        <v>0</v>
      </c>
      <c r="Q52" s="5">
        <v>0</v>
      </c>
      <c r="R52" s="9">
        <v>0</v>
      </c>
      <c r="S52" s="5">
        <v>0</v>
      </c>
      <c r="T52" s="5">
        <v>0</v>
      </c>
    </row>
    <row r="53" spans="1:20" x14ac:dyDescent="0.2">
      <c r="A53" s="5" t="s">
        <v>78</v>
      </c>
      <c r="B53" s="9" t="s">
        <v>75</v>
      </c>
      <c r="C53" s="5" t="s">
        <v>781</v>
      </c>
      <c r="D53" s="7">
        <f t="shared" si="0"/>
        <v>15.8</v>
      </c>
      <c r="E53" s="5">
        <v>0</v>
      </c>
      <c r="F53" s="5">
        <v>0</v>
      </c>
      <c r="G53" s="5">
        <v>0</v>
      </c>
      <c r="H53" s="5">
        <v>0</v>
      </c>
      <c r="I53" s="5">
        <v>0</v>
      </c>
      <c r="J53" s="9">
        <v>0</v>
      </c>
      <c r="K53" s="5">
        <v>9</v>
      </c>
      <c r="L53" s="5">
        <v>69</v>
      </c>
      <c r="M53" s="5">
        <v>1</v>
      </c>
      <c r="N53" s="9">
        <v>0</v>
      </c>
      <c r="O53" s="5">
        <v>1</v>
      </c>
      <c r="P53" s="5">
        <v>19</v>
      </c>
      <c r="Q53" s="5">
        <v>0</v>
      </c>
      <c r="R53" s="9">
        <v>0</v>
      </c>
      <c r="S53" s="5">
        <v>0</v>
      </c>
      <c r="T53" s="5">
        <v>0</v>
      </c>
    </row>
    <row r="54" spans="1:20" x14ac:dyDescent="0.2">
      <c r="A54" s="5" t="s">
        <v>117</v>
      </c>
      <c r="B54" s="9" t="s">
        <v>75</v>
      </c>
      <c r="C54" s="5" t="s">
        <v>777</v>
      </c>
      <c r="D54" s="7">
        <f t="shared" si="0"/>
        <v>13.8</v>
      </c>
      <c r="E54" s="5">
        <v>0</v>
      </c>
      <c r="F54" s="5">
        <v>0</v>
      </c>
      <c r="G54" s="5">
        <v>0</v>
      </c>
      <c r="H54" s="5">
        <v>0</v>
      </c>
      <c r="I54" s="5">
        <v>0</v>
      </c>
      <c r="J54" s="9">
        <v>0</v>
      </c>
      <c r="K54" s="5">
        <v>19</v>
      </c>
      <c r="L54" s="5">
        <v>78</v>
      </c>
      <c r="M54" s="5">
        <v>1</v>
      </c>
      <c r="N54" s="9">
        <v>0</v>
      </c>
      <c r="O54" s="5">
        <v>0</v>
      </c>
      <c r="P54" s="5">
        <v>0</v>
      </c>
      <c r="Q54" s="5">
        <v>0</v>
      </c>
      <c r="R54" s="9">
        <v>0</v>
      </c>
      <c r="S54" s="5">
        <v>0</v>
      </c>
      <c r="T54" s="5">
        <v>0</v>
      </c>
    </row>
    <row r="55" spans="1:20" x14ac:dyDescent="0.2">
      <c r="A55" s="5" t="s">
        <v>116</v>
      </c>
      <c r="B55" s="9" t="s">
        <v>75</v>
      </c>
      <c r="C55" s="5" t="s">
        <v>772</v>
      </c>
      <c r="D55" s="7">
        <f t="shared" si="0"/>
        <v>14</v>
      </c>
      <c r="E55" s="5">
        <v>0</v>
      </c>
      <c r="F55" s="5">
        <v>0</v>
      </c>
      <c r="G55" s="5">
        <v>0</v>
      </c>
      <c r="H55" s="5">
        <v>0</v>
      </c>
      <c r="I55" s="5">
        <v>0</v>
      </c>
      <c r="J55" s="9">
        <v>0</v>
      </c>
      <c r="K55" s="5">
        <v>9</v>
      </c>
      <c r="L55" s="5">
        <v>31</v>
      </c>
      <c r="M55" s="5">
        <v>1</v>
      </c>
      <c r="N55" s="9">
        <v>0</v>
      </c>
      <c r="O55" s="5">
        <v>1</v>
      </c>
      <c r="P55" s="5">
        <v>39</v>
      </c>
      <c r="Q55" s="5">
        <v>0</v>
      </c>
      <c r="R55" s="9">
        <v>0</v>
      </c>
      <c r="S55" s="5">
        <v>0</v>
      </c>
      <c r="T55" s="5">
        <v>0</v>
      </c>
    </row>
    <row r="56" spans="1:20" x14ac:dyDescent="0.2">
      <c r="A56" s="5" t="s">
        <v>74</v>
      </c>
      <c r="B56" s="9" t="s">
        <v>75</v>
      </c>
      <c r="C56" s="5" t="s">
        <v>769</v>
      </c>
      <c r="D56" s="7">
        <f t="shared" si="0"/>
        <v>14.500000000000002</v>
      </c>
      <c r="E56" s="5">
        <v>0</v>
      </c>
      <c r="F56" s="5">
        <v>0</v>
      </c>
      <c r="G56" s="5">
        <v>0</v>
      </c>
      <c r="H56" s="5">
        <v>0</v>
      </c>
      <c r="I56" s="5">
        <v>0</v>
      </c>
      <c r="J56" s="9">
        <v>0</v>
      </c>
      <c r="K56" s="5">
        <v>21</v>
      </c>
      <c r="L56" s="5">
        <v>127</v>
      </c>
      <c r="M56" s="5">
        <v>0</v>
      </c>
      <c r="N56" s="9">
        <v>0</v>
      </c>
      <c r="O56" s="5">
        <v>1</v>
      </c>
      <c r="P56" s="5">
        <v>8</v>
      </c>
      <c r="Q56" s="5">
        <v>0</v>
      </c>
      <c r="R56" s="9">
        <v>0</v>
      </c>
      <c r="S56" s="5">
        <v>0</v>
      </c>
      <c r="T56" s="5">
        <v>0</v>
      </c>
    </row>
    <row r="57" spans="1:20" x14ac:dyDescent="0.2">
      <c r="A57" s="5" t="s">
        <v>90</v>
      </c>
      <c r="B57" s="9" t="s">
        <v>75</v>
      </c>
      <c r="C57" s="5" t="s">
        <v>779</v>
      </c>
      <c r="D57" s="7">
        <f t="shared" si="0"/>
        <v>14.9</v>
      </c>
      <c r="E57" s="5">
        <v>0</v>
      </c>
      <c r="F57" s="5">
        <v>0</v>
      </c>
      <c r="G57" s="5">
        <v>0</v>
      </c>
      <c r="H57" s="5">
        <v>0</v>
      </c>
      <c r="I57" s="5">
        <v>0</v>
      </c>
      <c r="J57" s="9">
        <v>0</v>
      </c>
      <c r="K57" s="5">
        <v>17</v>
      </c>
      <c r="L57" s="5">
        <v>55</v>
      </c>
      <c r="M57" s="5">
        <v>1</v>
      </c>
      <c r="N57" s="9">
        <v>0</v>
      </c>
      <c r="O57" s="5">
        <v>2</v>
      </c>
      <c r="P57" s="5">
        <v>14</v>
      </c>
      <c r="Q57" s="5">
        <v>0</v>
      </c>
      <c r="R57" s="9">
        <v>0</v>
      </c>
      <c r="S57" s="5">
        <v>0</v>
      </c>
      <c r="T57" s="5">
        <v>0</v>
      </c>
    </row>
    <row r="58" spans="1:20" x14ac:dyDescent="0.2">
      <c r="A58" s="5" t="s">
        <v>81</v>
      </c>
      <c r="B58" s="9" t="s">
        <v>75</v>
      </c>
      <c r="C58" s="5" t="s">
        <v>781</v>
      </c>
      <c r="D58" s="7">
        <f t="shared" si="0"/>
        <v>19.2</v>
      </c>
      <c r="E58" s="5">
        <v>0</v>
      </c>
      <c r="F58" s="5">
        <v>0</v>
      </c>
      <c r="G58" s="5">
        <v>0</v>
      </c>
      <c r="H58" s="5">
        <v>0</v>
      </c>
      <c r="I58" s="5">
        <v>0</v>
      </c>
      <c r="J58" s="9">
        <v>0</v>
      </c>
      <c r="K58" s="5">
        <v>12</v>
      </c>
      <c r="L58" s="5">
        <v>72</v>
      </c>
      <c r="M58" s="5">
        <v>0</v>
      </c>
      <c r="N58" s="9">
        <v>0</v>
      </c>
      <c r="O58" s="5">
        <v>7</v>
      </c>
      <c r="P58" s="5">
        <v>50</v>
      </c>
      <c r="Q58" s="5">
        <v>0</v>
      </c>
      <c r="R58" s="9">
        <v>0</v>
      </c>
      <c r="S58" s="5">
        <v>0</v>
      </c>
      <c r="T58" s="5">
        <v>0</v>
      </c>
    </row>
    <row r="59" spans="1:20" x14ac:dyDescent="0.2">
      <c r="A59" s="5" t="s">
        <v>114</v>
      </c>
      <c r="B59" s="9" t="s">
        <v>75</v>
      </c>
      <c r="C59" s="5" t="s">
        <v>775</v>
      </c>
      <c r="D59" s="7">
        <f t="shared" si="0"/>
        <v>19.7</v>
      </c>
      <c r="E59" s="5">
        <v>0</v>
      </c>
      <c r="F59" s="5">
        <v>0</v>
      </c>
      <c r="G59" s="5">
        <v>0</v>
      </c>
      <c r="H59" s="5">
        <v>0</v>
      </c>
      <c r="I59" s="5">
        <v>0</v>
      </c>
      <c r="J59" s="9">
        <v>0</v>
      </c>
      <c r="K59" s="5">
        <v>20</v>
      </c>
      <c r="L59" s="5">
        <v>39</v>
      </c>
      <c r="M59" s="5">
        <v>1</v>
      </c>
      <c r="N59" s="9">
        <v>0</v>
      </c>
      <c r="O59" s="5">
        <v>6</v>
      </c>
      <c r="P59" s="5">
        <v>38</v>
      </c>
      <c r="Q59" s="5">
        <v>0</v>
      </c>
      <c r="R59" s="9">
        <v>0</v>
      </c>
      <c r="S59" s="5">
        <v>0</v>
      </c>
      <c r="T59" s="5">
        <v>0</v>
      </c>
    </row>
    <row r="60" spans="1:20" x14ac:dyDescent="0.2">
      <c r="A60" s="5" t="s">
        <v>110</v>
      </c>
      <c r="B60" s="9" t="s">
        <v>75</v>
      </c>
      <c r="C60" s="5" t="s">
        <v>770</v>
      </c>
      <c r="D60" s="7">
        <f t="shared" si="0"/>
        <v>21</v>
      </c>
      <c r="E60" s="5">
        <v>0</v>
      </c>
      <c r="F60" s="5">
        <v>0</v>
      </c>
      <c r="G60" s="5">
        <v>0</v>
      </c>
      <c r="H60" s="5">
        <v>0</v>
      </c>
      <c r="I60" s="5">
        <v>0</v>
      </c>
      <c r="J60" s="9">
        <v>0</v>
      </c>
      <c r="K60" s="5">
        <v>12</v>
      </c>
      <c r="L60" s="5">
        <v>27</v>
      </c>
      <c r="M60" s="5">
        <v>0</v>
      </c>
      <c r="N60" s="9">
        <v>0</v>
      </c>
      <c r="O60" s="5">
        <v>9</v>
      </c>
      <c r="P60" s="5">
        <v>33</v>
      </c>
      <c r="Q60" s="5">
        <v>1</v>
      </c>
      <c r="R60" s="9">
        <v>0</v>
      </c>
      <c r="S60" s="5">
        <v>0</v>
      </c>
      <c r="T60" s="5">
        <v>0</v>
      </c>
    </row>
    <row r="61" spans="1:20" x14ac:dyDescent="0.2">
      <c r="A61" s="5" t="s">
        <v>108</v>
      </c>
      <c r="B61" s="9" t="s">
        <v>75</v>
      </c>
      <c r="C61" s="5" t="s">
        <v>769</v>
      </c>
      <c r="D61" s="7">
        <f t="shared" si="0"/>
        <v>12.100000000000001</v>
      </c>
      <c r="E61" s="5">
        <v>0</v>
      </c>
      <c r="F61" s="5">
        <v>0</v>
      </c>
      <c r="G61" s="5">
        <v>0</v>
      </c>
      <c r="H61" s="5">
        <v>0</v>
      </c>
      <c r="I61" s="5">
        <v>0</v>
      </c>
      <c r="J61" s="9">
        <v>0</v>
      </c>
      <c r="K61" s="5">
        <v>16</v>
      </c>
      <c r="L61" s="5">
        <v>43</v>
      </c>
      <c r="M61" s="5">
        <v>1</v>
      </c>
      <c r="N61" s="9">
        <v>0</v>
      </c>
      <c r="O61" s="5">
        <v>1</v>
      </c>
      <c r="P61" s="5">
        <v>8</v>
      </c>
      <c r="Q61" s="5">
        <v>0</v>
      </c>
      <c r="R61" s="9">
        <v>0</v>
      </c>
      <c r="S61" s="5">
        <v>0</v>
      </c>
      <c r="T61" s="5">
        <v>0</v>
      </c>
    </row>
    <row r="62" spans="1:20" x14ac:dyDescent="0.2">
      <c r="A62" s="5" t="s">
        <v>92</v>
      </c>
      <c r="B62" s="9" t="s">
        <v>75</v>
      </c>
      <c r="C62" s="5" t="s">
        <v>776</v>
      </c>
      <c r="D62" s="7">
        <f t="shared" si="0"/>
        <v>12</v>
      </c>
      <c r="E62" s="5">
        <v>0</v>
      </c>
      <c r="F62" s="5">
        <v>0</v>
      </c>
      <c r="G62" s="5">
        <v>0</v>
      </c>
      <c r="H62" s="5">
        <v>0</v>
      </c>
      <c r="I62" s="5">
        <v>0</v>
      </c>
      <c r="J62" s="9">
        <v>0</v>
      </c>
      <c r="K62" s="5">
        <v>11</v>
      </c>
      <c r="L62" s="5">
        <v>46</v>
      </c>
      <c r="M62" s="5">
        <v>0</v>
      </c>
      <c r="N62" s="9">
        <v>0</v>
      </c>
      <c r="O62" s="5">
        <v>1</v>
      </c>
      <c r="P62" s="5">
        <v>4</v>
      </c>
      <c r="Q62" s="5">
        <v>1</v>
      </c>
      <c r="R62" s="9">
        <v>0</v>
      </c>
      <c r="S62" s="5">
        <v>0</v>
      </c>
      <c r="T62" s="5">
        <v>0</v>
      </c>
    </row>
    <row r="63" spans="1:20" x14ac:dyDescent="0.2">
      <c r="A63" s="5" t="s">
        <v>515</v>
      </c>
      <c r="B63" s="9" t="s">
        <v>75</v>
      </c>
      <c r="C63" s="5" t="s">
        <v>781</v>
      </c>
      <c r="D63" s="7">
        <f t="shared" si="0"/>
        <v>10.3</v>
      </c>
      <c r="E63" s="5">
        <v>0</v>
      </c>
      <c r="F63" s="5">
        <v>0</v>
      </c>
      <c r="G63" s="5">
        <v>0</v>
      </c>
      <c r="H63" s="5">
        <v>0</v>
      </c>
      <c r="I63" s="5">
        <v>0</v>
      </c>
      <c r="J63" s="9">
        <v>0</v>
      </c>
      <c r="K63" s="5">
        <v>18</v>
      </c>
      <c r="L63" s="5">
        <v>43</v>
      </c>
      <c r="M63" s="5">
        <v>1</v>
      </c>
      <c r="N63" s="9">
        <v>0</v>
      </c>
      <c r="O63" s="5">
        <v>0</v>
      </c>
      <c r="P63" s="5">
        <v>0</v>
      </c>
      <c r="Q63" s="5">
        <v>0</v>
      </c>
      <c r="R63" s="9">
        <v>0</v>
      </c>
      <c r="S63" s="5">
        <v>0</v>
      </c>
      <c r="T63" s="5">
        <v>0</v>
      </c>
    </row>
    <row r="64" spans="1:20" x14ac:dyDescent="0.2">
      <c r="A64" s="5" t="s">
        <v>145</v>
      </c>
      <c r="B64" s="9" t="s">
        <v>75</v>
      </c>
      <c r="C64" s="5" t="s">
        <v>782</v>
      </c>
      <c r="D64" s="7">
        <f t="shared" si="0"/>
        <v>10.199999999999999</v>
      </c>
      <c r="E64" s="5">
        <v>0</v>
      </c>
      <c r="F64" s="5">
        <v>0</v>
      </c>
      <c r="G64" s="5">
        <v>0</v>
      </c>
      <c r="H64" s="5">
        <v>0</v>
      </c>
      <c r="I64" s="5">
        <v>0</v>
      </c>
      <c r="J64" s="9">
        <v>0</v>
      </c>
      <c r="K64" s="5">
        <v>9</v>
      </c>
      <c r="L64" s="5">
        <v>30</v>
      </c>
      <c r="M64" s="5">
        <v>1</v>
      </c>
      <c r="N64" s="9">
        <v>0</v>
      </c>
      <c r="O64" s="5">
        <v>1</v>
      </c>
      <c r="P64" s="5">
        <v>2</v>
      </c>
      <c r="Q64" s="5">
        <v>0</v>
      </c>
      <c r="R64" s="9">
        <v>0</v>
      </c>
      <c r="S64" s="5">
        <v>0</v>
      </c>
      <c r="T64" s="5">
        <v>0</v>
      </c>
    </row>
    <row r="65" spans="1:20" x14ac:dyDescent="0.2">
      <c r="A65" s="5" t="s">
        <v>105</v>
      </c>
      <c r="B65" s="9" t="s">
        <v>75</v>
      </c>
      <c r="C65" s="5" t="s">
        <v>770</v>
      </c>
      <c r="D65" s="7">
        <f t="shared" si="0"/>
        <v>10.9</v>
      </c>
      <c r="E65" s="5">
        <v>0</v>
      </c>
      <c r="F65" s="5">
        <v>0</v>
      </c>
      <c r="G65" s="5">
        <v>0</v>
      </c>
      <c r="H65" s="5">
        <v>0</v>
      </c>
      <c r="I65" s="5">
        <v>0</v>
      </c>
      <c r="J65" s="9">
        <v>0</v>
      </c>
      <c r="K65" s="5">
        <v>11</v>
      </c>
      <c r="L65" s="5">
        <v>24</v>
      </c>
      <c r="M65" s="5">
        <v>1</v>
      </c>
      <c r="N65" s="9">
        <v>0</v>
      </c>
      <c r="O65" s="5">
        <v>3</v>
      </c>
      <c r="P65" s="5">
        <v>-5</v>
      </c>
      <c r="Q65" s="5">
        <v>0</v>
      </c>
      <c r="R65" s="9">
        <v>1</v>
      </c>
      <c r="S65" s="5">
        <v>1</v>
      </c>
      <c r="T65" s="5">
        <v>0</v>
      </c>
    </row>
    <row r="66" spans="1:20" x14ac:dyDescent="0.2">
      <c r="A66" s="5" t="s">
        <v>76</v>
      </c>
      <c r="B66" s="9" t="s">
        <v>75</v>
      </c>
      <c r="C66" s="5" t="s">
        <v>771</v>
      </c>
      <c r="D66" s="7">
        <f t="shared" si="0"/>
        <v>11.6</v>
      </c>
      <c r="E66" s="5">
        <v>0</v>
      </c>
      <c r="F66" s="5">
        <v>0</v>
      </c>
      <c r="G66" s="5">
        <v>0</v>
      </c>
      <c r="H66" s="5">
        <v>0</v>
      </c>
      <c r="I66" s="5">
        <v>0</v>
      </c>
      <c r="J66" s="9">
        <v>0</v>
      </c>
      <c r="K66" s="5">
        <v>15</v>
      </c>
      <c r="L66" s="5">
        <v>65</v>
      </c>
      <c r="M66" s="5">
        <v>0</v>
      </c>
      <c r="N66" s="9">
        <v>0</v>
      </c>
      <c r="O66" s="5">
        <v>3</v>
      </c>
      <c r="P66" s="5">
        <v>21</v>
      </c>
      <c r="Q66" s="5">
        <v>0</v>
      </c>
      <c r="R66" s="9">
        <v>0</v>
      </c>
      <c r="S66" s="5">
        <v>0</v>
      </c>
      <c r="T66" s="5">
        <v>0</v>
      </c>
    </row>
    <row r="67" spans="1:20" x14ac:dyDescent="0.2">
      <c r="A67" s="5" t="s">
        <v>136</v>
      </c>
      <c r="B67" s="9" t="s">
        <v>75</v>
      </c>
      <c r="C67" s="5" t="s">
        <v>768</v>
      </c>
      <c r="D67" s="7">
        <f t="shared" si="0"/>
        <v>9.3000000000000007</v>
      </c>
      <c r="E67" s="5">
        <v>0</v>
      </c>
      <c r="F67" s="5">
        <v>0</v>
      </c>
      <c r="G67" s="5">
        <v>0</v>
      </c>
      <c r="H67" s="5">
        <v>0</v>
      </c>
      <c r="I67" s="5">
        <v>0</v>
      </c>
      <c r="J67" s="9">
        <v>0</v>
      </c>
      <c r="K67" s="5">
        <v>15</v>
      </c>
      <c r="L67" s="5">
        <v>25</v>
      </c>
      <c r="M67" s="5">
        <v>1</v>
      </c>
      <c r="N67" s="9">
        <v>0</v>
      </c>
      <c r="O67" s="5">
        <v>1</v>
      </c>
      <c r="P67" s="5">
        <v>-2</v>
      </c>
      <c r="Q67" s="5">
        <v>0</v>
      </c>
      <c r="R67" s="9">
        <v>0</v>
      </c>
      <c r="S67" s="5">
        <v>0</v>
      </c>
      <c r="T67" s="5">
        <v>0</v>
      </c>
    </row>
    <row r="68" spans="1:20" x14ac:dyDescent="0.2">
      <c r="A68" s="5" t="s">
        <v>132</v>
      </c>
      <c r="B68" s="9" t="s">
        <v>75</v>
      </c>
      <c r="C68" s="5" t="s">
        <v>779</v>
      </c>
      <c r="D68" s="7">
        <f t="shared" si="0"/>
        <v>7.7</v>
      </c>
      <c r="E68" s="5">
        <v>0</v>
      </c>
      <c r="F68" s="5">
        <v>0</v>
      </c>
      <c r="G68" s="5">
        <v>0</v>
      </c>
      <c r="H68" s="5">
        <v>0</v>
      </c>
      <c r="I68" s="5">
        <v>0</v>
      </c>
      <c r="J68" s="9">
        <v>0</v>
      </c>
      <c r="K68" s="5">
        <v>8</v>
      </c>
      <c r="L68" s="5">
        <v>17</v>
      </c>
      <c r="M68" s="5">
        <v>1</v>
      </c>
      <c r="N68" s="9">
        <v>0</v>
      </c>
      <c r="O68" s="5">
        <v>0</v>
      </c>
      <c r="P68" s="5">
        <v>0</v>
      </c>
      <c r="Q68" s="5">
        <v>0</v>
      </c>
      <c r="R68" s="9">
        <v>0</v>
      </c>
      <c r="S68" s="5">
        <v>0</v>
      </c>
      <c r="T68" s="5">
        <v>0</v>
      </c>
    </row>
    <row r="69" spans="1:20" x14ac:dyDescent="0.2">
      <c r="A69" s="5" t="s">
        <v>122</v>
      </c>
      <c r="B69" s="9" t="s">
        <v>75</v>
      </c>
      <c r="C69" s="5" t="s">
        <v>769</v>
      </c>
      <c r="D69" s="7">
        <f t="shared" si="0"/>
        <v>7.2</v>
      </c>
      <c r="E69" s="5">
        <v>0</v>
      </c>
      <c r="F69" s="5">
        <v>0</v>
      </c>
      <c r="G69" s="5">
        <v>0</v>
      </c>
      <c r="H69" s="5">
        <v>0</v>
      </c>
      <c r="I69" s="5">
        <v>0</v>
      </c>
      <c r="J69" s="9">
        <v>0</v>
      </c>
      <c r="K69" s="5">
        <v>7</v>
      </c>
      <c r="L69" s="5">
        <v>12</v>
      </c>
      <c r="M69" s="5">
        <v>1</v>
      </c>
      <c r="N69" s="9">
        <v>0</v>
      </c>
      <c r="O69" s="5">
        <v>0</v>
      </c>
      <c r="P69" s="5">
        <v>0</v>
      </c>
      <c r="Q69" s="5">
        <v>0</v>
      </c>
      <c r="R69" s="9">
        <v>0</v>
      </c>
      <c r="S69" s="5">
        <v>0</v>
      </c>
      <c r="T69" s="5">
        <v>0</v>
      </c>
    </row>
    <row r="70" spans="1:20" x14ac:dyDescent="0.2">
      <c r="A70" s="5" t="s">
        <v>97</v>
      </c>
      <c r="B70" s="9" t="s">
        <v>75</v>
      </c>
      <c r="C70" s="5" t="s">
        <v>774</v>
      </c>
      <c r="D70" s="7">
        <f t="shared" si="0"/>
        <v>10.9</v>
      </c>
      <c r="E70" s="5">
        <v>0</v>
      </c>
      <c r="F70" s="5">
        <v>0</v>
      </c>
      <c r="G70" s="5">
        <v>0</v>
      </c>
      <c r="H70" s="5">
        <v>0</v>
      </c>
      <c r="I70" s="5">
        <v>0</v>
      </c>
      <c r="J70" s="9">
        <v>0</v>
      </c>
      <c r="K70" s="5">
        <v>6</v>
      </c>
      <c r="L70" s="5">
        <v>41</v>
      </c>
      <c r="M70" s="5">
        <v>0</v>
      </c>
      <c r="N70" s="9">
        <v>0</v>
      </c>
      <c r="O70" s="5">
        <v>3</v>
      </c>
      <c r="P70" s="5">
        <v>38</v>
      </c>
      <c r="Q70" s="5">
        <v>0</v>
      </c>
      <c r="R70" s="9">
        <v>0</v>
      </c>
      <c r="S70" s="5">
        <v>0</v>
      </c>
      <c r="T70" s="5">
        <v>0</v>
      </c>
    </row>
    <row r="71" spans="1:20" x14ac:dyDescent="0.2">
      <c r="A71" s="5" t="s">
        <v>428</v>
      </c>
      <c r="B71" s="9" t="s">
        <v>75</v>
      </c>
      <c r="C71" s="5" t="s">
        <v>768</v>
      </c>
      <c r="D71" s="7">
        <f t="shared" si="0"/>
        <v>9.6</v>
      </c>
      <c r="E71" s="5">
        <v>0</v>
      </c>
      <c r="F71" s="5">
        <v>0</v>
      </c>
      <c r="G71" s="5">
        <v>0</v>
      </c>
      <c r="H71" s="5">
        <v>0</v>
      </c>
      <c r="I71" s="5">
        <v>0</v>
      </c>
      <c r="J71" s="9">
        <v>0</v>
      </c>
      <c r="K71" s="5">
        <v>7</v>
      </c>
      <c r="L71" s="5">
        <v>11</v>
      </c>
      <c r="M71" s="5">
        <v>1</v>
      </c>
      <c r="N71" s="9">
        <v>0</v>
      </c>
      <c r="O71" s="5">
        <v>2</v>
      </c>
      <c r="P71" s="5">
        <v>5</v>
      </c>
      <c r="Q71" s="5">
        <v>0</v>
      </c>
      <c r="R71" s="9">
        <v>0</v>
      </c>
      <c r="S71" s="5">
        <v>0</v>
      </c>
      <c r="T71" s="5">
        <v>0</v>
      </c>
    </row>
    <row r="72" spans="1:20" x14ac:dyDescent="0.2">
      <c r="A72" s="5" t="s">
        <v>104</v>
      </c>
      <c r="B72" s="9" t="s">
        <v>75</v>
      </c>
      <c r="C72" s="5" t="s">
        <v>780</v>
      </c>
      <c r="D72" s="7">
        <f t="shared" si="0"/>
        <v>10.6</v>
      </c>
      <c r="E72" s="5">
        <v>0</v>
      </c>
      <c r="F72" s="5">
        <v>0</v>
      </c>
      <c r="G72" s="5">
        <v>0</v>
      </c>
      <c r="H72" s="5">
        <v>0</v>
      </c>
      <c r="I72" s="5">
        <v>0</v>
      </c>
      <c r="J72" s="9">
        <v>0</v>
      </c>
      <c r="K72" s="5">
        <v>11</v>
      </c>
      <c r="L72" s="5">
        <v>26</v>
      </c>
      <c r="M72" s="5">
        <v>1</v>
      </c>
      <c r="N72" s="9">
        <v>0</v>
      </c>
      <c r="O72" s="5">
        <v>4</v>
      </c>
      <c r="P72" s="5">
        <v>0</v>
      </c>
      <c r="Q72" s="5">
        <v>0</v>
      </c>
      <c r="R72" s="9">
        <v>0</v>
      </c>
      <c r="S72" s="5">
        <v>1</v>
      </c>
      <c r="T72" s="5">
        <v>0</v>
      </c>
    </row>
    <row r="73" spans="1:20" x14ac:dyDescent="0.2">
      <c r="A73" s="5" t="s">
        <v>394</v>
      </c>
      <c r="B73" s="9" t="s">
        <v>75</v>
      </c>
      <c r="C73" s="5" t="s">
        <v>768</v>
      </c>
      <c r="D73" s="7">
        <f t="shared" si="0"/>
        <v>8.6</v>
      </c>
      <c r="E73" s="5">
        <v>0</v>
      </c>
      <c r="F73" s="5">
        <v>0</v>
      </c>
      <c r="G73" s="5">
        <v>0</v>
      </c>
      <c r="H73" s="5">
        <v>0</v>
      </c>
      <c r="I73" s="5">
        <v>0</v>
      </c>
      <c r="J73" s="9">
        <v>0</v>
      </c>
      <c r="K73" s="5">
        <v>0</v>
      </c>
      <c r="L73" s="5">
        <v>0</v>
      </c>
      <c r="M73" s="5">
        <v>0</v>
      </c>
      <c r="N73" s="9">
        <v>0</v>
      </c>
      <c r="O73" s="5">
        <v>2</v>
      </c>
      <c r="P73" s="5">
        <v>6</v>
      </c>
      <c r="Q73" s="5">
        <v>1</v>
      </c>
      <c r="R73" s="9">
        <v>0</v>
      </c>
      <c r="S73" s="5">
        <v>0</v>
      </c>
      <c r="T73" s="5">
        <v>0</v>
      </c>
    </row>
    <row r="74" spans="1:20" x14ac:dyDescent="0.2">
      <c r="A74" s="5" t="s">
        <v>102</v>
      </c>
      <c r="B74" s="9" t="s">
        <v>75</v>
      </c>
      <c r="C74" s="5" t="s">
        <v>771</v>
      </c>
      <c r="D74" s="7">
        <f t="shared" si="0"/>
        <v>5</v>
      </c>
      <c r="E74" s="5">
        <v>0</v>
      </c>
      <c r="F74" s="5">
        <v>0</v>
      </c>
      <c r="G74" s="5">
        <v>0</v>
      </c>
      <c r="H74" s="5">
        <v>0</v>
      </c>
      <c r="I74" s="5">
        <v>0</v>
      </c>
      <c r="J74" s="9">
        <v>0</v>
      </c>
      <c r="K74" s="5">
        <v>20</v>
      </c>
      <c r="L74" s="5">
        <v>70</v>
      </c>
      <c r="M74" s="5">
        <v>0</v>
      </c>
      <c r="N74" s="9">
        <v>0</v>
      </c>
      <c r="O74" s="5">
        <v>0</v>
      </c>
      <c r="P74" s="5">
        <v>0</v>
      </c>
      <c r="Q74" s="5">
        <v>0</v>
      </c>
      <c r="R74" s="9">
        <v>0</v>
      </c>
      <c r="S74" s="5">
        <v>1</v>
      </c>
      <c r="T74" s="5">
        <v>0</v>
      </c>
    </row>
    <row r="75" spans="1:20" x14ac:dyDescent="0.2">
      <c r="A75" s="5" t="s">
        <v>147</v>
      </c>
      <c r="B75" s="9" t="s">
        <v>75</v>
      </c>
      <c r="C75" s="5" t="s">
        <v>770</v>
      </c>
      <c r="D75" s="7">
        <f t="shared" si="0"/>
        <v>10.7</v>
      </c>
      <c r="E75" s="5">
        <v>0</v>
      </c>
      <c r="F75" s="5">
        <v>0</v>
      </c>
      <c r="G75" s="5">
        <v>0</v>
      </c>
      <c r="H75" s="5">
        <v>0</v>
      </c>
      <c r="I75" s="5">
        <v>0</v>
      </c>
      <c r="J75" s="9">
        <v>0</v>
      </c>
      <c r="K75" s="5">
        <v>6</v>
      </c>
      <c r="L75" s="5">
        <v>37</v>
      </c>
      <c r="M75" s="5">
        <v>0</v>
      </c>
      <c r="N75" s="9">
        <v>0</v>
      </c>
      <c r="O75" s="5">
        <v>4</v>
      </c>
      <c r="P75" s="5">
        <v>30</v>
      </c>
      <c r="Q75" s="5">
        <v>0</v>
      </c>
      <c r="R75" s="9">
        <v>0</v>
      </c>
      <c r="S75" s="5">
        <v>0</v>
      </c>
      <c r="T75" s="5">
        <v>0</v>
      </c>
    </row>
    <row r="76" spans="1:20" x14ac:dyDescent="0.2">
      <c r="A76" s="5" t="s">
        <v>103</v>
      </c>
      <c r="B76" s="9" t="s">
        <v>75</v>
      </c>
      <c r="C76" s="5" t="s">
        <v>777</v>
      </c>
      <c r="D76" s="7">
        <f t="shared" si="0"/>
        <v>9</v>
      </c>
      <c r="E76" s="5">
        <v>0</v>
      </c>
      <c r="F76" s="5">
        <v>0</v>
      </c>
      <c r="G76" s="5">
        <v>0</v>
      </c>
      <c r="H76" s="5">
        <v>0</v>
      </c>
      <c r="I76" s="5">
        <v>0</v>
      </c>
      <c r="J76" s="9">
        <v>0</v>
      </c>
      <c r="K76" s="5">
        <v>11</v>
      </c>
      <c r="L76" s="5">
        <v>43</v>
      </c>
      <c r="M76" s="5">
        <v>0</v>
      </c>
      <c r="N76" s="9">
        <v>0</v>
      </c>
      <c r="O76" s="5">
        <v>2</v>
      </c>
      <c r="P76" s="5">
        <v>7</v>
      </c>
      <c r="Q76" s="5">
        <v>0</v>
      </c>
      <c r="R76" s="9">
        <v>1</v>
      </c>
      <c r="S76" s="5">
        <v>0</v>
      </c>
      <c r="T76" s="5">
        <v>0</v>
      </c>
    </row>
    <row r="77" spans="1:20" x14ac:dyDescent="0.2">
      <c r="A77" s="5" t="s">
        <v>129</v>
      </c>
      <c r="B77" s="9" t="s">
        <v>75</v>
      </c>
      <c r="C77" s="5" t="s">
        <v>778</v>
      </c>
      <c r="D77" s="7">
        <f t="shared" si="0"/>
        <v>11.7</v>
      </c>
      <c r="E77" s="5">
        <v>0</v>
      </c>
      <c r="F77" s="5">
        <v>0</v>
      </c>
      <c r="G77" s="5">
        <v>0</v>
      </c>
      <c r="H77" s="5">
        <v>0</v>
      </c>
      <c r="I77" s="5">
        <v>0</v>
      </c>
      <c r="J77" s="9">
        <v>0</v>
      </c>
      <c r="K77" s="5">
        <v>9</v>
      </c>
      <c r="L77" s="5">
        <v>40</v>
      </c>
      <c r="M77" s="5">
        <v>0</v>
      </c>
      <c r="N77" s="9">
        <v>0</v>
      </c>
      <c r="O77" s="5">
        <v>5</v>
      </c>
      <c r="P77" s="5">
        <v>27</v>
      </c>
      <c r="Q77" s="5">
        <v>0</v>
      </c>
      <c r="R77" s="9">
        <v>0</v>
      </c>
      <c r="S77" s="5">
        <v>0</v>
      </c>
      <c r="T77" s="5">
        <v>0</v>
      </c>
    </row>
    <row r="78" spans="1:20" x14ac:dyDescent="0.2">
      <c r="A78" s="5" t="s">
        <v>370</v>
      </c>
      <c r="B78" s="9" t="s">
        <v>75</v>
      </c>
      <c r="C78" s="5" t="s">
        <v>773</v>
      </c>
      <c r="D78" s="7">
        <f t="shared" si="0"/>
        <v>12</v>
      </c>
      <c r="E78" s="5">
        <v>0</v>
      </c>
      <c r="F78" s="5">
        <v>0</v>
      </c>
      <c r="G78" s="5">
        <v>0</v>
      </c>
      <c r="H78" s="5">
        <v>0</v>
      </c>
      <c r="I78" s="5">
        <v>0</v>
      </c>
      <c r="J78" s="9">
        <v>0</v>
      </c>
      <c r="K78" s="5">
        <v>2</v>
      </c>
      <c r="L78" s="5">
        <v>10</v>
      </c>
      <c r="M78" s="5">
        <v>0</v>
      </c>
      <c r="N78" s="9">
        <v>0</v>
      </c>
      <c r="O78" s="5">
        <v>7</v>
      </c>
      <c r="P78" s="5">
        <v>40</v>
      </c>
      <c r="Q78" s="5">
        <v>0</v>
      </c>
      <c r="R78" s="9">
        <v>0</v>
      </c>
      <c r="S78" s="5">
        <v>0</v>
      </c>
      <c r="T78" s="5">
        <v>0</v>
      </c>
    </row>
    <row r="79" spans="1:20" x14ac:dyDescent="0.2">
      <c r="A79" s="5" t="s">
        <v>91</v>
      </c>
      <c r="B79" s="9" t="s">
        <v>75</v>
      </c>
      <c r="C79" s="5" t="s">
        <v>772</v>
      </c>
      <c r="D79" s="7">
        <f t="shared" si="0"/>
        <v>8.6999999999999993</v>
      </c>
      <c r="E79" s="5">
        <v>0</v>
      </c>
      <c r="F79" s="5">
        <v>0</v>
      </c>
      <c r="G79" s="5">
        <v>0</v>
      </c>
      <c r="H79" s="5">
        <v>0</v>
      </c>
      <c r="I79" s="5">
        <v>0</v>
      </c>
      <c r="J79" s="9">
        <v>0</v>
      </c>
      <c r="K79" s="5">
        <v>10</v>
      </c>
      <c r="L79" s="5">
        <v>26</v>
      </c>
      <c r="M79" s="5">
        <v>0</v>
      </c>
      <c r="N79" s="9">
        <v>0</v>
      </c>
      <c r="O79" s="5">
        <v>3</v>
      </c>
      <c r="P79" s="5">
        <v>31</v>
      </c>
      <c r="Q79" s="5">
        <v>0</v>
      </c>
      <c r="R79" s="9">
        <v>0</v>
      </c>
      <c r="S79" s="5">
        <v>0</v>
      </c>
      <c r="T79" s="5">
        <v>0</v>
      </c>
    </row>
    <row r="80" spans="1:20" x14ac:dyDescent="0.2">
      <c r="A80" s="5" t="s">
        <v>151</v>
      </c>
      <c r="B80" s="9" t="s">
        <v>75</v>
      </c>
      <c r="C80" s="5" t="s">
        <v>768</v>
      </c>
      <c r="D80" s="7">
        <f t="shared" si="0"/>
        <v>9.3000000000000007</v>
      </c>
      <c r="E80" s="5">
        <v>0</v>
      </c>
      <c r="F80" s="5">
        <v>0</v>
      </c>
      <c r="G80" s="5">
        <v>0</v>
      </c>
      <c r="H80" s="5">
        <v>0</v>
      </c>
      <c r="I80" s="5">
        <v>0</v>
      </c>
      <c r="J80" s="9">
        <v>0</v>
      </c>
      <c r="K80" s="5">
        <v>9</v>
      </c>
      <c r="L80" s="5">
        <v>44</v>
      </c>
      <c r="M80" s="5">
        <v>0</v>
      </c>
      <c r="N80" s="9">
        <v>0</v>
      </c>
      <c r="O80" s="5">
        <v>3</v>
      </c>
      <c r="P80" s="5">
        <v>19</v>
      </c>
      <c r="Q80" s="5">
        <v>0</v>
      </c>
      <c r="R80" s="9">
        <v>0</v>
      </c>
      <c r="S80" s="5">
        <v>0</v>
      </c>
      <c r="T80" s="5">
        <v>0</v>
      </c>
    </row>
    <row r="81" spans="1:20" x14ac:dyDescent="0.2">
      <c r="A81" s="5" t="s">
        <v>100</v>
      </c>
      <c r="B81" s="9" t="s">
        <v>75</v>
      </c>
      <c r="C81" s="5" t="s">
        <v>778</v>
      </c>
      <c r="D81" s="7">
        <f t="shared" si="0"/>
        <v>6.6000000000000005</v>
      </c>
      <c r="E81" s="5">
        <v>0</v>
      </c>
      <c r="F81" s="5">
        <v>0</v>
      </c>
      <c r="G81" s="5">
        <v>0</v>
      </c>
      <c r="H81" s="5">
        <v>0</v>
      </c>
      <c r="I81" s="5">
        <v>0</v>
      </c>
      <c r="J81" s="9">
        <v>0</v>
      </c>
      <c r="K81" s="5">
        <v>16</v>
      </c>
      <c r="L81" s="5">
        <v>54</v>
      </c>
      <c r="M81" s="5">
        <v>0</v>
      </c>
      <c r="N81" s="9">
        <v>0</v>
      </c>
      <c r="O81" s="5">
        <v>1</v>
      </c>
      <c r="P81" s="5">
        <v>2</v>
      </c>
      <c r="Q81" s="5">
        <v>0</v>
      </c>
      <c r="R81" s="9">
        <v>0</v>
      </c>
      <c r="S81" s="5">
        <v>0</v>
      </c>
      <c r="T81" s="5">
        <v>0</v>
      </c>
    </row>
    <row r="82" spans="1:20" x14ac:dyDescent="0.2">
      <c r="A82" s="5" t="s">
        <v>113</v>
      </c>
      <c r="B82" s="9" t="s">
        <v>75</v>
      </c>
      <c r="C82" s="5" t="s">
        <v>777</v>
      </c>
      <c r="D82" s="7">
        <f t="shared" si="0"/>
        <v>10.4</v>
      </c>
      <c r="E82" s="5">
        <v>0</v>
      </c>
      <c r="F82" s="5">
        <v>0</v>
      </c>
      <c r="G82" s="5">
        <v>0</v>
      </c>
      <c r="H82" s="5">
        <v>0</v>
      </c>
      <c r="I82" s="5">
        <v>0</v>
      </c>
      <c r="J82" s="9">
        <v>0</v>
      </c>
      <c r="K82" s="5">
        <v>8</v>
      </c>
      <c r="L82" s="5">
        <v>24</v>
      </c>
      <c r="M82" s="5">
        <v>0</v>
      </c>
      <c r="N82" s="9">
        <v>0</v>
      </c>
      <c r="O82" s="5">
        <v>5</v>
      </c>
      <c r="P82" s="5">
        <v>30</v>
      </c>
      <c r="Q82" s="5">
        <v>0</v>
      </c>
      <c r="R82" s="9">
        <v>0</v>
      </c>
      <c r="S82" s="5">
        <v>0</v>
      </c>
      <c r="T82" s="5">
        <v>0</v>
      </c>
    </row>
    <row r="83" spans="1:20" x14ac:dyDescent="0.2">
      <c r="A83" s="5" t="s">
        <v>676</v>
      </c>
      <c r="B83" s="9" t="s">
        <v>75</v>
      </c>
      <c r="C83" s="5" t="s">
        <v>782</v>
      </c>
      <c r="D83" s="7">
        <f t="shared" si="0"/>
        <v>4.3</v>
      </c>
      <c r="E83" s="5">
        <v>0</v>
      </c>
      <c r="F83" s="5">
        <v>0</v>
      </c>
      <c r="G83" s="5">
        <v>0</v>
      </c>
      <c r="H83" s="5">
        <v>0</v>
      </c>
      <c r="I83" s="5">
        <v>0</v>
      </c>
      <c r="J83" s="9">
        <v>0</v>
      </c>
      <c r="K83" s="5">
        <v>9</v>
      </c>
      <c r="L83" s="5">
        <v>43</v>
      </c>
      <c r="M83" s="5">
        <v>0</v>
      </c>
      <c r="N83" s="9">
        <v>0</v>
      </c>
      <c r="O83" s="5">
        <v>0</v>
      </c>
      <c r="P83" s="5">
        <v>0</v>
      </c>
      <c r="Q83" s="5">
        <v>0</v>
      </c>
      <c r="R83" s="9">
        <v>0</v>
      </c>
      <c r="S83" s="5">
        <v>0</v>
      </c>
      <c r="T83" s="5">
        <v>0</v>
      </c>
    </row>
    <row r="84" spans="1:20" x14ac:dyDescent="0.2">
      <c r="A84" s="5" t="s">
        <v>124</v>
      </c>
      <c r="B84" s="9" t="s">
        <v>75</v>
      </c>
      <c r="C84" s="5" t="s">
        <v>780</v>
      </c>
      <c r="D84" s="7">
        <f t="shared" si="0"/>
        <v>7.8000000000000007</v>
      </c>
      <c r="E84" s="5">
        <v>0</v>
      </c>
      <c r="F84" s="5">
        <v>0</v>
      </c>
      <c r="G84" s="5">
        <v>0</v>
      </c>
      <c r="H84" s="5">
        <v>0</v>
      </c>
      <c r="I84" s="5">
        <v>0</v>
      </c>
      <c r="J84" s="9">
        <v>0</v>
      </c>
      <c r="K84" s="5">
        <v>4</v>
      </c>
      <c r="L84" s="5">
        <v>6</v>
      </c>
      <c r="M84" s="5">
        <v>0</v>
      </c>
      <c r="N84" s="9">
        <v>0</v>
      </c>
      <c r="O84" s="5">
        <v>3</v>
      </c>
      <c r="P84" s="5">
        <v>42</v>
      </c>
      <c r="Q84" s="5">
        <v>0</v>
      </c>
      <c r="R84" s="9">
        <v>0</v>
      </c>
      <c r="S84" s="5">
        <v>0</v>
      </c>
      <c r="T84" s="5">
        <v>0</v>
      </c>
    </row>
    <row r="85" spans="1:20" x14ac:dyDescent="0.2">
      <c r="A85" s="5" t="s">
        <v>82</v>
      </c>
      <c r="B85" s="9" t="s">
        <v>75</v>
      </c>
      <c r="C85" s="5" t="s">
        <v>773</v>
      </c>
      <c r="D85" s="7">
        <f t="shared" si="0"/>
        <v>8.3000000000000007</v>
      </c>
      <c r="E85" s="5">
        <v>0</v>
      </c>
      <c r="F85" s="5">
        <v>0</v>
      </c>
      <c r="G85" s="5">
        <v>0</v>
      </c>
      <c r="H85" s="5">
        <v>0</v>
      </c>
      <c r="I85" s="5">
        <v>0</v>
      </c>
      <c r="J85" s="9">
        <v>0</v>
      </c>
      <c r="K85" s="5">
        <v>9</v>
      </c>
      <c r="L85" s="5">
        <v>37</v>
      </c>
      <c r="M85" s="5">
        <v>0</v>
      </c>
      <c r="N85" s="9">
        <v>0</v>
      </c>
      <c r="O85" s="5">
        <v>3</v>
      </c>
      <c r="P85" s="5">
        <v>16</v>
      </c>
      <c r="Q85" s="5">
        <v>0</v>
      </c>
      <c r="R85" s="9">
        <v>0</v>
      </c>
      <c r="S85" s="5">
        <v>0</v>
      </c>
      <c r="T85" s="5">
        <v>0</v>
      </c>
    </row>
    <row r="86" spans="1:20" x14ac:dyDescent="0.2">
      <c r="A86" s="5" t="s">
        <v>79</v>
      </c>
      <c r="B86" s="9" t="s">
        <v>75</v>
      </c>
      <c r="C86" s="5" t="s">
        <v>776</v>
      </c>
      <c r="D86" s="7">
        <f t="shared" si="0"/>
        <v>5.3000000000000007</v>
      </c>
      <c r="E86" s="5">
        <v>0</v>
      </c>
      <c r="F86" s="5">
        <v>0</v>
      </c>
      <c r="G86" s="5">
        <v>0</v>
      </c>
      <c r="H86" s="5">
        <v>0</v>
      </c>
      <c r="I86" s="5">
        <v>0</v>
      </c>
      <c r="J86" s="9">
        <v>0</v>
      </c>
      <c r="K86" s="5">
        <v>12</v>
      </c>
      <c r="L86" s="5">
        <v>38</v>
      </c>
      <c r="M86" s="5">
        <v>0</v>
      </c>
      <c r="N86" s="9">
        <v>0</v>
      </c>
      <c r="O86" s="5">
        <v>1</v>
      </c>
      <c r="P86" s="5">
        <v>5</v>
      </c>
      <c r="Q86" s="5">
        <v>0</v>
      </c>
      <c r="R86" s="9">
        <v>0</v>
      </c>
      <c r="S86" s="5">
        <v>0</v>
      </c>
      <c r="T86" s="5">
        <v>0</v>
      </c>
    </row>
    <row r="87" spans="1:20" x14ac:dyDescent="0.2">
      <c r="A87" s="5" t="s">
        <v>375</v>
      </c>
      <c r="B87" s="9" t="s">
        <v>75</v>
      </c>
      <c r="C87" s="5" t="s">
        <v>776</v>
      </c>
      <c r="D87" s="7">
        <f t="shared" si="0"/>
        <v>4.1000000000000005</v>
      </c>
      <c r="E87" s="5">
        <v>0</v>
      </c>
      <c r="F87" s="5">
        <v>0</v>
      </c>
      <c r="G87" s="5">
        <v>0</v>
      </c>
      <c r="H87" s="5">
        <v>0</v>
      </c>
      <c r="I87" s="5">
        <v>0</v>
      </c>
      <c r="J87" s="9">
        <v>0</v>
      </c>
      <c r="K87" s="5">
        <v>7</v>
      </c>
      <c r="L87" s="5">
        <v>24</v>
      </c>
      <c r="M87" s="5">
        <v>0</v>
      </c>
      <c r="N87" s="9">
        <v>0</v>
      </c>
      <c r="O87" s="5">
        <v>1</v>
      </c>
      <c r="P87" s="5">
        <v>7</v>
      </c>
      <c r="Q87" s="5">
        <v>0</v>
      </c>
      <c r="R87" s="9">
        <v>0</v>
      </c>
      <c r="S87" s="5">
        <v>0</v>
      </c>
      <c r="T87" s="5">
        <v>0</v>
      </c>
    </row>
    <row r="88" spans="1:20" x14ac:dyDescent="0.2">
      <c r="A88" s="5" t="s">
        <v>554</v>
      </c>
      <c r="B88" s="9" t="s">
        <v>75</v>
      </c>
      <c r="C88" s="5" t="s">
        <v>769</v>
      </c>
      <c r="D88" s="7">
        <f t="shared" si="0"/>
        <v>2</v>
      </c>
      <c r="E88" s="5">
        <v>0</v>
      </c>
      <c r="F88" s="5">
        <v>0</v>
      </c>
      <c r="G88" s="5">
        <v>0</v>
      </c>
      <c r="H88" s="5">
        <v>0</v>
      </c>
      <c r="I88" s="5">
        <v>0</v>
      </c>
      <c r="J88" s="9">
        <v>0</v>
      </c>
      <c r="K88" s="5">
        <v>0</v>
      </c>
      <c r="L88" s="5">
        <v>0</v>
      </c>
      <c r="M88" s="5">
        <v>0</v>
      </c>
      <c r="N88" s="9">
        <v>1</v>
      </c>
      <c r="O88" s="5">
        <v>0</v>
      </c>
      <c r="P88" s="5">
        <v>0</v>
      </c>
      <c r="Q88" s="5">
        <v>0</v>
      </c>
      <c r="R88" s="9">
        <v>0</v>
      </c>
      <c r="S88" s="5">
        <v>0</v>
      </c>
      <c r="T88" s="5">
        <v>0</v>
      </c>
    </row>
    <row r="89" spans="1:20" x14ac:dyDescent="0.2">
      <c r="A89" s="5" t="s">
        <v>760</v>
      </c>
      <c r="B89" s="9" t="s">
        <v>75</v>
      </c>
      <c r="C89" s="5" t="s">
        <v>780</v>
      </c>
      <c r="D89" s="7">
        <f t="shared" si="0"/>
        <v>2</v>
      </c>
      <c r="E89" s="5">
        <v>0</v>
      </c>
      <c r="F89" s="5">
        <v>0</v>
      </c>
      <c r="G89" s="5">
        <v>0</v>
      </c>
      <c r="H89" s="5">
        <v>0</v>
      </c>
      <c r="I89" s="5">
        <v>0</v>
      </c>
      <c r="J89" s="9">
        <v>0</v>
      </c>
      <c r="K89" s="5">
        <v>0</v>
      </c>
      <c r="L89" s="5">
        <v>0</v>
      </c>
      <c r="M89" s="5">
        <v>0</v>
      </c>
      <c r="N89" s="9">
        <v>1</v>
      </c>
      <c r="O89" s="5">
        <v>0</v>
      </c>
      <c r="P89" s="5">
        <v>0</v>
      </c>
      <c r="Q89" s="5">
        <v>0</v>
      </c>
      <c r="R89" s="9">
        <v>0</v>
      </c>
      <c r="S89" s="5">
        <v>0</v>
      </c>
      <c r="T89" s="5">
        <v>0</v>
      </c>
    </row>
    <row r="90" spans="1:20" x14ac:dyDescent="0.2">
      <c r="A90" s="5" t="s">
        <v>154</v>
      </c>
      <c r="B90" s="9" t="s">
        <v>75</v>
      </c>
      <c r="C90" s="5" t="s">
        <v>775</v>
      </c>
      <c r="D90" s="7">
        <f t="shared" si="0"/>
        <v>2.5</v>
      </c>
      <c r="E90" s="5">
        <v>0</v>
      </c>
      <c r="F90" s="5">
        <v>0</v>
      </c>
      <c r="G90" s="5">
        <v>0</v>
      </c>
      <c r="H90" s="5">
        <v>0</v>
      </c>
      <c r="I90" s="5">
        <v>0</v>
      </c>
      <c r="J90" s="9">
        <v>0</v>
      </c>
      <c r="K90" s="5">
        <v>10</v>
      </c>
      <c r="L90" s="5">
        <v>25</v>
      </c>
      <c r="M90" s="5">
        <v>0</v>
      </c>
      <c r="N90" s="9">
        <v>0</v>
      </c>
      <c r="O90" s="5">
        <v>0</v>
      </c>
      <c r="P90" s="5">
        <v>0</v>
      </c>
      <c r="Q90" s="5">
        <v>0</v>
      </c>
      <c r="R90" s="9">
        <v>0</v>
      </c>
      <c r="S90" s="5">
        <v>0</v>
      </c>
      <c r="T90" s="5">
        <v>0</v>
      </c>
    </row>
    <row r="91" spans="1:20" x14ac:dyDescent="0.2">
      <c r="A91" s="5" t="s">
        <v>80</v>
      </c>
      <c r="B91" s="9" t="s">
        <v>75</v>
      </c>
      <c r="C91" s="5" t="s">
        <v>775</v>
      </c>
      <c r="D91" s="7">
        <f t="shared" si="0"/>
        <v>6.1000000000000005</v>
      </c>
      <c r="E91" s="5">
        <v>0</v>
      </c>
      <c r="F91" s="5">
        <v>0</v>
      </c>
      <c r="G91" s="5">
        <v>0</v>
      </c>
      <c r="H91" s="5">
        <v>0</v>
      </c>
      <c r="I91" s="5">
        <v>0</v>
      </c>
      <c r="J91" s="9">
        <v>0</v>
      </c>
      <c r="K91" s="5">
        <v>6</v>
      </c>
      <c r="L91" s="5">
        <v>12</v>
      </c>
      <c r="M91" s="5">
        <v>0</v>
      </c>
      <c r="N91" s="9">
        <v>0</v>
      </c>
      <c r="O91" s="5">
        <v>3</v>
      </c>
      <c r="P91" s="5">
        <v>19</v>
      </c>
      <c r="Q91" s="5">
        <v>0</v>
      </c>
      <c r="R91" s="9">
        <v>0</v>
      </c>
      <c r="S91" s="5">
        <v>0</v>
      </c>
      <c r="T91" s="5">
        <v>0</v>
      </c>
    </row>
    <row r="92" spans="1:20" x14ac:dyDescent="0.2">
      <c r="A92" s="5" t="s">
        <v>783</v>
      </c>
      <c r="B92" s="9" t="s">
        <v>75</v>
      </c>
      <c r="C92" s="5" t="s">
        <v>771</v>
      </c>
      <c r="D92" s="7">
        <f t="shared" si="0"/>
        <v>2</v>
      </c>
      <c r="E92" s="5">
        <v>0</v>
      </c>
      <c r="F92" s="5">
        <v>0</v>
      </c>
      <c r="G92" s="5">
        <v>0</v>
      </c>
      <c r="H92" s="5">
        <v>0</v>
      </c>
      <c r="I92" s="5">
        <v>0</v>
      </c>
      <c r="J92" s="9">
        <v>0</v>
      </c>
      <c r="K92" s="5">
        <v>5</v>
      </c>
      <c r="L92" s="5">
        <v>20</v>
      </c>
      <c r="M92" s="5">
        <v>0</v>
      </c>
      <c r="N92" s="9">
        <v>0</v>
      </c>
      <c r="O92" s="5">
        <v>0</v>
      </c>
      <c r="P92" s="5">
        <v>0</v>
      </c>
      <c r="Q92" s="5">
        <v>0</v>
      </c>
      <c r="R92" s="9">
        <v>0</v>
      </c>
      <c r="S92" s="5">
        <v>0</v>
      </c>
      <c r="T92" s="5">
        <v>0</v>
      </c>
    </row>
    <row r="93" spans="1:20" x14ac:dyDescent="0.2">
      <c r="A93" s="5" t="s">
        <v>716</v>
      </c>
      <c r="B93" s="9" t="s">
        <v>75</v>
      </c>
      <c r="C93" s="5" t="s">
        <v>781</v>
      </c>
      <c r="D93" s="7">
        <f t="shared" si="0"/>
        <v>4</v>
      </c>
      <c r="E93" s="5">
        <v>0</v>
      </c>
      <c r="F93" s="5">
        <v>0</v>
      </c>
      <c r="G93" s="5">
        <v>0</v>
      </c>
      <c r="H93" s="5">
        <v>0</v>
      </c>
      <c r="I93" s="5">
        <v>0</v>
      </c>
      <c r="J93" s="9">
        <v>0</v>
      </c>
      <c r="K93" s="5">
        <v>1</v>
      </c>
      <c r="L93" s="5">
        <v>15</v>
      </c>
      <c r="M93" s="5">
        <v>0</v>
      </c>
      <c r="N93" s="9">
        <v>0</v>
      </c>
      <c r="O93" s="5">
        <v>1</v>
      </c>
      <c r="P93" s="5">
        <v>15</v>
      </c>
      <c r="Q93" s="5">
        <v>0</v>
      </c>
      <c r="R93" s="9">
        <v>0</v>
      </c>
      <c r="S93" s="5">
        <v>0</v>
      </c>
      <c r="T93" s="5">
        <v>0</v>
      </c>
    </row>
    <row r="94" spans="1:20" x14ac:dyDescent="0.2">
      <c r="A94" s="5" t="s">
        <v>761</v>
      </c>
      <c r="B94" s="9" t="s">
        <v>75</v>
      </c>
      <c r="C94" s="5" t="s">
        <v>770</v>
      </c>
      <c r="D94" s="7">
        <f t="shared" si="0"/>
        <v>2.1</v>
      </c>
      <c r="E94" s="5">
        <v>0</v>
      </c>
      <c r="F94" s="5">
        <v>0</v>
      </c>
      <c r="G94" s="5">
        <v>0</v>
      </c>
      <c r="H94" s="5">
        <v>0</v>
      </c>
      <c r="I94" s="5">
        <v>0</v>
      </c>
      <c r="J94" s="9">
        <v>0</v>
      </c>
      <c r="K94" s="5">
        <v>7</v>
      </c>
      <c r="L94" s="5">
        <v>21</v>
      </c>
      <c r="M94" s="5">
        <v>0</v>
      </c>
      <c r="N94" s="9">
        <v>0</v>
      </c>
      <c r="O94" s="5">
        <v>0</v>
      </c>
      <c r="P94" s="5">
        <v>0</v>
      </c>
      <c r="Q94" s="5">
        <v>0</v>
      </c>
      <c r="R94" s="9">
        <v>0</v>
      </c>
      <c r="S94" s="5">
        <v>0</v>
      </c>
      <c r="T94" s="5">
        <v>0</v>
      </c>
    </row>
    <row r="95" spans="1:20" x14ac:dyDescent="0.2">
      <c r="A95" s="5" t="s">
        <v>470</v>
      </c>
      <c r="B95" s="9" t="s">
        <v>75</v>
      </c>
      <c r="C95" s="5" t="s">
        <v>767</v>
      </c>
      <c r="D95" s="7">
        <f t="shared" si="0"/>
        <v>8.5</v>
      </c>
      <c r="E95" s="5">
        <v>0</v>
      </c>
      <c r="F95" s="5">
        <v>0</v>
      </c>
      <c r="G95" s="5">
        <v>0</v>
      </c>
      <c r="H95" s="5">
        <v>0</v>
      </c>
      <c r="I95" s="5">
        <v>0</v>
      </c>
      <c r="J95" s="9">
        <v>0</v>
      </c>
      <c r="K95" s="5">
        <v>9</v>
      </c>
      <c r="L95" s="5">
        <v>19</v>
      </c>
      <c r="M95" s="5">
        <v>0</v>
      </c>
      <c r="N95" s="9">
        <v>0</v>
      </c>
      <c r="O95" s="5">
        <v>5</v>
      </c>
      <c r="P95" s="5">
        <v>16</v>
      </c>
      <c r="Q95" s="5">
        <v>0</v>
      </c>
      <c r="R95" s="9">
        <v>0</v>
      </c>
      <c r="S95" s="5">
        <v>0</v>
      </c>
      <c r="T95" s="5">
        <v>0</v>
      </c>
    </row>
    <row r="96" spans="1:20" x14ac:dyDescent="0.2">
      <c r="A96" s="5" t="s">
        <v>528</v>
      </c>
      <c r="B96" s="9" t="s">
        <v>75</v>
      </c>
      <c r="C96" s="5" t="s">
        <v>781</v>
      </c>
      <c r="D96" s="7">
        <f t="shared" si="0"/>
        <v>5.3</v>
      </c>
      <c r="E96" s="5">
        <v>0</v>
      </c>
      <c r="F96" s="5">
        <v>0</v>
      </c>
      <c r="G96" s="5">
        <v>0</v>
      </c>
      <c r="H96" s="5">
        <v>0</v>
      </c>
      <c r="I96" s="5">
        <v>0</v>
      </c>
      <c r="J96" s="9">
        <v>0</v>
      </c>
      <c r="K96" s="5">
        <v>7</v>
      </c>
      <c r="L96" s="5">
        <v>26</v>
      </c>
      <c r="M96" s="5">
        <v>0</v>
      </c>
      <c r="N96" s="9">
        <v>0</v>
      </c>
      <c r="O96" s="5">
        <v>2</v>
      </c>
      <c r="P96" s="5">
        <v>7</v>
      </c>
      <c r="Q96" s="5">
        <v>0</v>
      </c>
      <c r="R96" s="9">
        <v>0</v>
      </c>
      <c r="S96" s="5">
        <v>0</v>
      </c>
      <c r="T96" s="5">
        <v>0</v>
      </c>
    </row>
    <row r="97" spans="1:20" x14ac:dyDescent="0.2">
      <c r="A97" s="5" t="s">
        <v>98</v>
      </c>
      <c r="B97" s="9" t="s">
        <v>75</v>
      </c>
      <c r="C97" s="5" t="s">
        <v>770</v>
      </c>
      <c r="D97" s="7">
        <f t="shared" si="0"/>
        <v>6.9</v>
      </c>
      <c r="E97" s="5">
        <v>0</v>
      </c>
      <c r="F97" s="5">
        <v>0</v>
      </c>
      <c r="G97" s="5">
        <v>0</v>
      </c>
      <c r="H97" s="5">
        <v>0</v>
      </c>
      <c r="I97" s="5">
        <v>0</v>
      </c>
      <c r="J97" s="9">
        <v>0</v>
      </c>
      <c r="K97" s="5">
        <v>1</v>
      </c>
      <c r="L97" s="5">
        <v>2</v>
      </c>
      <c r="M97" s="5">
        <v>0</v>
      </c>
      <c r="N97" s="9">
        <v>0</v>
      </c>
      <c r="O97" s="5">
        <v>4</v>
      </c>
      <c r="P97" s="5">
        <v>27</v>
      </c>
      <c r="Q97" s="5">
        <v>0</v>
      </c>
      <c r="R97" s="9">
        <v>0</v>
      </c>
      <c r="S97" s="5">
        <v>0</v>
      </c>
      <c r="T97" s="5">
        <v>0</v>
      </c>
    </row>
    <row r="98" spans="1:20" x14ac:dyDescent="0.2">
      <c r="A98" s="5" t="s">
        <v>383</v>
      </c>
      <c r="B98" s="9" t="s">
        <v>75</v>
      </c>
      <c r="C98" s="5" t="s">
        <v>767</v>
      </c>
      <c r="D98" s="7">
        <f t="shared" si="0"/>
        <v>2</v>
      </c>
      <c r="E98" s="5">
        <v>0</v>
      </c>
      <c r="F98" s="5">
        <v>0</v>
      </c>
      <c r="G98" s="5">
        <v>0</v>
      </c>
      <c r="H98" s="5">
        <v>0</v>
      </c>
      <c r="I98" s="5">
        <v>0</v>
      </c>
      <c r="J98" s="9">
        <v>0</v>
      </c>
      <c r="K98" s="5">
        <v>6</v>
      </c>
      <c r="L98" s="5">
        <v>20</v>
      </c>
      <c r="M98" s="5">
        <v>0</v>
      </c>
      <c r="N98" s="9">
        <v>0</v>
      </c>
      <c r="O98" s="5">
        <v>0</v>
      </c>
      <c r="P98" s="5">
        <v>0</v>
      </c>
      <c r="Q98" s="5">
        <v>0</v>
      </c>
      <c r="R98" s="9">
        <v>0</v>
      </c>
      <c r="S98" s="5">
        <v>0</v>
      </c>
      <c r="T98" s="5">
        <v>0</v>
      </c>
    </row>
    <row r="99" spans="1:20" x14ac:dyDescent="0.2">
      <c r="A99" s="5" t="s">
        <v>356</v>
      </c>
      <c r="B99" s="9" t="s">
        <v>75</v>
      </c>
      <c r="C99" s="5" t="s">
        <v>768</v>
      </c>
      <c r="D99" s="7">
        <f t="shared" si="0"/>
        <v>2.2000000000000002</v>
      </c>
      <c r="E99" s="5">
        <v>0</v>
      </c>
      <c r="F99" s="5">
        <v>0</v>
      </c>
      <c r="G99" s="5">
        <v>0</v>
      </c>
      <c r="H99" s="5">
        <v>0</v>
      </c>
      <c r="I99" s="5">
        <v>0</v>
      </c>
      <c r="J99" s="9">
        <v>0</v>
      </c>
      <c r="K99" s="5">
        <v>5</v>
      </c>
      <c r="L99" s="5">
        <v>22</v>
      </c>
      <c r="M99" s="5">
        <v>0</v>
      </c>
      <c r="N99" s="9">
        <v>0</v>
      </c>
      <c r="O99" s="5">
        <v>0</v>
      </c>
      <c r="P99" s="5">
        <v>0</v>
      </c>
      <c r="Q99" s="5">
        <v>0</v>
      </c>
      <c r="R99" s="9">
        <v>0</v>
      </c>
      <c r="S99" s="5">
        <v>0</v>
      </c>
      <c r="T99" s="5">
        <v>0</v>
      </c>
    </row>
    <row r="100" spans="1:20" x14ac:dyDescent="0.2">
      <c r="A100" s="5" t="s">
        <v>580</v>
      </c>
      <c r="B100" s="9" t="s">
        <v>75</v>
      </c>
      <c r="C100" s="5" t="s">
        <v>776</v>
      </c>
      <c r="D100" s="7">
        <f t="shared" si="0"/>
        <v>3.5</v>
      </c>
      <c r="E100" s="5">
        <v>0</v>
      </c>
      <c r="F100" s="5">
        <v>0</v>
      </c>
      <c r="G100" s="5">
        <v>0</v>
      </c>
      <c r="H100" s="5">
        <v>0</v>
      </c>
      <c r="I100" s="5">
        <v>0</v>
      </c>
      <c r="J100" s="9">
        <v>0</v>
      </c>
      <c r="K100" s="5">
        <v>5</v>
      </c>
      <c r="L100" s="5">
        <v>21</v>
      </c>
      <c r="M100" s="5">
        <v>0</v>
      </c>
      <c r="N100" s="9">
        <v>0</v>
      </c>
      <c r="O100" s="5">
        <v>1</v>
      </c>
      <c r="P100" s="5">
        <v>4</v>
      </c>
      <c r="Q100" s="5">
        <v>0</v>
      </c>
      <c r="R100" s="9">
        <v>0</v>
      </c>
      <c r="S100" s="5">
        <v>0</v>
      </c>
      <c r="T100" s="5">
        <v>0</v>
      </c>
    </row>
    <row r="101" spans="1:20" x14ac:dyDescent="0.2">
      <c r="A101" s="5" t="s">
        <v>380</v>
      </c>
      <c r="B101" s="9" t="s">
        <v>75</v>
      </c>
      <c r="C101" s="5" t="s">
        <v>780</v>
      </c>
      <c r="D101" s="7">
        <f t="shared" si="0"/>
        <v>2.2000000000000002</v>
      </c>
      <c r="E101" s="5">
        <v>0</v>
      </c>
      <c r="F101" s="5">
        <v>0</v>
      </c>
      <c r="G101" s="5">
        <v>0</v>
      </c>
      <c r="H101" s="5">
        <v>0</v>
      </c>
      <c r="I101" s="5">
        <v>0</v>
      </c>
      <c r="J101" s="9">
        <v>0</v>
      </c>
      <c r="K101" s="5">
        <v>2</v>
      </c>
      <c r="L101" s="5">
        <v>11</v>
      </c>
      <c r="M101" s="5">
        <v>0</v>
      </c>
      <c r="N101" s="9">
        <v>0</v>
      </c>
      <c r="O101" s="5">
        <v>1</v>
      </c>
      <c r="P101" s="5">
        <v>1</v>
      </c>
      <c r="Q101" s="5">
        <v>0</v>
      </c>
      <c r="R101" s="9">
        <v>0</v>
      </c>
      <c r="S101" s="5">
        <v>0</v>
      </c>
      <c r="T101" s="5">
        <v>0</v>
      </c>
    </row>
    <row r="102" spans="1:20" x14ac:dyDescent="0.2">
      <c r="A102" s="5" t="s">
        <v>395</v>
      </c>
      <c r="B102" s="9" t="s">
        <v>75</v>
      </c>
      <c r="C102" s="5" t="s">
        <v>777</v>
      </c>
      <c r="D102" s="7">
        <f t="shared" si="0"/>
        <v>4.4000000000000004</v>
      </c>
      <c r="E102" s="5">
        <v>0</v>
      </c>
      <c r="F102" s="5">
        <v>0</v>
      </c>
      <c r="G102" s="5">
        <v>0</v>
      </c>
      <c r="H102" s="5">
        <v>0</v>
      </c>
      <c r="I102" s="5">
        <v>0</v>
      </c>
      <c r="J102" s="9">
        <v>0</v>
      </c>
      <c r="K102" s="5">
        <v>4</v>
      </c>
      <c r="L102" s="5">
        <v>16</v>
      </c>
      <c r="M102" s="5">
        <v>0</v>
      </c>
      <c r="N102" s="9">
        <v>0</v>
      </c>
      <c r="O102" s="5">
        <v>2</v>
      </c>
      <c r="P102" s="5">
        <v>8</v>
      </c>
      <c r="Q102" s="5">
        <v>0</v>
      </c>
      <c r="R102" s="9">
        <v>0</v>
      </c>
      <c r="S102" s="5">
        <v>0</v>
      </c>
      <c r="T102" s="5">
        <v>0</v>
      </c>
    </row>
    <row r="103" spans="1:20" x14ac:dyDescent="0.2">
      <c r="A103" s="5" t="s">
        <v>118</v>
      </c>
      <c r="B103" s="9" t="s">
        <v>75</v>
      </c>
      <c r="C103" s="5" t="s">
        <v>776</v>
      </c>
      <c r="D103" s="7">
        <f t="shared" si="0"/>
        <v>3.2</v>
      </c>
      <c r="E103" s="5">
        <v>0</v>
      </c>
      <c r="F103" s="5">
        <v>0</v>
      </c>
      <c r="G103" s="5">
        <v>0</v>
      </c>
      <c r="H103" s="5">
        <v>0</v>
      </c>
      <c r="I103" s="5">
        <v>0</v>
      </c>
      <c r="J103" s="9">
        <v>0</v>
      </c>
      <c r="K103" s="5">
        <v>0</v>
      </c>
      <c r="L103" s="5">
        <v>0</v>
      </c>
      <c r="M103" s="5">
        <v>0</v>
      </c>
      <c r="N103" s="9">
        <v>0</v>
      </c>
      <c r="O103" s="5">
        <v>2</v>
      </c>
      <c r="P103" s="5">
        <v>12</v>
      </c>
      <c r="Q103" s="5">
        <v>0</v>
      </c>
      <c r="R103" s="9">
        <v>0</v>
      </c>
      <c r="S103" s="5">
        <v>0</v>
      </c>
      <c r="T103" s="5">
        <v>0</v>
      </c>
    </row>
    <row r="104" spans="1:20" x14ac:dyDescent="0.2">
      <c r="A104" s="5" t="s">
        <v>120</v>
      </c>
      <c r="B104" s="9" t="s">
        <v>75</v>
      </c>
      <c r="C104" s="5" t="s">
        <v>768</v>
      </c>
      <c r="D104" s="7">
        <f t="shared" si="0"/>
        <v>2.6</v>
      </c>
      <c r="E104" s="5">
        <v>0</v>
      </c>
      <c r="F104" s="5">
        <v>0</v>
      </c>
      <c r="G104" s="5">
        <v>0</v>
      </c>
      <c r="H104" s="5">
        <v>0</v>
      </c>
      <c r="I104" s="5">
        <v>0</v>
      </c>
      <c r="J104" s="9">
        <v>0</v>
      </c>
      <c r="K104" s="5">
        <v>3</v>
      </c>
      <c r="L104" s="5">
        <v>6</v>
      </c>
      <c r="M104" s="5">
        <v>0</v>
      </c>
      <c r="N104" s="9">
        <v>0</v>
      </c>
      <c r="O104" s="5">
        <v>1</v>
      </c>
      <c r="P104" s="5">
        <v>10</v>
      </c>
      <c r="Q104" s="5">
        <v>0</v>
      </c>
      <c r="R104" s="9">
        <v>0</v>
      </c>
      <c r="S104" s="5">
        <v>0</v>
      </c>
      <c r="T104" s="5">
        <v>0</v>
      </c>
    </row>
    <row r="105" spans="1:20" x14ac:dyDescent="0.2">
      <c r="A105" s="5" t="s">
        <v>142</v>
      </c>
      <c r="B105" s="9" t="s">
        <v>75</v>
      </c>
      <c r="C105" s="5" t="s">
        <v>774</v>
      </c>
      <c r="D105" s="7">
        <f t="shared" si="0"/>
        <v>1.3</v>
      </c>
      <c r="E105" s="5">
        <v>0</v>
      </c>
      <c r="F105" s="5">
        <v>0</v>
      </c>
      <c r="G105" s="5">
        <v>0</v>
      </c>
      <c r="H105" s="5">
        <v>0</v>
      </c>
      <c r="I105" s="5">
        <v>0</v>
      </c>
      <c r="J105" s="9">
        <v>0</v>
      </c>
      <c r="K105" s="5">
        <v>0</v>
      </c>
      <c r="L105" s="5">
        <v>0</v>
      </c>
      <c r="M105" s="5">
        <v>0</v>
      </c>
      <c r="N105" s="9">
        <v>0</v>
      </c>
      <c r="O105" s="5">
        <v>1</v>
      </c>
      <c r="P105" s="5">
        <v>3</v>
      </c>
      <c r="Q105" s="5">
        <v>0</v>
      </c>
      <c r="R105" s="9">
        <v>0</v>
      </c>
      <c r="S105" s="5">
        <v>0</v>
      </c>
      <c r="T105" s="5">
        <v>0</v>
      </c>
    </row>
    <row r="106" spans="1:20" x14ac:dyDescent="0.2">
      <c r="A106" s="5" t="s">
        <v>143</v>
      </c>
      <c r="B106" s="9" t="s">
        <v>75</v>
      </c>
      <c r="C106" s="5" t="s">
        <v>770</v>
      </c>
      <c r="D106" s="7">
        <f t="shared" si="0"/>
        <v>1.4</v>
      </c>
      <c r="E106" s="5">
        <v>0</v>
      </c>
      <c r="F106" s="5">
        <v>0</v>
      </c>
      <c r="G106" s="5">
        <v>0</v>
      </c>
      <c r="H106" s="5">
        <v>0</v>
      </c>
      <c r="I106" s="5">
        <v>0</v>
      </c>
      <c r="J106" s="9">
        <v>0</v>
      </c>
      <c r="K106" s="5">
        <v>1</v>
      </c>
      <c r="L106" s="5">
        <v>0</v>
      </c>
      <c r="M106" s="5">
        <v>0</v>
      </c>
      <c r="N106" s="9">
        <v>0</v>
      </c>
      <c r="O106" s="5">
        <v>1</v>
      </c>
      <c r="P106" s="5">
        <v>4</v>
      </c>
      <c r="Q106" s="5">
        <v>0</v>
      </c>
      <c r="R106" s="9">
        <v>0</v>
      </c>
      <c r="S106" s="5">
        <v>0</v>
      </c>
      <c r="T106" s="5">
        <v>0</v>
      </c>
    </row>
    <row r="107" spans="1:20" x14ac:dyDescent="0.2">
      <c r="A107" s="5" t="s">
        <v>144</v>
      </c>
      <c r="B107" s="9" t="s">
        <v>75</v>
      </c>
      <c r="C107" s="5" t="s">
        <v>778</v>
      </c>
      <c r="D107" s="7">
        <f t="shared" si="0"/>
        <v>0.6</v>
      </c>
      <c r="E107" s="5">
        <v>0</v>
      </c>
      <c r="F107" s="5">
        <v>0</v>
      </c>
      <c r="G107" s="5">
        <v>0</v>
      </c>
      <c r="H107" s="5">
        <v>0</v>
      </c>
      <c r="I107" s="5">
        <v>0</v>
      </c>
      <c r="J107" s="9">
        <v>0</v>
      </c>
      <c r="K107" s="5">
        <v>2</v>
      </c>
      <c r="L107" s="5">
        <v>0</v>
      </c>
      <c r="M107" s="5">
        <v>0</v>
      </c>
      <c r="N107" s="9">
        <v>0</v>
      </c>
      <c r="O107" s="5">
        <v>1</v>
      </c>
      <c r="P107" s="5">
        <v>-4</v>
      </c>
      <c r="Q107" s="5">
        <v>0</v>
      </c>
      <c r="R107" s="9">
        <v>0</v>
      </c>
      <c r="S107" s="5">
        <v>0</v>
      </c>
      <c r="T107" s="5">
        <v>0</v>
      </c>
    </row>
    <row r="108" spans="1:20" x14ac:dyDescent="0.2">
      <c r="A108" s="5" t="s">
        <v>133</v>
      </c>
      <c r="B108" s="9" t="s">
        <v>75</v>
      </c>
      <c r="C108" s="5" t="s">
        <v>778</v>
      </c>
      <c r="D108" s="7">
        <f t="shared" si="0"/>
        <v>0.2</v>
      </c>
      <c r="E108" s="5">
        <v>0</v>
      </c>
      <c r="F108" s="5">
        <v>0</v>
      </c>
      <c r="G108" s="5">
        <v>0</v>
      </c>
      <c r="H108" s="5">
        <v>0</v>
      </c>
      <c r="I108" s="5">
        <v>0</v>
      </c>
      <c r="J108" s="9">
        <v>0</v>
      </c>
      <c r="K108" s="5">
        <v>1</v>
      </c>
      <c r="L108" s="5">
        <v>2</v>
      </c>
      <c r="M108" s="5">
        <v>0</v>
      </c>
      <c r="N108" s="9">
        <v>0</v>
      </c>
      <c r="O108" s="5">
        <v>0</v>
      </c>
      <c r="P108" s="5">
        <v>0</v>
      </c>
      <c r="Q108" s="5">
        <v>0</v>
      </c>
      <c r="R108" s="9">
        <v>0</v>
      </c>
      <c r="S108" s="5">
        <v>0</v>
      </c>
      <c r="T108" s="5">
        <v>0</v>
      </c>
    </row>
    <row r="109" spans="1:20" x14ac:dyDescent="0.2">
      <c r="A109" s="5" t="s">
        <v>134</v>
      </c>
      <c r="B109" s="9" t="s">
        <v>75</v>
      </c>
      <c r="C109" s="5" t="s">
        <v>776</v>
      </c>
      <c r="D109" s="7">
        <f t="shared" si="0"/>
        <v>0.4</v>
      </c>
      <c r="E109" s="5">
        <v>0</v>
      </c>
      <c r="F109" s="5">
        <v>0</v>
      </c>
      <c r="G109" s="5">
        <v>0</v>
      </c>
      <c r="H109" s="5">
        <v>0</v>
      </c>
      <c r="I109" s="5">
        <v>0</v>
      </c>
      <c r="J109" s="9">
        <v>0</v>
      </c>
      <c r="K109" s="5">
        <v>2</v>
      </c>
      <c r="L109" s="5">
        <v>4</v>
      </c>
      <c r="M109" s="5">
        <v>0</v>
      </c>
      <c r="N109" s="9">
        <v>0</v>
      </c>
      <c r="O109" s="5">
        <v>0</v>
      </c>
      <c r="P109" s="5">
        <v>0</v>
      </c>
      <c r="Q109" s="5">
        <v>0</v>
      </c>
      <c r="R109" s="9">
        <v>0</v>
      </c>
      <c r="S109" s="5">
        <v>0</v>
      </c>
      <c r="T109" s="5">
        <v>0</v>
      </c>
    </row>
    <row r="110" spans="1:20" x14ac:dyDescent="0.2">
      <c r="A110" s="5" t="s">
        <v>137</v>
      </c>
      <c r="B110" s="9" t="s">
        <v>75</v>
      </c>
      <c r="C110" s="5" t="s">
        <v>779</v>
      </c>
      <c r="D110" s="7">
        <f t="shared" si="0"/>
        <v>1.6</v>
      </c>
      <c r="E110" s="5">
        <v>0</v>
      </c>
      <c r="F110" s="5">
        <v>0</v>
      </c>
      <c r="G110" s="5">
        <v>0</v>
      </c>
      <c r="H110" s="5">
        <v>0</v>
      </c>
      <c r="I110" s="5">
        <v>0</v>
      </c>
      <c r="J110" s="9">
        <v>0</v>
      </c>
      <c r="K110" s="5">
        <v>0</v>
      </c>
      <c r="L110" s="5">
        <v>0</v>
      </c>
      <c r="M110" s="5">
        <v>0</v>
      </c>
      <c r="N110" s="9">
        <v>0</v>
      </c>
      <c r="O110" s="5">
        <v>1</v>
      </c>
      <c r="P110" s="5">
        <v>6</v>
      </c>
      <c r="Q110" s="5">
        <v>0</v>
      </c>
      <c r="R110" s="9">
        <v>0</v>
      </c>
      <c r="S110" s="5">
        <v>0</v>
      </c>
      <c r="T110" s="5">
        <v>0</v>
      </c>
    </row>
    <row r="111" spans="1:20" x14ac:dyDescent="0.2">
      <c r="A111" s="5" t="s">
        <v>156</v>
      </c>
      <c r="B111" s="9" t="s">
        <v>75</v>
      </c>
      <c r="C111" s="5" t="s">
        <v>775</v>
      </c>
      <c r="D111" s="7">
        <f t="shared" si="0"/>
        <v>0.2</v>
      </c>
      <c r="E111" s="5">
        <v>0</v>
      </c>
      <c r="F111" s="5">
        <v>0</v>
      </c>
      <c r="G111" s="5">
        <v>0</v>
      </c>
      <c r="H111" s="5">
        <v>0</v>
      </c>
      <c r="I111" s="5">
        <v>0</v>
      </c>
      <c r="J111" s="9">
        <v>0</v>
      </c>
      <c r="K111" s="5">
        <v>1</v>
      </c>
      <c r="L111" s="5">
        <v>2</v>
      </c>
      <c r="M111" s="5">
        <v>0</v>
      </c>
      <c r="N111" s="9">
        <v>0</v>
      </c>
      <c r="O111" s="5">
        <v>0</v>
      </c>
      <c r="P111" s="5">
        <v>0</v>
      </c>
      <c r="Q111" s="5">
        <v>0</v>
      </c>
      <c r="R111" s="9">
        <v>0</v>
      </c>
      <c r="S111" s="5">
        <v>0</v>
      </c>
      <c r="T111" s="5">
        <v>0</v>
      </c>
    </row>
    <row r="112" spans="1:20" x14ac:dyDescent="0.2">
      <c r="A112" s="5" t="s">
        <v>453</v>
      </c>
      <c r="B112" s="9" t="s">
        <v>75</v>
      </c>
      <c r="C112" s="5" t="s">
        <v>772</v>
      </c>
      <c r="D112" s="7">
        <f t="shared" si="0"/>
        <v>1.5</v>
      </c>
      <c r="E112" s="5">
        <v>0</v>
      </c>
      <c r="F112" s="5">
        <v>0</v>
      </c>
      <c r="G112" s="5">
        <v>0</v>
      </c>
      <c r="H112" s="5">
        <v>0</v>
      </c>
      <c r="I112" s="5">
        <v>0</v>
      </c>
      <c r="J112" s="9">
        <v>0</v>
      </c>
      <c r="K112" s="5">
        <v>0</v>
      </c>
      <c r="L112" s="5">
        <v>0</v>
      </c>
      <c r="M112" s="5">
        <v>0</v>
      </c>
      <c r="N112" s="9">
        <v>0</v>
      </c>
      <c r="O112" s="5">
        <v>1</v>
      </c>
      <c r="P112" s="5">
        <v>5</v>
      </c>
      <c r="Q112" s="5">
        <v>0</v>
      </c>
      <c r="R112" s="9">
        <v>0</v>
      </c>
      <c r="S112" s="5">
        <v>0</v>
      </c>
      <c r="T112" s="5">
        <v>0</v>
      </c>
    </row>
    <row r="113" spans="1:20" x14ac:dyDescent="0.2">
      <c r="A113" s="5" t="s">
        <v>86</v>
      </c>
      <c r="B113" s="9" t="s">
        <v>75</v>
      </c>
      <c r="C113" s="5" t="s">
        <v>771</v>
      </c>
      <c r="D113" s="7">
        <f t="shared" si="0"/>
        <v>-0.2</v>
      </c>
      <c r="E113" s="5">
        <v>0</v>
      </c>
      <c r="F113" s="5">
        <v>0</v>
      </c>
      <c r="G113" s="5">
        <v>0</v>
      </c>
      <c r="H113" s="5">
        <v>0</v>
      </c>
      <c r="I113" s="5">
        <v>0</v>
      </c>
      <c r="J113" s="9">
        <v>0</v>
      </c>
      <c r="K113" s="5">
        <v>1</v>
      </c>
      <c r="L113" s="5">
        <v>-2</v>
      </c>
      <c r="M113" s="5">
        <v>0</v>
      </c>
      <c r="N113" s="9">
        <v>0</v>
      </c>
      <c r="O113" s="5">
        <v>0</v>
      </c>
      <c r="P113" s="5">
        <v>0</v>
      </c>
      <c r="Q113" s="5">
        <v>0</v>
      </c>
      <c r="R113" s="9">
        <v>0</v>
      </c>
      <c r="S113" s="5">
        <v>0</v>
      </c>
      <c r="T113" s="5">
        <v>0</v>
      </c>
    </row>
    <row r="114" spans="1:20" x14ac:dyDescent="0.2">
      <c r="A114" s="5" t="s">
        <v>433</v>
      </c>
      <c r="B114" s="9" t="s">
        <v>75</v>
      </c>
      <c r="C114" s="5" t="s">
        <v>776</v>
      </c>
      <c r="D114" s="7">
        <f t="shared" si="0"/>
        <v>2.1</v>
      </c>
      <c r="E114" s="5">
        <v>0</v>
      </c>
      <c r="F114" s="5">
        <v>0</v>
      </c>
      <c r="G114" s="5">
        <v>0</v>
      </c>
      <c r="H114" s="5">
        <v>0</v>
      </c>
      <c r="I114" s="5">
        <v>0</v>
      </c>
      <c r="J114" s="9">
        <v>0</v>
      </c>
      <c r="K114" s="5">
        <v>2</v>
      </c>
      <c r="L114" s="5">
        <v>3</v>
      </c>
      <c r="M114" s="5">
        <v>0</v>
      </c>
      <c r="N114" s="9">
        <v>0</v>
      </c>
      <c r="O114" s="5">
        <v>1</v>
      </c>
      <c r="P114" s="5">
        <v>8</v>
      </c>
      <c r="Q114" s="5">
        <v>0</v>
      </c>
      <c r="R114" s="9">
        <v>0</v>
      </c>
      <c r="S114" s="5">
        <v>0</v>
      </c>
      <c r="T114" s="5">
        <v>0</v>
      </c>
    </row>
    <row r="115" spans="1:20" x14ac:dyDescent="0.2">
      <c r="A115" s="5" t="s">
        <v>89</v>
      </c>
      <c r="B115" s="9" t="s">
        <v>75</v>
      </c>
      <c r="C115" s="5" t="s">
        <v>779</v>
      </c>
      <c r="D115" s="7">
        <f t="shared" si="0"/>
        <v>-0.1</v>
      </c>
      <c r="E115" s="5">
        <v>0</v>
      </c>
      <c r="F115" s="5">
        <v>0</v>
      </c>
      <c r="G115" s="5">
        <v>0</v>
      </c>
      <c r="H115" s="5">
        <v>0</v>
      </c>
      <c r="I115" s="5">
        <v>0</v>
      </c>
      <c r="J115" s="9">
        <v>0</v>
      </c>
      <c r="K115" s="5">
        <v>2</v>
      </c>
      <c r="L115" s="5">
        <v>-1</v>
      </c>
      <c r="M115" s="5">
        <v>0</v>
      </c>
      <c r="N115" s="9">
        <v>0</v>
      </c>
      <c r="O115" s="5">
        <v>0</v>
      </c>
      <c r="P115" s="5">
        <v>0</v>
      </c>
      <c r="Q115" s="5">
        <v>0</v>
      </c>
      <c r="R115" s="9">
        <v>0</v>
      </c>
      <c r="S115" s="5">
        <v>0</v>
      </c>
      <c r="T115" s="5">
        <v>0</v>
      </c>
    </row>
    <row r="116" spans="1:20" x14ac:dyDescent="0.2">
      <c r="A116" s="5" t="s">
        <v>392</v>
      </c>
      <c r="B116" s="9" t="s">
        <v>75</v>
      </c>
      <c r="C116" s="5" t="s">
        <v>768</v>
      </c>
      <c r="D116" s="7">
        <f t="shared" si="0"/>
        <v>0.60000000000000009</v>
      </c>
      <c r="E116" s="5">
        <v>0</v>
      </c>
      <c r="F116" s="5">
        <v>0</v>
      </c>
      <c r="G116" s="5">
        <v>0</v>
      </c>
      <c r="H116" s="5">
        <v>0</v>
      </c>
      <c r="I116" s="5">
        <v>0</v>
      </c>
      <c r="J116" s="9">
        <v>0</v>
      </c>
      <c r="K116" s="5">
        <v>1</v>
      </c>
      <c r="L116" s="5">
        <v>6</v>
      </c>
      <c r="M116" s="5">
        <v>0</v>
      </c>
      <c r="N116" s="9">
        <v>0</v>
      </c>
      <c r="O116" s="5">
        <v>0</v>
      </c>
      <c r="P116" s="5">
        <v>0</v>
      </c>
      <c r="Q116" s="5">
        <v>0</v>
      </c>
      <c r="R116" s="9">
        <v>0</v>
      </c>
      <c r="S116" s="5">
        <v>0</v>
      </c>
      <c r="T116" s="5">
        <v>0</v>
      </c>
    </row>
    <row r="117" spans="1:20" x14ac:dyDescent="0.2">
      <c r="A117" s="5" t="s">
        <v>94</v>
      </c>
      <c r="B117" s="9" t="s">
        <v>75</v>
      </c>
      <c r="C117" s="5" t="s">
        <v>769</v>
      </c>
      <c r="D117" s="7">
        <f t="shared" si="0"/>
        <v>1.8</v>
      </c>
      <c r="E117" s="5">
        <v>0</v>
      </c>
      <c r="F117" s="5">
        <v>0</v>
      </c>
      <c r="G117" s="5">
        <v>0</v>
      </c>
      <c r="H117" s="5">
        <v>0</v>
      </c>
      <c r="I117" s="5">
        <v>0</v>
      </c>
      <c r="J117" s="9">
        <v>0</v>
      </c>
      <c r="K117" s="5">
        <v>3</v>
      </c>
      <c r="L117" s="5">
        <v>3</v>
      </c>
      <c r="M117" s="5">
        <v>0</v>
      </c>
      <c r="N117" s="9">
        <v>0</v>
      </c>
      <c r="O117" s="5">
        <v>1</v>
      </c>
      <c r="P117" s="5">
        <v>5</v>
      </c>
      <c r="Q117" s="5">
        <v>0</v>
      </c>
      <c r="R117" s="9">
        <v>0</v>
      </c>
      <c r="S117" s="5">
        <v>0</v>
      </c>
      <c r="T117" s="5">
        <v>0</v>
      </c>
    </row>
    <row r="118" spans="1:20" x14ac:dyDescent="0.2">
      <c r="A118" s="5" t="s">
        <v>434</v>
      </c>
      <c r="B118" s="9" t="s">
        <v>75</v>
      </c>
      <c r="C118" s="5" t="s">
        <v>781</v>
      </c>
      <c r="D118" s="7">
        <f t="shared" si="0"/>
        <v>0.30000000000000004</v>
      </c>
      <c r="E118" s="5">
        <v>0</v>
      </c>
      <c r="F118" s="5">
        <v>0</v>
      </c>
      <c r="G118" s="5">
        <v>0</v>
      </c>
      <c r="H118" s="5">
        <v>0</v>
      </c>
      <c r="I118" s="5">
        <v>0</v>
      </c>
      <c r="J118" s="9">
        <v>0</v>
      </c>
      <c r="K118" s="5">
        <v>2</v>
      </c>
      <c r="L118" s="5">
        <v>3</v>
      </c>
      <c r="M118" s="5">
        <v>0</v>
      </c>
      <c r="N118" s="9">
        <v>0</v>
      </c>
      <c r="O118" s="5">
        <v>0</v>
      </c>
      <c r="P118" s="5">
        <v>0</v>
      </c>
      <c r="Q118" s="5">
        <v>0</v>
      </c>
      <c r="R118" s="9">
        <v>0</v>
      </c>
      <c r="S118" s="5">
        <v>0</v>
      </c>
      <c r="T118" s="5">
        <v>0</v>
      </c>
    </row>
    <row r="119" spans="1:20" x14ac:dyDescent="0.2">
      <c r="A119" s="5" t="s">
        <v>393</v>
      </c>
      <c r="B119" s="9" t="s">
        <v>75</v>
      </c>
      <c r="C119" s="5" t="s">
        <v>771</v>
      </c>
      <c r="D119" s="7">
        <f t="shared" si="0"/>
        <v>1.5</v>
      </c>
      <c r="E119" s="5">
        <v>0</v>
      </c>
      <c r="F119" s="5">
        <v>0</v>
      </c>
      <c r="G119" s="5">
        <v>0</v>
      </c>
      <c r="H119" s="5">
        <v>0</v>
      </c>
      <c r="I119" s="5">
        <v>0</v>
      </c>
      <c r="J119" s="9">
        <v>0</v>
      </c>
      <c r="K119" s="5">
        <v>2</v>
      </c>
      <c r="L119" s="5">
        <v>1</v>
      </c>
      <c r="M119" s="5">
        <v>0</v>
      </c>
      <c r="N119" s="9">
        <v>0</v>
      </c>
      <c r="O119" s="5">
        <v>1</v>
      </c>
      <c r="P119" s="5">
        <v>4</v>
      </c>
      <c r="Q119" s="5">
        <v>0</v>
      </c>
      <c r="R119" s="9">
        <v>0</v>
      </c>
      <c r="S119" s="5">
        <v>0</v>
      </c>
      <c r="T119" s="5">
        <v>0</v>
      </c>
    </row>
    <row r="120" spans="1:20" x14ac:dyDescent="0.2">
      <c r="A120" s="5" t="s">
        <v>140</v>
      </c>
      <c r="B120" s="9" t="s">
        <v>75</v>
      </c>
      <c r="C120" s="5" t="s">
        <v>769</v>
      </c>
      <c r="D120" s="7">
        <f t="shared" si="0"/>
        <v>1.2999999999999998</v>
      </c>
      <c r="E120" s="5">
        <v>0</v>
      </c>
      <c r="F120" s="5">
        <v>0</v>
      </c>
      <c r="G120" s="5">
        <v>0</v>
      </c>
      <c r="H120" s="5">
        <v>0</v>
      </c>
      <c r="I120" s="5">
        <v>0</v>
      </c>
      <c r="J120" s="9">
        <v>0</v>
      </c>
      <c r="K120" s="5">
        <v>3</v>
      </c>
      <c r="L120" s="5">
        <v>4</v>
      </c>
      <c r="M120" s="5">
        <v>0</v>
      </c>
      <c r="N120" s="9">
        <v>0</v>
      </c>
      <c r="O120" s="5">
        <v>1</v>
      </c>
      <c r="P120" s="5">
        <v>-1</v>
      </c>
      <c r="Q120" s="5">
        <v>0</v>
      </c>
      <c r="R120" s="9">
        <v>0</v>
      </c>
      <c r="S120" s="5">
        <v>0</v>
      </c>
      <c r="T120" s="5">
        <v>0</v>
      </c>
    </row>
    <row r="121" spans="1:20" x14ac:dyDescent="0.2">
      <c r="A121" s="5" t="s">
        <v>115</v>
      </c>
      <c r="B121" s="9" t="s">
        <v>75</v>
      </c>
      <c r="C121" s="5" t="s">
        <v>767</v>
      </c>
      <c r="D121" s="7">
        <f t="shared" si="0"/>
        <v>2.2999999999999998</v>
      </c>
      <c r="E121" s="5">
        <v>0</v>
      </c>
      <c r="F121" s="5">
        <v>0</v>
      </c>
      <c r="G121" s="5">
        <v>0</v>
      </c>
      <c r="H121" s="5">
        <v>0</v>
      </c>
      <c r="I121" s="5">
        <v>0</v>
      </c>
      <c r="J121" s="9">
        <v>0</v>
      </c>
      <c r="K121" s="5">
        <v>2</v>
      </c>
      <c r="L121" s="5">
        <v>8</v>
      </c>
      <c r="M121" s="5">
        <v>0</v>
      </c>
      <c r="N121" s="9">
        <v>0</v>
      </c>
      <c r="O121" s="5">
        <v>1</v>
      </c>
      <c r="P121" s="5">
        <v>5</v>
      </c>
      <c r="Q121" s="5">
        <v>0</v>
      </c>
      <c r="R121" s="9">
        <v>0</v>
      </c>
      <c r="S121" s="5">
        <v>0</v>
      </c>
      <c r="T121" s="5">
        <v>0</v>
      </c>
    </row>
    <row r="122" spans="1:20" x14ac:dyDescent="0.2">
      <c r="A122" s="5" t="s">
        <v>150</v>
      </c>
      <c r="B122" s="9" t="s">
        <v>75</v>
      </c>
      <c r="C122" s="5" t="s">
        <v>774</v>
      </c>
      <c r="D122" s="7">
        <f t="shared" si="0"/>
        <v>-1.7</v>
      </c>
      <c r="E122" s="5">
        <v>0</v>
      </c>
      <c r="F122" s="5">
        <v>0</v>
      </c>
      <c r="G122" s="5">
        <v>0</v>
      </c>
      <c r="H122" s="5">
        <v>0</v>
      </c>
      <c r="I122" s="5">
        <v>0</v>
      </c>
      <c r="J122" s="9">
        <v>0</v>
      </c>
      <c r="K122" s="5">
        <v>1</v>
      </c>
      <c r="L122" s="5">
        <v>3</v>
      </c>
      <c r="M122" s="5">
        <v>0</v>
      </c>
      <c r="N122" s="9">
        <v>0</v>
      </c>
      <c r="O122" s="5">
        <v>0</v>
      </c>
      <c r="P122" s="5">
        <v>0</v>
      </c>
      <c r="Q122" s="5">
        <v>0</v>
      </c>
      <c r="R122" s="9">
        <v>0</v>
      </c>
      <c r="S122" s="5">
        <v>1</v>
      </c>
      <c r="T122" s="5">
        <v>0</v>
      </c>
    </row>
    <row r="123" spans="1:20" x14ac:dyDescent="0.2">
      <c r="A123" s="5" t="s">
        <v>218</v>
      </c>
      <c r="B123" s="9" t="s">
        <v>162</v>
      </c>
      <c r="C123" s="5" t="s">
        <v>768</v>
      </c>
      <c r="D123" s="7">
        <f t="shared" si="0"/>
        <v>51.5</v>
      </c>
      <c r="E123" s="5">
        <v>0</v>
      </c>
      <c r="F123" s="5">
        <v>0</v>
      </c>
      <c r="G123" s="5">
        <v>0</v>
      </c>
      <c r="H123" s="5">
        <v>0</v>
      </c>
      <c r="I123" s="5">
        <v>0</v>
      </c>
      <c r="J123" s="9">
        <v>0</v>
      </c>
      <c r="K123" s="5">
        <v>0</v>
      </c>
      <c r="L123" s="5">
        <v>0</v>
      </c>
      <c r="M123" s="5">
        <v>0</v>
      </c>
      <c r="N123" s="9">
        <v>0</v>
      </c>
      <c r="O123" s="5">
        <v>11</v>
      </c>
      <c r="P123" s="5">
        <v>265</v>
      </c>
      <c r="Q123" s="5">
        <v>2</v>
      </c>
      <c r="R123" s="9">
        <v>1</v>
      </c>
      <c r="S123" s="5">
        <v>0</v>
      </c>
      <c r="T123" s="5">
        <v>0</v>
      </c>
    </row>
    <row r="124" spans="1:20" x14ac:dyDescent="0.2">
      <c r="A124" s="5" t="s">
        <v>210</v>
      </c>
      <c r="B124" s="9" t="s">
        <v>162</v>
      </c>
      <c r="C124" s="5" t="s">
        <v>777</v>
      </c>
      <c r="D124" s="7">
        <f t="shared" si="0"/>
        <v>35.5</v>
      </c>
      <c r="E124" s="5">
        <v>0</v>
      </c>
      <c r="F124" s="5">
        <v>0</v>
      </c>
      <c r="G124" s="5">
        <v>0</v>
      </c>
      <c r="H124" s="5">
        <v>0</v>
      </c>
      <c r="I124" s="5">
        <v>0</v>
      </c>
      <c r="J124" s="9">
        <v>0</v>
      </c>
      <c r="K124" s="5">
        <v>0</v>
      </c>
      <c r="L124" s="5">
        <v>0</v>
      </c>
      <c r="M124" s="5">
        <v>0</v>
      </c>
      <c r="N124" s="9">
        <v>0</v>
      </c>
      <c r="O124" s="5">
        <v>4</v>
      </c>
      <c r="P124" s="5">
        <v>195</v>
      </c>
      <c r="Q124" s="5">
        <v>2</v>
      </c>
      <c r="R124" s="9">
        <v>0</v>
      </c>
      <c r="S124" s="5">
        <v>0</v>
      </c>
      <c r="T124" s="5">
        <v>0</v>
      </c>
    </row>
    <row r="125" spans="1:20" x14ac:dyDescent="0.2">
      <c r="A125" s="5" t="s">
        <v>170</v>
      </c>
      <c r="B125" s="9" t="s">
        <v>162</v>
      </c>
      <c r="C125" s="5" t="s">
        <v>767</v>
      </c>
      <c r="D125" s="7">
        <f t="shared" si="0"/>
        <v>33</v>
      </c>
      <c r="E125" s="5">
        <v>0</v>
      </c>
      <c r="F125" s="5">
        <v>0</v>
      </c>
      <c r="G125" s="5">
        <v>0</v>
      </c>
      <c r="H125" s="5">
        <v>0</v>
      </c>
      <c r="I125" s="5">
        <v>0</v>
      </c>
      <c r="J125" s="9">
        <v>0</v>
      </c>
      <c r="K125" s="5">
        <v>2</v>
      </c>
      <c r="L125" s="5">
        <v>16</v>
      </c>
      <c r="M125" s="5">
        <v>0</v>
      </c>
      <c r="N125" s="9">
        <v>0</v>
      </c>
      <c r="O125" s="5">
        <v>9</v>
      </c>
      <c r="P125" s="5">
        <v>164</v>
      </c>
      <c r="Q125" s="5">
        <v>1</v>
      </c>
      <c r="R125" s="9">
        <v>0</v>
      </c>
      <c r="S125" s="5">
        <v>0</v>
      </c>
      <c r="T125" s="5">
        <v>0</v>
      </c>
    </row>
    <row r="126" spans="1:20" x14ac:dyDescent="0.2">
      <c r="A126" s="5" t="s">
        <v>371</v>
      </c>
      <c r="B126" s="9" t="s">
        <v>162</v>
      </c>
      <c r="C126" s="5" t="s">
        <v>769</v>
      </c>
      <c r="D126" s="7">
        <f t="shared" si="0"/>
        <v>27.8</v>
      </c>
      <c r="E126" s="5">
        <v>0</v>
      </c>
      <c r="F126" s="5">
        <v>0</v>
      </c>
      <c r="G126" s="5">
        <v>0</v>
      </c>
      <c r="H126" s="5">
        <v>0</v>
      </c>
      <c r="I126" s="5">
        <v>0</v>
      </c>
      <c r="J126" s="9">
        <v>0</v>
      </c>
      <c r="K126" s="5">
        <v>0</v>
      </c>
      <c r="L126" s="5">
        <v>0</v>
      </c>
      <c r="M126" s="5">
        <v>0</v>
      </c>
      <c r="N126" s="9">
        <v>0</v>
      </c>
      <c r="O126" s="5">
        <v>6</v>
      </c>
      <c r="P126" s="5">
        <v>98</v>
      </c>
      <c r="Q126" s="5">
        <v>2</v>
      </c>
      <c r="R126" s="9">
        <v>0</v>
      </c>
      <c r="S126" s="5">
        <v>0</v>
      </c>
      <c r="T126" s="5">
        <v>0</v>
      </c>
    </row>
    <row r="127" spans="1:20" x14ac:dyDescent="0.2">
      <c r="A127" s="5" t="s">
        <v>168</v>
      </c>
      <c r="B127" s="9" t="s">
        <v>162</v>
      </c>
      <c r="C127" s="5" t="s">
        <v>775</v>
      </c>
      <c r="D127" s="7">
        <f t="shared" si="0"/>
        <v>25.8</v>
      </c>
      <c r="E127" s="5">
        <v>0</v>
      </c>
      <c r="F127" s="5">
        <v>0</v>
      </c>
      <c r="G127" s="5">
        <v>0</v>
      </c>
      <c r="H127" s="5">
        <v>0</v>
      </c>
      <c r="I127" s="5">
        <v>0</v>
      </c>
      <c r="J127" s="9">
        <v>0</v>
      </c>
      <c r="K127" s="5">
        <v>1</v>
      </c>
      <c r="L127" s="5">
        <v>-12</v>
      </c>
      <c r="M127" s="5">
        <v>0</v>
      </c>
      <c r="N127" s="9">
        <v>0</v>
      </c>
      <c r="O127" s="5">
        <v>6</v>
      </c>
      <c r="P127" s="5">
        <v>90</v>
      </c>
      <c r="Q127" s="5">
        <v>2</v>
      </c>
      <c r="R127" s="9">
        <v>0</v>
      </c>
      <c r="S127" s="5">
        <v>0</v>
      </c>
      <c r="T127" s="5">
        <v>0</v>
      </c>
    </row>
    <row r="128" spans="1:20" x14ac:dyDescent="0.2">
      <c r="A128" s="5" t="s">
        <v>175</v>
      </c>
      <c r="B128" s="9" t="s">
        <v>162</v>
      </c>
      <c r="C128" s="5" t="s">
        <v>775</v>
      </c>
      <c r="D128" s="7">
        <f t="shared" si="0"/>
        <v>27.6</v>
      </c>
      <c r="E128" s="5">
        <v>0</v>
      </c>
      <c r="F128" s="5">
        <v>0</v>
      </c>
      <c r="G128" s="5">
        <v>0</v>
      </c>
      <c r="H128" s="5">
        <v>0</v>
      </c>
      <c r="I128" s="5">
        <v>0</v>
      </c>
      <c r="J128" s="9">
        <v>0</v>
      </c>
      <c r="K128" s="5">
        <v>0</v>
      </c>
      <c r="L128" s="5">
        <v>0</v>
      </c>
      <c r="M128" s="5">
        <v>0</v>
      </c>
      <c r="N128" s="9">
        <v>0</v>
      </c>
      <c r="O128" s="5">
        <v>7</v>
      </c>
      <c r="P128" s="5">
        <v>86</v>
      </c>
      <c r="Q128" s="5">
        <v>2</v>
      </c>
      <c r="R128" s="9">
        <v>0</v>
      </c>
      <c r="S128" s="5">
        <v>0</v>
      </c>
      <c r="T128" s="5">
        <v>0</v>
      </c>
    </row>
    <row r="129" spans="1:20" x14ac:dyDescent="0.2">
      <c r="A129" s="5" t="s">
        <v>326</v>
      </c>
      <c r="B129" s="9" t="s">
        <v>162</v>
      </c>
      <c r="C129" s="5" t="s">
        <v>777</v>
      </c>
      <c r="D129" s="7">
        <f t="shared" si="0"/>
        <v>25</v>
      </c>
      <c r="E129" s="5">
        <v>0</v>
      </c>
      <c r="F129" s="5">
        <v>0</v>
      </c>
      <c r="G129" s="5">
        <v>0</v>
      </c>
      <c r="H129" s="5">
        <v>0</v>
      </c>
      <c r="I129" s="5">
        <v>0</v>
      </c>
      <c r="J129" s="9">
        <v>0</v>
      </c>
      <c r="K129" s="5">
        <v>0</v>
      </c>
      <c r="L129" s="5">
        <v>0</v>
      </c>
      <c r="M129" s="5">
        <v>0</v>
      </c>
      <c r="N129" s="9">
        <v>0</v>
      </c>
      <c r="O129" s="5">
        <v>5</v>
      </c>
      <c r="P129" s="5">
        <v>140</v>
      </c>
      <c r="Q129" s="5">
        <v>1</v>
      </c>
      <c r="R129" s="9">
        <v>0</v>
      </c>
      <c r="S129" s="5">
        <v>0</v>
      </c>
      <c r="T129" s="5">
        <v>0</v>
      </c>
    </row>
    <row r="130" spans="1:20" x14ac:dyDescent="0.2">
      <c r="A130" s="5" t="s">
        <v>167</v>
      </c>
      <c r="B130" s="9" t="s">
        <v>162</v>
      </c>
      <c r="C130" s="5" t="s">
        <v>779</v>
      </c>
      <c r="D130" s="7">
        <f t="shared" si="0"/>
        <v>26.1</v>
      </c>
      <c r="E130" s="5">
        <v>0</v>
      </c>
      <c r="F130" s="5">
        <v>0</v>
      </c>
      <c r="G130" s="5">
        <v>0</v>
      </c>
      <c r="H130" s="5">
        <v>0</v>
      </c>
      <c r="I130" s="5">
        <v>0</v>
      </c>
      <c r="J130" s="9">
        <v>0</v>
      </c>
      <c r="K130" s="5">
        <v>0</v>
      </c>
      <c r="L130" s="5">
        <v>0</v>
      </c>
      <c r="M130" s="5">
        <v>0</v>
      </c>
      <c r="N130" s="9">
        <v>0</v>
      </c>
      <c r="O130" s="5">
        <v>6</v>
      </c>
      <c r="P130" s="5">
        <v>141</v>
      </c>
      <c r="Q130" s="5">
        <v>1</v>
      </c>
      <c r="R130" s="9">
        <v>0</v>
      </c>
      <c r="S130" s="5">
        <v>0</v>
      </c>
      <c r="T130" s="5">
        <v>0</v>
      </c>
    </row>
    <row r="131" spans="1:20" x14ac:dyDescent="0.2">
      <c r="A131" s="5" t="s">
        <v>230</v>
      </c>
      <c r="B131" s="9" t="s">
        <v>162</v>
      </c>
      <c r="C131" s="5" t="s">
        <v>771</v>
      </c>
      <c r="D131" s="7">
        <f t="shared" si="0"/>
        <v>23</v>
      </c>
      <c r="E131" s="5">
        <v>0</v>
      </c>
      <c r="F131" s="5">
        <v>0</v>
      </c>
      <c r="G131" s="5">
        <v>0</v>
      </c>
      <c r="H131" s="5">
        <v>0</v>
      </c>
      <c r="I131" s="5">
        <v>0</v>
      </c>
      <c r="J131" s="9">
        <v>0</v>
      </c>
      <c r="K131" s="5">
        <v>0</v>
      </c>
      <c r="L131" s="5">
        <v>0</v>
      </c>
      <c r="M131" s="5">
        <v>0</v>
      </c>
      <c r="N131" s="9">
        <v>0</v>
      </c>
      <c r="O131" s="5">
        <v>4</v>
      </c>
      <c r="P131" s="5">
        <v>130</v>
      </c>
      <c r="Q131" s="5">
        <v>1</v>
      </c>
      <c r="R131" s="9">
        <v>0</v>
      </c>
      <c r="S131" s="5">
        <v>0</v>
      </c>
      <c r="T131" s="5">
        <v>0</v>
      </c>
    </row>
    <row r="132" spans="1:20" x14ac:dyDescent="0.2">
      <c r="A132" s="5" t="s">
        <v>192</v>
      </c>
      <c r="B132" s="9" t="s">
        <v>162</v>
      </c>
      <c r="C132" s="5" t="s">
        <v>776</v>
      </c>
      <c r="D132" s="7">
        <f t="shared" si="0"/>
        <v>25.200000000000003</v>
      </c>
      <c r="E132" s="5">
        <v>0</v>
      </c>
      <c r="F132" s="5">
        <v>0</v>
      </c>
      <c r="G132" s="5">
        <v>0</v>
      </c>
      <c r="H132" s="5">
        <v>0</v>
      </c>
      <c r="I132" s="5">
        <v>0</v>
      </c>
      <c r="J132" s="9">
        <v>0</v>
      </c>
      <c r="K132" s="5">
        <v>2</v>
      </c>
      <c r="L132" s="5">
        <v>14</v>
      </c>
      <c r="M132" s="5">
        <v>0</v>
      </c>
      <c r="N132" s="9">
        <v>0</v>
      </c>
      <c r="O132" s="5">
        <v>6</v>
      </c>
      <c r="P132" s="5">
        <v>118</v>
      </c>
      <c r="Q132" s="5">
        <v>1</v>
      </c>
      <c r="R132" s="9">
        <v>0</v>
      </c>
      <c r="S132" s="5">
        <v>0</v>
      </c>
      <c r="T132" s="5">
        <v>0</v>
      </c>
    </row>
    <row r="133" spans="1:20" x14ac:dyDescent="0.2">
      <c r="A133" s="5" t="s">
        <v>173</v>
      </c>
      <c r="B133" s="9" t="s">
        <v>162</v>
      </c>
      <c r="C133" s="5" t="s">
        <v>779</v>
      </c>
      <c r="D133" s="7">
        <f t="shared" si="0"/>
        <v>28.6</v>
      </c>
      <c r="E133" s="5">
        <v>0</v>
      </c>
      <c r="F133" s="5">
        <v>0</v>
      </c>
      <c r="G133" s="5">
        <v>0</v>
      </c>
      <c r="H133" s="5">
        <v>0</v>
      </c>
      <c r="I133" s="5">
        <v>0</v>
      </c>
      <c r="J133" s="9">
        <v>0</v>
      </c>
      <c r="K133" s="5">
        <v>0</v>
      </c>
      <c r="L133" s="5">
        <v>0</v>
      </c>
      <c r="M133" s="5">
        <v>0</v>
      </c>
      <c r="N133" s="9">
        <v>0</v>
      </c>
      <c r="O133" s="5">
        <v>12</v>
      </c>
      <c r="P133" s="5">
        <v>106</v>
      </c>
      <c r="Q133" s="5">
        <v>1</v>
      </c>
      <c r="R133" s="9">
        <v>0</v>
      </c>
      <c r="S133" s="5">
        <v>0</v>
      </c>
      <c r="T133" s="5">
        <v>0</v>
      </c>
    </row>
    <row r="134" spans="1:20" x14ac:dyDescent="0.2">
      <c r="A134" s="5" t="s">
        <v>224</v>
      </c>
      <c r="B134" s="9" t="s">
        <v>162</v>
      </c>
      <c r="C134" s="5" t="s">
        <v>779</v>
      </c>
      <c r="D134" s="7">
        <f t="shared" si="0"/>
        <v>20.5</v>
      </c>
      <c r="E134" s="5">
        <v>0</v>
      </c>
      <c r="F134" s="5">
        <v>0</v>
      </c>
      <c r="G134" s="5">
        <v>0</v>
      </c>
      <c r="H134" s="5">
        <v>0</v>
      </c>
      <c r="I134" s="5">
        <v>0</v>
      </c>
      <c r="J134" s="9">
        <v>0</v>
      </c>
      <c r="K134" s="5">
        <v>0</v>
      </c>
      <c r="L134" s="5">
        <v>0</v>
      </c>
      <c r="M134" s="5">
        <v>0</v>
      </c>
      <c r="N134" s="9">
        <v>0</v>
      </c>
      <c r="O134" s="5">
        <v>5</v>
      </c>
      <c r="P134" s="5">
        <v>95</v>
      </c>
      <c r="Q134" s="5">
        <v>1</v>
      </c>
      <c r="R134" s="9">
        <v>0</v>
      </c>
      <c r="S134" s="5">
        <v>0</v>
      </c>
      <c r="T134" s="5">
        <v>0</v>
      </c>
    </row>
    <row r="135" spans="1:20" x14ac:dyDescent="0.2">
      <c r="A135" s="5" t="s">
        <v>236</v>
      </c>
      <c r="B135" s="9" t="s">
        <v>162</v>
      </c>
      <c r="C135" s="5" t="s">
        <v>774</v>
      </c>
      <c r="D135" s="7">
        <f t="shared" si="0"/>
        <v>18</v>
      </c>
      <c r="E135" s="5">
        <v>0</v>
      </c>
      <c r="F135" s="5">
        <v>0</v>
      </c>
      <c r="G135" s="5">
        <v>0</v>
      </c>
      <c r="H135" s="5">
        <v>0</v>
      </c>
      <c r="I135" s="5">
        <v>0</v>
      </c>
      <c r="J135" s="9">
        <v>0</v>
      </c>
      <c r="K135" s="5">
        <v>0</v>
      </c>
      <c r="L135" s="5">
        <v>0</v>
      </c>
      <c r="M135" s="5">
        <v>0</v>
      </c>
      <c r="N135" s="9">
        <v>0</v>
      </c>
      <c r="O135" s="5">
        <v>3</v>
      </c>
      <c r="P135" s="5">
        <v>90</v>
      </c>
      <c r="Q135" s="5">
        <v>1</v>
      </c>
      <c r="R135" s="9">
        <v>0</v>
      </c>
      <c r="S135" s="5">
        <v>0</v>
      </c>
      <c r="T135" s="5">
        <v>0</v>
      </c>
    </row>
    <row r="136" spans="1:20" x14ac:dyDescent="0.2">
      <c r="A136" s="5" t="s">
        <v>171</v>
      </c>
      <c r="B136" s="9" t="s">
        <v>162</v>
      </c>
      <c r="C136" s="5" t="s">
        <v>767</v>
      </c>
      <c r="D136" s="7">
        <f t="shared" si="0"/>
        <v>23.3</v>
      </c>
      <c r="E136" s="5">
        <v>0</v>
      </c>
      <c r="F136" s="5">
        <v>0</v>
      </c>
      <c r="G136" s="5">
        <v>0</v>
      </c>
      <c r="H136" s="5">
        <v>0</v>
      </c>
      <c r="I136" s="5">
        <v>0</v>
      </c>
      <c r="J136" s="9">
        <v>0</v>
      </c>
      <c r="K136" s="5">
        <v>0</v>
      </c>
      <c r="L136" s="5">
        <v>0</v>
      </c>
      <c r="M136" s="5">
        <v>0</v>
      </c>
      <c r="N136" s="9">
        <v>0</v>
      </c>
      <c r="O136" s="5">
        <v>9</v>
      </c>
      <c r="P136" s="5">
        <v>123</v>
      </c>
      <c r="Q136" s="5">
        <v>0</v>
      </c>
      <c r="R136" s="9">
        <v>1</v>
      </c>
      <c r="S136" s="5">
        <v>0</v>
      </c>
      <c r="T136" s="5">
        <v>0</v>
      </c>
    </row>
    <row r="137" spans="1:20" x14ac:dyDescent="0.2">
      <c r="A137" s="5" t="s">
        <v>627</v>
      </c>
      <c r="B137" s="9" t="s">
        <v>162</v>
      </c>
      <c r="C137" s="5" t="s">
        <v>767</v>
      </c>
      <c r="D137" s="7">
        <f t="shared" si="0"/>
        <v>20.200000000000003</v>
      </c>
      <c r="E137" s="5">
        <v>0</v>
      </c>
      <c r="F137" s="5">
        <v>0</v>
      </c>
      <c r="G137" s="5">
        <v>0</v>
      </c>
      <c r="H137" s="5">
        <v>0</v>
      </c>
      <c r="I137" s="5">
        <v>0</v>
      </c>
      <c r="J137" s="9">
        <v>0</v>
      </c>
      <c r="K137" s="5">
        <v>0</v>
      </c>
      <c r="L137" s="5">
        <v>0</v>
      </c>
      <c r="M137" s="5">
        <v>0</v>
      </c>
      <c r="N137" s="9">
        <v>0</v>
      </c>
      <c r="O137" s="5">
        <v>6</v>
      </c>
      <c r="P137" s="5">
        <v>82</v>
      </c>
      <c r="Q137" s="5">
        <v>1</v>
      </c>
      <c r="R137" s="9">
        <v>0</v>
      </c>
      <c r="S137" s="5">
        <v>0</v>
      </c>
      <c r="T137" s="5">
        <v>0</v>
      </c>
    </row>
    <row r="138" spans="1:20" x14ac:dyDescent="0.2">
      <c r="A138" s="5" t="s">
        <v>174</v>
      </c>
      <c r="B138" s="9" t="s">
        <v>162</v>
      </c>
      <c r="C138" s="5" t="s">
        <v>769</v>
      </c>
      <c r="D138" s="7">
        <f t="shared" si="0"/>
        <v>17.899999999999999</v>
      </c>
      <c r="E138" s="5">
        <v>0</v>
      </c>
      <c r="F138" s="5">
        <v>0</v>
      </c>
      <c r="G138" s="5">
        <v>0</v>
      </c>
      <c r="H138" s="5">
        <v>0</v>
      </c>
      <c r="I138" s="5">
        <v>0</v>
      </c>
      <c r="J138" s="9">
        <v>0</v>
      </c>
      <c r="K138" s="5">
        <v>0</v>
      </c>
      <c r="L138" s="5">
        <v>0</v>
      </c>
      <c r="M138" s="5">
        <v>0</v>
      </c>
      <c r="N138" s="9">
        <v>0</v>
      </c>
      <c r="O138" s="5">
        <v>4</v>
      </c>
      <c r="P138" s="5">
        <v>79</v>
      </c>
      <c r="Q138" s="5">
        <v>1</v>
      </c>
      <c r="R138" s="9">
        <v>0</v>
      </c>
      <c r="S138" s="5">
        <v>0</v>
      </c>
      <c r="T138" s="5">
        <v>0</v>
      </c>
    </row>
    <row r="139" spans="1:20" x14ac:dyDescent="0.2">
      <c r="A139" s="5" t="s">
        <v>179</v>
      </c>
      <c r="B139" s="9" t="s">
        <v>162</v>
      </c>
      <c r="C139" s="5" t="s">
        <v>772</v>
      </c>
      <c r="D139" s="7">
        <f t="shared" si="0"/>
        <v>22.2</v>
      </c>
      <c r="E139" s="5">
        <v>0</v>
      </c>
      <c r="F139" s="5">
        <v>0</v>
      </c>
      <c r="G139" s="5">
        <v>0</v>
      </c>
      <c r="H139" s="5">
        <v>0</v>
      </c>
      <c r="I139" s="5">
        <v>0</v>
      </c>
      <c r="J139" s="9">
        <v>0</v>
      </c>
      <c r="K139" s="5">
        <v>0</v>
      </c>
      <c r="L139" s="5">
        <v>0</v>
      </c>
      <c r="M139" s="5">
        <v>0</v>
      </c>
      <c r="N139" s="9">
        <v>0</v>
      </c>
      <c r="O139" s="5">
        <v>9</v>
      </c>
      <c r="P139" s="5">
        <v>72</v>
      </c>
      <c r="Q139" s="5">
        <v>1</v>
      </c>
      <c r="R139" s="9">
        <v>0</v>
      </c>
      <c r="S139" s="5">
        <v>0</v>
      </c>
      <c r="T139" s="5">
        <v>0</v>
      </c>
    </row>
    <row r="140" spans="1:20" x14ac:dyDescent="0.2">
      <c r="A140" s="5" t="s">
        <v>172</v>
      </c>
      <c r="B140" s="9" t="s">
        <v>162</v>
      </c>
      <c r="C140" s="5" t="s">
        <v>767</v>
      </c>
      <c r="D140" s="7">
        <f t="shared" si="0"/>
        <v>18.399999999999999</v>
      </c>
      <c r="E140" s="5">
        <v>0</v>
      </c>
      <c r="F140" s="5">
        <v>0</v>
      </c>
      <c r="G140" s="5">
        <v>0</v>
      </c>
      <c r="H140" s="5">
        <v>0</v>
      </c>
      <c r="I140" s="5">
        <v>0</v>
      </c>
      <c r="J140" s="9">
        <v>0</v>
      </c>
      <c r="K140" s="5">
        <v>1</v>
      </c>
      <c r="L140" s="5">
        <v>4</v>
      </c>
      <c r="M140" s="5">
        <v>0</v>
      </c>
      <c r="N140" s="9">
        <v>0</v>
      </c>
      <c r="O140" s="5">
        <v>5</v>
      </c>
      <c r="P140" s="5">
        <v>70</v>
      </c>
      <c r="Q140" s="5">
        <v>1</v>
      </c>
      <c r="R140" s="9">
        <v>0</v>
      </c>
      <c r="S140" s="5">
        <v>0</v>
      </c>
      <c r="T140" s="5">
        <v>0</v>
      </c>
    </row>
    <row r="141" spans="1:20" x14ac:dyDescent="0.2">
      <c r="A141" s="5" t="s">
        <v>177</v>
      </c>
      <c r="B141" s="9" t="s">
        <v>162</v>
      </c>
      <c r="C141" s="5" t="s">
        <v>774</v>
      </c>
      <c r="D141" s="7">
        <f t="shared" si="0"/>
        <v>17.899999999999999</v>
      </c>
      <c r="E141" s="5">
        <v>0</v>
      </c>
      <c r="F141" s="5">
        <v>0</v>
      </c>
      <c r="G141" s="5">
        <v>0</v>
      </c>
      <c r="H141" s="5">
        <v>0</v>
      </c>
      <c r="I141" s="5">
        <v>0</v>
      </c>
      <c r="J141" s="9">
        <v>0</v>
      </c>
      <c r="K141" s="5">
        <v>0</v>
      </c>
      <c r="L141" s="5">
        <v>0</v>
      </c>
      <c r="M141" s="5">
        <v>0</v>
      </c>
      <c r="N141" s="9">
        <v>0</v>
      </c>
      <c r="O141" s="5">
        <v>4</v>
      </c>
      <c r="P141" s="5">
        <v>79</v>
      </c>
      <c r="Q141" s="5">
        <v>1</v>
      </c>
      <c r="R141" s="9">
        <v>0</v>
      </c>
      <c r="S141" s="5">
        <v>0</v>
      </c>
      <c r="T141" s="5">
        <v>0</v>
      </c>
    </row>
    <row r="142" spans="1:20" x14ac:dyDescent="0.2">
      <c r="A142" s="5" t="s">
        <v>231</v>
      </c>
      <c r="B142" s="9" t="s">
        <v>162</v>
      </c>
      <c r="C142" s="5" t="s">
        <v>770</v>
      </c>
      <c r="D142" s="7">
        <f t="shared" si="0"/>
        <v>15.7</v>
      </c>
      <c r="E142" s="5">
        <v>0</v>
      </c>
      <c r="F142" s="5">
        <v>0</v>
      </c>
      <c r="G142" s="5">
        <v>0</v>
      </c>
      <c r="H142" s="5">
        <v>0</v>
      </c>
      <c r="I142" s="5">
        <v>0</v>
      </c>
      <c r="J142" s="9">
        <v>0</v>
      </c>
      <c r="K142" s="5">
        <v>0</v>
      </c>
      <c r="L142" s="5">
        <v>0</v>
      </c>
      <c r="M142" s="5">
        <v>0</v>
      </c>
      <c r="N142" s="9">
        <v>0</v>
      </c>
      <c r="O142" s="5">
        <v>3</v>
      </c>
      <c r="P142" s="5">
        <v>47</v>
      </c>
      <c r="Q142" s="5">
        <v>1</v>
      </c>
      <c r="R142" s="9">
        <v>1</v>
      </c>
      <c r="S142" s="5">
        <v>0</v>
      </c>
      <c r="T142" s="5">
        <v>0</v>
      </c>
    </row>
    <row r="143" spans="1:20" x14ac:dyDescent="0.2">
      <c r="A143" s="5" t="s">
        <v>163</v>
      </c>
      <c r="B143" s="9" t="s">
        <v>162</v>
      </c>
      <c r="C143" s="5" t="s">
        <v>772</v>
      </c>
      <c r="D143" s="7">
        <f t="shared" si="0"/>
        <v>17.3</v>
      </c>
      <c r="E143" s="5">
        <v>0</v>
      </c>
      <c r="F143" s="5">
        <v>0</v>
      </c>
      <c r="G143" s="5">
        <v>0</v>
      </c>
      <c r="H143" s="5">
        <v>0</v>
      </c>
      <c r="I143" s="5">
        <v>0</v>
      </c>
      <c r="J143" s="9">
        <v>0</v>
      </c>
      <c r="K143" s="5">
        <v>0</v>
      </c>
      <c r="L143" s="5">
        <v>0</v>
      </c>
      <c r="M143" s="5">
        <v>0</v>
      </c>
      <c r="N143" s="9">
        <v>0</v>
      </c>
      <c r="O143" s="5">
        <v>6</v>
      </c>
      <c r="P143" s="5">
        <v>113</v>
      </c>
      <c r="Q143" s="5">
        <v>0</v>
      </c>
      <c r="R143" s="9">
        <v>0</v>
      </c>
      <c r="S143" s="5">
        <v>0</v>
      </c>
      <c r="T143" s="5">
        <v>0</v>
      </c>
    </row>
    <row r="144" spans="1:20" x14ac:dyDescent="0.2">
      <c r="A144" s="5" t="s">
        <v>188</v>
      </c>
      <c r="B144" s="9" t="s">
        <v>162</v>
      </c>
      <c r="C144" s="5" t="s">
        <v>778</v>
      </c>
      <c r="D144" s="7">
        <f t="shared" si="0"/>
        <v>15.600000000000001</v>
      </c>
      <c r="E144" s="5">
        <v>0</v>
      </c>
      <c r="F144" s="5">
        <v>0</v>
      </c>
      <c r="G144" s="5">
        <v>0</v>
      </c>
      <c r="H144" s="5">
        <v>0</v>
      </c>
      <c r="I144" s="5">
        <v>0</v>
      </c>
      <c r="J144" s="9">
        <v>0</v>
      </c>
      <c r="K144" s="5">
        <v>0</v>
      </c>
      <c r="L144" s="5">
        <v>0</v>
      </c>
      <c r="M144" s="5">
        <v>0</v>
      </c>
      <c r="N144" s="9">
        <v>0</v>
      </c>
      <c r="O144" s="5">
        <v>4</v>
      </c>
      <c r="P144" s="5">
        <v>56</v>
      </c>
      <c r="Q144" s="5">
        <v>1</v>
      </c>
      <c r="R144" s="9">
        <v>0</v>
      </c>
      <c r="S144" s="5">
        <v>0</v>
      </c>
      <c r="T144" s="5">
        <v>0</v>
      </c>
    </row>
    <row r="145" spans="1:20" x14ac:dyDescent="0.2">
      <c r="A145" s="5" t="s">
        <v>629</v>
      </c>
      <c r="B145" s="9" t="s">
        <v>162</v>
      </c>
      <c r="C145" s="5" t="s">
        <v>773</v>
      </c>
      <c r="D145" s="7">
        <f t="shared" si="0"/>
        <v>12.5</v>
      </c>
      <c r="E145" s="5">
        <v>0</v>
      </c>
      <c r="F145" s="5">
        <v>0</v>
      </c>
      <c r="G145" s="5">
        <v>0</v>
      </c>
      <c r="H145" s="5">
        <v>0</v>
      </c>
      <c r="I145" s="5">
        <v>0</v>
      </c>
      <c r="J145" s="9">
        <v>0</v>
      </c>
      <c r="K145" s="5">
        <v>0</v>
      </c>
      <c r="L145" s="5">
        <v>0</v>
      </c>
      <c r="M145" s="5">
        <v>0</v>
      </c>
      <c r="N145" s="9">
        <v>0</v>
      </c>
      <c r="O145" s="5">
        <v>2</v>
      </c>
      <c r="P145" s="5">
        <v>45</v>
      </c>
      <c r="Q145" s="5">
        <v>1</v>
      </c>
      <c r="R145" s="9">
        <v>0</v>
      </c>
      <c r="S145" s="5">
        <v>0</v>
      </c>
      <c r="T145" s="5">
        <v>0</v>
      </c>
    </row>
    <row r="146" spans="1:20" x14ac:dyDescent="0.2">
      <c r="A146" s="5" t="s">
        <v>698</v>
      </c>
      <c r="B146" s="9" t="s">
        <v>162</v>
      </c>
      <c r="C146" s="5" t="s">
        <v>769</v>
      </c>
      <c r="D146" s="7">
        <f t="shared" si="0"/>
        <v>12.100000000000001</v>
      </c>
      <c r="E146" s="5">
        <v>0</v>
      </c>
      <c r="F146" s="5">
        <v>0</v>
      </c>
      <c r="G146" s="5">
        <v>0</v>
      </c>
      <c r="H146" s="5">
        <v>0</v>
      </c>
      <c r="I146" s="5">
        <v>0</v>
      </c>
      <c r="J146" s="9">
        <v>0</v>
      </c>
      <c r="K146" s="5">
        <v>2</v>
      </c>
      <c r="L146" s="5">
        <v>33</v>
      </c>
      <c r="M146" s="5">
        <v>1</v>
      </c>
      <c r="N146" s="9">
        <v>0</v>
      </c>
      <c r="O146" s="5">
        <v>1</v>
      </c>
      <c r="P146" s="5">
        <v>18</v>
      </c>
      <c r="Q146" s="5">
        <v>0</v>
      </c>
      <c r="R146" s="9">
        <v>0</v>
      </c>
      <c r="S146" s="5">
        <v>0</v>
      </c>
      <c r="T146" s="5">
        <v>0</v>
      </c>
    </row>
    <row r="147" spans="1:20" x14ac:dyDescent="0.2">
      <c r="A147" s="5" t="s">
        <v>183</v>
      </c>
      <c r="B147" s="9" t="s">
        <v>162</v>
      </c>
      <c r="C147" s="5" t="s">
        <v>768</v>
      </c>
      <c r="D147" s="7">
        <f t="shared" si="0"/>
        <v>13.8</v>
      </c>
      <c r="E147" s="5">
        <v>0</v>
      </c>
      <c r="F147" s="5">
        <v>0</v>
      </c>
      <c r="G147" s="5">
        <v>0</v>
      </c>
      <c r="H147" s="5">
        <v>0</v>
      </c>
      <c r="I147" s="5">
        <v>0</v>
      </c>
      <c r="J147" s="9">
        <v>0</v>
      </c>
      <c r="K147" s="5">
        <v>0</v>
      </c>
      <c r="L147" s="5">
        <v>0</v>
      </c>
      <c r="M147" s="5">
        <v>0</v>
      </c>
      <c r="N147" s="9">
        <v>0</v>
      </c>
      <c r="O147" s="5">
        <v>4</v>
      </c>
      <c r="P147" s="5">
        <v>18</v>
      </c>
      <c r="Q147" s="5">
        <v>1</v>
      </c>
      <c r="R147" s="9">
        <v>1</v>
      </c>
      <c r="S147" s="5">
        <v>0</v>
      </c>
      <c r="T147" s="5">
        <v>0</v>
      </c>
    </row>
    <row r="148" spans="1:20" x14ac:dyDescent="0.2">
      <c r="A148" s="5" t="s">
        <v>161</v>
      </c>
      <c r="B148" s="9" t="s">
        <v>162</v>
      </c>
      <c r="C148" s="5" t="s">
        <v>776</v>
      </c>
      <c r="D148" s="7">
        <f t="shared" si="0"/>
        <v>18.899999999999999</v>
      </c>
      <c r="E148" s="5">
        <v>0</v>
      </c>
      <c r="F148" s="5">
        <v>0</v>
      </c>
      <c r="G148" s="5">
        <v>0</v>
      </c>
      <c r="H148" s="5">
        <v>0</v>
      </c>
      <c r="I148" s="5">
        <v>0</v>
      </c>
      <c r="J148" s="9">
        <v>0</v>
      </c>
      <c r="K148" s="5">
        <v>0</v>
      </c>
      <c r="L148" s="5">
        <v>0</v>
      </c>
      <c r="M148" s="5">
        <v>0</v>
      </c>
      <c r="N148" s="9">
        <v>0</v>
      </c>
      <c r="O148" s="5">
        <v>9</v>
      </c>
      <c r="P148" s="5">
        <v>99</v>
      </c>
      <c r="Q148" s="5">
        <v>0</v>
      </c>
      <c r="R148" s="9">
        <v>0</v>
      </c>
      <c r="S148" s="5">
        <v>0</v>
      </c>
      <c r="T148" s="5">
        <v>0</v>
      </c>
    </row>
    <row r="149" spans="1:20" x14ac:dyDescent="0.2">
      <c r="A149" s="5" t="s">
        <v>647</v>
      </c>
      <c r="B149" s="9" t="s">
        <v>162</v>
      </c>
      <c r="C149" s="5" t="s">
        <v>767</v>
      </c>
      <c r="D149" s="7">
        <f t="shared" si="0"/>
        <v>10.5</v>
      </c>
      <c r="E149" s="5">
        <v>0</v>
      </c>
      <c r="F149" s="5">
        <v>0</v>
      </c>
      <c r="G149" s="5">
        <v>0</v>
      </c>
      <c r="H149" s="5">
        <v>0</v>
      </c>
      <c r="I149" s="5">
        <v>0</v>
      </c>
      <c r="J149" s="9">
        <v>0</v>
      </c>
      <c r="K149" s="5">
        <v>0</v>
      </c>
      <c r="L149" s="5">
        <v>0</v>
      </c>
      <c r="M149" s="5">
        <v>0</v>
      </c>
      <c r="N149" s="9">
        <v>0</v>
      </c>
      <c r="O149" s="5">
        <v>1</v>
      </c>
      <c r="P149" s="5">
        <v>35</v>
      </c>
      <c r="Q149" s="5">
        <v>1</v>
      </c>
      <c r="R149" s="9">
        <v>0</v>
      </c>
      <c r="S149" s="5">
        <v>0</v>
      </c>
      <c r="T149" s="5">
        <v>0</v>
      </c>
    </row>
    <row r="150" spans="1:20" x14ac:dyDescent="0.2">
      <c r="A150" s="5" t="s">
        <v>246</v>
      </c>
      <c r="B150" s="9" t="s">
        <v>162</v>
      </c>
      <c r="C150" s="5" t="s">
        <v>769</v>
      </c>
      <c r="D150" s="7">
        <f t="shared" si="0"/>
        <v>15.4</v>
      </c>
      <c r="E150" s="5">
        <v>0</v>
      </c>
      <c r="F150" s="5">
        <v>0</v>
      </c>
      <c r="G150" s="5">
        <v>0</v>
      </c>
      <c r="H150" s="5">
        <v>0</v>
      </c>
      <c r="I150" s="5">
        <v>0</v>
      </c>
      <c r="J150" s="9">
        <v>0</v>
      </c>
      <c r="K150" s="5">
        <v>0</v>
      </c>
      <c r="L150" s="5">
        <v>0</v>
      </c>
      <c r="M150" s="5">
        <v>0</v>
      </c>
      <c r="N150" s="9">
        <v>0</v>
      </c>
      <c r="O150" s="5">
        <v>6</v>
      </c>
      <c r="P150" s="5">
        <v>94</v>
      </c>
      <c r="Q150" s="5">
        <v>0</v>
      </c>
      <c r="R150" s="9">
        <v>0</v>
      </c>
      <c r="S150" s="5">
        <v>0</v>
      </c>
      <c r="T150" s="5">
        <v>0</v>
      </c>
    </row>
    <row r="151" spans="1:20" x14ac:dyDescent="0.2">
      <c r="A151" s="5" t="s">
        <v>227</v>
      </c>
      <c r="B151" s="9" t="s">
        <v>162</v>
      </c>
      <c r="C151" s="5" t="s">
        <v>780</v>
      </c>
      <c r="D151" s="7">
        <f t="shared" si="0"/>
        <v>13.8</v>
      </c>
      <c r="E151" s="5">
        <v>0</v>
      </c>
      <c r="F151" s="5">
        <v>0</v>
      </c>
      <c r="G151" s="5">
        <v>0</v>
      </c>
      <c r="H151" s="5">
        <v>0</v>
      </c>
      <c r="I151" s="5">
        <v>0</v>
      </c>
      <c r="J151" s="9">
        <v>0</v>
      </c>
      <c r="K151" s="5">
        <v>0</v>
      </c>
      <c r="L151" s="5">
        <v>0</v>
      </c>
      <c r="M151" s="5">
        <v>0</v>
      </c>
      <c r="N151" s="9">
        <v>0</v>
      </c>
      <c r="O151" s="5">
        <v>4</v>
      </c>
      <c r="P151" s="5">
        <v>38</v>
      </c>
      <c r="Q151" s="5">
        <v>1</v>
      </c>
      <c r="R151" s="9">
        <v>0</v>
      </c>
      <c r="S151" s="5">
        <v>0</v>
      </c>
      <c r="T151" s="5">
        <v>0</v>
      </c>
    </row>
    <row r="152" spans="1:20" x14ac:dyDescent="0.2">
      <c r="A152" s="5" t="s">
        <v>182</v>
      </c>
      <c r="B152" s="9" t="s">
        <v>162</v>
      </c>
      <c r="C152" s="5" t="s">
        <v>774</v>
      </c>
      <c r="D152" s="7">
        <f t="shared" si="0"/>
        <v>14</v>
      </c>
      <c r="E152" s="5">
        <v>0</v>
      </c>
      <c r="F152" s="5">
        <v>0</v>
      </c>
      <c r="G152" s="5">
        <v>0</v>
      </c>
      <c r="H152" s="5">
        <v>0</v>
      </c>
      <c r="I152" s="5">
        <v>0</v>
      </c>
      <c r="J152" s="9">
        <v>0</v>
      </c>
      <c r="K152" s="5">
        <v>0</v>
      </c>
      <c r="L152" s="5">
        <v>0</v>
      </c>
      <c r="M152" s="5">
        <v>0</v>
      </c>
      <c r="N152" s="9">
        <v>0</v>
      </c>
      <c r="O152" s="5">
        <v>6</v>
      </c>
      <c r="P152" s="5">
        <v>80</v>
      </c>
      <c r="Q152" s="5">
        <v>0</v>
      </c>
      <c r="R152" s="9">
        <v>0</v>
      </c>
      <c r="S152" s="5">
        <v>0</v>
      </c>
      <c r="T152" s="5">
        <v>0</v>
      </c>
    </row>
    <row r="153" spans="1:20" x14ac:dyDescent="0.2">
      <c r="A153" s="5" t="s">
        <v>241</v>
      </c>
      <c r="B153" s="9" t="s">
        <v>162</v>
      </c>
      <c r="C153" s="5" t="s">
        <v>778</v>
      </c>
      <c r="D153" s="7">
        <f t="shared" si="0"/>
        <v>16.100000000000001</v>
      </c>
      <c r="E153" s="5">
        <v>0</v>
      </c>
      <c r="F153" s="5">
        <v>0</v>
      </c>
      <c r="G153" s="5">
        <v>0</v>
      </c>
      <c r="H153" s="5">
        <v>0</v>
      </c>
      <c r="I153" s="5">
        <v>0</v>
      </c>
      <c r="J153" s="9">
        <v>0</v>
      </c>
      <c r="K153" s="5">
        <v>0</v>
      </c>
      <c r="L153" s="5">
        <v>0</v>
      </c>
      <c r="M153" s="5">
        <v>0</v>
      </c>
      <c r="N153" s="9">
        <v>0</v>
      </c>
      <c r="O153" s="5">
        <v>8</v>
      </c>
      <c r="P153" s="5">
        <v>81</v>
      </c>
      <c r="Q153" s="5">
        <v>0</v>
      </c>
      <c r="R153" s="9">
        <v>0</v>
      </c>
      <c r="S153" s="5">
        <v>0</v>
      </c>
      <c r="T153" s="5">
        <v>0</v>
      </c>
    </row>
    <row r="154" spans="1:20" x14ac:dyDescent="0.2">
      <c r="A154" s="5" t="s">
        <v>344</v>
      </c>
      <c r="B154" s="9" t="s">
        <v>162</v>
      </c>
      <c r="C154" s="5" t="s">
        <v>769</v>
      </c>
      <c r="D154" s="7">
        <f t="shared" si="0"/>
        <v>10.9</v>
      </c>
      <c r="E154" s="5">
        <v>0</v>
      </c>
      <c r="F154" s="5">
        <v>0</v>
      </c>
      <c r="G154" s="5">
        <v>0</v>
      </c>
      <c r="H154" s="5">
        <v>0</v>
      </c>
      <c r="I154" s="5">
        <v>0</v>
      </c>
      <c r="J154" s="9">
        <v>0</v>
      </c>
      <c r="K154" s="5">
        <v>0</v>
      </c>
      <c r="L154" s="5">
        <v>0</v>
      </c>
      <c r="M154" s="5">
        <v>0</v>
      </c>
      <c r="N154" s="9">
        <v>0</v>
      </c>
      <c r="O154" s="5">
        <v>2</v>
      </c>
      <c r="P154" s="5">
        <v>29</v>
      </c>
      <c r="Q154" s="5">
        <v>1</v>
      </c>
      <c r="R154" s="9">
        <v>0</v>
      </c>
      <c r="S154" s="5">
        <v>0</v>
      </c>
      <c r="T154" s="5">
        <v>0</v>
      </c>
    </row>
    <row r="155" spans="1:20" x14ac:dyDescent="0.2">
      <c r="A155" s="5" t="s">
        <v>340</v>
      </c>
      <c r="B155" s="9" t="s">
        <v>162</v>
      </c>
      <c r="C155" s="5" t="s">
        <v>772</v>
      </c>
      <c r="D155" s="7">
        <f t="shared" si="0"/>
        <v>10</v>
      </c>
      <c r="E155" s="5">
        <v>0</v>
      </c>
      <c r="F155" s="5">
        <v>0</v>
      </c>
      <c r="G155" s="5">
        <v>0</v>
      </c>
      <c r="H155" s="5">
        <v>0</v>
      </c>
      <c r="I155" s="5">
        <v>0</v>
      </c>
      <c r="J155" s="9">
        <v>0</v>
      </c>
      <c r="K155" s="5">
        <v>0</v>
      </c>
      <c r="L155" s="5">
        <v>0</v>
      </c>
      <c r="M155" s="5">
        <v>0</v>
      </c>
      <c r="N155" s="9">
        <v>0</v>
      </c>
      <c r="O155" s="5">
        <v>3</v>
      </c>
      <c r="P155" s="5">
        <v>10</v>
      </c>
      <c r="Q155" s="5">
        <v>1</v>
      </c>
      <c r="R155" s="9">
        <v>0</v>
      </c>
      <c r="S155" s="5">
        <v>0</v>
      </c>
      <c r="T155" s="5">
        <v>0</v>
      </c>
    </row>
    <row r="156" spans="1:20" x14ac:dyDescent="0.2">
      <c r="A156" s="5" t="s">
        <v>421</v>
      </c>
      <c r="B156" s="9" t="s">
        <v>162</v>
      </c>
      <c r="C156" s="5" t="s">
        <v>772</v>
      </c>
      <c r="D156" s="7">
        <f t="shared" si="0"/>
        <v>8.1999999999999993</v>
      </c>
      <c r="E156" s="5">
        <v>0</v>
      </c>
      <c r="F156" s="5">
        <v>0</v>
      </c>
      <c r="G156" s="5">
        <v>0</v>
      </c>
      <c r="H156" s="5">
        <v>0</v>
      </c>
      <c r="I156" s="5">
        <v>0</v>
      </c>
      <c r="J156" s="9">
        <v>0</v>
      </c>
      <c r="K156" s="5">
        <v>0</v>
      </c>
      <c r="L156" s="5">
        <v>0</v>
      </c>
      <c r="M156" s="5">
        <v>0</v>
      </c>
      <c r="N156" s="9">
        <v>0</v>
      </c>
      <c r="O156" s="5">
        <v>1</v>
      </c>
      <c r="P156" s="5">
        <v>12</v>
      </c>
      <c r="Q156" s="5">
        <v>1</v>
      </c>
      <c r="R156" s="9">
        <v>0</v>
      </c>
      <c r="S156" s="5">
        <v>0</v>
      </c>
      <c r="T156" s="5">
        <v>0</v>
      </c>
    </row>
    <row r="157" spans="1:20" x14ac:dyDescent="0.2">
      <c r="A157" s="5" t="s">
        <v>233</v>
      </c>
      <c r="B157" s="9" t="s">
        <v>162</v>
      </c>
      <c r="C157" s="5" t="s">
        <v>776</v>
      </c>
      <c r="D157" s="7">
        <f t="shared" si="0"/>
        <v>10.3</v>
      </c>
      <c r="E157" s="5">
        <v>0</v>
      </c>
      <c r="F157" s="5">
        <v>0</v>
      </c>
      <c r="G157" s="5">
        <v>0</v>
      </c>
      <c r="H157" s="5">
        <v>0</v>
      </c>
      <c r="I157" s="5">
        <v>0</v>
      </c>
      <c r="J157" s="9">
        <v>0</v>
      </c>
      <c r="K157" s="5">
        <v>1</v>
      </c>
      <c r="L157" s="5">
        <v>9</v>
      </c>
      <c r="M157" s="5">
        <v>0</v>
      </c>
      <c r="N157" s="9">
        <v>0</v>
      </c>
      <c r="O157" s="5">
        <v>2</v>
      </c>
      <c r="P157" s="5">
        <v>14</v>
      </c>
      <c r="Q157" s="5">
        <v>1</v>
      </c>
      <c r="R157" s="9">
        <v>0</v>
      </c>
      <c r="S157" s="5">
        <v>0</v>
      </c>
      <c r="T157" s="5">
        <v>0</v>
      </c>
    </row>
    <row r="158" spans="1:20" x14ac:dyDescent="0.2">
      <c r="A158" s="5" t="s">
        <v>207</v>
      </c>
      <c r="B158" s="9" t="s">
        <v>162</v>
      </c>
      <c r="C158" s="5" t="s">
        <v>770</v>
      </c>
      <c r="D158" s="7">
        <f t="shared" si="0"/>
        <v>12.4</v>
      </c>
      <c r="E158" s="5">
        <v>0</v>
      </c>
      <c r="F158" s="5">
        <v>0</v>
      </c>
      <c r="G158" s="5">
        <v>0</v>
      </c>
      <c r="H158" s="5">
        <v>0</v>
      </c>
      <c r="I158" s="5">
        <v>0</v>
      </c>
      <c r="J158" s="9">
        <v>0</v>
      </c>
      <c r="K158" s="5">
        <v>0</v>
      </c>
      <c r="L158" s="5">
        <v>0</v>
      </c>
      <c r="M158" s="5">
        <v>0</v>
      </c>
      <c r="N158" s="9">
        <v>0</v>
      </c>
      <c r="O158" s="5">
        <v>5</v>
      </c>
      <c r="P158" s="5">
        <v>74</v>
      </c>
      <c r="Q158" s="5">
        <v>0</v>
      </c>
      <c r="R158" s="9">
        <v>0</v>
      </c>
      <c r="S158" s="5">
        <v>0</v>
      </c>
      <c r="T158" s="5">
        <v>0</v>
      </c>
    </row>
    <row r="159" spans="1:20" x14ac:dyDescent="0.2">
      <c r="A159" s="5" t="s">
        <v>198</v>
      </c>
      <c r="B159" s="9" t="s">
        <v>162</v>
      </c>
      <c r="C159" s="5" t="s">
        <v>775</v>
      </c>
      <c r="D159" s="7">
        <f t="shared" si="0"/>
        <v>13.9</v>
      </c>
      <c r="E159" s="5">
        <v>0</v>
      </c>
      <c r="F159" s="5">
        <v>0</v>
      </c>
      <c r="G159" s="5">
        <v>0</v>
      </c>
      <c r="H159" s="5">
        <v>0</v>
      </c>
      <c r="I159" s="5">
        <v>0</v>
      </c>
      <c r="J159" s="9">
        <v>0</v>
      </c>
      <c r="K159" s="5">
        <v>1</v>
      </c>
      <c r="L159" s="5">
        <v>1</v>
      </c>
      <c r="M159" s="5">
        <v>0</v>
      </c>
      <c r="N159" s="9">
        <v>0</v>
      </c>
      <c r="O159" s="5">
        <v>6</v>
      </c>
      <c r="P159" s="5">
        <v>78</v>
      </c>
      <c r="Q159" s="5">
        <v>0</v>
      </c>
      <c r="R159" s="9">
        <v>0</v>
      </c>
      <c r="S159" s="5">
        <v>0</v>
      </c>
      <c r="T159" s="5">
        <v>0</v>
      </c>
    </row>
    <row r="160" spans="1:20" x14ac:dyDescent="0.2">
      <c r="A160" s="5" t="s">
        <v>184</v>
      </c>
      <c r="B160" s="9" t="s">
        <v>162</v>
      </c>
      <c r="C160" s="5" t="s">
        <v>782</v>
      </c>
      <c r="D160" s="7">
        <f t="shared" si="0"/>
        <v>15.8</v>
      </c>
      <c r="E160" s="5">
        <v>0</v>
      </c>
      <c r="F160" s="5">
        <v>0</v>
      </c>
      <c r="G160" s="5">
        <v>0</v>
      </c>
      <c r="H160" s="5">
        <v>0</v>
      </c>
      <c r="I160" s="5">
        <v>0</v>
      </c>
      <c r="J160" s="9">
        <v>0</v>
      </c>
      <c r="K160" s="5">
        <v>1</v>
      </c>
      <c r="L160" s="5">
        <v>-8</v>
      </c>
      <c r="M160" s="5">
        <v>0</v>
      </c>
      <c r="N160" s="9">
        <v>0</v>
      </c>
      <c r="O160" s="5">
        <v>9</v>
      </c>
      <c r="P160" s="5">
        <v>76</v>
      </c>
      <c r="Q160" s="5">
        <v>0</v>
      </c>
      <c r="R160" s="9">
        <v>0</v>
      </c>
      <c r="S160" s="5">
        <v>0</v>
      </c>
      <c r="T160" s="5">
        <v>0</v>
      </c>
    </row>
    <row r="161" spans="1:20" x14ac:dyDescent="0.2">
      <c r="A161" s="5" t="s">
        <v>202</v>
      </c>
      <c r="B161" s="9" t="s">
        <v>162</v>
      </c>
      <c r="C161" s="5" t="s">
        <v>777</v>
      </c>
      <c r="D161" s="7">
        <f t="shared" si="0"/>
        <v>6.7</v>
      </c>
      <c r="E161" s="5">
        <v>0</v>
      </c>
      <c r="F161" s="5">
        <v>0</v>
      </c>
      <c r="G161" s="5">
        <v>0</v>
      </c>
      <c r="H161" s="5">
        <v>0</v>
      </c>
      <c r="I161" s="5">
        <v>0</v>
      </c>
      <c r="J161" s="9">
        <v>0</v>
      </c>
      <c r="K161" s="5">
        <v>1</v>
      </c>
      <c r="L161" s="5">
        <v>7</v>
      </c>
      <c r="M161" s="5">
        <v>1</v>
      </c>
      <c r="N161" s="9">
        <v>0</v>
      </c>
      <c r="O161" s="5">
        <v>0</v>
      </c>
      <c r="P161" s="5">
        <v>0</v>
      </c>
      <c r="Q161" s="5">
        <v>0</v>
      </c>
      <c r="R161" s="9">
        <v>0</v>
      </c>
      <c r="S161" s="5">
        <v>0</v>
      </c>
      <c r="T161" s="5">
        <v>0</v>
      </c>
    </row>
    <row r="162" spans="1:20" x14ac:dyDescent="0.2">
      <c r="A162" s="5" t="s">
        <v>697</v>
      </c>
      <c r="B162" s="9" t="s">
        <v>162</v>
      </c>
      <c r="C162" s="5" t="s">
        <v>782</v>
      </c>
      <c r="D162" s="7">
        <f t="shared" si="0"/>
        <v>7.8</v>
      </c>
      <c r="E162" s="5">
        <v>0</v>
      </c>
      <c r="F162" s="5">
        <v>0</v>
      </c>
      <c r="G162" s="5">
        <v>0</v>
      </c>
      <c r="H162" s="5">
        <v>0</v>
      </c>
      <c r="I162" s="5">
        <v>0</v>
      </c>
      <c r="J162" s="9">
        <v>0</v>
      </c>
      <c r="K162" s="5">
        <v>0</v>
      </c>
      <c r="L162" s="5">
        <v>0</v>
      </c>
      <c r="M162" s="5">
        <v>0</v>
      </c>
      <c r="N162" s="9">
        <v>0</v>
      </c>
      <c r="O162" s="5">
        <v>1</v>
      </c>
      <c r="P162" s="5">
        <v>8</v>
      </c>
      <c r="Q162" s="5">
        <v>1</v>
      </c>
      <c r="R162" s="9">
        <v>0</v>
      </c>
      <c r="S162" s="5">
        <v>0</v>
      </c>
      <c r="T162" s="5">
        <v>0</v>
      </c>
    </row>
    <row r="163" spans="1:20" x14ac:dyDescent="0.2">
      <c r="A163" s="5" t="s">
        <v>345</v>
      </c>
      <c r="B163" s="9" t="s">
        <v>162</v>
      </c>
      <c r="C163" s="5" t="s">
        <v>770</v>
      </c>
      <c r="D163" s="7">
        <f t="shared" si="0"/>
        <v>10.5</v>
      </c>
      <c r="E163" s="5">
        <v>0</v>
      </c>
      <c r="F163" s="5">
        <v>0</v>
      </c>
      <c r="G163" s="5">
        <v>0</v>
      </c>
      <c r="H163" s="5">
        <v>0</v>
      </c>
      <c r="I163" s="5">
        <v>0</v>
      </c>
      <c r="J163" s="9">
        <v>0</v>
      </c>
      <c r="K163" s="5">
        <v>0</v>
      </c>
      <c r="L163" s="5">
        <v>0</v>
      </c>
      <c r="M163" s="5">
        <v>0</v>
      </c>
      <c r="N163" s="9">
        <v>0</v>
      </c>
      <c r="O163" s="5">
        <v>4</v>
      </c>
      <c r="P163" s="5">
        <v>65</v>
      </c>
      <c r="Q163" s="5">
        <v>0</v>
      </c>
      <c r="R163" s="9">
        <v>0</v>
      </c>
      <c r="S163" s="5">
        <v>0</v>
      </c>
      <c r="T163" s="5">
        <v>0</v>
      </c>
    </row>
    <row r="164" spans="1:20" x14ac:dyDescent="0.2">
      <c r="A164" s="5" t="s">
        <v>237</v>
      </c>
      <c r="B164" s="9" t="s">
        <v>162</v>
      </c>
      <c r="C164" s="5" t="s">
        <v>778</v>
      </c>
      <c r="D164" s="7">
        <f t="shared" si="0"/>
        <v>12.100000000000001</v>
      </c>
      <c r="E164" s="5">
        <v>0</v>
      </c>
      <c r="F164" s="5">
        <v>0</v>
      </c>
      <c r="G164" s="5">
        <v>0</v>
      </c>
      <c r="H164" s="5">
        <v>0</v>
      </c>
      <c r="I164" s="5">
        <v>0</v>
      </c>
      <c r="J164" s="9">
        <v>0</v>
      </c>
      <c r="K164" s="5">
        <v>0</v>
      </c>
      <c r="L164" s="5">
        <v>0</v>
      </c>
      <c r="M164" s="5">
        <v>0</v>
      </c>
      <c r="N164" s="9">
        <v>0</v>
      </c>
      <c r="O164" s="5">
        <v>6</v>
      </c>
      <c r="P164" s="5">
        <v>61</v>
      </c>
      <c r="Q164" s="5">
        <v>0</v>
      </c>
      <c r="R164" s="9">
        <v>0</v>
      </c>
      <c r="S164" s="5">
        <v>0</v>
      </c>
      <c r="T164" s="5">
        <v>0</v>
      </c>
    </row>
    <row r="165" spans="1:20" x14ac:dyDescent="0.2">
      <c r="A165" s="5" t="s">
        <v>238</v>
      </c>
      <c r="B165" s="9" t="s">
        <v>162</v>
      </c>
      <c r="C165" s="5" t="s">
        <v>777</v>
      </c>
      <c r="D165" s="7">
        <f t="shared" si="0"/>
        <v>10.9</v>
      </c>
      <c r="E165" s="5">
        <v>0</v>
      </c>
      <c r="F165" s="5">
        <v>0</v>
      </c>
      <c r="G165" s="5">
        <v>0</v>
      </c>
      <c r="H165" s="5">
        <v>0</v>
      </c>
      <c r="I165" s="5">
        <v>0</v>
      </c>
      <c r="J165" s="9">
        <v>0</v>
      </c>
      <c r="K165" s="5">
        <v>0</v>
      </c>
      <c r="L165" s="5">
        <v>0</v>
      </c>
      <c r="M165" s="5">
        <v>0</v>
      </c>
      <c r="N165" s="9">
        <v>0</v>
      </c>
      <c r="O165" s="5">
        <v>5</v>
      </c>
      <c r="P165" s="5">
        <v>59</v>
      </c>
      <c r="Q165" s="5">
        <v>0</v>
      </c>
      <c r="R165" s="9">
        <v>0</v>
      </c>
      <c r="S165" s="5">
        <v>0</v>
      </c>
      <c r="T165" s="5">
        <v>0</v>
      </c>
    </row>
    <row r="166" spans="1:20" x14ac:dyDescent="0.2">
      <c r="A166" s="5" t="s">
        <v>261</v>
      </c>
      <c r="B166" s="9" t="s">
        <v>162</v>
      </c>
      <c r="C166" s="5" t="s">
        <v>780</v>
      </c>
      <c r="D166" s="7">
        <f t="shared" si="0"/>
        <v>8.4</v>
      </c>
      <c r="E166" s="5">
        <v>0</v>
      </c>
      <c r="F166" s="5">
        <v>0</v>
      </c>
      <c r="G166" s="5">
        <v>0</v>
      </c>
      <c r="H166" s="5">
        <v>0</v>
      </c>
      <c r="I166" s="5">
        <v>0</v>
      </c>
      <c r="J166" s="9">
        <v>0</v>
      </c>
      <c r="K166" s="5">
        <v>0</v>
      </c>
      <c r="L166" s="5">
        <v>0</v>
      </c>
      <c r="M166" s="5">
        <v>0</v>
      </c>
      <c r="N166" s="9">
        <v>0</v>
      </c>
      <c r="O166" s="5">
        <v>3</v>
      </c>
      <c r="P166" s="5">
        <v>54</v>
      </c>
      <c r="Q166" s="5">
        <v>0</v>
      </c>
      <c r="R166" s="9">
        <v>0</v>
      </c>
      <c r="S166" s="5">
        <v>0</v>
      </c>
      <c r="T166" s="5">
        <v>0</v>
      </c>
    </row>
    <row r="167" spans="1:20" x14ac:dyDescent="0.2">
      <c r="A167" s="5" t="s">
        <v>513</v>
      </c>
      <c r="B167" s="9" t="s">
        <v>162</v>
      </c>
      <c r="C167" s="5" t="s">
        <v>767</v>
      </c>
      <c r="D167" s="7">
        <f t="shared" si="0"/>
        <v>10.9</v>
      </c>
      <c r="E167" s="5">
        <v>0</v>
      </c>
      <c r="F167" s="5">
        <v>0</v>
      </c>
      <c r="G167" s="5">
        <v>0</v>
      </c>
      <c r="H167" s="5">
        <v>0</v>
      </c>
      <c r="I167" s="5">
        <v>0</v>
      </c>
      <c r="J167" s="9">
        <v>0</v>
      </c>
      <c r="K167" s="5">
        <v>1</v>
      </c>
      <c r="L167" s="5">
        <v>-3</v>
      </c>
      <c r="M167" s="5">
        <v>0</v>
      </c>
      <c r="N167" s="9">
        <v>0</v>
      </c>
      <c r="O167" s="5">
        <v>6</v>
      </c>
      <c r="P167" s="5">
        <v>52</v>
      </c>
      <c r="Q167" s="5">
        <v>0</v>
      </c>
      <c r="R167" s="9">
        <v>0</v>
      </c>
      <c r="S167" s="5">
        <v>0</v>
      </c>
      <c r="T167" s="5">
        <v>0</v>
      </c>
    </row>
    <row r="168" spans="1:20" x14ac:dyDescent="0.2">
      <c r="A168" s="5" t="s">
        <v>232</v>
      </c>
      <c r="B168" s="9" t="s">
        <v>162</v>
      </c>
      <c r="C168" s="5" t="s">
        <v>782</v>
      </c>
      <c r="D168" s="7">
        <f t="shared" si="0"/>
        <v>8</v>
      </c>
      <c r="E168" s="5">
        <v>0</v>
      </c>
      <c r="F168" s="5">
        <v>0</v>
      </c>
      <c r="G168" s="5">
        <v>0</v>
      </c>
      <c r="H168" s="5">
        <v>0</v>
      </c>
      <c r="I168" s="5">
        <v>0</v>
      </c>
      <c r="J168" s="9">
        <v>0</v>
      </c>
      <c r="K168" s="5">
        <v>0</v>
      </c>
      <c r="L168" s="5">
        <v>0</v>
      </c>
      <c r="M168" s="5">
        <v>0</v>
      </c>
      <c r="N168" s="9">
        <v>0</v>
      </c>
      <c r="O168" s="5">
        <v>3</v>
      </c>
      <c r="P168" s="5">
        <v>50</v>
      </c>
      <c r="Q168" s="5">
        <v>0</v>
      </c>
      <c r="R168" s="9">
        <v>0</v>
      </c>
      <c r="S168" s="5">
        <v>0</v>
      </c>
      <c r="T168" s="5">
        <v>0</v>
      </c>
    </row>
    <row r="169" spans="1:20" x14ac:dyDescent="0.2">
      <c r="A169" s="5" t="s">
        <v>254</v>
      </c>
      <c r="B169" s="9" t="s">
        <v>162</v>
      </c>
      <c r="C169" s="5" t="s">
        <v>770</v>
      </c>
      <c r="D169" s="7">
        <f t="shared" si="0"/>
        <v>7.3000000000000007</v>
      </c>
      <c r="E169" s="5">
        <v>0</v>
      </c>
      <c r="F169" s="5">
        <v>0</v>
      </c>
      <c r="G169" s="5">
        <v>0</v>
      </c>
      <c r="H169" s="5">
        <v>0</v>
      </c>
      <c r="I169" s="5">
        <v>0</v>
      </c>
      <c r="J169" s="9">
        <v>0</v>
      </c>
      <c r="K169" s="5">
        <v>0</v>
      </c>
      <c r="L169" s="5">
        <v>0</v>
      </c>
      <c r="M169" s="5">
        <v>0</v>
      </c>
      <c r="N169" s="9">
        <v>0</v>
      </c>
      <c r="O169" s="5">
        <v>3</v>
      </c>
      <c r="P169" s="5">
        <v>63</v>
      </c>
      <c r="Q169" s="5">
        <v>0</v>
      </c>
      <c r="R169" s="9">
        <v>0</v>
      </c>
      <c r="S169" s="5">
        <v>1</v>
      </c>
      <c r="T169" s="5">
        <v>0</v>
      </c>
    </row>
    <row r="170" spans="1:20" x14ac:dyDescent="0.2">
      <c r="A170" s="5" t="s">
        <v>400</v>
      </c>
      <c r="B170" s="9" t="s">
        <v>162</v>
      </c>
      <c r="C170" s="5" t="s">
        <v>779</v>
      </c>
      <c r="D170" s="7">
        <f t="shared" si="0"/>
        <v>8.3000000000000007</v>
      </c>
      <c r="E170" s="5">
        <v>0</v>
      </c>
      <c r="F170" s="5">
        <v>0</v>
      </c>
      <c r="G170" s="5">
        <v>0</v>
      </c>
      <c r="H170" s="5">
        <v>0</v>
      </c>
      <c r="I170" s="5">
        <v>0</v>
      </c>
      <c r="J170" s="9">
        <v>0</v>
      </c>
      <c r="K170" s="5">
        <v>0</v>
      </c>
      <c r="L170" s="5">
        <v>0</v>
      </c>
      <c r="M170" s="5">
        <v>0</v>
      </c>
      <c r="N170" s="9">
        <v>0</v>
      </c>
      <c r="O170" s="5">
        <v>3</v>
      </c>
      <c r="P170" s="5">
        <v>53</v>
      </c>
      <c r="Q170" s="5">
        <v>0</v>
      </c>
      <c r="R170" s="9">
        <v>0</v>
      </c>
      <c r="S170" s="5">
        <v>0</v>
      </c>
      <c r="T170" s="5">
        <v>0</v>
      </c>
    </row>
    <row r="171" spans="1:20" x14ac:dyDescent="0.2">
      <c r="A171" s="5" t="s">
        <v>193</v>
      </c>
      <c r="B171" s="9" t="s">
        <v>162</v>
      </c>
      <c r="C171" s="5" t="s">
        <v>780</v>
      </c>
      <c r="D171" s="7">
        <f t="shared" si="0"/>
        <v>11.7</v>
      </c>
      <c r="E171" s="5">
        <v>0</v>
      </c>
      <c r="F171" s="5">
        <v>0</v>
      </c>
      <c r="G171" s="5">
        <v>0</v>
      </c>
      <c r="H171" s="5">
        <v>0</v>
      </c>
      <c r="I171" s="5">
        <v>0</v>
      </c>
      <c r="J171" s="9">
        <v>0</v>
      </c>
      <c r="K171" s="5">
        <v>0</v>
      </c>
      <c r="L171" s="5">
        <v>0</v>
      </c>
      <c r="M171" s="5">
        <v>0</v>
      </c>
      <c r="N171" s="9">
        <v>0</v>
      </c>
      <c r="O171" s="5">
        <v>6</v>
      </c>
      <c r="P171" s="5">
        <v>57</v>
      </c>
      <c r="Q171" s="5">
        <v>0</v>
      </c>
      <c r="R171" s="9">
        <v>0</v>
      </c>
      <c r="S171" s="5">
        <v>0</v>
      </c>
      <c r="T171" s="5">
        <v>0</v>
      </c>
    </row>
    <row r="172" spans="1:20" x14ac:dyDescent="0.2">
      <c r="A172" s="5" t="s">
        <v>361</v>
      </c>
      <c r="B172" s="9" t="s">
        <v>162</v>
      </c>
      <c r="C172" s="5" t="s">
        <v>776</v>
      </c>
      <c r="D172" s="7">
        <f t="shared" si="0"/>
        <v>7.1000000000000005</v>
      </c>
      <c r="E172" s="5">
        <v>0</v>
      </c>
      <c r="F172" s="5">
        <v>0</v>
      </c>
      <c r="G172" s="5">
        <v>0</v>
      </c>
      <c r="H172" s="5">
        <v>0</v>
      </c>
      <c r="I172" s="5">
        <v>0</v>
      </c>
      <c r="J172" s="9">
        <v>0</v>
      </c>
      <c r="K172" s="5">
        <v>0</v>
      </c>
      <c r="L172" s="5">
        <v>0</v>
      </c>
      <c r="M172" s="5">
        <v>0</v>
      </c>
      <c r="N172" s="9">
        <v>0</v>
      </c>
      <c r="O172" s="5">
        <v>2</v>
      </c>
      <c r="P172" s="5">
        <v>51</v>
      </c>
      <c r="Q172" s="5">
        <v>0</v>
      </c>
      <c r="R172" s="9">
        <v>0</v>
      </c>
      <c r="S172" s="5">
        <v>0</v>
      </c>
      <c r="T172" s="5">
        <v>0</v>
      </c>
    </row>
    <row r="173" spans="1:20" x14ac:dyDescent="0.2">
      <c r="A173" s="5" t="s">
        <v>196</v>
      </c>
      <c r="B173" s="9" t="s">
        <v>162</v>
      </c>
      <c r="C173" s="5" t="s">
        <v>776</v>
      </c>
      <c r="D173" s="7">
        <f t="shared" si="0"/>
        <v>6.2</v>
      </c>
      <c r="E173" s="5">
        <v>0</v>
      </c>
      <c r="F173" s="5">
        <v>0</v>
      </c>
      <c r="G173" s="5">
        <v>0</v>
      </c>
      <c r="H173" s="5">
        <v>0</v>
      </c>
      <c r="I173" s="5">
        <v>0</v>
      </c>
      <c r="J173" s="9">
        <v>0</v>
      </c>
      <c r="K173" s="5">
        <v>1</v>
      </c>
      <c r="L173" s="5">
        <v>2</v>
      </c>
      <c r="M173" s="5">
        <v>0</v>
      </c>
      <c r="N173" s="9">
        <v>0</v>
      </c>
      <c r="O173" s="5">
        <v>1</v>
      </c>
      <c r="P173" s="5">
        <v>50</v>
      </c>
      <c r="Q173" s="5">
        <v>0</v>
      </c>
      <c r="R173" s="9">
        <v>0</v>
      </c>
      <c r="S173" s="5">
        <v>0</v>
      </c>
      <c r="T173" s="5">
        <v>0</v>
      </c>
    </row>
    <row r="174" spans="1:20" x14ac:dyDescent="0.2">
      <c r="A174" s="5" t="s">
        <v>360</v>
      </c>
      <c r="B174" s="9" t="s">
        <v>162</v>
      </c>
      <c r="C174" s="5" t="s">
        <v>770</v>
      </c>
      <c r="D174" s="7">
        <f t="shared" si="0"/>
        <v>7.4</v>
      </c>
      <c r="E174" s="5">
        <v>0</v>
      </c>
      <c r="F174" s="5">
        <v>0</v>
      </c>
      <c r="G174" s="5">
        <v>0</v>
      </c>
      <c r="H174" s="5">
        <v>0</v>
      </c>
      <c r="I174" s="5">
        <v>0</v>
      </c>
      <c r="J174" s="9">
        <v>0</v>
      </c>
      <c r="K174" s="5">
        <v>0</v>
      </c>
      <c r="L174" s="5">
        <v>0</v>
      </c>
      <c r="M174" s="5">
        <v>0</v>
      </c>
      <c r="N174" s="9">
        <v>0</v>
      </c>
      <c r="O174" s="5">
        <v>3</v>
      </c>
      <c r="P174" s="5">
        <v>44</v>
      </c>
      <c r="Q174" s="5">
        <v>0</v>
      </c>
      <c r="R174" s="9">
        <v>0</v>
      </c>
      <c r="S174" s="5">
        <v>0</v>
      </c>
      <c r="T174" s="5">
        <v>0</v>
      </c>
    </row>
    <row r="175" spans="1:20" x14ac:dyDescent="0.2">
      <c r="A175" s="5" t="s">
        <v>764</v>
      </c>
      <c r="B175" s="9" t="s">
        <v>162</v>
      </c>
      <c r="C175" s="5" t="s">
        <v>769</v>
      </c>
      <c r="D175" s="7">
        <f t="shared" si="0"/>
        <v>9.1000000000000014</v>
      </c>
      <c r="E175" s="5">
        <v>0</v>
      </c>
      <c r="F175" s="5">
        <v>0</v>
      </c>
      <c r="G175" s="5">
        <v>0</v>
      </c>
      <c r="H175" s="5">
        <v>0</v>
      </c>
      <c r="I175" s="5">
        <v>0</v>
      </c>
      <c r="J175" s="9">
        <v>0</v>
      </c>
      <c r="K175" s="5">
        <v>1</v>
      </c>
      <c r="L175" s="5">
        <v>7</v>
      </c>
      <c r="M175" s="5">
        <v>0</v>
      </c>
      <c r="N175" s="9">
        <v>0</v>
      </c>
      <c r="O175" s="5">
        <v>4</v>
      </c>
      <c r="P175" s="5">
        <v>44</v>
      </c>
      <c r="Q175" s="5">
        <v>0</v>
      </c>
      <c r="R175" s="9">
        <v>0</v>
      </c>
      <c r="S175" s="5">
        <v>0</v>
      </c>
      <c r="T175" s="5">
        <v>0</v>
      </c>
    </row>
    <row r="176" spans="1:20" x14ac:dyDescent="0.2">
      <c r="A176" s="5" t="s">
        <v>164</v>
      </c>
      <c r="B176" s="9" t="s">
        <v>162</v>
      </c>
      <c r="C176" s="5" t="s">
        <v>780</v>
      </c>
      <c r="D176" s="7">
        <f t="shared" si="0"/>
        <v>7.2</v>
      </c>
      <c r="E176" s="5">
        <v>0</v>
      </c>
      <c r="F176" s="5">
        <v>0</v>
      </c>
      <c r="G176" s="5">
        <v>0</v>
      </c>
      <c r="H176" s="5">
        <v>0</v>
      </c>
      <c r="I176" s="5">
        <v>0</v>
      </c>
      <c r="J176" s="9">
        <v>0</v>
      </c>
      <c r="K176" s="5">
        <v>0</v>
      </c>
      <c r="L176" s="5">
        <v>0</v>
      </c>
      <c r="M176" s="5">
        <v>0</v>
      </c>
      <c r="N176" s="9">
        <v>0</v>
      </c>
      <c r="O176" s="5">
        <v>3</v>
      </c>
      <c r="P176" s="5">
        <v>42</v>
      </c>
      <c r="Q176" s="5">
        <v>0</v>
      </c>
      <c r="R176" s="9">
        <v>0</v>
      </c>
      <c r="S176" s="5">
        <v>0</v>
      </c>
      <c r="T176" s="5">
        <v>0</v>
      </c>
    </row>
    <row r="177" spans="1:20" x14ac:dyDescent="0.2">
      <c r="A177" s="5" t="s">
        <v>264</v>
      </c>
      <c r="B177" s="9" t="s">
        <v>162</v>
      </c>
      <c r="C177" s="5" t="s">
        <v>771</v>
      </c>
      <c r="D177" s="7">
        <f t="shared" si="0"/>
        <v>9.6999999999999993</v>
      </c>
      <c r="E177" s="5">
        <v>0</v>
      </c>
      <c r="F177" s="5">
        <v>0</v>
      </c>
      <c r="G177" s="5">
        <v>0</v>
      </c>
      <c r="H177" s="5">
        <v>0</v>
      </c>
      <c r="I177" s="5">
        <v>0</v>
      </c>
      <c r="J177" s="9">
        <v>0</v>
      </c>
      <c r="K177" s="5">
        <v>0</v>
      </c>
      <c r="L177" s="5">
        <v>0</v>
      </c>
      <c r="M177" s="5">
        <v>0</v>
      </c>
      <c r="N177" s="9">
        <v>0</v>
      </c>
      <c r="O177" s="5">
        <v>5</v>
      </c>
      <c r="P177" s="5">
        <v>47</v>
      </c>
      <c r="Q177" s="5">
        <v>0</v>
      </c>
      <c r="R177" s="9">
        <v>0</v>
      </c>
      <c r="S177" s="5">
        <v>0</v>
      </c>
      <c r="T177" s="5">
        <v>0</v>
      </c>
    </row>
    <row r="178" spans="1:20" x14ac:dyDescent="0.2">
      <c r="A178" s="5" t="s">
        <v>209</v>
      </c>
      <c r="B178" s="9" t="s">
        <v>162</v>
      </c>
      <c r="C178" s="5" t="s">
        <v>775</v>
      </c>
      <c r="D178" s="7">
        <f t="shared" si="0"/>
        <v>8.1999999999999993</v>
      </c>
      <c r="E178" s="5">
        <v>0</v>
      </c>
      <c r="F178" s="5">
        <v>0</v>
      </c>
      <c r="G178" s="5">
        <v>0</v>
      </c>
      <c r="H178" s="5">
        <v>0</v>
      </c>
      <c r="I178" s="5">
        <v>0</v>
      </c>
      <c r="J178" s="9">
        <v>0</v>
      </c>
      <c r="K178" s="5">
        <v>0</v>
      </c>
      <c r="L178" s="5">
        <v>0</v>
      </c>
      <c r="M178" s="5">
        <v>0</v>
      </c>
      <c r="N178" s="9">
        <v>0</v>
      </c>
      <c r="O178" s="5">
        <v>4</v>
      </c>
      <c r="P178" s="5">
        <v>42</v>
      </c>
      <c r="Q178" s="5">
        <v>0</v>
      </c>
      <c r="R178" s="9">
        <v>0</v>
      </c>
      <c r="S178" s="5">
        <v>0</v>
      </c>
      <c r="T178" s="5">
        <v>0</v>
      </c>
    </row>
    <row r="179" spans="1:20" x14ac:dyDescent="0.2">
      <c r="A179" s="5" t="s">
        <v>200</v>
      </c>
      <c r="B179" s="9" t="s">
        <v>162</v>
      </c>
      <c r="C179" s="5" t="s">
        <v>772</v>
      </c>
      <c r="D179" s="7">
        <f t="shared" si="0"/>
        <v>9.4</v>
      </c>
      <c r="E179" s="5">
        <v>0</v>
      </c>
      <c r="F179" s="5">
        <v>0</v>
      </c>
      <c r="G179" s="5">
        <v>0</v>
      </c>
      <c r="H179" s="5">
        <v>0</v>
      </c>
      <c r="I179" s="5">
        <v>0</v>
      </c>
      <c r="J179" s="9">
        <v>0</v>
      </c>
      <c r="K179" s="5">
        <v>2</v>
      </c>
      <c r="L179" s="5">
        <v>7</v>
      </c>
      <c r="M179" s="5">
        <v>0</v>
      </c>
      <c r="N179" s="9">
        <v>0</v>
      </c>
      <c r="O179" s="5">
        <v>4</v>
      </c>
      <c r="P179" s="5">
        <v>47</v>
      </c>
      <c r="Q179" s="5">
        <v>0</v>
      </c>
      <c r="R179" s="9">
        <v>0</v>
      </c>
      <c r="S179" s="5">
        <v>0</v>
      </c>
      <c r="T179" s="5">
        <v>0</v>
      </c>
    </row>
    <row r="180" spans="1:20" x14ac:dyDescent="0.2">
      <c r="A180" s="5" t="s">
        <v>350</v>
      </c>
      <c r="B180" s="9" t="s">
        <v>162</v>
      </c>
      <c r="C180" s="5" t="s">
        <v>771</v>
      </c>
      <c r="D180" s="7">
        <f t="shared" si="0"/>
        <v>7.5</v>
      </c>
      <c r="E180" s="5">
        <v>0</v>
      </c>
      <c r="F180" s="5">
        <v>0</v>
      </c>
      <c r="G180" s="5">
        <v>0</v>
      </c>
      <c r="H180" s="5">
        <v>0</v>
      </c>
      <c r="I180" s="5">
        <v>0</v>
      </c>
      <c r="J180" s="9">
        <v>0</v>
      </c>
      <c r="K180" s="5">
        <v>0</v>
      </c>
      <c r="L180" s="5">
        <v>0</v>
      </c>
      <c r="M180" s="5">
        <v>0</v>
      </c>
      <c r="N180" s="9">
        <v>0</v>
      </c>
      <c r="O180" s="5">
        <v>3</v>
      </c>
      <c r="P180" s="5">
        <v>45</v>
      </c>
      <c r="Q180" s="5">
        <v>0</v>
      </c>
      <c r="R180" s="9">
        <v>0</v>
      </c>
      <c r="S180" s="5">
        <v>0</v>
      </c>
      <c r="T180" s="5">
        <v>0</v>
      </c>
    </row>
    <row r="181" spans="1:20" x14ac:dyDescent="0.2">
      <c r="A181" s="5" t="s">
        <v>523</v>
      </c>
      <c r="B181" s="9" t="s">
        <v>162</v>
      </c>
      <c r="C181" s="5" t="s">
        <v>779</v>
      </c>
      <c r="D181" s="7">
        <f t="shared" si="0"/>
        <v>9.3000000000000007</v>
      </c>
      <c r="E181" s="5">
        <v>0</v>
      </c>
      <c r="F181" s="5">
        <v>0</v>
      </c>
      <c r="G181" s="5">
        <v>0</v>
      </c>
      <c r="H181" s="5">
        <v>0</v>
      </c>
      <c r="I181" s="5">
        <v>0</v>
      </c>
      <c r="J181" s="9">
        <v>0</v>
      </c>
      <c r="K181" s="5">
        <v>0</v>
      </c>
      <c r="L181" s="5">
        <v>0</v>
      </c>
      <c r="M181" s="5">
        <v>0</v>
      </c>
      <c r="N181" s="9">
        <v>0</v>
      </c>
      <c r="O181" s="5">
        <v>5</v>
      </c>
      <c r="P181" s="5">
        <v>43</v>
      </c>
      <c r="Q181" s="5">
        <v>0</v>
      </c>
      <c r="R181" s="9">
        <v>0</v>
      </c>
      <c r="S181" s="5">
        <v>0</v>
      </c>
      <c r="T181" s="5">
        <v>0</v>
      </c>
    </row>
    <row r="182" spans="1:20" x14ac:dyDescent="0.2">
      <c r="A182" s="5" t="s">
        <v>485</v>
      </c>
      <c r="B182" s="9" t="s">
        <v>162</v>
      </c>
      <c r="C182" s="5" t="s">
        <v>776</v>
      </c>
      <c r="D182" s="7">
        <f t="shared" si="0"/>
        <v>7.2</v>
      </c>
      <c r="E182" s="5">
        <v>0</v>
      </c>
      <c r="F182" s="5">
        <v>0</v>
      </c>
      <c r="G182" s="5">
        <v>0</v>
      </c>
      <c r="H182" s="5">
        <v>0</v>
      </c>
      <c r="I182" s="5">
        <v>0</v>
      </c>
      <c r="J182" s="9">
        <v>0</v>
      </c>
      <c r="K182" s="5">
        <v>0</v>
      </c>
      <c r="L182" s="5">
        <v>0</v>
      </c>
      <c r="M182" s="5">
        <v>0</v>
      </c>
      <c r="N182" s="9">
        <v>0</v>
      </c>
      <c r="O182" s="5">
        <v>3</v>
      </c>
      <c r="P182" s="5">
        <v>42</v>
      </c>
      <c r="Q182" s="5">
        <v>0</v>
      </c>
      <c r="R182" s="9">
        <v>0</v>
      </c>
      <c r="S182" s="5">
        <v>0</v>
      </c>
      <c r="T182" s="5">
        <v>0</v>
      </c>
    </row>
    <row r="183" spans="1:20" x14ac:dyDescent="0.2">
      <c r="A183" s="5" t="s">
        <v>229</v>
      </c>
      <c r="B183" s="9" t="s">
        <v>162</v>
      </c>
      <c r="C183" s="5" t="s">
        <v>768</v>
      </c>
      <c r="D183" s="7">
        <f t="shared" si="0"/>
        <v>6.8000000000000007</v>
      </c>
      <c r="E183" s="5">
        <v>0</v>
      </c>
      <c r="F183" s="5">
        <v>0</v>
      </c>
      <c r="G183" s="5">
        <v>0</v>
      </c>
      <c r="H183" s="5">
        <v>0</v>
      </c>
      <c r="I183" s="5">
        <v>0</v>
      </c>
      <c r="J183" s="9">
        <v>0</v>
      </c>
      <c r="K183" s="5">
        <v>0</v>
      </c>
      <c r="L183" s="5">
        <v>0</v>
      </c>
      <c r="M183" s="5">
        <v>0</v>
      </c>
      <c r="N183" s="9">
        <v>0</v>
      </c>
      <c r="O183" s="5">
        <v>3</v>
      </c>
      <c r="P183" s="5">
        <v>38</v>
      </c>
      <c r="Q183" s="5">
        <v>0</v>
      </c>
      <c r="R183" s="9">
        <v>0</v>
      </c>
      <c r="S183" s="5">
        <v>0</v>
      </c>
      <c r="T183" s="5">
        <v>0</v>
      </c>
    </row>
    <row r="184" spans="1:20" x14ac:dyDescent="0.2">
      <c r="A184" s="5" t="s">
        <v>784</v>
      </c>
      <c r="B184" s="9" t="s">
        <v>162</v>
      </c>
      <c r="C184" s="5" t="s">
        <v>775</v>
      </c>
      <c r="D184" s="7">
        <f t="shared" si="0"/>
        <v>6.8000000000000007</v>
      </c>
      <c r="E184" s="5">
        <v>0</v>
      </c>
      <c r="F184" s="5">
        <v>0</v>
      </c>
      <c r="G184" s="5">
        <v>0</v>
      </c>
      <c r="H184" s="5">
        <v>0</v>
      </c>
      <c r="I184" s="5">
        <v>0</v>
      </c>
      <c r="J184" s="9">
        <v>0</v>
      </c>
      <c r="K184" s="5">
        <v>0</v>
      </c>
      <c r="L184" s="5">
        <v>0</v>
      </c>
      <c r="M184" s="5">
        <v>0</v>
      </c>
      <c r="N184" s="9">
        <v>0</v>
      </c>
      <c r="O184" s="5">
        <v>3</v>
      </c>
      <c r="P184" s="5">
        <v>38</v>
      </c>
      <c r="Q184" s="5">
        <v>0</v>
      </c>
      <c r="R184" s="9">
        <v>0</v>
      </c>
      <c r="S184" s="5">
        <v>0</v>
      </c>
      <c r="T184" s="5">
        <v>0</v>
      </c>
    </row>
    <row r="185" spans="1:20" x14ac:dyDescent="0.2">
      <c r="A185" s="5" t="s">
        <v>203</v>
      </c>
      <c r="B185" s="9" t="s">
        <v>162</v>
      </c>
      <c r="C185" s="5" t="s">
        <v>782</v>
      </c>
      <c r="D185" s="7">
        <f t="shared" si="0"/>
        <v>5.0999999999999996</v>
      </c>
      <c r="E185" s="5">
        <v>0</v>
      </c>
      <c r="F185" s="5">
        <v>0</v>
      </c>
      <c r="G185" s="5">
        <v>0</v>
      </c>
      <c r="H185" s="5">
        <v>0</v>
      </c>
      <c r="I185" s="5">
        <v>0</v>
      </c>
      <c r="J185" s="9">
        <v>0</v>
      </c>
      <c r="K185" s="5">
        <v>0</v>
      </c>
      <c r="L185" s="5">
        <v>0</v>
      </c>
      <c r="M185" s="5">
        <v>0</v>
      </c>
      <c r="N185" s="9">
        <v>0</v>
      </c>
      <c r="O185" s="5">
        <v>2</v>
      </c>
      <c r="P185" s="5">
        <v>31</v>
      </c>
      <c r="Q185" s="5">
        <v>0</v>
      </c>
      <c r="R185" s="9">
        <v>0</v>
      </c>
      <c r="S185" s="5">
        <v>0</v>
      </c>
      <c r="T185" s="5">
        <v>0</v>
      </c>
    </row>
    <row r="186" spans="1:20" x14ac:dyDescent="0.2">
      <c r="A186" s="5" t="s">
        <v>220</v>
      </c>
      <c r="B186" s="9" t="s">
        <v>162</v>
      </c>
      <c r="C186" s="5" t="s">
        <v>781</v>
      </c>
      <c r="D186" s="7">
        <f t="shared" si="0"/>
        <v>9.9</v>
      </c>
      <c r="E186" s="5">
        <v>0</v>
      </c>
      <c r="F186" s="5">
        <v>0</v>
      </c>
      <c r="G186" s="5">
        <v>0</v>
      </c>
      <c r="H186" s="5">
        <v>0</v>
      </c>
      <c r="I186" s="5">
        <v>0</v>
      </c>
      <c r="J186" s="9">
        <v>0</v>
      </c>
      <c r="K186" s="5">
        <v>0</v>
      </c>
      <c r="L186" s="5">
        <v>0</v>
      </c>
      <c r="M186" s="5">
        <v>0</v>
      </c>
      <c r="N186" s="9">
        <v>0</v>
      </c>
      <c r="O186" s="5">
        <v>6</v>
      </c>
      <c r="P186" s="5">
        <v>39</v>
      </c>
      <c r="Q186" s="5">
        <v>0</v>
      </c>
      <c r="R186" s="9">
        <v>0</v>
      </c>
      <c r="S186" s="5">
        <v>0</v>
      </c>
      <c r="T186" s="5">
        <v>0</v>
      </c>
    </row>
    <row r="187" spans="1:20" x14ac:dyDescent="0.2">
      <c r="A187" s="5" t="s">
        <v>678</v>
      </c>
      <c r="B187" s="9" t="s">
        <v>162</v>
      </c>
      <c r="C187" s="5" t="s">
        <v>771</v>
      </c>
      <c r="D187" s="7">
        <f t="shared" si="0"/>
        <v>5.0999999999999996</v>
      </c>
      <c r="E187" s="5">
        <v>0</v>
      </c>
      <c r="F187" s="5">
        <v>0</v>
      </c>
      <c r="G187" s="5">
        <v>0</v>
      </c>
      <c r="H187" s="5">
        <v>0</v>
      </c>
      <c r="I187" s="5">
        <v>0</v>
      </c>
      <c r="J187" s="9">
        <v>0</v>
      </c>
      <c r="K187" s="5">
        <v>0</v>
      </c>
      <c r="L187" s="5">
        <v>0</v>
      </c>
      <c r="M187" s="5">
        <v>0</v>
      </c>
      <c r="N187" s="9">
        <v>0</v>
      </c>
      <c r="O187" s="5">
        <v>2</v>
      </c>
      <c r="P187" s="5">
        <v>31</v>
      </c>
      <c r="Q187" s="5">
        <v>0</v>
      </c>
      <c r="R187" s="9">
        <v>0</v>
      </c>
      <c r="S187" s="5">
        <v>0</v>
      </c>
      <c r="T187" s="5">
        <v>0</v>
      </c>
    </row>
    <row r="188" spans="1:20" x14ac:dyDescent="0.2">
      <c r="A188" s="5" t="s">
        <v>527</v>
      </c>
      <c r="B188" s="9" t="s">
        <v>162</v>
      </c>
      <c r="C188" s="5" t="s">
        <v>777</v>
      </c>
      <c r="D188" s="7">
        <f t="shared" si="0"/>
        <v>7.6</v>
      </c>
      <c r="E188" s="5">
        <v>0</v>
      </c>
      <c r="F188" s="5">
        <v>0</v>
      </c>
      <c r="G188" s="5">
        <v>0</v>
      </c>
      <c r="H188" s="5">
        <v>0</v>
      </c>
      <c r="I188" s="5">
        <v>0</v>
      </c>
      <c r="J188" s="9">
        <v>0</v>
      </c>
      <c r="K188" s="5">
        <v>0</v>
      </c>
      <c r="L188" s="5">
        <v>0</v>
      </c>
      <c r="M188" s="5">
        <v>0</v>
      </c>
      <c r="N188" s="9">
        <v>0</v>
      </c>
      <c r="O188" s="5">
        <v>4</v>
      </c>
      <c r="P188" s="5">
        <v>36</v>
      </c>
      <c r="Q188" s="5">
        <v>0</v>
      </c>
      <c r="R188" s="9">
        <v>0</v>
      </c>
      <c r="S188" s="5">
        <v>0</v>
      </c>
      <c r="T188" s="5">
        <v>0</v>
      </c>
    </row>
    <row r="189" spans="1:20" x14ac:dyDescent="0.2">
      <c r="A189" s="5" t="s">
        <v>483</v>
      </c>
      <c r="B189" s="9" t="s">
        <v>162</v>
      </c>
      <c r="C189" s="5" t="s">
        <v>777</v>
      </c>
      <c r="D189" s="7">
        <f t="shared" si="0"/>
        <v>7.7</v>
      </c>
      <c r="E189" s="5">
        <v>0</v>
      </c>
      <c r="F189" s="5">
        <v>0</v>
      </c>
      <c r="G189" s="5">
        <v>0</v>
      </c>
      <c r="H189" s="5">
        <v>0</v>
      </c>
      <c r="I189" s="5">
        <v>0</v>
      </c>
      <c r="J189" s="9">
        <v>0</v>
      </c>
      <c r="K189" s="5">
        <v>0</v>
      </c>
      <c r="L189" s="5">
        <v>0</v>
      </c>
      <c r="M189" s="5">
        <v>0</v>
      </c>
      <c r="N189" s="9">
        <v>0</v>
      </c>
      <c r="O189" s="5">
        <v>4</v>
      </c>
      <c r="P189" s="5">
        <v>37</v>
      </c>
      <c r="Q189" s="5">
        <v>0</v>
      </c>
      <c r="R189" s="9">
        <v>0</v>
      </c>
      <c r="S189" s="5">
        <v>0</v>
      </c>
      <c r="T189" s="5">
        <v>0</v>
      </c>
    </row>
    <row r="190" spans="1:20" x14ac:dyDescent="0.2">
      <c r="A190" s="5" t="s">
        <v>435</v>
      </c>
      <c r="B190" s="9" t="s">
        <v>162</v>
      </c>
      <c r="C190" s="5" t="s">
        <v>775</v>
      </c>
      <c r="D190" s="7">
        <f t="shared" si="0"/>
        <v>6.2</v>
      </c>
      <c r="E190" s="5">
        <v>0</v>
      </c>
      <c r="F190" s="5">
        <v>0</v>
      </c>
      <c r="G190" s="5">
        <v>0</v>
      </c>
      <c r="H190" s="5">
        <v>0</v>
      </c>
      <c r="I190" s="5">
        <v>0</v>
      </c>
      <c r="J190" s="9">
        <v>0</v>
      </c>
      <c r="K190" s="5">
        <v>0</v>
      </c>
      <c r="L190" s="5">
        <v>0</v>
      </c>
      <c r="M190" s="5">
        <v>0</v>
      </c>
      <c r="N190" s="9">
        <v>0</v>
      </c>
      <c r="O190" s="5">
        <v>3</v>
      </c>
      <c r="P190" s="5">
        <v>32</v>
      </c>
      <c r="Q190" s="5">
        <v>0</v>
      </c>
      <c r="R190" s="9">
        <v>0</v>
      </c>
      <c r="S190" s="5">
        <v>0</v>
      </c>
      <c r="T190" s="5">
        <v>0</v>
      </c>
    </row>
    <row r="191" spans="1:20" x14ac:dyDescent="0.2">
      <c r="A191" s="5" t="s">
        <v>339</v>
      </c>
      <c r="B191" s="9" t="s">
        <v>162</v>
      </c>
      <c r="C191" s="5" t="s">
        <v>781</v>
      </c>
      <c r="D191" s="7">
        <f t="shared" si="0"/>
        <v>6.9</v>
      </c>
      <c r="E191" s="5">
        <v>0</v>
      </c>
      <c r="F191" s="5">
        <v>0</v>
      </c>
      <c r="G191" s="5">
        <v>0</v>
      </c>
      <c r="H191" s="5">
        <v>0</v>
      </c>
      <c r="I191" s="5">
        <v>0</v>
      </c>
      <c r="J191" s="9">
        <v>0</v>
      </c>
      <c r="K191" s="5">
        <v>0</v>
      </c>
      <c r="L191" s="5">
        <v>0</v>
      </c>
      <c r="M191" s="5">
        <v>0</v>
      </c>
      <c r="N191" s="9">
        <v>0</v>
      </c>
      <c r="O191" s="5">
        <v>3</v>
      </c>
      <c r="P191" s="5">
        <v>39</v>
      </c>
      <c r="Q191" s="5">
        <v>0</v>
      </c>
      <c r="R191" s="9">
        <v>0</v>
      </c>
      <c r="S191" s="5">
        <v>0</v>
      </c>
      <c r="T191" s="5">
        <v>0</v>
      </c>
    </row>
    <row r="192" spans="1:20" x14ac:dyDescent="0.2">
      <c r="A192" s="5" t="s">
        <v>215</v>
      </c>
      <c r="B192" s="9" t="s">
        <v>162</v>
      </c>
      <c r="C192" s="5" t="s">
        <v>773</v>
      </c>
      <c r="D192" s="7">
        <f t="shared" si="0"/>
        <v>5.6</v>
      </c>
      <c r="E192" s="5">
        <v>0</v>
      </c>
      <c r="F192" s="5">
        <v>0</v>
      </c>
      <c r="G192" s="5">
        <v>0</v>
      </c>
      <c r="H192" s="5">
        <v>0</v>
      </c>
      <c r="I192" s="5">
        <v>0</v>
      </c>
      <c r="J192" s="9">
        <v>0</v>
      </c>
      <c r="K192" s="5">
        <v>1</v>
      </c>
      <c r="L192" s="5">
        <v>6</v>
      </c>
      <c r="M192" s="5">
        <v>0</v>
      </c>
      <c r="N192" s="9">
        <v>0</v>
      </c>
      <c r="O192" s="5">
        <v>2</v>
      </c>
      <c r="P192" s="5">
        <v>30</v>
      </c>
      <c r="Q192" s="5">
        <v>0</v>
      </c>
      <c r="R192" s="9">
        <v>0</v>
      </c>
      <c r="S192" s="5">
        <v>0</v>
      </c>
      <c r="T192" s="5">
        <v>0</v>
      </c>
    </row>
    <row r="193" spans="1:20" x14ac:dyDescent="0.2">
      <c r="A193" s="5" t="s">
        <v>265</v>
      </c>
      <c r="B193" s="9" t="s">
        <v>162</v>
      </c>
      <c r="C193" s="5" t="s">
        <v>781</v>
      </c>
      <c r="D193" s="7">
        <f t="shared" si="0"/>
        <v>6</v>
      </c>
      <c r="E193" s="5">
        <v>0</v>
      </c>
      <c r="F193" s="5">
        <v>0</v>
      </c>
      <c r="G193" s="5">
        <v>0</v>
      </c>
      <c r="H193" s="5">
        <v>0</v>
      </c>
      <c r="I193" s="5">
        <v>0</v>
      </c>
      <c r="J193" s="9">
        <v>0</v>
      </c>
      <c r="K193" s="5">
        <v>0</v>
      </c>
      <c r="L193" s="5">
        <v>0</v>
      </c>
      <c r="M193" s="5">
        <v>0</v>
      </c>
      <c r="N193" s="9">
        <v>0</v>
      </c>
      <c r="O193" s="5">
        <v>3</v>
      </c>
      <c r="P193" s="5">
        <v>30</v>
      </c>
      <c r="Q193" s="5">
        <v>0</v>
      </c>
      <c r="R193" s="9">
        <v>0</v>
      </c>
      <c r="S193" s="5">
        <v>0</v>
      </c>
      <c r="T193" s="5">
        <v>0</v>
      </c>
    </row>
    <row r="194" spans="1:20" x14ac:dyDescent="0.2">
      <c r="A194" s="5" t="s">
        <v>577</v>
      </c>
      <c r="B194" s="9" t="s">
        <v>162</v>
      </c>
      <c r="C194" s="5" t="s">
        <v>770</v>
      </c>
      <c r="D194" s="7">
        <f t="shared" si="0"/>
        <v>5.3000000000000007</v>
      </c>
      <c r="E194" s="5">
        <v>0</v>
      </c>
      <c r="F194" s="5">
        <v>0</v>
      </c>
      <c r="G194" s="5">
        <v>0</v>
      </c>
      <c r="H194" s="5">
        <v>0</v>
      </c>
      <c r="I194" s="5">
        <v>0</v>
      </c>
      <c r="J194" s="9">
        <v>0</v>
      </c>
      <c r="K194" s="5">
        <v>0</v>
      </c>
      <c r="L194" s="5">
        <v>0</v>
      </c>
      <c r="M194" s="5">
        <v>0</v>
      </c>
      <c r="N194" s="9">
        <v>0</v>
      </c>
      <c r="O194" s="5">
        <v>2</v>
      </c>
      <c r="P194" s="5">
        <v>33</v>
      </c>
      <c r="Q194" s="5">
        <v>0</v>
      </c>
      <c r="R194" s="9">
        <v>0</v>
      </c>
      <c r="S194" s="5">
        <v>0</v>
      </c>
      <c r="T194" s="5">
        <v>0</v>
      </c>
    </row>
    <row r="195" spans="1:20" x14ac:dyDescent="0.2">
      <c r="A195" s="5" t="s">
        <v>194</v>
      </c>
      <c r="B195" s="9" t="s">
        <v>162</v>
      </c>
      <c r="C195" s="5" t="s">
        <v>777</v>
      </c>
      <c r="D195" s="7">
        <f t="shared" si="0"/>
        <v>7.6</v>
      </c>
      <c r="E195" s="5">
        <v>0</v>
      </c>
      <c r="F195" s="5">
        <v>0</v>
      </c>
      <c r="G195" s="5">
        <v>0</v>
      </c>
      <c r="H195" s="5">
        <v>0</v>
      </c>
      <c r="I195" s="5">
        <v>0</v>
      </c>
      <c r="J195" s="9">
        <v>0</v>
      </c>
      <c r="K195" s="5">
        <v>0</v>
      </c>
      <c r="L195" s="5">
        <v>0</v>
      </c>
      <c r="M195" s="5">
        <v>0</v>
      </c>
      <c r="N195" s="9">
        <v>0</v>
      </c>
      <c r="O195" s="5">
        <v>4</v>
      </c>
      <c r="P195" s="5">
        <v>36</v>
      </c>
      <c r="Q195" s="5">
        <v>0</v>
      </c>
      <c r="R195" s="9">
        <v>0</v>
      </c>
      <c r="S195" s="5">
        <v>0</v>
      </c>
      <c r="T195" s="5">
        <v>0</v>
      </c>
    </row>
    <row r="196" spans="1:20" x14ac:dyDescent="0.2">
      <c r="A196" s="5" t="s">
        <v>239</v>
      </c>
      <c r="B196" s="9" t="s">
        <v>162</v>
      </c>
      <c r="C196" s="5" t="s">
        <v>778</v>
      </c>
      <c r="D196" s="7">
        <f t="shared" si="0"/>
        <v>4.2</v>
      </c>
      <c r="E196" s="5">
        <v>0</v>
      </c>
      <c r="F196" s="5">
        <v>0</v>
      </c>
      <c r="G196" s="5">
        <v>0</v>
      </c>
      <c r="H196" s="5">
        <v>0</v>
      </c>
      <c r="I196" s="5">
        <v>0</v>
      </c>
      <c r="J196" s="9">
        <v>0</v>
      </c>
      <c r="K196" s="5">
        <v>1</v>
      </c>
      <c r="L196" s="5">
        <v>-3</v>
      </c>
      <c r="M196" s="5">
        <v>0</v>
      </c>
      <c r="N196" s="9">
        <v>0</v>
      </c>
      <c r="O196" s="5">
        <v>2</v>
      </c>
      <c r="P196" s="5">
        <v>25</v>
      </c>
      <c r="Q196" s="5">
        <v>0</v>
      </c>
      <c r="R196" s="9">
        <v>0</v>
      </c>
      <c r="S196" s="5">
        <v>0</v>
      </c>
      <c r="T196" s="5">
        <v>0</v>
      </c>
    </row>
    <row r="197" spans="1:20" x14ac:dyDescent="0.2">
      <c r="A197" s="5" t="s">
        <v>165</v>
      </c>
      <c r="B197" s="9" t="s">
        <v>162</v>
      </c>
      <c r="C197" s="5" t="s">
        <v>771</v>
      </c>
      <c r="D197" s="7">
        <f t="shared" si="0"/>
        <v>7.9</v>
      </c>
      <c r="E197" s="5">
        <v>0</v>
      </c>
      <c r="F197" s="5">
        <v>0</v>
      </c>
      <c r="G197" s="5">
        <v>0</v>
      </c>
      <c r="H197" s="5">
        <v>0</v>
      </c>
      <c r="I197" s="5">
        <v>0</v>
      </c>
      <c r="J197" s="9">
        <v>0</v>
      </c>
      <c r="K197" s="5">
        <v>0</v>
      </c>
      <c r="L197" s="5">
        <v>0</v>
      </c>
      <c r="M197" s="5">
        <v>0</v>
      </c>
      <c r="N197" s="9">
        <v>0</v>
      </c>
      <c r="O197" s="5">
        <v>5</v>
      </c>
      <c r="P197" s="5">
        <v>29</v>
      </c>
      <c r="Q197" s="5">
        <v>0</v>
      </c>
      <c r="R197" s="9">
        <v>0</v>
      </c>
      <c r="S197" s="5">
        <v>0</v>
      </c>
      <c r="T197" s="5">
        <v>0</v>
      </c>
    </row>
    <row r="198" spans="1:20" x14ac:dyDescent="0.2">
      <c r="A198" s="5" t="s">
        <v>187</v>
      </c>
      <c r="B198" s="9" t="s">
        <v>162</v>
      </c>
      <c r="C198" s="5" t="s">
        <v>778</v>
      </c>
      <c r="D198" s="7">
        <f t="shared" si="0"/>
        <v>4</v>
      </c>
      <c r="E198" s="5">
        <v>0</v>
      </c>
      <c r="F198" s="5">
        <v>0</v>
      </c>
      <c r="G198" s="5">
        <v>0</v>
      </c>
      <c r="H198" s="5">
        <v>0</v>
      </c>
      <c r="I198" s="5">
        <v>0</v>
      </c>
      <c r="J198" s="9">
        <v>0</v>
      </c>
      <c r="K198" s="5">
        <v>0</v>
      </c>
      <c r="L198" s="5">
        <v>0</v>
      </c>
      <c r="M198" s="5">
        <v>0</v>
      </c>
      <c r="N198" s="9">
        <v>0</v>
      </c>
      <c r="O198" s="5">
        <v>2</v>
      </c>
      <c r="P198" s="5">
        <v>20</v>
      </c>
      <c r="Q198" s="5">
        <v>0</v>
      </c>
      <c r="R198" s="9">
        <v>0</v>
      </c>
      <c r="S198" s="5">
        <v>0</v>
      </c>
      <c r="T198" s="5">
        <v>0</v>
      </c>
    </row>
    <row r="199" spans="1:20" x14ac:dyDescent="0.2">
      <c r="A199" s="5" t="s">
        <v>253</v>
      </c>
      <c r="B199" s="9" t="s">
        <v>162</v>
      </c>
      <c r="C199" s="5" t="s">
        <v>771</v>
      </c>
      <c r="D199" s="7">
        <f t="shared" si="0"/>
        <v>5</v>
      </c>
      <c r="E199" s="5">
        <v>0</v>
      </c>
      <c r="F199" s="5">
        <v>0</v>
      </c>
      <c r="G199" s="5">
        <v>0</v>
      </c>
      <c r="H199" s="5">
        <v>0</v>
      </c>
      <c r="I199" s="5">
        <v>0</v>
      </c>
      <c r="J199" s="9">
        <v>0</v>
      </c>
      <c r="K199" s="5">
        <v>1</v>
      </c>
      <c r="L199" s="5">
        <v>1</v>
      </c>
      <c r="M199" s="5">
        <v>0</v>
      </c>
      <c r="N199" s="9">
        <v>0</v>
      </c>
      <c r="O199" s="5">
        <v>2</v>
      </c>
      <c r="P199" s="5">
        <v>29</v>
      </c>
      <c r="Q199" s="5">
        <v>0</v>
      </c>
      <c r="R199" s="9">
        <v>0</v>
      </c>
      <c r="S199" s="5">
        <v>0</v>
      </c>
      <c r="T199" s="5">
        <v>0</v>
      </c>
    </row>
    <row r="200" spans="1:20" x14ac:dyDescent="0.2">
      <c r="A200" s="5" t="s">
        <v>243</v>
      </c>
      <c r="B200" s="9" t="s">
        <v>162</v>
      </c>
      <c r="C200" s="5" t="s">
        <v>779</v>
      </c>
      <c r="D200" s="7">
        <f t="shared" si="0"/>
        <v>5.7</v>
      </c>
      <c r="E200" s="5">
        <v>0</v>
      </c>
      <c r="F200" s="5">
        <v>0</v>
      </c>
      <c r="G200" s="5">
        <v>0</v>
      </c>
      <c r="H200" s="5">
        <v>0</v>
      </c>
      <c r="I200" s="5">
        <v>0</v>
      </c>
      <c r="J200" s="9">
        <v>0</v>
      </c>
      <c r="K200" s="5">
        <v>1</v>
      </c>
      <c r="L200" s="5">
        <v>8</v>
      </c>
      <c r="M200" s="5">
        <v>0</v>
      </c>
      <c r="N200" s="9">
        <v>0</v>
      </c>
      <c r="O200" s="5">
        <v>2</v>
      </c>
      <c r="P200" s="5">
        <v>29</v>
      </c>
      <c r="Q200" s="5">
        <v>0</v>
      </c>
      <c r="R200" s="9">
        <v>0</v>
      </c>
      <c r="S200" s="5">
        <v>0</v>
      </c>
      <c r="T200" s="5">
        <v>0</v>
      </c>
    </row>
    <row r="201" spans="1:20" x14ac:dyDescent="0.2">
      <c r="A201" s="5" t="s">
        <v>268</v>
      </c>
      <c r="B201" s="9" t="s">
        <v>162</v>
      </c>
      <c r="C201" s="5" t="s">
        <v>775</v>
      </c>
      <c r="D201" s="7">
        <f t="shared" si="0"/>
        <v>2.2000000000000002</v>
      </c>
      <c r="E201" s="5">
        <v>0</v>
      </c>
      <c r="F201" s="5">
        <v>0</v>
      </c>
      <c r="G201" s="5">
        <v>0</v>
      </c>
      <c r="H201" s="5">
        <v>0</v>
      </c>
      <c r="I201" s="5">
        <v>0</v>
      </c>
      <c r="J201" s="9">
        <v>0</v>
      </c>
      <c r="K201" s="5">
        <v>0</v>
      </c>
      <c r="L201" s="5">
        <v>0</v>
      </c>
      <c r="M201" s="5">
        <v>0</v>
      </c>
      <c r="N201" s="9">
        <v>0</v>
      </c>
      <c r="O201" s="5">
        <v>1</v>
      </c>
      <c r="P201" s="5">
        <v>12</v>
      </c>
      <c r="Q201" s="5">
        <v>0</v>
      </c>
      <c r="R201" s="9">
        <v>0</v>
      </c>
      <c r="S201" s="5">
        <v>0</v>
      </c>
      <c r="T201" s="5">
        <v>0</v>
      </c>
    </row>
    <row r="202" spans="1:20" x14ac:dyDescent="0.2">
      <c r="A202" s="5" t="s">
        <v>217</v>
      </c>
      <c r="B202" s="9" t="s">
        <v>162</v>
      </c>
      <c r="C202" s="5" t="s">
        <v>772</v>
      </c>
      <c r="D202" s="7">
        <f t="shared" si="0"/>
        <v>2.4000000000000004</v>
      </c>
      <c r="E202" s="5">
        <v>0</v>
      </c>
      <c r="F202" s="5">
        <v>0</v>
      </c>
      <c r="G202" s="5">
        <v>0</v>
      </c>
      <c r="H202" s="5">
        <v>0</v>
      </c>
      <c r="I202" s="5">
        <v>0</v>
      </c>
      <c r="J202" s="9">
        <v>0</v>
      </c>
      <c r="K202" s="5">
        <v>0</v>
      </c>
      <c r="L202" s="5">
        <v>0</v>
      </c>
      <c r="M202" s="5">
        <v>0</v>
      </c>
      <c r="N202" s="9">
        <v>0</v>
      </c>
      <c r="O202" s="5">
        <v>1</v>
      </c>
      <c r="P202" s="5">
        <v>14</v>
      </c>
      <c r="Q202" s="5">
        <v>0</v>
      </c>
      <c r="R202" s="9">
        <v>0</v>
      </c>
      <c r="S202" s="5">
        <v>0</v>
      </c>
      <c r="T202" s="5">
        <v>0</v>
      </c>
    </row>
    <row r="203" spans="1:20" x14ac:dyDescent="0.2">
      <c r="A203" s="5" t="s">
        <v>228</v>
      </c>
      <c r="B203" s="9" t="s">
        <v>162</v>
      </c>
      <c r="C203" s="5" t="s">
        <v>772</v>
      </c>
      <c r="D203" s="7">
        <f t="shared" si="0"/>
        <v>3.3</v>
      </c>
      <c r="E203" s="5">
        <v>0</v>
      </c>
      <c r="F203" s="5">
        <v>0</v>
      </c>
      <c r="G203" s="5">
        <v>0</v>
      </c>
      <c r="H203" s="5">
        <v>0</v>
      </c>
      <c r="I203" s="5">
        <v>0</v>
      </c>
      <c r="J203" s="9">
        <v>0</v>
      </c>
      <c r="K203" s="5">
        <v>0</v>
      </c>
      <c r="L203" s="5">
        <v>0</v>
      </c>
      <c r="M203" s="5">
        <v>0</v>
      </c>
      <c r="N203" s="9">
        <v>0</v>
      </c>
      <c r="O203" s="5">
        <v>2</v>
      </c>
      <c r="P203" s="5">
        <v>13</v>
      </c>
      <c r="Q203" s="5">
        <v>0</v>
      </c>
      <c r="R203" s="9">
        <v>0</v>
      </c>
      <c r="S203" s="5">
        <v>0</v>
      </c>
      <c r="T203" s="5">
        <v>0</v>
      </c>
    </row>
    <row r="204" spans="1:20" x14ac:dyDescent="0.2">
      <c r="A204" s="5" t="s">
        <v>419</v>
      </c>
      <c r="B204" s="9" t="s">
        <v>162</v>
      </c>
      <c r="C204" s="5" t="s">
        <v>776</v>
      </c>
      <c r="D204" s="7">
        <f t="shared" si="0"/>
        <v>2.9000000000000004</v>
      </c>
      <c r="E204" s="5">
        <v>0</v>
      </c>
      <c r="F204" s="5">
        <v>0</v>
      </c>
      <c r="G204" s="5">
        <v>0</v>
      </c>
      <c r="H204" s="5">
        <v>0</v>
      </c>
      <c r="I204" s="5">
        <v>0</v>
      </c>
      <c r="J204" s="9">
        <v>0</v>
      </c>
      <c r="K204" s="5">
        <v>0</v>
      </c>
      <c r="L204" s="5">
        <v>0</v>
      </c>
      <c r="M204" s="5">
        <v>0</v>
      </c>
      <c r="N204" s="9">
        <v>0</v>
      </c>
      <c r="O204" s="5">
        <v>1</v>
      </c>
      <c r="P204" s="5">
        <v>19</v>
      </c>
      <c r="Q204" s="5">
        <v>0</v>
      </c>
      <c r="R204" s="9">
        <v>0</v>
      </c>
      <c r="S204" s="5">
        <v>0</v>
      </c>
      <c r="T204" s="5">
        <v>0</v>
      </c>
    </row>
    <row r="205" spans="1:20" x14ac:dyDescent="0.2">
      <c r="A205" s="5" t="s">
        <v>484</v>
      </c>
      <c r="B205" s="9" t="s">
        <v>162</v>
      </c>
      <c r="C205" s="5" t="s">
        <v>782</v>
      </c>
      <c r="D205" s="7">
        <f t="shared" si="0"/>
        <v>2.7</v>
      </c>
      <c r="E205" s="5">
        <v>0</v>
      </c>
      <c r="F205" s="5">
        <v>0</v>
      </c>
      <c r="G205" s="5">
        <v>0</v>
      </c>
      <c r="H205" s="5">
        <v>0</v>
      </c>
      <c r="I205" s="5">
        <v>0</v>
      </c>
      <c r="J205" s="9">
        <v>0</v>
      </c>
      <c r="K205" s="5">
        <v>1</v>
      </c>
      <c r="L205" s="5">
        <v>16</v>
      </c>
      <c r="M205" s="5">
        <v>0</v>
      </c>
      <c r="N205" s="9">
        <v>0</v>
      </c>
      <c r="O205" s="5">
        <v>1</v>
      </c>
      <c r="P205" s="5">
        <v>1</v>
      </c>
      <c r="Q205" s="5">
        <v>0</v>
      </c>
      <c r="R205" s="9">
        <v>0</v>
      </c>
      <c r="S205" s="5">
        <v>0</v>
      </c>
      <c r="T205" s="5">
        <v>0</v>
      </c>
    </row>
    <row r="206" spans="1:20" x14ac:dyDescent="0.2">
      <c r="A206" s="5" t="s">
        <v>646</v>
      </c>
      <c r="B206" s="9" t="s">
        <v>162</v>
      </c>
      <c r="C206" s="5" t="s">
        <v>771</v>
      </c>
      <c r="D206" s="7">
        <f t="shared" si="0"/>
        <v>2.2000000000000002</v>
      </c>
      <c r="E206" s="5">
        <v>0</v>
      </c>
      <c r="F206" s="5">
        <v>0</v>
      </c>
      <c r="G206" s="5">
        <v>0</v>
      </c>
      <c r="H206" s="5">
        <v>0</v>
      </c>
      <c r="I206" s="5">
        <v>0</v>
      </c>
      <c r="J206" s="9">
        <v>0</v>
      </c>
      <c r="K206" s="5">
        <v>0</v>
      </c>
      <c r="L206" s="5">
        <v>0</v>
      </c>
      <c r="M206" s="5">
        <v>0</v>
      </c>
      <c r="N206" s="9">
        <v>0</v>
      </c>
      <c r="O206" s="5">
        <v>1</v>
      </c>
      <c r="P206" s="5">
        <v>12</v>
      </c>
      <c r="Q206" s="5">
        <v>0</v>
      </c>
      <c r="R206" s="9">
        <v>0</v>
      </c>
      <c r="S206" s="5">
        <v>0</v>
      </c>
      <c r="T206" s="5">
        <v>0</v>
      </c>
    </row>
    <row r="207" spans="1:20" x14ac:dyDescent="0.2">
      <c r="A207" s="5" t="s">
        <v>260</v>
      </c>
      <c r="B207" s="9" t="s">
        <v>162</v>
      </c>
      <c r="C207" s="5" t="s">
        <v>768</v>
      </c>
      <c r="D207" s="7">
        <f t="shared" si="0"/>
        <v>2.8</v>
      </c>
      <c r="E207" s="5">
        <v>0</v>
      </c>
      <c r="F207" s="5">
        <v>0</v>
      </c>
      <c r="G207" s="5">
        <v>0</v>
      </c>
      <c r="H207" s="5">
        <v>0</v>
      </c>
      <c r="I207" s="5">
        <v>0</v>
      </c>
      <c r="J207" s="9">
        <v>0</v>
      </c>
      <c r="K207" s="5">
        <v>0</v>
      </c>
      <c r="L207" s="5">
        <v>0</v>
      </c>
      <c r="M207" s="5">
        <v>0</v>
      </c>
      <c r="N207" s="9">
        <v>0</v>
      </c>
      <c r="O207" s="5">
        <v>1</v>
      </c>
      <c r="P207" s="5">
        <v>18</v>
      </c>
      <c r="Q207" s="5">
        <v>0</v>
      </c>
      <c r="R207" s="9">
        <v>0</v>
      </c>
      <c r="S207" s="5">
        <v>0</v>
      </c>
      <c r="T207" s="5">
        <v>0</v>
      </c>
    </row>
    <row r="208" spans="1:20" x14ac:dyDescent="0.2">
      <c r="A208" s="5" t="s">
        <v>222</v>
      </c>
      <c r="B208" s="9" t="s">
        <v>162</v>
      </c>
      <c r="C208" s="5" t="s">
        <v>781</v>
      </c>
      <c r="D208" s="7">
        <f t="shared" si="0"/>
        <v>2.2999999999999998</v>
      </c>
      <c r="E208" s="5">
        <v>0</v>
      </c>
      <c r="F208" s="5">
        <v>0</v>
      </c>
      <c r="G208" s="5">
        <v>0</v>
      </c>
      <c r="H208" s="5">
        <v>0</v>
      </c>
      <c r="I208" s="5">
        <v>0</v>
      </c>
      <c r="J208" s="9">
        <v>0</v>
      </c>
      <c r="K208" s="5">
        <v>0</v>
      </c>
      <c r="L208" s="5">
        <v>0</v>
      </c>
      <c r="M208" s="5">
        <v>0</v>
      </c>
      <c r="N208" s="9">
        <v>0</v>
      </c>
      <c r="O208" s="5">
        <v>1</v>
      </c>
      <c r="P208" s="5">
        <v>13</v>
      </c>
      <c r="Q208" s="5">
        <v>0</v>
      </c>
      <c r="R208" s="9">
        <v>0</v>
      </c>
      <c r="S208" s="5">
        <v>0</v>
      </c>
      <c r="T208" s="5">
        <v>0</v>
      </c>
    </row>
    <row r="209" spans="1:20" x14ac:dyDescent="0.2">
      <c r="A209" s="5" t="s">
        <v>214</v>
      </c>
      <c r="B209" s="9" t="s">
        <v>162</v>
      </c>
      <c r="C209" s="5" t="s">
        <v>777</v>
      </c>
      <c r="D209" s="7">
        <f t="shared" si="0"/>
        <v>3.5</v>
      </c>
      <c r="E209" s="5">
        <v>0</v>
      </c>
      <c r="F209" s="5">
        <v>0</v>
      </c>
      <c r="G209" s="5">
        <v>0</v>
      </c>
      <c r="H209" s="5">
        <v>0</v>
      </c>
      <c r="I209" s="5">
        <v>0</v>
      </c>
      <c r="J209" s="9">
        <v>0</v>
      </c>
      <c r="K209" s="5">
        <v>0</v>
      </c>
      <c r="L209" s="5">
        <v>0</v>
      </c>
      <c r="M209" s="5">
        <v>0</v>
      </c>
      <c r="N209" s="9">
        <v>0</v>
      </c>
      <c r="O209" s="5">
        <v>2</v>
      </c>
      <c r="P209" s="5">
        <v>15</v>
      </c>
      <c r="Q209" s="5">
        <v>0</v>
      </c>
      <c r="R209" s="9">
        <v>0</v>
      </c>
      <c r="S209" s="5">
        <v>0</v>
      </c>
      <c r="T209" s="5">
        <v>0</v>
      </c>
    </row>
    <row r="210" spans="1:20" x14ac:dyDescent="0.2">
      <c r="A210" s="5" t="s">
        <v>521</v>
      </c>
      <c r="B210" s="9" t="s">
        <v>162</v>
      </c>
      <c r="C210" s="5" t="s">
        <v>781</v>
      </c>
      <c r="D210" s="7">
        <f t="shared" si="0"/>
        <v>2.5</v>
      </c>
      <c r="E210" s="5">
        <v>0</v>
      </c>
      <c r="F210" s="5">
        <v>0</v>
      </c>
      <c r="G210" s="5">
        <v>0</v>
      </c>
      <c r="H210" s="5">
        <v>0</v>
      </c>
      <c r="I210" s="5">
        <v>0</v>
      </c>
      <c r="J210" s="9">
        <v>0</v>
      </c>
      <c r="K210" s="5">
        <v>0</v>
      </c>
      <c r="L210" s="5">
        <v>0</v>
      </c>
      <c r="M210" s="5">
        <v>0</v>
      </c>
      <c r="N210" s="9">
        <v>0</v>
      </c>
      <c r="O210" s="5">
        <v>1</v>
      </c>
      <c r="P210" s="5">
        <v>15</v>
      </c>
      <c r="Q210" s="5">
        <v>0</v>
      </c>
      <c r="R210" s="9">
        <v>0</v>
      </c>
      <c r="S210" s="5">
        <v>0</v>
      </c>
      <c r="T210" s="5">
        <v>0</v>
      </c>
    </row>
    <row r="211" spans="1:20" x14ac:dyDescent="0.2">
      <c r="A211" s="5" t="s">
        <v>235</v>
      </c>
      <c r="B211" s="9" t="s">
        <v>162</v>
      </c>
      <c r="C211" s="5" t="s">
        <v>773</v>
      </c>
      <c r="D211" s="7">
        <f t="shared" si="0"/>
        <v>4.8</v>
      </c>
      <c r="E211" s="5">
        <v>0</v>
      </c>
      <c r="F211" s="5">
        <v>0</v>
      </c>
      <c r="G211" s="5">
        <v>0</v>
      </c>
      <c r="H211" s="5">
        <v>0</v>
      </c>
      <c r="I211" s="5">
        <v>0</v>
      </c>
      <c r="J211" s="9">
        <v>0</v>
      </c>
      <c r="K211" s="5">
        <v>0</v>
      </c>
      <c r="L211" s="5">
        <v>0</v>
      </c>
      <c r="M211" s="5">
        <v>0</v>
      </c>
      <c r="N211" s="9">
        <v>0</v>
      </c>
      <c r="O211" s="5">
        <v>3</v>
      </c>
      <c r="P211" s="5">
        <v>18</v>
      </c>
      <c r="Q211" s="5">
        <v>0</v>
      </c>
      <c r="R211" s="9">
        <v>0</v>
      </c>
      <c r="S211" s="5">
        <v>0</v>
      </c>
      <c r="T211" s="5">
        <v>0</v>
      </c>
    </row>
    <row r="212" spans="1:20" x14ac:dyDescent="0.2">
      <c r="A212" s="5" t="s">
        <v>208</v>
      </c>
      <c r="B212" s="9" t="s">
        <v>162</v>
      </c>
      <c r="C212" s="5" t="s">
        <v>768</v>
      </c>
      <c r="D212" s="7">
        <f t="shared" si="0"/>
        <v>3.9000000000000004</v>
      </c>
      <c r="E212" s="5">
        <v>0</v>
      </c>
      <c r="F212" s="5">
        <v>0</v>
      </c>
      <c r="G212" s="5">
        <v>0</v>
      </c>
      <c r="H212" s="5">
        <v>0</v>
      </c>
      <c r="I212" s="5">
        <v>0</v>
      </c>
      <c r="J212" s="9">
        <v>0</v>
      </c>
      <c r="K212" s="5">
        <v>0</v>
      </c>
      <c r="L212" s="5">
        <v>0</v>
      </c>
      <c r="M212" s="5">
        <v>0</v>
      </c>
      <c r="N212" s="9">
        <v>0</v>
      </c>
      <c r="O212" s="5">
        <v>2</v>
      </c>
      <c r="P212" s="5">
        <v>19</v>
      </c>
      <c r="Q212" s="5">
        <v>0</v>
      </c>
      <c r="R212" s="9">
        <v>0</v>
      </c>
      <c r="S212" s="5">
        <v>0</v>
      </c>
      <c r="T212" s="5">
        <v>0</v>
      </c>
    </row>
    <row r="213" spans="1:20" x14ac:dyDescent="0.2">
      <c r="A213" s="5" t="s">
        <v>255</v>
      </c>
      <c r="B213" s="9" t="s">
        <v>162</v>
      </c>
      <c r="C213" s="5" t="s">
        <v>779</v>
      </c>
      <c r="D213" s="7">
        <f t="shared" si="0"/>
        <v>2.1</v>
      </c>
      <c r="E213" s="5">
        <v>0</v>
      </c>
      <c r="F213" s="5">
        <v>0</v>
      </c>
      <c r="G213" s="5">
        <v>0</v>
      </c>
      <c r="H213" s="5">
        <v>0</v>
      </c>
      <c r="I213" s="5">
        <v>0</v>
      </c>
      <c r="J213" s="9">
        <v>0</v>
      </c>
      <c r="K213" s="5">
        <v>0</v>
      </c>
      <c r="L213" s="5">
        <v>0</v>
      </c>
      <c r="M213" s="5">
        <v>0</v>
      </c>
      <c r="N213" s="9">
        <v>0</v>
      </c>
      <c r="O213" s="5">
        <v>1</v>
      </c>
      <c r="P213" s="5">
        <v>11</v>
      </c>
      <c r="Q213" s="5">
        <v>0</v>
      </c>
      <c r="R213" s="9">
        <v>0</v>
      </c>
      <c r="S213" s="5">
        <v>0</v>
      </c>
      <c r="T213" s="5">
        <v>0</v>
      </c>
    </row>
    <row r="214" spans="1:20" x14ac:dyDescent="0.2">
      <c r="A214" s="5" t="s">
        <v>191</v>
      </c>
      <c r="B214" s="9" t="s">
        <v>162</v>
      </c>
      <c r="C214" s="5" t="s">
        <v>779</v>
      </c>
      <c r="D214" s="7">
        <f t="shared" si="0"/>
        <v>2.6</v>
      </c>
      <c r="E214" s="5">
        <v>0</v>
      </c>
      <c r="F214" s="5">
        <v>0</v>
      </c>
      <c r="G214" s="5">
        <v>0</v>
      </c>
      <c r="H214" s="5">
        <v>0</v>
      </c>
      <c r="I214" s="5">
        <v>0</v>
      </c>
      <c r="J214" s="9">
        <v>0</v>
      </c>
      <c r="K214" s="5">
        <v>0</v>
      </c>
      <c r="L214" s="5">
        <v>0</v>
      </c>
      <c r="M214" s="5">
        <v>0</v>
      </c>
      <c r="N214" s="9">
        <v>0</v>
      </c>
      <c r="O214" s="5">
        <v>1</v>
      </c>
      <c r="P214" s="5">
        <v>16</v>
      </c>
      <c r="Q214" s="5">
        <v>0</v>
      </c>
      <c r="R214" s="9">
        <v>0</v>
      </c>
      <c r="S214" s="5">
        <v>0</v>
      </c>
      <c r="T214" s="5">
        <v>0</v>
      </c>
    </row>
    <row r="215" spans="1:20" x14ac:dyDescent="0.2">
      <c r="A215" s="5" t="s">
        <v>427</v>
      </c>
      <c r="B215" s="9" t="s">
        <v>162</v>
      </c>
      <c r="C215" s="5" t="s">
        <v>774</v>
      </c>
      <c r="D215" s="7">
        <f t="shared" si="0"/>
        <v>4.5999999999999996</v>
      </c>
      <c r="E215" s="5">
        <v>0</v>
      </c>
      <c r="F215" s="5">
        <v>0</v>
      </c>
      <c r="G215" s="5">
        <v>0</v>
      </c>
      <c r="H215" s="5">
        <v>0</v>
      </c>
      <c r="I215" s="5">
        <v>0</v>
      </c>
      <c r="J215" s="9">
        <v>0</v>
      </c>
      <c r="K215" s="5">
        <v>0</v>
      </c>
      <c r="L215" s="5">
        <v>0</v>
      </c>
      <c r="M215" s="5">
        <v>0</v>
      </c>
      <c r="N215" s="9">
        <v>0</v>
      </c>
      <c r="O215" s="5">
        <v>3</v>
      </c>
      <c r="P215" s="5">
        <v>16</v>
      </c>
      <c r="Q215" s="5">
        <v>0</v>
      </c>
      <c r="R215" s="9">
        <v>0</v>
      </c>
      <c r="S215" s="5">
        <v>0</v>
      </c>
      <c r="T215" s="5">
        <v>0</v>
      </c>
    </row>
    <row r="216" spans="1:20" x14ac:dyDescent="0.2">
      <c r="A216" s="5" t="s">
        <v>199</v>
      </c>
      <c r="B216" s="9" t="s">
        <v>162</v>
      </c>
      <c r="C216" s="5" t="s">
        <v>782</v>
      </c>
      <c r="D216" s="7">
        <f t="shared" si="0"/>
        <v>3</v>
      </c>
      <c r="E216" s="5">
        <v>0</v>
      </c>
      <c r="F216" s="5">
        <v>0</v>
      </c>
      <c r="G216" s="5">
        <v>0</v>
      </c>
      <c r="H216" s="5">
        <v>0</v>
      </c>
      <c r="I216" s="5">
        <v>0</v>
      </c>
      <c r="J216" s="9">
        <v>0</v>
      </c>
      <c r="K216" s="5">
        <v>2</v>
      </c>
      <c r="L216" s="5">
        <v>4</v>
      </c>
      <c r="M216" s="5">
        <v>0</v>
      </c>
      <c r="N216" s="9">
        <v>0</v>
      </c>
      <c r="O216" s="5">
        <v>1</v>
      </c>
      <c r="P216" s="5">
        <v>16</v>
      </c>
      <c r="Q216" s="5">
        <v>0</v>
      </c>
      <c r="R216" s="9">
        <v>0</v>
      </c>
      <c r="S216" s="5">
        <v>0</v>
      </c>
      <c r="T216" s="5">
        <v>0</v>
      </c>
    </row>
    <row r="217" spans="1:20" x14ac:dyDescent="0.2">
      <c r="A217" s="5" t="s">
        <v>557</v>
      </c>
      <c r="B217" s="9" t="s">
        <v>162</v>
      </c>
      <c r="C217" s="5" t="s">
        <v>770</v>
      </c>
      <c r="D217" s="7">
        <f t="shared" si="0"/>
        <v>3</v>
      </c>
      <c r="E217" s="5">
        <v>0</v>
      </c>
      <c r="F217" s="5">
        <v>0</v>
      </c>
      <c r="G217" s="5">
        <v>0</v>
      </c>
      <c r="H217" s="5">
        <v>0</v>
      </c>
      <c r="I217" s="5">
        <v>0</v>
      </c>
      <c r="J217" s="9">
        <v>0</v>
      </c>
      <c r="K217" s="5">
        <v>1</v>
      </c>
      <c r="L217" s="5">
        <v>9</v>
      </c>
      <c r="M217" s="5">
        <v>0</v>
      </c>
      <c r="N217" s="9">
        <v>0</v>
      </c>
      <c r="O217" s="5">
        <v>1</v>
      </c>
      <c r="P217" s="5">
        <v>11</v>
      </c>
      <c r="Q217" s="5">
        <v>0</v>
      </c>
      <c r="R217" s="9">
        <v>0</v>
      </c>
      <c r="S217" s="5">
        <v>0</v>
      </c>
      <c r="T217" s="5">
        <v>0</v>
      </c>
    </row>
    <row r="218" spans="1:20" x14ac:dyDescent="0.2">
      <c r="A218" s="5" t="s">
        <v>495</v>
      </c>
      <c r="B218" s="9" t="s">
        <v>162</v>
      </c>
      <c r="C218" s="5" t="s">
        <v>768</v>
      </c>
      <c r="D218" s="7">
        <f t="shared" si="0"/>
        <v>3.3</v>
      </c>
      <c r="E218" s="5">
        <v>0</v>
      </c>
      <c r="F218" s="5">
        <v>0</v>
      </c>
      <c r="G218" s="5">
        <v>0</v>
      </c>
      <c r="H218" s="5">
        <v>0</v>
      </c>
      <c r="I218" s="5">
        <v>0</v>
      </c>
      <c r="J218" s="9">
        <v>0</v>
      </c>
      <c r="K218" s="5">
        <v>0</v>
      </c>
      <c r="L218" s="5">
        <v>0</v>
      </c>
      <c r="M218" s="5">
        <v>0</v>
      </c>
      <c r="N218" s="9">
        <v>0</v>
      </c>
      <c r="O218" s="5">
        <v>2</v>
      </c>
      <c r="P218" s="5">
        <v>13</v>
      </c>
      <c r="Q218" s="5">
        <v>0</v>
      </c>
      <c r="R218" s="9">
        <v>0</v>
      </c>
      <c r="S218" s="5">
        <v>0</v>
      </c>
      <c r="T218" s="5">
        <v>0</v>
      </c>
    </row>
    <row r="219" spans="1:20" x14ac:dyDescent="0.2">
      <c r="A219" s="5" t="s">
        <v>712</v>
      </c>
      <c r="B219" s="9" t="s">
        <v>162</v>
      </c>
      <c r="C219" s="5" t="s">
        <v>775</v>
      </c>
      <c r="D219" s="7">
        <f t="shared" si="0"/>
        <v>3.9000000000000004</v>
      </c>
      <c r="E219" s="5">
        <v>0</v>
      </c>
      <c r="F219" s="5">
        <v>0</v>
      </c>
      <c r="G219" s="5">
        <v>0</v>
      </c>
      <c r="H219" s="5">
        <v>0</v>
      </c>
      <c r="I219" s="5">
        <v>0</v>
      </c>
      <c r="J219" s="9">
        <v>0</v>
      </c>
      <c r="K219" s="5">
        <v>0</v>
      </c>
      <c r="L219" s="5">
        <v>0</v>
      </c>
      <c r="M219" s="5">
        <v>0</v>
      </c>
      <c r="N219" s="9">
        <v>0</v>
      </c>
      <c r="O219" s="5">
        <v>2</v>
      </c>
      <c r="P219" s="5">
        <v>19</v>
      </c>
      <c r="Q219" s="5">
        <v>0</v>
      </c>
      <c r="R219" s="9">
        <v>0</v>
      </c>
      <c r="S219" s="5">
        <v>0</v>
      </c>
      <c r="T219" s="5">
        <v>0</v>
      </c>
    </row>
    <row r="220" spans="1:20" x14ac:dyDescent="0.2">
      <c r="A220" s="5" t="s">
        <v>197</v>
      </c>
      <c r="B220" s="9" t="s">
        <v>162</v>
      </c>
      <c r="C220" s="5" t="s">
        <v>768</v>
      </c>
      <c r="D220" s="7">
        <f t="shared" si="0"/>
        <v>4.1000000000000005</v>
      </c>
      <c r="E220" s="5">
        <v>0</v>
      </c>
      <c r="F220" s="5">
        <v>0</v>
      </c>
      <c r="G220" s="5">
        <v>0</v>
      </c>
      <c r="H220" s="5">
        <v>0</v>
      </c>
      <c r="I220" s="5">
        <v>0</v>
      </c>
      <c r="J220" s="9">
        <v>0</v>
      </c>
      <c r="K220" s="5">
        <v>1</v>
      </c>
      <c r="L220" s="5">
        <v>7</v>
      </c>
      <c r="M220" s="5">
        <v>0</v>
      </c>
      <c r="N220" s="9">
        <v>0</v>
      </c>
      <c r="O220" s="5">
        <v>2</v>
      </c>
      <c r="P220" s="5">
        <v>14</v>
      </c>
      <c r="Q220" s="5">
        <v>0</v>
      </c>
      <c r="R220" s="9">
        <v>0</v>
      </c>
      <c r="S220" s="5">
        <v>0</v>
      </c>
      <c r="T220" s="5">
        <v>0</v>
      </c>
    </row>
    <row r="221" spans="1:20" x14ac:dyDescent="0.2">
      <c r="A221" s="5" t="s">
        <v>190</v>
      </c>
      <c r="B221" s="9" t="s">
        <v>162</v>
      </c>
      <c r="C221" s="5" t="s">
        <v>780</v>
      </c>
      <c r="D221" s="7">
        <f t="shared" si="0"/>
        <v>1.4</v>
      </c>
      <c r="E221" s="5">
        <v>0</v>
      </c>
      <c r="F221" s="5">
        <v>0</v>
      </c>
      <c r="G221" s="5">
        <v>0</v>
      </c>
      <c r="H221" s="5">
        <v>0</v>
      </c>
      <c r="I221" s="5">
        <v>0</v>
      </c>
      <c r="J221" s="9">
        <v>0</v>
      </c>
      <c r="K221" s="5">
        <v>0</v>
      </c>
      <c r="L221" s="5">
        <v>0</v>
      </c>
      <c r="M221" s="5">
        <v>0</v>
      </c>
      <c r="N221" s="9">
        <v>0</v>
      </c>
      <c r="O221" s="5">
        <v>1</v>
      </c>
      <c r="P221" s="5">
        <v>4</v>
      </c>
      <c r="Q221" s="5">
        <v>0</v>
      </c>
      <c r="R221" s="9">
        <v>0</v>
      </c>
      <c r="S221" s="5">
        <v>0</v>
      </c>
      <c r="T221" s="5">
        <v>0</v>
      </c>
    </row>
    <row r="222" spans="1:20" x14ac:dyDescent="0.2">
      <c r="A222" s="5" t="s">
        <v>178</v>
      </c>
      <c r="B222" s="9" t="s">
        <v>162</v>
      </c>
      <c r="C222" s="5" t="s">
        <v>779</v>
      </c>
      <c r="D222" s="7">
        <f t="shared" si="0"/>
        <v>1.2</v>
      </c>
      <c r="E222" s="5">
        <v>0</v>
      </c>
      <c r="F222" s="5">
        <v>0</v>
      </c>
      <c r="G222" s="5">
        <v>0</v>
      </c>
      <c r="H222" s="5">
        <v>0</v>
      </c>
      <c r="I222" s="5">
        <v>0</v>
      </c>
      <c r="J222" s="9">
        <v>0</v>
      </c>
      <c r="K222" s="5">
        <v>0</v>
      </c>
      <c r="L222" s="5">
        <v>0</v>
      </c>
      <c r="M222" s="5">
        <v>0</v>
      </c>
      <c r="N222" s="9">
        <v>0</v>
      </c>
      <c r="O222" s="5">
        <v>1</v>
      </c>
      <c r="P222" s="5">
        <v>2</v>
      </c>
      <c r="Q222" s="5">
        <v>0</v>
      </c>
      <c r="R222" s="9">
        <v>0</v>
      </c>
      <c r="S222" s="5">
        <v>0</v>
      </c>
      <c r="T222" s="5">
        <v>0</v>
      </c>
    </row>
    <row r="223" spans="1:20" x14ac:dyDescent="0.2">
      <c r="A223" s="5" t="s">
        <v>358</v>
      </c>
      <c r="B223" s="9" t="s">
        <v>162</v>
      </c>
      <c r="C223" s="5" t="s">
        <v>768</v>
      </c>
      <c r="D223" s="7">
        <f t="shared" si="0"/>
        <v>1.6</v>
      </c>
      <c r="E223" s="5">
        <v>0</v>
      </c>
      <c r="F223" s="5">
        <v>0</v>
      </c>
      <c r="G223" s="5">
        <v>0</v>
      </c>
      <c r="H223" s="5">
        <v>0</v>
      </c>
      <c r="I223" s="5">
        <v>0</v>
      </c>
      <c r="J223" s="9">
        <v>0</v>
      </c>
      <c r="K223" s="5">
        <v>0</v>
      </c>
      <c r="L223" s="5">
        <v>0</v>
      </c>
      <c r="M223" s="5">
        <v>0</v>
      </c>
      <c r="N223" s="9">
        <v>0</v>
      </c>
      <c r="O223" s="5">
        <v>1</v>
      </c>
      <c r="P223" s="5">
        <v>6</v>
      </c>
      <c r="Q223" s="5">
        <v>0</v>
      </c>
      <c r="R223" s="9">
        <v>0</v>
      </c>
      <c r="S223" s="5">
        <v>0</v>
      </c>
      <c r="T223" s="5">
        <v>0</v>
      </c>
    </row>
    <row r="224" spans="1:20" x14ac:dyDescent="0.2">
      <c r="A224" s="5" t="s">
        <v>387</v>
      </c>
      <c r="B224" s="9" t="s">
        <v>162</v>
      </c>
      <c r="C224" s="5" t="s">
        <v>778</v>
      </c>
      <c r="D224" s="7">
        <f t="shared" si="0"/>
        <v>1.8</v>
      </c>
      <c r="E224" s="5">
        <v>0</v>
      </c>
      <c r="F224" s="5">
        <v>0</v>
      </c>
      <c r="G224" s="5">
        <v>0</v>
      </c>
      <c r="H224" s="5">
        <v>0</v>
      </c>
      <c r="I224" s="5">
        <v>0</v>
      </c>
      <c r="J224" s="9">
        <v>0</v>
      </c>
      <c r="K224" s="5">
        <v>0</v>
      </c>
      <c r="L224" s="5">
        <v>0</v>
      </c>
      <c r="M224" s="5">
        <v>0</v>
      </c>
      <c r="N224" s="9">
        <v>0</v>
      </c>
      <c r="O224" s="5">
        <v>1</v>
      </c>
      <c r="P224" s="5">
        <v>8</v>
      </c>
      <c r="Q224" s="5">
        <v>0</v>
      </c>
      <c r="R224" s="9">
        <v>0</v>
      </c>
      <c r="S224" s="5">
        <v>0</v>
      </c>
      <c r="T224" s="5">
        <v>0</v>
      </c>
    </row>
    <row r="225" spans="1:20" x14ac:dyDescent="0.2">
      <c r="A225" s="5" t="s">
        <v>381</v>
      </c>
      <c r="B225" s="9" t="s">
        <v>162</v>
      </c>
      <c r="C225" s="5" t="s">
        <v>777</v>
      </c>
      <c r="D225" s="7">
        <f t="shared" si="0"/>
        <v>1.6</v>
      </c>
      <c r="E225" s="5">
        <v>0</v>
      </c>
      <c r="F225" s="5">
        <v>0</v>
      </c>
      <c r="G225" s="5">
        <v>0</v>
      </c>
      <c r="H225" s="5">
        <v>0</v>
      </c>
      <c r="I225" s="5">
        <v>0</v>
      </c>
      <c r="J225" s="9">
        <v>0</v>
      </c>
      <c r="K225" s="5">
        <v>0</v>
      </c>
      <c r="L225" s="5">
        <v>0</v>
      </c>
      <c r="M225" s="5">
        <v>0</v>
      </c>
      <c r="N225" s="9">
        <v>0</v>
      </c>
      <c r="O225" s="5">
        <v>1</v>
      </c>
      <c r="P225" s="5">
        <v>6</v>
      </c>
      <c r="Q225" s="5">
        <v>0</v>
      </c>
      <c r="R225" s="9">
        <v>0</v>
      </c>
      <c r="S225" s="5">
        <v>0</v>
      </c>
      <c r="T225" s="5">
        <v>0</v>
      </c>
    </row>
    <row r="226" spans="1:20" x14ac:dyDescent="0.2">
      <c r="A226" s="5" t="s">
        <v>785</v>
      </c>
      <c r="B226" s="9" t="s">
        <v>162</v>
      </c>
      <c r="C226" s="5" t="s">
        <v>774</v>
      </c>
      <c r="D226" s="7">
        <f t="shared" si="0"/>
        <v>1.7000000000000002</v>
      </c>
      <c r="E226" s="5">
        <v>0</v>
      </c>
      <c r="F226" s="5">
        <v>0</v>
      </c>
      <c r="G226" s="5">
        <v>0</v>
      </c>
      <c r="H226" s="5">
        <v>0</v>
      </c>
      <c r="I226" s="5">
        <v>0</v>
      </c>
      <c r="J226" s="9">
        <v>0</v>
      </c>
      <c r="K226" s="5">
        <v>0</v>
      </c>
      <c r="L226" s="5">
        <v>0</v>
      </c>
      <c r="M226" s="5">
        <v>0</v>
      </c>
      <c r="N226" s="9">
        <v>0</v>
      </c>
      <c r="O226" s="5">
        <v>1</v>
      </c>
      <c r="P226" s="5">
        <v>7</v>
      </c>
      <c r="Q226" s="5">
        <v>0</v>
      </c>
      <c r="R226" s="9">
        <v>0</v>
      </c>
      <c r="S226" s="5">
        <v>0</v>
      </c>
      <c r="T226" s="5">
        <v>0</v>
      </c>
    </row>
    <row r="227" spans="1:20" x14ac:dyDescent="0.2">
      <c r="A227" s="5" t="s">
        <v>258</v>
      </c>
      <c r="B227" s="9" t="s">
        <v>162</v>
      </c>
      <c r="C227" s="5" t="s">
        <v>771</v>
      </c>
      <c r="D227" s="7">
        <f t="shared" si="0"/>
        <v>2.4000000000000004</v>
      </c>
      <c r="E227" s="5">
        <v>0</v>
      </c>
      <c r="F227" s="5">
        <v>0</v>
      </c>
      <c r="G227" s="5">
        <v>0</v>
      </c>
      <c r="H227" s="5">
        <v>0</v>
      </c>
      <c r="I227" s="5">
        <v>0</v>
      </c>
      <c r="J227" s="9">
        <v>0</v>
      </c>
      <c r="K227" s="5">
        <v>1</v>
      </c>
      <c r="L227" s="5">
        <v>8</v>
      </c>
      <c r="M227" s="5">
        <v>0</v>
      </c>
      <c r="N227" s="9">
        <v>0</v>
      </c>
      <c r="O227" s="5">
        <v>1</v>
      </c>
      <c r="P227" s="5">
        <v>6</v>
      </c>
      <c r="Q227" s="5">
        <v>0</v>
      </c>
      <c r="R227" s="9">
        <v>0</v>
      </c>
      <c r="S227" s="5">
        <v>0</v>
      </c>
      <c r="T227" s="5">
        <v>0</v>
      </c>
    </row>
    <row r="228" spans="1:20" x14ac:dyDescent="0.2">
      <c r="A228" s="5" t="s">
        <v>786</v>
      </c>
      <c r="B228" s="9" t="s">
        <v>162</v>
      </c>
      <c r="C228" s="5" t="s">
        <v>778</v>
      </c>
      <c r="D228" s="7">
        <f t="shared" si="0"/>
        <v>1.3</v>
      </c>
      <c r="E228" s="5">
        <v>0</v>
      </c>
      <c r="F228" s="5">
        <v>0</v>
      </c>
      <c r="G228" s="5">
        <v>0</v>
      </c>
      <c r="H228" s="5">
        <v>0</v>
      </c>
      <c r="I228" s="5">
        <v>0</v>
      </c>
      <c r="J228" s="9">
        <v>0</v>
      </c>
      <c r="K228" s="5">
        <v>0</v>
      </c>
      <c r="L228" s="5">
        <v>0</v>
      </c>
      <c r="M228" s="5">
        <v>0</v>
      </c>
      <c r="N228" s="9">
        <v>0</v>
      </c>
      <c r="O228" s="5">
        <v>1</v>
      </c>
      <c r="P228" s="5">
        <v>3</v>
      </c>
      <c r="Q228" s="5">
        <v>0</v>
      </c>
      <c r="R228" s="9">
        <v>0</v>
      </c>
      <c r="S228" s="5">
        <v>0</v>
      </c>
      <c r="T228" s="5">
        <v>0</v>
      </c>
    </row>
    <row r="229" spans="1:20" x14ac:dyDescent="0.2">
      <c r="A229" s="5" t="s">
        <v>251</v>
      </c>
      <c r="B229" s="9" t="s">
        <v>162</v>
      </c>
      <c r="C229" s="5" t="s">
        <v>776</v>
      </c>
      <c r="D229" s="7">
        <f t="shared" si="0"/>
        <v>2.4</v>
      </c>
      <c r="E229" s="5">
        <v>0</v>
      </c>
      <c r="F229" s="5">
        <v>0</v>
      </c>
      <c r="G229" s="5">
        <v>0</v>
      </c>
      <c r="H229" s="5">
        <v>0</v>
      </c>
      <c r="I229" s="5">
        <v>0</v>
      </c>
      <c r="J229" s="9">
        <v>0</v>
      </c>
      <c r="K229" s="5">
        <v>0</v>
      </c>
      <c r="L229" s="5">
        <v>0</v>
      </c>
      <c r="M229" s="5">
        <v>0</v>
      </c>
      <c r="N229" s="9">
        <v>0</v>
      </c>
      <c r="O229" s="5">
        <v>2</v>
      </c>
      <c r="P229" s="5">
        <v>4</v>
      </c>
      <c r="Q229" s="5">
        <v>0</v>
      </c>
      <c r="R229" s="9">
        <v>0</v>
      </c>
      <c r="S229" s="5">
        <v>0</v>
      </c>
      <c r="T229" s="5">
        <v>0</v>
      </c>
    </row>
    <row r="230" spans="1:20" x14ac:dyDescent="0.2">
      <c r="A230" s="5" t="s">
        <v>679</v>
      </c>
      <c r="B230" s="9" t="s">
        <v>162</v>
      </c>
      <c r="C230" s="5" t="s">
        <v>769</v>
      </c>
      <c r="D230" s="7">
        <f t="shared" si="0"/>
        <v>1</v>
      </c>
      <c r="E230" s="5">
        <v>0</v>
      </c>
      <c r="F230" s="5">
        <v>0</v>
      </c>
      <c r="G230" s="5">
        <v>0</v>
      </c>
      <c r="H230" s="5">
        <v>0</v>
      </c>
      <c r="I230" s="5">
        <v>0</v>
      </c>
      <c r="J230" s="9">
        <v>0</v>
      </c>
      <c r="K230" s="5">
        <v>0</v>
      </c>
      <c r="L230" s="5">
        <v>0</v>
      </c>
      <c r="M230" s="5">
        <v>0</v>
      </c>
      <c r="N230" s="9">
        <v>0</v>
      </c>
      <c r="O230" s="5">
        <v>1</v>
      </c>
      <c r="P230" s="5">
        <v>0</v>
      </c>
      <c r="Q230" s="5">
        <v>0</v>
      </c>
      <c r="R230" s="9">
        <v>0</v>
      </c>
      <c r="S230" s="5">
        <v>0</v>
      </c>
      <c r="T230" s="5">
        <v>0</v>
      </c>
    </row>
    <row r="231" spans="1:20" x14ac:dyDescent="0.2">
      <c r="A231" s="5" t="s">
        <v>439</v>
      </c>
      <c r="B231" s="9" t="s">
        <v>162</v>
      </c>
      <c r="C231" s="5" t="s">
        <v>781</v>
      </c>
      <c r="D231" s="7">
        <f t="shared" si="0"/>
        <v>1.5</v>
      </c>
      <c r="E231" s="5">
        <v>0</v>
      </c>
      <c r="F231" s="5">
        <v>0</v>
      </c>
      <c r="G231" s="5">
        <v>0</v>
      </c>
      <c r="H231" s="5">
        <v>0</v>
      </c>
      <c r="I231" s="5">
        <v>0</v>
      </c>
      <c r="J231" s="9">
        <v>0</v>
      </c>
      <c r="K231" s="5">
        <v>0</v>
      </c>
      <c r="L231" s="5">
        <v>0</v>
      </c>
      <c r="M231" s="5">
        <v>0</v>
      </c>
      <c r="N231" s="9">
        <v>0</v>
      </c>
      <c r="O231" s="5">
        <v>1</v>
      </c>
      <c r="P231" s="5">
        <v>5</v>
      </c>
      <c r="Q231" s="5">
        <v>0</v>
      </c>
      <c r="R231" s="9">
        <v>0</v>
      </c>
      <c r="S231" s="5">
        <v>0</v>
      </c>
      <c r="T231" s="5">
        <v>0</v>
      </c>
    </row>
    <row r="232" spans="1:20" x14ac:dyDescent="0.2">
      <c r="A232" s="5" t="s">
        <v>447</v>
      </c>
      <c r="B232" s="9" t="s">
        <v>162</v>
      </c>
      <c r="C232" s="5" t="s">
        <v>777</v>
      </c>
      <c r="D232" s="7">
        <f t="shared" si="0"/>
        <v>0.9</v>
      </c>
      <c r="E232" s="5">
        <v>0</v>
      </c>
      <c r="F232" s="5">
        <v>0</v>
      </c>
      <c r="G232" s="5">
        <v>0</v>
      </c>
      <c r="H232" s="5">
        <v>0</v>
      </c>
      <c r="I232" s="5">
        <v>0</v>
      </c>
      <c r="J232" s="9">
        <v>0</v>
      </c>
      <c r="K232" s="5">
        <v>0</v>
      </c>
      <c r="L232" s="5">
        <v>0</v>
      </c>
      <c r="M232" s="5">
        <v>0</v>
      </c>
      <c r="N232" s="9">
        <v>0</v>
      </c>
      <c r="O232" s="5">
        <v>1</v>
      </c>
      <c r="P232" s="5">
        <v>-1</v>
      </c>
      <c r="Q232" s="5">
        <v>0</v>
      </c>
      <c r="R232" s="9">
        <v>0</v>
      </c>
      <c r="S232" s="5">
        <v>0</v>
      </c>
      <c r="T232" s="5">
        <v>0</v>
      </c>
    </row>
    <row r="233" spans="1:20" x14ac:dyDescent="0.2">
      <c r="A233" s="5" t="s">
        <v>582</v>
      </c>
      <c r="B233" s="9" t="s">
        <v>162</v>
      </c>
      <c r="C233" s="5" t="s">
        <v>774</v>
      </c>
      <c r="D233" s="7">
        <f t="shared" si="0"/>
        <v>1.5</v>
      </c>
      <c r="E233" s="5">
        <v>0</v>
      </c>
      <c r="F233" s="5">
        <v>0</v>
      </c>
      <c r="G233" s="5">
        <v>0</v>
      </c>
      <c r="H233" s="5">
        <v>0</v>
      </c>
      <c r="I233" s="5">
        <v>0</v>
      </c>
      <c r="J233" s="9">
        <v>0</v>
      </c>
      <c r="K233" s="5">
        <v>0</v>
      </c>
      <c r="L233" s="5">
        <v>0</v>
      </c>
      <c r="M233" s="5">
        <v>0</v>
      </c>
      <c r="N233" s="9">
        <v>0</v>
      </c>
      <c r="O233" s="5">
        <v>1</v>
      </c>
      <c r="P233" s="5">
        <v>5</v>
      </c>
      <c r="Q233" s="5">
        <v>0</v>
      </c>
      <c r="R233" s="9">
        <v>0</v>
      </c>
      <c r="S233" s="5">
        <v>0</v>
      </c>
      <c r="T233" s="5">
        <v>0</v>
      </c>
    </row>
    <row r="234" spans="1:20" x14ac:dyDescent="0.2">
      <c r="A234" s="5" t="s">
        <v>398</v>
      </c>
      <c r="B234" s="9" t="s">
        <v>162</v>
      </c>
      <c r="C234" s="5" t="s">
        <v>773</v>
      </c>
      <c r="D234" s="7">
        <f t="shared" si="0"/>
        <v>0.4</v>
      </c>
      <c r="E234" s="5">
        <v>0</v>
      </c>
      <c r="F234" s="5">
        <v>0</v>
      </c>
      <c r="G234" s="5">
        <v>0</v>
      </c>
      <c r="H234" s="5">
        <v>0</v>
      </c>
      <c r="I234" s="5">
        <v>0</v>
      </c>
      <c r="J234" s="9">
        <v>0</v>
      </c>
      <c r="K234" s="5">
        <v>1</v>
      </c>
      <c r="L234" s="5">
        <v>4</v>
      </c>
      <c r="M234" s="5">
        <v>0</v>
      </c>
      <c r="N234" s="9">
        <v>0</v>
      </c>
      <c r="O234" s="5">
        <v>0</v>
      </c>
      <c r="P234" s="5">
        <v>0</v>
      </c>
      <c r="Q234" s="5">
        <v>0</v>
      </c>
      <c r="R234" s="9">
        <v>0</v>
      </c>
      <c r="S234" s="5">
        <v>0</v>
      </c>
      <c r="T234" s="5">
        <v>0</v>
      </c>
    </row>
    <row r="235" spans="1:20" x14ac:dyDescent="0.2">
      <c r="A235" s="5" t="s">
        <v>787</v>
      </c>
      <c r="B235" s="9" t="s">
        <v>162</v>
      </c>
      <c r="C235" s="5" t="s">
        <v>778</v>
      </c>
      <c r="D235" s="7">
        <f t="shared" si="0"/>
        <v>1.6</v>
      </c>
      <c r="E235" s="5">
        <v>0</v>
      </c>
      <c r="F235" s="5">
        <v>0</v>
      </c>
      <c r="G235" s="5">
        <v>0</v>
      </c>
      <c r="H235" s="5">
        <v>0</v>
      </c>
      <c r="I235" s="5">
        <v>0</v>
      </c>
      <c r="J235" s="9">
        <v>0</v>
      </c>
      <c r="K235" s="5">
        <v>0</v>
      </c>
      <c r="L235" s="5">
        <v>0</v>
      </c>
      <c r="M235" s="5">
        <v>0</v>
      </c>
      <c r="N235" s="9">
        <v>0</v>
      </c>
      <c r="O235" s="5">
        <v>1</v>
      </c>
      <c r="P235" s="5">
        <v>6</v>
      </c>
      <c r="Q235" s="5">
        <v>0</v>
      </c>
      <c r="R235" s="9">
        <v>0</v>
      </c>
      <c r="S235" s="5">
        <v>0</v>
      </c>
      <c r="T235" s="5">
        <v>0</v>
      </c>
    </row>
    <row r="236" spans="1:20" x14ac:dyDescent="0.2">
      <c r="A236" s="5" t="s">
        <v>530</v>
      </c>
      <c r="B236" s="9" t="s">
        <v>162</v>
      </c>
      <c r="C236" s="5" t="s">
        <v>767</v>
      </c>
      <c r="D236" s="7">
        <f t="shared" si="0"/>
        <v>1.9</v>
      </c>
      <c r="E236" s="5">
        <v>0</v>
      </c>
      <c r="F236" s="5">
        <v>0</v>
      </c>
      <c r="G236" s="5">
        <v>0</v>
      </c>
      <c r="H236" s="5">
        <v>0</v>
      </c>
      <c r="I236" s="5">
        <v>0</v>
      </c>
      <c r="J236" s="9">
        <v>0</v>
      </c>
      <c r="K236" s="5">
        <v>0</v>
      </c>
      <c r="L236" s="5">
        <v>0</v>
      </c>
      <c r="M236" s="5">
        <v>0</v>
      </c>
      <c r="N236" s="9">
        <v>0</v>
      </c>
      <c r="O236" s="5">
        <v>1</v>
      </c>
      <c r="P236" s="5">
        <v>9</v>
      </c>
      <c r="Q236" s="5">
        <v>0</v>
      </c>
      <c r="R236" s="9">
        <v>0</v>
      </c>
      <c r="S236" s="5">
        <v>0</v>
      </c>
      <c r="T236" s="5">
        <v>0</v>
      </c>
    </row>
    <row r="237" spans="1:20" x14ac:dyDescent="0.2">
      <c r="A237" s="5" t="s">
        <v>242</v>
      </c>
      <c r="B237" s="9" t="s">
        <v>162</v>
      </c>
      <c r="C237" s="5" t="s">
        <v>769</v>
      </c>
      <c r="D237" s="7">
        <f t="shared" si="0"/>
        <v>1.9</v>
      </c>
      <c r="E237" s="5">
        <v>0</v>
      </c>
      <c r="F237" s="5">
        <v>0</v>
      </c>
      <c r="G237" s="5">
        <v>0</v>
      </c>
      <c r="H237" s="5">
        <v>0</v>
      </c>
      <c r="I237" s="5">
        <v>0</v>
      </c>
      <c r="J237" s="9">
        <v>0</v>
      </c>
      <c r="K237" s="5">
        <v>0</v>
      </c>
      <c r="L237" s="5">
        <v>0</v>
      </c>
      <c r="M237" s="5">
        <v>0</v>
      </c>
      <c r="N237" s="9">
        <v>0</v>
      </c>
      <c r="O237" s="5">
        <v>1</v>
      </c>
      <c r="P237" s="5">
        <v>9</v>
      </c>
      <c r="Q237" s="5">
        <v>0</v>
      </c>
      <c r="R237" s="9">
        <v>0</v>
      </c>
      <c r="S237" s="5">
        <v>0</v>
      </c>
      <c r="T237" s="5">
        <v>0</v>
      </c>
    </row>
    <row r="238" spans="1:20" x14ac:dyDescent="0.2">
      <c r="A238" s="5" t="s">
        <v>763</v>
      </c>
      <c r="B238" s="9" t="s">
        <v>162</v>
      </c>
      <c r="C238" s="5" t="s">
        <v>781</v>
      </c>
      <c r="D238" s="7">
        <f t="shared" si="0"/>
        <v>1.8</v>
      </c>
      <c r="E238" s="5">
        <v>0</v>
      </c>
      <c r="F238" s="5">
        <v>0</v>
      </c>
      <c r="G238" s="5">
        <v>0</v>
      </c>
      <c r="H238" s="5">
        <v>0</v>
      </c>
      <c r="I238" s="5">
        <v>0</v>
      </c>
      <c r="J238" s="9">
        <v>0</v>
      </c>
      <c r="K238" s="5">
        <v>0</v>
      </c>
      <c r="L238" s="5">
        <v>0</v>
      </c>
      <c r="M238" s="5">
        <v>0</v>
      </c>
      <c r="N238" s="9">
        <v>0</v>
      </c>
      <c r="O238" s="5">
        <v>1</v>
      </c>
      <c r="P238" s="5">
        <v>8</v>
      </c>
      <c r="Q238" s="5">
        <v>0</v>
      </c>
      <c r="R238" s="9">
        <v>0</v>
      </c>
      <c r="S238" s="5">
        <v>0</v>
      </c>
      <c r="T238" s="5">
        <v>0</v>
      </c>
    </row>
    <row r="239" spans="1:20" x14ac:dyDescent="0.2">
      <c r="A239" s="5" t="s">
        <v>181</v>
      </c>
      <c r="B239" s="9" t="s">
        <v>162</v>
      </c>
      <c r="C239" s="5" t="s">
        <v>773</v>
      </c>
      <c r="D239" s="7">
        <f t="shared" si="0"/>
        <v>2.5</v>
      </c>
      <c r="E239" s="5">
        <v>0</v>
      </c>
      <c r="F239" s="5">
        <v>0</v>
      </c>
      <c r="G239" s="5">
        <v>0</v>
      </c>
      <c r="H239" s="5">
        <v>0</v>
      </c>
      <c r="I239" s="5">
        <v>0</v>
      </c>
      <c r="J239" s="9">
        <v>0</v>
      </c>
      <c r="K239" s="5">
        <v>0</v>
      </c>
      <c r="L239" s="5">
        <v>0</v>
      </c>
      <c r="M239" s="5">
        <v>0</v>
      </c>
      <c r="N239" s="9">
        <v>0</v>
      </c>
      <c r="O239" s="5">
        <v>2</v>
      </c>
      <c r="P239" s="5">
        <v>5</v>
      </c>
      <c r="Q239" s="5">
        <v>0</v>
      </c>
      <c r="R239" s="9">
        <v>0</v>
      </c>
      <c r="S239" s="5">
        <v>0</v>
      </c>
      <c r="T239" s="5">
        <v>0</v>
      </c>
    </row>
    <row r="240" spans="1:20" x14ac:dyDescent="0.2">
      <c r="A240" s="5" t="s">
        <v>357</v>
      </c>
      <c r="B240" s="9" t="s">
        <v>162</v>
      </c>
      <c r="C240" s="5" t="s">
        <v>778</v>
      </c>
      <c r="D240" s="7">
        <f t="shared" si="0"/>
        <v>1.9</v>
      </c>
      <c r="E240" s="5">
        <v>0</v>
      </c>
      <c r="F240" s="5">
        <v>0</v>
      </c>
      <c r="G240" s="5">
        <v>0</v>
      </c>
      <c r="H240" s="5">
        <v>0</v>
      </c>
      <c r="I240" s="5">
        <v>0</v>
      </c>
      <c r="J240" s="9">
        <v>0</v>
      </c>
      <c r="K240" s="5">
        <v>0</v>
      </c>
      <c r="L240" s="5">
        <v>0</v>
      </c>
      <c r="M240" s="5">
        <v>0</v>
      </c>
      <c r="N240" s="9">
        <v>0</v>
      </c>
      <c r="O240" s="5">
        <v>1</v>
      </c>
      <c r="P240" s="5">
        <v>9</v>
      </c>
      <c r="Q240" s="5">
        <v>0</v>
      </c>
      <c r="R240" s="9">
        <v>0</v>
      </c>
      <c r="S240" s="5">
        <v>0</v>
      </c>
      <c r="T240" s="5">
        <v>0</v>
      </c>
    </row>
    <row r="241" spans="1:20" x14ac:dyDescent="0.2">
      <c r="A241" s="5" t="s">
        <v>739</v>
      </c>
      <c r="B241" s="9" t="s">
        <v>162</v>
      </c>
      <c r="C241" s="5" t="s">
        <v>775</v>
      </c>
      <c r="D241" s="7">
        <f t="shared" si="0"/>
        <v>1.7000000000000002</v>
      </c>
      <c r="E241" s="5">
        <v>0</v>
      </c>
      <c r="F241" s="5">
        <v>0</v>
      </c>
      <c r="G241" s="5">
        <v>0</v>
      </c>
      <c r="H241" s="5">
        <v>0</v>
      </c>
      <c r="I241" s="5">
        <v>0</v>
      </c>
      <c r="J241" s="9">
        <v>0</v>
      </c>
      <c r="K241" s="5">
        <v>0</v>
      </c>
      <c r="L241" s="5">
        <v>0</v>
      </c>
      <c r="M241" s="5">
        <v>0</v>
      </c>
      <c r="N241" s="9">
        <v>0</v>
      </c>
      <c r="O241" s="5">
        <v>1</v>
      </c>
      <c r="P241" s="5">
        <v>7</v>
      </c>
      <c r="Q241" s="5">
        <v>0</v>
      </c>
      <c r="R241" s="9">
        <v>0</v>
      </c>
      <c r="S241" s="5">
        <v>0</v>
      </c>
      <c r="T241" s="5">
        <v>0</v>
      </c>
    </row>
    <row r="242" spans="1:20" x14ac:dyDescent="0.2">
      <c r="A242" s="5" t="s">
        <v>266</v>
      </c>
      <c r="B242" s="9" t="s">
        <v>162</v>
      </c>
      <c r="C242" s="5" t="s">
        <v>780</v>
      </c>
      <c r="D242" s="7">
        <f t="shared" si="0"/>
        <v>1.2</v>
      </c>
      <c r="E242" s="5">
        <v>0</v>
      </c>
      <c r="F242" s="5">
        <v>0</v>
      </c>
      <c r="G242" s="5">
        <v>0</v>
      </c>
      <c r="H242" s="5">
        <v>0</v>
      </c>
      <c r="I242" s="5">
        <v>0</v>
      </c>
      <c r="J242" s="9">
        <v>0</v>
      </c>
      <c r="K242" s="5">
        <v>0</v>
      </c>
      <c r="L242" s="5">
        <v>0</v>
      </c>
      <c r="M242" s="5">
        <v>0</v>
      </c>
      <c r="N242" s="9">
        <v>0</v>
      </c>
      <c r="O242" s="5">
        <v>1</v>
      </c>
      <c r="P242" s="5">
        <v>2</v>
      </c>
      <c r="Q242" s="5">
        <v>0</v>
      </c>
      <c r="R242" s="9">
        <v>0</v>
      </c>
      <c r="S242" s="5">
        <v>0</v>
      </c>
      <c r="T242" s="5">
        <v>0</v>
      </c>
    </row>
    <row r="243" spans="1:20" x14ac:dyDescent="0.2">
      <c r="A243" s="5" t="s">
        <v>493</v>
      </c>
      <c r="B243" s="9" t="s">
        <v>162</v>
      </c>
      <c r="C243" s="5" t="s">
        <v>772</v>
      </c>
      <c r="D243" s="7">
        <f t="shared" si="0"/>
        <v>1.5</v>
      </c>
      <c r="E243" s="5">
        <v>0</v>
      </c>
      <c r="F243" s="5">
        <v>0</v>
      </c>
      <c r="G243" s="5">
        <v>0</v>
      </c>
      <c r="H243" s="5">
        <v>0</v>
      </c>
      <c r="I243" s="5">
        <v>0</v>
      </c>
      <c r="J243" s="9">
        <v>0</v>
      </c>
      <c r="K243" s="5">
        <v>0</v>
      </c>
      <c r="L243" s="5">
        <v>0</v>
      </c>
      <c r="M243" s="5">
        <v>0</v>
      </c>
      <c r="N243" s="9">
        <v>0</v>
      </c>
      <c r="O243" s="5">
        <v>1</v>
      </c>
      <c r="P243" s="5">
        <v>5</v>
      </c>
      <c r="Q243" s="5">
        <v>0</v>
      </c>
      <c r="R243" s="9">
        <v>0</v>
      </c>
      <c r="S243" s="5">
        <v>0</v>
      </c>
      <c r="T243" s="5">
        <v>0</v>
      </c>
    </row>
    <row r="244" spans="1:20" x14ac:dyDescent="0.2">
      <c r="A244" s="5" t="s">
        <v>365</v>
      </c>
      <c r="B244" s="9" t="s">
        <v>162</v>
      </c>
      <c r="C244" s="5" t="s">
        <v>780</v>
      </c>
      <c r="D244" s="7">
        <f t="shared" si="0"/>
        <v>1.1000000000000001</v>
      </c>
      <c r="E244" s="5">
        <v>0</v>
      </c>
      <c r="F244" s="5">
        <v>0</v>
      </c>
      <c r="G244" s="5">
        <v>0</v>
      </c>
      <c r="H244" s="5">
        <v>0</v>
      </c>
      <c r="I244" s="5">
        <v>0</v>
      </c>
      <c r="J244" s="9">
        <v>0</v>
      </c>
      <c r="K244" s="5">
        <v>1</v>
      </c>
      <c r="L244" s="5">
        <v>5</v>
      </c>
      <c r="M244" s="5">
        <v>0</v>
      </c>
      <c r="N244" s="9">
        <v>0</v>
      </c>
      <c r="O244" s="5">
        <v>1</v>
      </c>
      <c r="P244" s="5">
        <v>-4</v>
      </c>
      <c r="Q244" s="5">
        <v>0</v>
      </c>
      <c r="R244" s="9">
        <v>0</v>
      </c>
      <c r="S244" s="5">
        <v>0</v>
      </c>
      <c r="T244" s="5">
        <v>0</v>
      </c>
    </row>
    <row r="245" spans="1:20" x14ac:dyDescent="0.2">
      <c r="A245" s="5" t="s">
        <v>201</v>
      </c>
      <c r="B245" s="9" t="s">
        <v>162</v>
      </c>
      <c r="C245" s="5" t="s">
        <v>776</v>
      </c>
      <c r="D245" s="7">
        <f t="shared" si="0"/>
        <v>1.7999999999999998</v>
      </c>
      <c r="E245" s="5">
        <v>0</v>
      </c>
      <c r="F245" s="5">
        <v>0</v>
      </c>
      <c r="G245" s="5">
        <v>0</v>
      </c>
      <c r="H245" s="5">
        <v>0</v>
      </c>
      <c r="I245" s="5">
        <v>0</v>
      </c>
      <c r="J245" s="9">
        <v>0</v>
      </c>
      <c r="K245" s="5">
        <v>1</v>
      </c>
      <c r="L245" s="5">
        <v>4</v>
      </c>
      <c r="M245" s="5">
        <v>0</v>
      </c>
      <c r="N245" s="9">
        <v>0</v>
      </c>
      <c r="O245" s="5">
        <v>1</v>
      </c>
      <c r="P245" s="5">
        <v>4</v>
      </c>
      <c r="Q245" s="5">
        <v>0</v>
      </c>
      <c r="R245" s="9">
        <v>0</v>
      </c>
      <c r="S245" s="5">
        <v>0</v>
      </c>
      <c r="T245" s="5">
        <v>0</v>
      </c>
    </row>
    <row r="246" spans="1:20" x14ac:dyDescent="0.2">
      <c r="A246" s="5" t="s">
        <v>517</v>
      </c>
      <c r="B246" s="9" t="s">
        <v>162</v>
      </c>
      <c r="C246" s="5" t="s">
        <v>782</v>
      </c>
      <c r="D246" s="7">
        <f t="shared" si="0"/>
        <v>-2</v>
      </c>
      <c r="E246" s="5">
        <v>0</v>
      </c>
      <c r="F246" s="5">
        <v>0</v>
      </c>
      <c r="G246" s="5">
        <v>0</v>
      </c>
      <c r="H246" s="5">
        <v>0</v>
      </c>
      <c r="I246" s="5">
        <v>0</v>
      </c>
      <c r="J246" s="9">
        <v>0</v>
      </c>
      <c r="K246" s="5">
        <v>0</v>
      </c>
      <c r="L246" s="5">
        <v>0</v>
      </c>
      <c r="M246" s="5">
        <v>0</v>
      </c>
      <c r="N246" s="9">
        <v>0</v>
      </c>
      <c r="O246" s="5">
        <v>0</v>
      </c>
      <c r="P246" s="5">
        <v>0</v>
      </c>
      <c r="Q246" s="5">
        <v>0</v>
      </c>
      <c r="R246" s="9">
        <v>0</v>
      </c>
      <c r="S246" s="5">
        <v>1</v>
      </c>
      <c r="T246" s="5">
        <v>0</v>
      </c>
    </row>
    <row r="247" spans="1:20" x14ac:dyDescent="0.2">
      <c r="A247" s="5" t="s">
        <v>240</v>
      </c>
      <c r="B247" s="9" t="s">
        <v>162</v>
      </c>
      <c r="C247" s="5" t="s">
        <v>771</v>
      </c>
      <c r="D247" s="7">
        <f t="shared" si="0"/>
        <v>-2</v>
      </c>
      <c r="E247" s="5">
        <v>0</v>
      </c>
      <c r="F247" s="5">
        <v>0</v>
      </c>
      <c r="G247" s="5">
        <v>0</v>
      </c>
      <c r="H247" s="5">
        <v>0</v>
      </c>
      <c r="I247" s="5">
        <v>0</v>
      </c>
      <c r="J247" s="9">
        <v>0</v>
      </c>
      <c r="K247" s="5">
        <v>0</v>
      </c>
      <c r="L247" s="5">
        <v>0</v>
      </c>
      <c r="M247" s="5">
        <v>0</v>
      </c>
      <c r="N247" s="9">
        <v>0</v>
      </c>
      <c r="O247" s="5">
        <v>0</v>
      </c>
      <c r="P247" s="5">
        <v>0</v>
      </c>
      <c r="Q247" s="5">
        <v>0</v>
      </c>
      <c r="R247" s="9">
        <v>0</v>
      </c>
      <c r="S247" s="5">
        <v>1</v>
      </c>
      <c r="T247" s="5">
        <v>0</v>
      </c>
    </row>
    <row r="248" spans="1:20" x14ac:dyDescent="0.2">
      <c r="A248" s="5" t="s">
        <v>298</v>
      </c>
      <c r="B248" s="9" t="s">
        <v>69</v>
      </c>
      <c r="C248" s="5" t="s">
        <v>772</v>
      </c>
      <c r="D248" s="7">
        <f t="shared" si="0"/>
        <v>19.600000000000001</v>
      </c>
      <c r="E248" s="5">
        <v>0</v>
      </c>
      <c r="F248" s="5">
        <v>0</v>
      </c>
      <c r="G248" s="5">
        <v>0</v>
      </c>
      <c r="H248" s="5">
        <v>0</v>
      </c>
      <c r="I248" s="5">
        <v>0</v>
      </c>
      <c r="J248" s="9">
        <v>0</v>
      </c>
      <c r="K248" s="5">
        <v>0</v>
      </c>
      <c r="L248" s="5">
        <v>0</v>
      </c>
      <c r="M248" s="5">
        <v>0</v>
      </c>
      <c r="N248" s="9">
        <v>0</v>
      </c>
      <c r="O248" s="5">
        <v>7</v>
      </c>
      <c r="P248" s="5">
        <v>126</v>
      </c>
      <c r="Q248" s="5">
        <v>0</v>
      </c>
      <c r="R248" s="9">
        <v>0</v>
      </c>
      <c r="S248" s="5">
        <v>0</v>
      </c>
      <c r="T248" s="5">
        <v>0</v>
      </c>
    </row>
    <row r="249" spans="1:20" x14ac:dyDescent="0.2">
      <c r="A249" s="5" t="s">
        <v>352</v>
      </c>
      <c r="B249" s="9" t="s">
        <v>69</v>
      </c>
      <c r="C249" s="5" t="s">
        <v>778</v>
      </c>
      <c r="D249" s="7">
        <f t="shared" si="0"/>
        <v>18.3</v>
      </c>
      <c r="E249" s="5">
        <v>0</v>
      </c>
      <c r="F249" s="5">
        <v>0</v>
      </c>
      <c r="G249" s="5">
        <v>0</v>
      </c>
      <c r="H249" s="5">
        <v>0</v>
      </c>
      <c r="I249" s="5">
        <v>0</v>
      </c>
      <c r="J249" s="9">
        <v>0</v>
      </c>
      <c r="K249" s="5">
        <v>0</v>
      </c>
      <c r="L249" s="5">
        <v>0</v>
      </c>
      <c r="M249" s="5">
        <v>0</v>
      </c>
      <c r="N249" s="9">
        <v>0</v>
      </c>
      <c r="O249" s="5">
        <v>6</v>
      </c>
      <c r="P249" s="5">
        <v>63</v>
      </c>
      <c r="Q249" s="5">
        <v>1</v>
      </c>
      <c r="R249" s="9">
        <v>0</v>
      </c>
      <c r="S249" s="5">
        <v>0</v>
      </c>
      <c r="T249" s="5">
        <v>0</v>
      </c>
    </row>
    <row r="250" spans="1:20" x14ac:dyDescent="0.2">
      <c r="A250" s="5" t="s">
        <v>290</v>
      </c>
      <c r="B250" s="9" t="s">
        <v>69</v>
      </c>
      <c r="C250" s="5" t="s">
        <v>767</v>
      </c>
      <c r="D250" s="7">
        <f t="shared" si="0"/>
        <v>14.8</v>
      </c>
      <c r="E250" s="5">
        <v>0</v>
      </c>
      <c r="F250" s="5">
        <v>0</v>
      </c>
      <c r="G250" s="5">
        <v>0</v>
      </c>
      <c r="H250" s="5">
        <v>0</v>
      </c>
      <c r="I250" s="5">
        <v>0</v>
      </c>
      <c r="J250" s="9">
        <v>0</v>
      </c>
      <c r="K250" s="5">
        <v>0</v>
      </c>
      <c r="L250" s="5">
        <v>0</v>
      </c>
      <c r="M250" s="5">
        <v>0</v>
      </c>
      <c r="N250" s="9">
        <v>0</v>
      </c>
      <c r="O250" s="5">
        <v>4</v>
      </c>
      <c r="P250" s="5">
        <v>48</v>
      </c>
      <c r="Q250" s="5">
        <v>1</v>
      </c>
      <c r="R250" s="9">
        <v>0</v>
      </c>
      <c r="S250" s="5">
        <v>0</v>
      </c>
      <c r="T250" s="5">
        <v>0</v>
      </c>
    </row>
    <row r="251" spans="1:20" x14ac:dyDescent="0.2">
      <c r="A251" s="5" t="s">
        <v>277</v>
      </c>
      <c r="B251" s="9" t="s">
        <v>69</v>
      </c>
      <c r="C251" s="5" t="s">
        <v>773</v>
      </c>
      <c r="D251" s="7">
        <f t="shared" si="0"/>
        <v>14.700000000000001</v>
      </c>
      <c r="E251" s="5">
        <v>0</v>
      </c>
      <c r="F251" s="5">
        <v>0</v>
      </c>
      <c r="G251" s="5">
        <v>0</v>
      </c>
      <c r="H251" s="5">
        <v>0</v>
      </c>
      <c r="I251" s="5">
        <v>0</v>
      </c>
      <c r="J251" s="9">
        <v>0</v>
      </c>
      <c r="K251" s="5">
        <v>0</v>
      </c>
      <c r="L251" s="5">
        <v>0</v>
      </c>
      <c r="M251" s="5">
        <v>0</v>
      </c>
      <c r="N251" s="9">
        <v>0</v>
      </c>
      <c r="O251" s="5">
        <v>4</v>
      </c>
      <c r="P251" s="5">
        <v>107</v>
      </c>
      <c r="Q251" s="5">
        <v>0</v>
      </c>
      <c r="R251" s="9">
        <v>0</v>
      </c>
      <c r="S251" s="5">
        <v>0</v>
      </c>
      <c r="T251" s="5">
        <v>0</v>
      </c>
    </row>
    <row r="252" spans="1:20" x14ac:dyDescent="0.2">
      <c r="A252" s="5" t="s">
        <v>300</v>
      </c>
      <c r="B252" s="9" t="s">
        <v>69</v>
      </c>
      <c r="C252" s="5" t="s">
        <v>768</v>
      </c>
      <c r="D252" s="7">
        <f t="shared" si="0"/>
        <v>16.399999999999999</v>
      </c>
      <c r="E252" s="5">
        <v>0</v>
      </c>
      <c r="F252" s="5">
        <v>0</v>
      </c>
      <c r="G252" s="5">
        <v>0</v>
      </c>
      <c r="H252" s="5">
        <v>0</v>
      </c>
      <c r="I252" s="5">
        <v>0</v>
      </c>
      <c r="J252" s="9">
        <v>0</v>
      </c>
      <c r="K252" s="5">
        <v>0</v>
      </c>
      <c r="L252" s="5">
        <v>0</v>
      </c>
      <c r="M252" s="5">
        <v>0</v>
      </c>
      <c r="N252" s="9">
        <v>0</v>
      </c>
      <c r="O252" s="5">
        <v>6</v>
      </c>
      <c r="P252" s="5">
        <v>44</v>
      </c>
      <c r="Q252" s="5">
        <v>1</v>
      </c>
      <c r="R252" s="9">
        <v>0</v>
      </c>
      <c r="S252" s="5">
        <v>0</v>
      </c>
      <c r="T252" s="5">
        <v>0</v>
      </c>
    </row>
    <row r="253" spans="1:20" x14ac:dyDescent="0.2">
      <c r="A253" s="5" t="s">
        <v>293</v>
      </c>
      <c r="B253" s="9" t="s">
        <v>69</v>
      </c>
      <c r="C253" s="5" t="s">
        <v>781</v>
      </c>
      <c r="D253" s="7">
        <f t="shared" si="0"/>
        <v>13.9</v>
      </c>
      <c r="E253" s="5">
        <v>0</v>
      </c>
      <c r="F253" s="5">
        <v>0</v>
      </c>
      <c r="G253" s="5">
        <v>0</v>
      </c>
      <c r="H253" s="5">
        <v>0</v>
      </c>
      <c r="I253" s="5">
        <v>0</v>
      </c>
      <c r="J253" s="9">
        <v>0</v>
      </c>
      <c r="K253" s="5">
        <v>0</v>
      </c>
      <c r="L253" s="5">
        <v>0</v>
      </c>
      <c r="M253" s="5">
        <v>0</v>
      </c>
      <c r="N253" s="9">
        <v>0</v>
      </c>
      <c r="O253" s="5">
        <v>3</v>
      </c>
      <c r="P253" s="5">
        <v>49</v>
      </c>
      <c r="Q253" s="5">
        <v>1</v>
      </c>
      <c r="R253" s="9">
        <v>0</v>
      </c>
      <c r="S253" s="5">
        <v>0</v>
      </c>
      <c r="T253" s="5">
        <v>0</v>
      </c>
    </row>
    <row r="254" spans="1:20" x14ac:dyDescent="0.2">
      <c r="A254" s="5" t="s">
        <v>282</v>
      </c>
      <c r="B254" s="9" t="s">
        <v>69</v>
      </c>
      <c r="C254" s="5" t="s">
        <v>782</v>
      </c>
      <c r="D254" s="7">
        <f t="shared" si="0"/>
        <v>14.6</v>
      </c>
      <c r="E254" s="5">
        <v>0</v>
      </c>
      <c r="F254" s="5">
        <v>0</v>
      </c>
      <c r="G254" s="5">
        <v>0</v>
      </c>
      <c r="H254" s="5">
        <v>0</v>
      </c>
      <c r="I254" s="5">
        <v>0</v>
      </c>
      <c r="J254" s="9">
        <v>0</v>
      </c>
      <c r="K254" s="5">
        <v>0</v>
      </c>
      <c r="L254" s="5">
        <v>0</v>
      </c>
      <c r="M254" s="5">
        <v>0</v>
      </c>
      <c r="N254" s="9">
        <v>0</v>
      </c>
      <c r="O254" s="5">
        <v>5</v>
      </c>
      <c r="P254" s="5">
        <v>36</v>
      </c>
      <c r="Q254" s="5">
        <v>1</v>
      </c>
      <c r="R254" s="9">
        <v>0</v>
      </c>
      <c r="S254" s="5">
        <v>0</v>
      </c>
      <c r="T254" s="5">
        <v>0</v>
      </c>
    </row>
    <row r="255" spans="1:20" x14ac:dyDescent="0.2">
      <c r="A255" s="5" t="s">
        <v>276</v>
      </c>
      <c r="B255" s="9" t="s">
        <v>69</v>
      </c>
      <c r="C255" s="5" t="s">
        <v>775</v>
      </c>
      <c r="D255" s="7">
        <f t="shared" si="0"/>
        <v>17.5</v>
      </c>
      <c r="E255" s="5">
        <v>0</v>
      </c>
      <c r="F255" s="5">
        <v>0</v>
      </c>
      <c r="G255" s="5">
        <v>0</v>
      </c>
      <c r="H255" s="5">
        <v>0</v>
      </c>
      <c r="I255" s="5">
        <v>0</v>
      </c>
      <c r="J255" s="9">
        <v>0</v>
      </c>
      <c r="K255" s="5">
        <v>0</v>
      </c>
      <c r="L255" s="5">
        <v>0</v>
      </c>
      <c r="M255" s="5">
        <v>0</v>
      </c>
      <c r="N255" s="9">
        <v>0</v>
      </c>
      <c r="O255" s="5">
        <v>10</v>
      </c>
      <c r="P255" s="5">
        <v>95</v>
      </c>
      <c r="Q255" s="5">
        <v>0</v>
      </c>
      <c r="R255" s="9">
        <v>0</v>
      </c>
      <c r="S255" s="5">
        <v>1</v>
      </c>
      <c r="T255" s="5">
        <v>0</v>
      </c>
    </row>
    <row r="256" spans="1:20" x14ac:dyDescent="0.2">
      <c r="A256" s="5" t="s">
        <v>737</v>
      </c>
      <c r="B256" s="9" t="s">
        <v>69</v>
      </c>
      <c r="C256" s="5" t="s">
        <v>770</v>
      </c>
      <c r="D256" s="7">
        <f t="shared" si="0"/>
        <v>12.8</v>
      </c>
      <c r="E256" s="5">
        <v>0</v>
      </c>
      <c r="F256" s="5">
        <v>0</v>
      </c>
      <c r="G256" s="5">
        <v>0</v>
      </c>
      <c r="H256" s="5">
        <v>0</v>
      </c>
      <c r="I256" s="5">
        <v>0</v>
      </c>
      <c r="J256" s="9">
        <v>0</v>
      </c>
      <c r="K256" s="5">
        <v>0</v>
      </c>
      <c r="L256" s="5">
        <v>0</v>
      </c>
      <c r="M256" s="5">
        <v>0</v>
      </c>
      <c r="N256" s="9">
        <v>0</v>
      </c>
      <c r="O256" s="5">
        <v>4</v>
      </c>
      <c r="P256" s="5">
        <v>28</v>
      </c>
      <c r="Q256" s="5">
        <v>1</v>
      </c>
      <c r="R256" s="9">
        <v>0</v>
      </c>
      <c r="S256" s="5">
        <v>0</v>
      </c>
      <c r="T256" s="5">
        <v>0</v>
      </c>
    </row>
    <row r="257" spans="1:20" x14ac:dyDescent="0.2">
      <c r="A257" s="5" t="s">
        <v>288</v>
      </c>
      <c r="B257" s="9" t="s">
        <v>69</v>
      </c>
      <c r="C257" s="5" t="s">
        <v>770</v>
      </c>
      <c r="D257" s="7">
        <f t="shared" si="0"/>
        <v>9.5</v>
      </c>
      <c r="E257" s="5">
        <v>0</v>
      </c>
      <c r="F257" s="5">
        <v>0</v>
      </c>
      <c r="G257" s="5">
        <v>0</v>
      </c>
      <c r="H257" s="5">
        <v>0</v>
      </c>
      <c r="I257" s="5">
        <v>0</v>
      </c>
      <c r="J257" s="9">
        <v>0</v>
      </c>
      <c r="K257" s="5">
        <v>0</v>
      </c>
      <c r="L257" s="5">
        <v>0</v>
      </c>
      <c r="M257" s="5">
        <v>0</v>
      </c>
      <c r="N257" s="9">
        <v>0</v>
      </c>
      <c r="O257" s="5">
        <v>2</v>
      </c>
      <c r="P257" s="5">
        <v>15</v>
      </c>
      <c r="Q257" s="5">
        <v>1</v>
      </c>
      <c r="R257" s="9">
        <v>0</v>
      </c>
      <c r="S257" s="5">
        <v>0</v>
      </c>
      <c r="T257" s="5">
        <v>0</v>
      </c>
    </row>
    <row r="258" spans="1:20" x14ac:dyDescent="0.2">
      <c r="A258" s="5" t="s">
        <v>349</v>
      </c>
      <c r="B258" s="9" t="s">
        <v>69</v>
      </c>
      <c r="C258" s="5" t="s">
        <v>774</v>
      </c>
      <c r="D258" s="7">
        <f t="shared" ref="D258:D306" si="1">0.04*G258+4*H258-2*I258+2*J258+0.1*L258+6*M258+2*N258+1*O258+0.1*P258+6*Q258+2*R258-2*S258</f>
        <v>14.100000000000001</v>
      </c>
      <c r="E258" s="5">
        <v>0</v>
      </c>
      <c r="F258" s="5">
        <v>0</v>
      </c>
      <c r="G258" s="5">
        <v>0</v>
      </c>
      <c r="H258" s="5">
        <v>0</v>
      </c>
      <c r="I258" s="5">
        <v>0</v>
      </c>
      <c r="J258" s="9">
        <v>0</v>
      </c>
      <c r="K258" s="5">
        <v>0</v>
      </c>
      <c r="L258" s="5">
        <v>0</v>
      </c>
      <c r="M258" s="5">
        <v>0</v>
      </c>
      <c r="N258" s="9">
        <v>0</v>
      </c>
      <c r="O258" s="5">
        <v>7</v>
      </c>
      <c r="P258" s="5">
        <v>71</v>
      </c>
      <c r="Q258" s="5">
        <v>0</v>
      </c>
      <c r="R258" s="9">
        <v>0</v>
      </c>
      <c r="S258" s="5">
        <v>0</v>
      </c>
      <c r="T258" s="5">
        <v>0</v>
      </c>
    </row>
    <row r="259" spans="1:20" x14ac:dyDescent="0.2">
      <c r="A259" s="5" t="s">
        <v>318</v>
      </c>
      <c r="B259" s="9" t="s">
        <v>69</v>
      </c>
      <c r="C259" s="5" t="s">
        <v>778</v>
      </c>
      <c r="D259" s="7">
        <f t="shared" si="1"/>
        <v>10.7</v>
      </c>
      <c r="E259" s="5">
        <v>0</v>
      </c>
      <c r="F259" s="5">
        <v>0</v>
      </c>
      <c r="G259" s="5">
        <v>0</v>
      </c>
      <c r="H259" s="5">
        <v>0</v>
      </c>
      <c r="I259" s="5">
        <v>0</v>
      </c>
      <c r="J259" s="9">
        <v>0</v>
      </c>
      <c r="K259" s="5">
        <v>0</v>
      </c>
      <c r="L259" s="5">
        <v>0</v>
      </c>
      <c r="M259" s="5">
        <v>0</v>
      </c>
      <c r="N259" s="9">
        <v>0</v>
      </c>
      <c r="O259" s="5">
        <v>3</v>
      </c>
      <c r="P259" s="5">
        <v>17</v>
      </c>
      <c r="Q259" s="5">
        <v>1</v>
      </c>
      <c r="R259" s="9">
        <v>0</v>
      </c>
      <c r="S259" s="5">
        <v>0</v>
      </c>
      <c r="T259" s="5">
        <v>0</v>
      </c>
    </row>
    <row r="260" spans="1:20" x14ac:dyDescent="0.2">
      <c r="A260" s="5" t="s">
        <v>285</v>
      </c>
      <c r="B260" s="9" t="s">
        <v>69</v>
      </c>
      <c r="C260" s="5" t="s">
        <v>781</v>
      </c>
      <c r="D260" s="7">
        <f t="shared" si="1"/>
        <v>11.2</v>
      </c>
      <c r="E260" s="5">
        <v>0</v>
      </c>
      <c r="F260" s="5">
        <v>0</v>
      </c>
      <c r="G260" s="5">
        <v>0</v>
      </c>
      <c r="H260" s="5">
        <v>0</v>
      </c>
      <c r="I260" s="5">
        <v>0</v>
      </c>
      <c r="J260" s="9">
        <v>0</v>
      </c>
      <c r="K260" s="5">
        <v>0</v>
      </c>
      <c r="L260" s="5">
        <v>0</v>
      </c>
      <c r="M260" s="5">
        <v>0</v>
      </c>
      <c r="N260" s="9">
        <v>0</v>
      </c>
      <c r="O260" s="5">
        <v>5</v>
      </c>
      <c r="P260" s="5">
        <v>62</v>
      </c>
      <c r="Q260" s="5">
        <v>0</v>
      </c>
      <c r="R260" s="9">
        <v>0</v>
      </c>
      <c r="S260" s="5">
        <v>0</v>
      </c>
      <c r="T260" s="5">
        <v>0</v>
      </c>
    </row>
    <row r="261" spans="1:20" x14ac:dyDescent="0.2">
      <c r="A261" s="5" t="s">
        <v>486</v>
      </c>
      <c r="B261" s="9" t="s">
        <v>69</v>
      </c>
      <c r="C261" s="5" t="s">
        <v>769</v>
      </c>
      <c r="D261" s="7">
        <f t="shared" si="1"/>
        <v>10</v>
      </c>
      <c r="E261" s="5">
        <v>0</v>
      </c>
      <c r="F261" s="5">
        <v>0</v>
      </c>
      <c r="G261" s="5">
        <v>0</v>
      </c>
      <c r="H261" s="5">
        <v>0</v>
      </c>
      <c r="I261" s="5">
        <v>0</v>
      </c>
      <c r="J261" s="9">
        <v>0</v>
      </c>
      <c r="K261" s="5">
        <v>0</v>
      </c>
      <c r="L261" s="5">
        <v>0</v>
      </c>
      <c r="M261" s="5">
        <v>0</v>
      </c>
      <c r="N261" s="9">
        <v>0</v>
      </c>
      <c r="O261" s="5">
        <v>4</v>
      </c>
      <c r="P261" s="5">
        <v>60</v>
      </c>
      <c r="Q261" s="5">
        <v>0</v>
      </c>
      <c r="R261" s="9">
        <v>0</v>
      </c>
      <c r="S261" s="5">
        <v>0</v>
      </c>
      <c r="T261" s="5">
        <v>0</v>
      </c>
    </row>
    <row r="262" spans="1:20" x14ac:dyDescent="0.2">
      <c r="A262" s="5" t="s">
        <v>494</v>
      </c>
      <c r="B262" s="9" t="s">
        <v>69</v>
      </c>
      <c r="C262" s="5" t="s">
        <v>773</v>
      </c>
      <c r="D262" s="7">
        <f t="shared" si="1"/>
        <v>7.1</v>
      </c>
      <c r="E262" s="5">
        <v>0</v>
      </c>
      <c r="F262" s="5">
        <v>0</v>
      </c>
      <c r="G262" s="5">
        <v>0</v>
      </c>
      <c r="H262" s="5">
        <v>0</v>
      </c>
      <c r="I262" s="5">
        <v>0</v>
      </c>
      <c r="J262" s="9">
        <v>0</v>
      </c>
      <c r="K262" s="5">
        <v>0</v>
      </c>
      <c r="L262" s="5">
        <v>0</v>
      </c>
      <c r="M262" s="5">
        <v>0</v>
      </c>
      <c r="N262" s="9">
        <v>0</v>
      </c>
      <c r="O262" s="5">
        <v>1</v>
      </c>
      <c r="P262" s="5">
        <v>1</v>
      </c>
      <c r="Q262" s="5">
        <v>1</v>
      </c>
      <c r="R262" s="9">
        <v>0</v>
      </c>
      <c r="S262" s="5">
        <v>0</v>
      </c>
      <c r="T262" s="5">
        <v>0</v>
      </c>
    </row>
    <row r="263" spans="1:20" x14ac:dyDescent="0.2">
      <c r="A263" s="5" t="s">
        <v>313</v>
      </c>
      <c r="B263" s="9" t="s">
        <v>69</v>
      </c>
      <c r="C263" s="5" t="s">
        <v>768</v>
      </c>
      <c r="D263" s="7">
        <f t="shared" si="1"/>
        <v>14.100000000000001</v>
      </c>
      <c r="E263" s="5">
        <v>0</v>
      </c>
      <c r="F263" s="5">
        <v>0</v>
      </c>
      <c r="G263" s="5">
        <v>0</v>
      </c>
      <c r="H263" s="5">
        <v>0</v>
      </c>
      <c r="I263" s="5">
        <v>0</v>
      </c>
      <c r="J263" s="9">
        <v>0</v>
      </c>
      <c r="K263" s="5">
        <v>0</v>
      </c>
      <c r="L263" s="5">
        <v>0</v>
      </c>
      <c r="M263" s="5">
        <v>0</v>
      </c>
      <c r="N263" s="9">
        <v>0</v>
      </c>
      <c r="O263" s="5">
        <v>8</v>
      </c>
      <c r="P263" s="5">
        <v>61</v>
      </c>
      <c r="Q263" s="5">
        <v>0</v>
      </c>
      <c r="R263" s="9">
        <v>0</v>
      </c>
      <c r="S263" s="5">
        <v>0</v>
      </c>
      <c r="T263" s="5">
        <v>0</v>
      </c>
    </row>
    <row r="264" spans="1:20" x14ac:dyDescent="0.2">
      <c r="A264" s="5" t="s">
        <v>273</v>
      </c>
      <c r="B264" s="9" t="s">
        <v>69</v>
      </c>
      <c r="C264" s="5" t="s">
        <v>779</v>
      </c>
      <c r="D264" s="7">
        <f t="shared" si="1"/>
        <v>9.8000000000000007</v>
      </c>
      <c r="E264" s="5">
        <v>0</v>
      </c>
      <c r="F264" s="5">
        <v>0</v>
      </c>
      <c r="G264" s="5">
        <v>0</v>
      </c>
      <c r="H264" s="5">
        <v>0</v>
      </c>
      <c r="I264" s="5">
        <v>0</v>
      </c>
      <c r="J264" s="9">
        <v>0</v>
      </c>
      <c r="K264" s="5">
        <v>0</v>
      </c>
      <c r="L264" s="5">
        <v>0</v>
      </c>
      <c r="M264" s="5">
        <v>0</v>
      </c>
      <c r="N264" s="9">
        <v>0</v>
      </c>
      <c r="O264" s="5">
        <v>4</v>
      </c>
      <c r="P264" s="5">
        <v>58</v>
      </c>
      <c r="Q264" s="5">
        <v>0</v>
      </c>
      <c r="R264" s="9">
        <v>0</v>
      </c>
      <c r="S264" s="5">
        <v>0</v>
      </c>
      <c r="T264" s="5">
        <v>0</v>
      </c>
    </row>
    <row r="265" spans="1:20" x14ac:dyDescent="0.2">
      <c r="A265" s="5" t="s">
        <v>317</v>
      </c>
      <c r="B265" s="9" t="s">
        <v>69</v>
      </c>
      <c r="C265" s="5" t="s">
        <v>772</v>
      </c>
      <c r="D265" s="7">
        <f t="shared" si="1"/>
        <v>8.6000000000000014</v>
      </c>
      <c r="E265" s="5">
        <v>0</v>
      </c>
      <c r="F265" s="5">
        <v>0</v>
      </c>
      <c r="G265" s="5">
        <v>0</v>
      </c>
      <c r="H265" s="5">
        <v>0</v>
      </c>
      <c r="I265" s="5">
        <v>0</v>
      </c>
      <c r="J265" s="9">
        <v>0</v>
      </c>
      <c r="K265" s="5">
        <v>0</v>
      </c>
      <c r="L265" s="5">
        <v>0</v>
      </c>
      <c r="M265" s="5">
        <v>0</v>
      </c>
      <c r="N265" s="9">
        <v>0</v>
      </c>
      <c r="O265" s="5">
        <v>3</v>
      </c>
      <c r="P265" s="5">
        <v>56</v>
      </c>
      <c r="Q265" s="5">
        <v>0</v>
      </c>
      <c r="R265" s="9">
        <v>0</v>
      </c>
      <c r="S265" s="5">
        <v>0</v>
      </c>
      <c r="T265" s="5">
        <v>0</v>
      </c>
    </row>
    <row r="266" spans="1:20" x14ac:dyDescent="0.2">
      <c r="A266" s="5" t="s">
        <v>287</v>
      </c>
      <c r="B266" s="9" t="s">
        <v>69</v>
      </c>
      <c r="C266" s="5" t="s">
        <v>776</v>
      </c>
      <c r="D266" s="7">
        <f t="shared" si="1"/>
        <v>10.600000000000001</v>
      </c>
      <c r="E266" s="5">
        <v>0</v>
      </c>
      <c r="F266" s="5">
        <v>0</v>
      </c>
      <c r="G266" s="5">
        <v>0</v>
      </c>
      <c r="H266" s="5">
        <v>0</v>
      </c>
      <c r="I266" s="5">
        <v>0</v>
      </c>
      <c r="J266" s="9">
        <v>0</v>
      </c>
      <c r="K266" s="5">
        <v>0</v>
      </c>
      <c r="L266" s="5">
        <v>0</v>
      </c>
      <c r="M266" s="5">
        <v>0</v>
      </c>
      <c r="N266" s="9">
        <v>0</v>
      </c>
      <c r="O266" s="5">
        <v>5</v>
      </c>
      <c r="P266" s="5">
        <v>56</v>
      </c>
      <c r="Q266" s="5">
        <v>0</v>
      </c>
      <c r="R266" s="9">
        <v>0</v>
      </c>
      <c r="S266" s="5">
        <v>0</v>
      </c>
      <c r="T266" s="5">
        <v>0</v>
      </c>
    </row>
    <row r="267" spans="1:20" x14ac:dyDescent="0.2">
      <c r="A267" s="5" t="s">
        <v>440</v>
      </c>
      <c r="B267" s="9" t="s">
        <v>69</v>
      </c>
      <c r="C267" s="5" t="s">
        <v>769</v>
      </c>
      <c r="D267" s="7">
        <f t="shared" si="1"/>
        <v>9.9</v>
      </c>
      <c r="E267" s="5">
        <v>0</v>
      </c>
      <c r="F267" s="5">
        <v>0</v>
      </c>
      <c r="G267" s="5">
        <v>0</v>
      </c>
      <c r="H267" s="5">
        <v>0</v>
      </c>
      <c r="I267" s="5">
        <v>0</v>
      </c>
      <c r="J267" s="9">
        <v>0</v>
      </c>
      <c r="K267" s="5">
        <v>0</v>
      </c>
      <c r="L267" s="5">
        <v>0</v>
      </c>
      <c r="M267" s="5">
        <v>0</v>
      </c>
      <c r="N267" s="9">
        <v>0</v>
      </c>
      <c r="O267" s="5">
        <v>4</v>
      </c>
      <c r="P267" s="5">
        <v>59</v>
      </c>
      <c r="Q267" s="5">
        <v>0</v>
      </c>
      <c r="R267" s="9">
        <v>0</v>
      </c>
      <c r="S267" s="5">
        <v>0</v>
      </c>
      <c r="T267" s="5">
        <v>0</v>
      </c>
    </row>
    <row r="268" spans="1:20" x14ac:dyDescent="0.2">
      <c r="A268" s="5" t="s">
        <v>315</v>
      </c>
      <c r="B268" s="9" t="s">
        <v>69</v>
      </c>
      <c r="C268" s="5" t="s">
        <v>774</v>
      </c>
      <c r="D268" s="7">
        <f t="shared" si="1"/>
        <v>8.3000000000000007</v>
      </c>
      <c r="E268" s="5">
        <v>0</v>
      </c>
      <c r="F268" s="5">
        <v>0</v>
      </c>
      <c r="G268" s="5">
        <v>0</v>
      </c>
      <c r="H268" s="5">
        <v>0</v>
      </c>
      <c r="I268" s="5">
        <v>0</v>
      </c>
      <c r="J268" s="9">
        <v>0</v>
      </c>
      <c r="K268" s="5">
        <v>0</v>
      </c>
      <c r="L268" s="5">
        <v>0</v>
      </c>
      <c r="M268" s="5">
        <v>0</v>
      </c>
      <c r="N268" s="9">
        <v>0</v>
      </c>
      <c r="O268" s="5">
        <v>4</v>
      </c>
      <c r="P268" s="5">
        <v>43</v>
      </c>
      <c r="Q268" s="5">
        <v>0</v>
      </c>
      <c r="R268" s="9">
        <v>0</v>
      </c>
      <c r="S268" s="5">
        <v>0</v>
      </c>
      <c r="T268" s="5">
        <v>0</v>
      </c>
    </row>
    <row r="269" spans="1:20" x14ac:dyDescent="0.2">
      <c r="A269" s="5" t="s">
        <v>297</v>
      </c>
      <c r="B269" s="9" t="s">
        <v>69</v>
      </c>
      <c r="C269" s="5" t="s">
        <v>771</v>
      </c>
      <c r="D269" s="7">
        <f t="shared" si="1"/>
        <v>11.2</v>
      </c>
      <c r="E269" s="5">
        <v>0</v>
      </c>
      <c r="F269" s="5">
        <v>0</v>
      </c>
      <c r="G269" s="5">
        <v>0</v>
      </c>
      <c r="H269" s="5">
        <v>0</v>
      </c>
      <c r="I269" s="5">
        <v>0</v>
      </c>
      <c r="J269" s="9">
        <v>0</v>
      </c>
      <c r="K269" s="5">
        <v>0</v>
      </c>
      <c r="L269" s="5">
        <v>0</v>
      </c>
      <c r="M269" s="5">
        <v>0</v>
      </c>
      <c r="N269" s="9">
        <v>0</v>
      </c>
      <c r="O269" s="5">
        <v>7</v>
      </c>
      <c r="P269" s="5">
        <v>42</v>
      </c>
      <c r="Q269" s="5">
        <v>0</v>
      </c>
      <c r="R269" s="9">
        <v>0</v>
      </c>
      <c r="S269" s="5">
        <v>0</v>
      </c>
      <c r="T269" s="5">
        <v>0</v>
      </c>
    </row>
    <row r="270" spans="1:20" x14ac:dyDescent="0.2">
      <c r="A270" s="5" t="s">
        <v>304</v>
      </c>
      <c r="B270" s="9" t="s">
        <v>69</v>
      </c>
      <c r="C270" s="5" t="s">
        <v>776</v>
      </c>
      <c r="D270" s="7">
        <f t="shared" si="1"/>
        <v>8.5</v>
      </c>
      <c r="E270" s="5">
        <v>0</v>
      </c>
      <c r="F270" s="5">
        <v>0</v>
      </c>
      <c r="G270" s="5">
        <v>0</v>
      </c>
      <c r="H270" s="5">
        <v>0</v>
      </c>
      <c r="I270" s="5">
        <v>0</v>
      </c>
      <c r="J270" s="9">
        <v>0</v>
      </c>
      <c r="K270" s="5">
        <v>0</v>
      </c>
      <c r="L270" s="5">
        <v>0</v>
      </c>
      <c r="M270" s="5">
        <v>0</v>
      </c>
      <c r="N270" s="9">
        <v>0</v>
      </c>
      <c r="O270" s="5">
        <v>4</v>
      </c>
      <c r="P270" s="5">
        <v>45</v>
      </c>
      <c r="Q270" s="5">
        <v>0</v>
      </c>
      <c r="R270" s="9">
        <v>0</v>
      </c>
      <c r="S270" s="5">
        <v>0</v>
      </c>
      <c r="T270" s="5">
        <v>0</v>
      </c>
    </row>
    <row r="271" spans="1:20" x14ac:dyDescent="0.2">
      <c r="A271" s="5" t="s">
        <v>343</v>
      </c>
      <c r="B271" s="9" t="s">
        <v>69</v>
      </c>
      <c r="C271" s="5" t="s">
        <v>780</v>
      </c>
      <c r="D271" s="7">
        <f t="shared" si="1"/>
        <v>9.4</v>
      </c>
      <c r="E271" s="5">
        <v>0</v>
      </c>
      <c r="F271" s="5">
        <v>0</v>
      </c>
      <c r="G271" s="5">
        <v>0</v>
      </c>
      <c r="H271" s="5">
        <v>0</v>
      </c>
      <c r="I271" s="5">
        <v>0</v>
      </c>
      <c r="J271" s="9">
        <v>0</v>
      </c>
      <c r="K271" s="5">
        <v>0</v>
      </c>
      <c r="L271" s="5">
        <v>0</v>
      </c>
      <c r="M271" s="5">
        <v>0</v>
      </c>
      <c r="N271" s="9">
        <v>0</v>
      </c>
      <c r="O271" s="5">
        <v>5</v>
      </c>
      <c r="P271" s="5">
        <v>44</v>
      </c>
      <c r="Q271" s="5">
        <v>0</v>
      </c>
      <c r="R271" s="9">
        <v>0</v>
      </c>
      <c r="S271" s="5">
        <v>0</v>
      </c>
      <c r="T271" s="5">
        <v>0</v>
      </c>
    </row>
    <row r="272" spans="1:20" x14ac:dyDescent="0.2">
      <c r="A272" s="5" t="s">
        <v>355</v>
      </c>
      <c r="B272" s="9" t="s">
        <v>69</v>
      </c>
      <c r="C272" s="5" t="s">
        <v>781</v>
      </c>
      <c r="D272" s="7">
        <f t="shared" si="1"/>
        <v>8.6999999999999993</v>
      </c>
      <c r="E272" s="5">
        <v>0</v>
      </c>
      <c r="F272" s="5">
        <v>0</v>
      </c>
      <c r="G272" s="5">
        <v>0</v>
      </c>
      <c r="H272" s="5">
        <v>0</v>
      </c>
      <c r="I272" s="5">
        <v>0</v>
      </c>
      <c r="J272" s="9">
        <v>0</v>
      </c>
      <c r="K272" s="5">
        <v>0</v>
      </c>
      <c r="L272" s="5">
        <v>0</v>
      </c>
      <c r="M272" s="5">
        <v>0</v>
      </c>
      <c r="N272" s="9">
        <v>0</v>
      </c>
      <c r="O272" s="5">
        <v>4</v>
      </c>
      <c r="P272" s="5">
        <v>47</v>
      </c>
      <c r="Q272" s="5">
        <v>0</v>
      </c>
      <c r="R272" s="9">
        <v>0</v>
      </c>
      <c r="S272" s="5">
        <v>0</v>
      </c>
      <c r="T272" s="5">
        <v>0</v>
      </c>
    </row>
    <row r="273" spans="1:20" x14ac:dyDescent="0.2">
      <c r="A273" s="5" t="s">
        <v>316</v>
      </c>
      <c r="B273" s="9" t="s">
        <v>69</v>
      </c>
      <c r="C273" s="5" t="s">
        <v>782</v>
      </c>
      <c r="D273" s="7">
        <f t="shared" si="1"/>
        <v>7.6</v>
      </c>
      <c r="E273" s="5">
        <v>0</v>
      </c>
      <c r="F273" s="5">
        <v>0</v>
      </c>
      <c r="G273" s="5">
        <v>0</v>
      </c>
      <c r="H273" s="5">
        <v>0</v>
      </c>
      <c r="I273" s="5">
        <v>0</v>
      </c>
      <c r="J273" s="9">
        <v>0</v>
      </c>
      <c r="K273" s="5">
        <v>1</v>
      </c>
      <c r="L273" s="5">
        <v>0</v>
      </c>
      <c r="M273" s="5">
        <v>0</v>
      </c>
      <c r="N273" s="9">
        <v>0</v>
      </c>
      <c r="O273" s="5">
        <v>4</v>
      </c>
      <c r="P273" s="5">
        <v>36</v>
      </c>
      <c r="Q273" s="5">
        <v>0</v>
      </c>
      <c r="R273" s="9">
        <v>0</v>
      </c>
      <c r="S273" s="5">
        <v>0</v>
      </c>
      <c r="T273" s="5">
        <v>0</v>
      </c>
    </row>
    <row r="274" spans="1:20" x14ac:dyDescent="0.2">
      <c r="A274" s="5" t="s">
        <v>286</v>
      </c>
      <c r="B274" s="9" t="s">
        <v>69</v>
      </c>
      <c r="C274" s="5" t="s">
        <v>767</v>
      </c>
      <c r="D274" s="7">
        <f t="shared" si="1"/>
        <v>6</v>
      </c>
      <c r="E274" s="5">
        <v>0</v>
      </c>
      <c r="F274" s="5">
        <v>0</v>
      </c>
      <c r="G274" s="5">
        <v>0</v>
      </c>
      <c r="H274" s="5">
        <v>0</v>
      </c>
      <c r="I274" s="5">
        <v>0</v>
      </c>
      <c r="J274" s="9">
        <v>0</v>
      </c>
      <c r="K274" s="5">
        <v>0</v>
      </c>
      <c r="L274" s="5">
        <v>0</v>
      </c>
      <c r="M274" s="5">
        <v>0</v>
      </c>
      <c r="N274" s="9">
        <v>0</v>
      </c>
      <c r="O274" s="5">
        <v>3</v>
      </c>
      <c r="P274" s="5">
        <v>30</v>
      </c>
      <c r="Q274" s="5">
        <v>0</v>
      </c>
      <c r="R274" s="9">
        <v>0</v>
      </c>
      <c r="S274" s="5">
        <v>0</v>
      </c>
      <c r="T274" s="5">
        <v>0</v>
      </c>
    </row>
    <row r="275" spans="1:20" x14ac:dyDescent="0.2">
      <c r="A275" s="5" t="s">
        <v>299</v>
      </c>
      <c r="B275" s="9" t="s">
        <v>69</v>
      </c>
      <c r="C275" s="5" t="s">
        <v>773</v>
      </c>
      <c r="D275" s="7">
        <f t="shared" si="1"/>
        <v>9.1</v>
      </c>
      <c r="E275" s="5">
        <v>0</v>
      </c>
      <c r="F275" s="5">
        <v>0</v>
      </c>
      <c r="G275" s="5">
        <v>0</v>
      </c>
      <c r="H275" s="5">
        <v>0</v>
      </c>
      <c r="I275" s="5">
        <v>0</v>
      </c>
      <c r="J275" s="9">
        <v>0</v>
      </c>
      <c r="K275" s="5">
        <v>0</v>
      </c>
      <c r="L275" s="5">
        <v>0</v>
      </c>
      <c r="M275" s="5">
        <v>0</v>
      </c>
      <c r="N275" s="9">
        <v>0</v>
      </c>
      <c r="O275" s="5">
        <v>6</v>
      </c>
      <c r="P275" s="5">
        <v>31</v>
      </c>
      <c r="Q275" s="5">
        <v>0</v>
      </c>
      <c r="R275" s="9">
        <v>0</v>
      </c>
      <c r="S275" s="5">
        <v>0</v>
      </c>
      <c r="T275" s="5">
        <v>0</v>
      </c>
    </row>
    <row r="276" spans="1:20" x14ac:dyDescent="0.2">
      <c r="A276" s="5" t="s">
        <v>292</v>
      </c>
      <c r="B276" s="9" t="s">
        <v>69</v>
      </c>
      <c r="C276" s="5" t="s">
        <v>779</v>
      </c>
      <c r="D276" s="7">
        <f t="shared" si="1"/>
        <v>4.3000000000000007</v>
      </c>
      <c r="E276" s="5">
        <v>0</v>
      </c>
      <c r="F276" s="5">
        <v>0</v>
      </c>
      <c r="G276" s="5">
        <v>0</v>
      </c>
      <c r="H276" s="5">
        <v>0</v>
      </c>
      <c r="I276" s="5">
        <v>0</v>
      </c>
      <c r="J276" s="9">
        <v>0</v>
      </c>
      <c r="K276" s="5">
        <v>0</v>
      </c>
      <c r="L276" s="5">
        <v>0</v>
      </c>
      <c r="M276" s="5">
        <v>0</v>
      </c>
      <c r="N276" s="9">
        <v>0</v>
      </c>
      <c r="O276" s="5">
        <v>1</v>
      </c>
      <c r="P276" s="5">
        <v>33</v>
      </c>
      <c r="Q276" s="5">
        <v>0</v>
      </c>
      <c r="R276" s="9">
        <v>0</v>
      </c>
      <c r="S276" s="5">
        <v>0</v>
      </c>
      <c r="T276" s="5">
        <v>0</v>
      </c>
    </row>
    <row r="277" spans="1:20" x14ac:dyDescent="0.2">
      <c r="A277" s="5" t="s">
        <v>446</v>
      </c>
      <c r="B277" s="9" t="s">
        <v>69</v>
      </c>
      <c r="C277" s="5" t="s">
        <v>777</v>
      </c>
      <c r="D277" s="7">
        <f t="shared" si="1"/>
        <v>6.8000000000000007</v>
      </c>
      <c r="E277" s="5">
        <v>0</v>
      </c>
      <c r="F277" s="5">
        <v>0</v>
      </c>
      <c r="G277" s="5">
        <v>0</v>
      </c>
      <c r="H277" s="5">
        <v>0</v>
      </c>
      <c r="I277" s="5">
        <v>0</v>
      </c>
      <c r="J277" s="9">
        <v>0</v>
      </c>
      <c r="K277" s="5">
        <v>0</v>
      </c>
      <c r="L277" s="5">
        <v>0</v>
      </c>
      <c r="M277" s="5">
        <v>0</v>
      </c>
      <c r="N277" s="9">
        <v>0</v>
      </c>
      <c r="O277" s="5">
        <v>3</v>
      </c>
      <c r="P277" s="5">
        <v>38</v>
      </c>
      <c r="Q277" s="5">
        <v>0</v>
      </c>
      <c r="R277" s="9">
        <v>0</v>
      </c>
      <c r="S277" s="5">
        <v>0</v>
      </c>
      <c r="T277" s="5">
        <v>0</v>
      </c>
    </row>
    <row r="278" spans="1:20" x14ac:dyDescent="0.2">
      <c r="A278" s="5" t="s">
        <v>348</v>
      </c>
      <c r="B278" s="9" t="s">
        <v>69</v>
      </c>
      <c r="C278" s="5" t="s">
        <v>781</v>
      </c>
      <c r="D278" s="7">
        <f t="shared" si="1"/>
        <v>7.2</v>
      </c>
      <c r="E278" s="5">
        <v>0</v>
      </c>
      <c r="F278" s="5">
        <v>0</v>
      </c>
      <c r="G278" s="5">
        <v>0</v>
      </c>
      <c r="H278" s="5">
        <v>0</v>
      </c>
      <c r="I278" s="5">
        <v>0</v>
      </c>
      <c r="J278" s="9">
        <v>0</v>
      </c>
      <c r="K278" s="5">
        <v>0</v>
      </c>
      <c r="L278" s="5">
        <v>0</v>
      </c>
      <c r="M278" s="5">
        <v>0</v>
      </c>
      <c r="N278" s="9">
        <v>0</v>
      </c>
      <c r="O278" s="5">
        <v>4</v>
      </c>
      <c r="P278" s="5">
        <v>32</v>
      </c>
      <c r="Q278" s="5">
        <v>0</v>
      </c>
      <c r="R278" s="9">
        <v>0</v>
      </c>
      <c r="S278" s="5">
        <v>0</v>
      </c>
      <c r="T278" s="5">
        <v>0</v>
      </c>
    </row>
    <row r="279" spans="1:20" x14ac:dyDescent="0.2">
      <c r="A279" s="5" t="s">
        <v>294</v>
      </c>
      <c r="B279" s="9" t="s">
        <v>69</v>
      </c>
      <c r="C279" s="5" t="s">
        <v>774</v>
      </c>
      <c r="D279" s="7">
        <f t="shared" si="1"/>
        <v>5.2</v>
      </c>
      <c r="E279" s="5">
        <v>0</v>
      </c>
      <c r="F279" s="5">
        <v>0</v>
      </c>
      <c r="G279" s="5">
        <v>0</v>
      </c>
      <c r="H279" s="5">
        <v>0</v>
      </c>
      <c r="I279" s="5">
        <v>0</v>
      </c>
      <c r="J279" s="9">
        <v>0</v>
      </c>
      <c r="K279" s="5">
        <v>0</v>
      </c>
      <c r="L279" s="5">
        <v>0</v>
      </c>
      <c r="M279" s="5">
        <v>0</v>
      </c>
      <c r="N279" s="9">
        <v>0</v>
      </c>
      <c r="O279" s="5">
        <v>2</v>
      </c>
      <c r="P279" s="5">
        <v>32</v>
      </c>
      <c r="Q279" s="5">
        <v>0</v>
      </c>
      <c r="R279" s="9">
        <v>0</v>
      </c>
      <c r="S279" s="5">
        <v>0</v>
      </c>
      <c r="T279" s="5">
        <v>0</v>
      </c>
    </row>
    <row r="280" spans="1:20" x14ac:dyDescent="0.2">
      <c r="A280" s="5" t="s">
        <v>417</v>
      </c>
      <c r="B280" s="9" t="s">
        <v>69</v>
      </c>
      <c r="C280" s="5" t="s">
        <v>770</v>
      </c>
      <c r="D280" s="7">
        <f t="shared" si="1"/>
        <v>4.5</v>
      </c>
      <c r="E280" s="5">
        <v>0</v>
      </c>
      <c r="F280" s="5">
        <v>0</v>
      </c>
      <c r="G280" s="5">
        <v>0</v>
      </c>
      <c r="H280" s="5">
        <v>0</v>
      </c>
      <c r="I280" s="5">
        <v>0</v>
      </c>
      <c r="J280" s="9">
        <v>0</v>
      </c>
      <c r="K280" s="5">
        <v>0</v>
      </c>
      <c r="L280" s="5">
        <v>0</v>
      </c>
      <c r="M280" s="5">
        <v>0</v>
      </c>
      <c r="N280" s="9">
        <v>0</v>
      </c>
      <c r="O280" s="5">
        <v>2</v>
      </c>
      <c r="P280" s="5">
        <v>25</v>
      </c>
      <c r="Q280" s="5">
        <v>0</v>
      </c>
      <c r="R280" s="9">
        <v>0</v>
      </c>
      <c r="S280" s="5">
        <v>0</v>
      </c>
      <c r="T280" s="5">
        <v>0</v>
      </c>
    </row>
    <row r="281" spans="1:20" x14ac:dyDescent="0.2">
      <c r="A281" s="5" t="s">
        <v>788</v>
      </c>
      <c r="B281" s="9" t="s">
        <v>69</v>
      </c>
      <c r="C281" s="5" t="s">
        <v>774</v>
      </c>
      <c r="D281" s="7">
        <f t="shared" si="1"/>
        <v>4.0999999999999996</v>
      </c>
      <c r="E281" s="5">
        <v>0</v>
      </c>
      <c r="F281" s="5">
        <v>0</v>
      </c>
      <c r="G281" s="5">
        <v>0</v>
      </c>
      <c r="H281" s="5">
        <v>0</v>
      </c>
      <c r="I281" s="5">
        <v>0</v>
      </c>
      <c r="J281" s="9">
        <v>0</v>
      </c>
      <c r="K281" s="5">
        <v>0</v>
      </c>
      <c r="L281" s="5">
        <v>0</v>
      </c>
      <c r="M281" s="5">
        <v>0</v>
      </c>
      <c r="N281" s="9">
        <v>0</v>
      </c>
      <c r="O281" s="5">
        <v>2</v>
      </c>
      <c r="P281" s="5">
        <v>21</v>
      </c>
      <c r="Q281" s="5">
        <v>0</v>
      </c>
      <c r="R281" s="9">
        <v>0</v>
      </c>
      <c r="S281" s="5">
        <v>0</v>
      </c>
      <c r="T281" s="5">
        <v>0</v>
      </c>
    </row>
    <row r="282" spans="1:20" x14ac:dyDescent="0.2">
      <c r="A282" s="5" t="s">
        <v>556</v>
      </c>
      <c r="B282" s="9" t="s">
        <v>69</v>
      </c>
      <c r="C282" s="5" t="s">
        <v>775</v>
      </c>
      <c r="D282" s="7">
        <f t="shared" si="1"/>
        <v>3.5</v>
      </c>
      <c r="E282" s="5">
        <v>0</v>
      </c>
      <c r="F282" s="5">
        <v>0</v>
      </c>
      <c r="G282" s="5">
        <v>0</v>
      </c>
      <c r="H282" s="5">
        <v>0</v>
      </c>
      <c r="I282" s="5">
        <v>0</v>
      </c>
      <c r="J282" s="9">
        <v>0</v>
      </c>
      <c r="K282" s="5">
        <v>0</v>
      </c>
      <c r="L282" s="5">
        <v>0</v>
      </c>
      <c r="M282" s="5">
        <v>0</v>
      </c>
      <c r="N282" s="9">
        <v>0</v>
      </c>
      <c r="O282" s="5">
        <v>1</v>
      </c>
      <c r="P282" s="5">
        <v>25</v>
      </c>
      <c r="Q282" s="5">
        <v>0</v>
      </c>
      <c r="R282" s="9">
        <v>0</v>
      </c>
      <c r="S282" s="5">
        <v>0</v>
      </c>
      <c r="T282" s="5">
        <v>0</v>
      </c>
    </row>
    <row r="283" spans="1:20" x14ac:dyDescent="0.2">
      <c r="A283" s="5" t="s">
        <v>362</v>
      </c>
      <c r="B283" s="9" t="s">
        <v>69</v>
      </c>
      <c r="C283" s="5" t="s">
        <v>768</v>
      </c>
      <c r="D283" s="7">
        <f t="shared" si="1"/>
        <v>4.7</v>
      </c>
      <c r="E283" s="5">
        <v>0</v>
      </c>
      <c r="F283" s="5">
        <v>0</v>
      </c>
      <c r="G283" s="5">
        <v>0</v>
      </c>
      <c r="H283" s="5">
        <v>0</v>
      </c>
      <c r="I283" s="5">
        <v>0</v>
      </c>
      <c r="J283" s="9">
        <v>0</v>
      </c>
      <c r="K283" s="5">
        <v>0</v>
      </c>
      <c r="L283" s="5">
        <v>0</v>
      </c>
      <c r="M283" s="5">
        <v>0</v>
      </c>
      <c r="N283" s="9">
        <v>0</v>
      </c>
      <c r="O283" s="5">
        <v>2</v>
      </c>
      <c r="P283" s="5">
        <v>27</v>
      </c>
      <c r="Q283" s="5">
        <v>0</v>
      </c>
      <c r="R283" s="9">
        <v>0</v>
      </c>
      <c r="S283" s="5">
        <v>0</v>
      </c>
      <c r="T283" s="5">
        <v>0</v>
      </c>
    </row>
    <row r="284" spans="1:20" x14ac:dyDescent="0.2">
      <c r="A284" s="5" t="s">
        <v>295</v>
      </c>
      <c r="B284" s="9" t="s">
        <v>69</v>
      </c>
      <c r="C284" s="5" t="s">
        <v>771</v>
      </c>
      <c r="D284" s="7">
        <f t="shared" si="1"/>
        <v>4.5999999999999996</v>
      </c>
      <c r="E284" s="5">
        <v>0</v>
      </c>
      <c r="F284" s="5">
        <v>0</v>
      </c>
      <c r="G284" s="5">
        <v>0</v>
      </c>
      <c r="H284" s="5">
        <v>0</v>
      </c>
      <c r="I284" s="5">
        <v>0</v>
      </c>
      <c r="J284" s="9">
        <v>0</v>
      </c>
      <c r="K284" s="5">
        <v>0</v>
      </c>
      <c r="L284" s="5">
        <v>0</v>
      </c>
      <c r="M284" s="5">
        <v>0</v>
      </c>
      <c r="N284" s="9">
        <v>0</v>
      </c>
      <c r="O284" s="5">
        <v>2</v>
      </c>
      <c r="P284" s="5">
        <v>26</v>
      </c>
      <c r="Q284" s="5">
        <v>0</v>
      </c>
      <c r="R284" s="9">
        <v>0</v>
      </c>
      <c r="S284" s="5">
        <v>0</v>
      </c>
      <c r="T284" s="5">
        <v>0</v>
      </c>
    </row>
    <row r="285" spans="1:20" x14ac:dyDescent="0.2">
      <c r="A285" s="5" t="s">
        <v>526</v>
      </c>
      <c r="B285" s="9" t="s">
        <v>69</v>
      </c>
      <c r="C285" s="5" t="s">
        <v>779</v>
      </c>
      <c r="D285" s="7">
        <f t="shared" si="1"/>
        <v>3.3000000000000003</v>
      </c>
      <c r="E285" s="5">
        <v>0</v>
      </c>
      <c r="F285" s="5">
        <v>0</v>
      </c>
      <c r="G285" s="5">
        <v>0</v>
      </c>
      <c r="H285" s="5">
        <v>0</v>
      </c>
      <c r="I285" s="5">
        <v>0</v>
      </c>
      <c r="J285" s="9">
        <v>0</v>
      </c>
      <c r="K285" s="5">
        <v>0</v>
      </c>
      <c r="L285" s="5">
        <v>0</v>
      </c>
      <c r="M285" s="5">
        <v>0</v>
      </c>
      <c r="N285" s="9">
        <v>0</v>
      </c>
      <c r="O285" s="5">
        <v>1</v>
      </c>
      <c r="P285" s="5">
        <v>23</v>
      </c>
      <c r="Q285" s="5">
        <v>0</v>
      </c>
      <c r="R285" s="9">
        <v>0</v>
      </c>
      <c r="S285" s="5">
        <v>0</v>
      </c>
      <c r="T285" s="5">
        <v>0</v>
      </c>
    </row>
    <row r="286" spans="1:20" x14ac:dyDescent="0.2">
      <c r="A286" s="5" t="s">
        <v>366</v>
      </c>
      <c r="B286" s="9" t="s">
        <v>69</v>
      </c>
      <c r="C286" s="5" t="s">
        <v>771</v>
      </c>
      <c r="D286" s="7">
        <f t="shared" si="1"/>
        <v>3.3000000000000003</v>
      </c>
      <c r="E286" s="5">
        <v>0</v>
      </c>
      <c r="F286" s="5">
        <v>0</v>
      </c>
      <c r="G286" s="5">
        <v>0</v>
      </c>
      <c r="H286" s="5">
        <v>0</v>
      </c>
      <c r="I286" s="5">
        <v>0</v>
      </c>
      <c r="J286" s="9">
        <v>0</v>
      </c>
      <c r="K286" s="5">
        <v>0</v>
      </c>
      <c r="L286" s="5">
        <v>0</v>
      </c>
      <c r="M286" s="5">
        <v>0</v>
      </c>
      <c r="N286" s="9">
        <v>0</v>
      </c>
      <c r="O286" s="5">
        <v>1</v>
      </c>
      <c r="P286" s="5">
        <v>23</v>
      </c>
      <c r="Q286" s="5">
        <v>0</v>
      </c>
      <c r="R286" s="9">
        <v>0</v>
      </c>
      <c r="S286" s="5">
        <v>0</v>
      </c>
      <c r="T286" s="5">
        <v>0</v>
      </c>
    </row>
    <row r="287" spans="1:20" x14ac:dyDescent="0.2">
      <c r="A287" s="5" t="s">
        <v>606</v>
      </c>
      <c r="B287" s="9" t="s">
        <v>69</v>
      </c>
      <c r="C287" s="5" t="s">
        <v>769</v>
      </c>
      <c r="D287" s="7">
        <f t="shared" si="1"/>
        <v>5.0999999999999996</v>
      </c>
      <c r="E287" s="5">
        <v>0</v>
      </c>
      <c r="F287" s="5">
        <v>0</v>
      </c>
      <c r="G287" s="5">
        <v>0</v>
      </c>
      <c r="H287" s="5">
        <v>0</v>
      </c>
      <c r="I287" s="5">
        <v>0</v>
      </c>
      <c r="J287" s="9">
        <v>0</v>
      </c>
      <c r="K287" s="5">
        <v>0</v>
      </c>
      <c r="L287" s="5">
        <v>0</v>
      </c>
      <c r="M287" s="5">
        <v>0</v>
      </c>
      <c r="N287" s="9">
        <v>0</v>
      </c>
      <c r="O287" s="5">
        <v>3</v>
      </c>
      <c r="P287" s="5">
        <v>21</v>
      </c>
      <c r="Q287" s="5">
        <v>0</v>
      </c>
      <c r="R287" s="9">
        <v>0</v>
      </c>
      <c r="S287" s="5">
        <v>0</v>
      </c>
      <c r="T287" s="5">
        <v>0</v>
      </c>
    </row>
    <row r="288" spans="1:20" x14ac:dyDescent="0.2">
      <c r="A288" s="5" t="s">
        <v>311</v>
      </c>
      <c r="B288" s="9" t="s">
        <v>69</v>
      </c>
      <c r="C288" s="5" t="s">
        <v>768</v>
      </c>
      <c r="D288" s="7">
        <f t="shared" si="1"/>
        <v>3.8</v>
      </c>
      <c r="E288" s="5">
        <v>0</v>
      </c>
      <c r="F288" s="5">
        <v>0</v>
      </c>
      <c r="G288" s="5">
        <v>0</v>
      </c>
      <c r="H288" s="5">
        <v>0</v>
      </c>
      <c r="I288" s="5">
        <v>0</v>
      </c>
      <c r="J288" s="9">
        <v>0</v>
      </c>
      <c r="K288" s="5">
        <v>0</v>
      </c>
      <c r="L288" s="5">
        <v>0</v>
      </c>
      <c r="M288" s="5">
        <v>0</v>
      </c>
      <c r="N288" s="9">
        <v>0</v>
      </c>
      <c r="O288" s="5">
        <v>2</v>
      </c>
      <c r="P288" s="5">
        <v>18</v>
      </c>
      <c r="Q288" s="5">
        <v>0</v>
      </c>
      <c r="R288" s="9">
        <v>0</v>
      </c>
      <c r="S288" s="5">
        <v>0</v>
      </c>
      <c r="T288" s="5">
        <v>0</v>
      </c>
    </row>
    <row r="289" spans="1:20" x14ac:dyDescent="0.2">
      <c r="A289" s="5" t="s">
        <v>351</v>
      </c>
      <c r="B289" s="9" t="s">
        <v>69</v>
      </c>
      <c r="C289" s="5" t="s">
        <v>782</v>
      </c>
      <c r="D289" s="7">
        <f t="shared" si="1"/>
        <v>4.4000000000000004</v>
      </c>
      <c r="E289" s="5">
        <v>0</v>
      </c>
      <c r="F289" s="5">
        <v>0</v>
      </c>
      <c r="G289" s="5">
        <v>0</v>
      </c>
      <c r="H289" s="5">
        <v>0</v>
      </c>
      <c r="I289" s="5">
        <v>0</v>
      </c>
      <c r="J289" s="9">
        <v>0</v>
      </c>
      <c r="K289" s="5">
        <v>0</v>
      </c>
      <c r="L289" s="5">
        <v>0</v>
      </c>
      <c r="M289" s="5">
        <v>0</v>
      </c>
      <c r="N289" s="9">
        <v>0</v>
      </c>
      <c r="O289" s="5">
        <v>3</v>
      </c>
      <c r="P289" s="5">
        <v>14</v>
      </c>
      <c r="Q289" s="5">
        <v>0</v>
      </c>
      <c r="R289" s="9">
        <v>0</v>
      </c>
      <c r="S289" s="5">
        <v>0</v>
      </c>
      <c r="T289" s="5">
        <v>0</v>
      </c>
    </row>
    <row r="290" spans="1:20" x14ac:dyDescent="0.2">
      <c r="A290" s="5" t="s">
        <v>583</v>
      </c>
      <c r="B290" s="9" t="s">
        <v>69</v>
      </c>
      <c r="C290" s="5" t="s">
        <v>773</v>
      </c>
      <c r="D290" s="7">
        <f t="shared" si="1"/>
        <v>3.7</v>
      </c>
      <c r="E290" s="5">
        <v>0</v>
      </c>
      <c r="F290" s="5">
        <v>0</v>
      </c>
      <c r="G290" s="5">
        <v>0</v>
      </c>
      <c r="H290" s="5">
        <v>0</v>
      </c>
      <c r="I290" s="5">
        <v>0</v>
      </c>
      <c r="J290" s="9">
        <v>0</v>
      </c>
      <c r="K290" s="5">
        <v>0</v>
      </c>
      <c r="L290" s="5">
        <v>0</v>
      </c>
      <c r="M290" s="5">
        <v>0</v>
      </c>
      <c r="N290" s="9">
        <v>0</v>
      </c>
      <c r="O290" s="5">
        <v>2</v>
      </c>
      <c r="P290" s="5">
        <v>17</v>
      </c>
      <c r="Q290" s="5">
        <v>0</v>
      </c>
      <c r="R290" s="9">
        <v>0</v>
      </c>
      <c r="S290" s="5">
        <v>0</v>
      </c>
      <c r="T290" s="5">
        <v>0</v>
      </c>
    </row>
    <row r="291" spans="1:20" x14ac:dyDescent="0.2">
      <c r="A291" s="5" t="s">
        <v>306</v>
      </c>
      <c r="B291" s="9" t="s">
        <v>69</v>
      </c>
      <c r="C291" s="5" t="s">
        <v>780</v>
      </c>
      <c r="D291" s="7">
        <f t="shared" si="1"/>
        <v>3.3</v>
      </c>
      <c r="E291" s="5">
        <v>0</v>
      </c>
      <c r="F291" s="5">
        <v>0</v>
      </c>
      <c r="G291" s="5">
        <v>0</v>
      </c>
      <c r="H291" s="5">
        <v>0</v>
      </c>
      <c r="I291" s="5">
        <v>0</v>
      </c>
      <c r="J291" s="9">
        <v>0</v>
      </c>
      <c r="K291" s="5">
        <v>0</v>
      </c>
      <c r="L291" s="5">
        <v>0</v>
      </c>
      <c r="M291" s="5">
        <v>0</v>
      </c>
      <c r="N291" s="9">
        <v>0</v>
      </c>
      <c r="O291" s="5">
        <v>2</v>
      </c>
      <c r="P291" s="5">
        <v>13</v>
      </c>
      <c r="Q291" s="5">
        <v>0</v>
      </c>
      <c r="R291" s="9">
        <v>0</v>
      </c>
      <c r="S291" s="5">
        <v>0</v>
      </c>
      <c r="T291" s="5">
        <v>0</v>
      </c>
    </row>
    <row r="292" spans="1:20" x14ac:dyDescent="0.2">
      <c r="A292" s="5" t="s">
        <v>680</v>
      </c>
      <c r="B292" s="9" t="s">
        <v>69</v>
      </c>
      <c r="C292" s="5" t="s">
        <v>772</v>
      </c>
      <c r="D292" s="7">
        <f t="shared" si="1"/>
        <v>2.7</v>
      </c>
      <c r="E292" s="5">
        <v>0</v>
      </c>
      <c r="F292" s="5">
        <v>0</v>
      </c>
      <c r="G292" s="5">
        <v>0</v>
      </c>
      <c r="H292" s="5">
        <v>0</v>
      </c>
      <c r="I292" s="5">
        <v>0</v>
      </c>
      <c r="J292" s="9">
        <v>0</v>
      </c>
      <c r="K292" s="5">
        <v>0</v>
      </c>
      <c r="L292" s="5">
        <v>0</v>
      </c>
      <c r="M292" s="5">
        <v>0</v>
      </c>
      <c r="N292" s="9">
        <v>0</v>
      </c>
      <c r="O292" s="5">
        <v>1</v>
      </c>
      <c r="P292" s="5">
        <v>17</v>
      </c>
      <c r="Q292" s="5">
        <v>0</v>
      </c>
      <c r="R292" s="9">
        <v>0</v>
      </c>
      <c r="S292" s="5">
        <v>0</v>
      </c>
      <c r="T292" s="5">
        <v>0</v>
      </c>
    </row>
    <row r="293" spans="1:20" x14ac:dyDescent="0.2">
      <c r="A293" s="5" t="s">
        <v>280</v>
      </c>
      <c r="B293" s="9" t="s">
        <v>69</v>
      </c>
      <c r="C293" s="5" t="s">
        <v>779</v>
      </c>
      <c r="D293" s="7">
        <f t="shared" si="1"/>
        <v>4.8</v>
      </c>
      <c r="E293" s="5">
        <v>0</v>
      </c>
      <c r="F293" s="5">
        <v>0</v>
      </c>
      <c r="G293" s="5">
        <v>0</v>
      </c>
      <c r="H293" s="5">
        <v>0</v>
      </c>
      <c r="I293" s="5">
        <v>0</v>
      </c>
      <c r="J293" s="9">
        <v>0</v>
      </c>
      <c r="K293" s="5">
        <v>0</v>
      </c>
      <c r="L293" s="5">
        <v>0</v>
      </c>
      <c r="M293" s="5">
        <v>0</v>
      </c>
      <c r="N293" s="9">
        <v>0</v>
      </c>
      <c r="O293" s="5">
        <v>3</v>
      </c>
      <c r="P293" s="5">
        <v>18</v>
      </c>
      <c r="Q293" s="5">
        <v>0</v>
      </c>
      <c r="R293" s="9">
        <v>0</v>
      </c>
      <c r="S293" s="5">
        <v>0</v>
      </c>
      <c r="T293" s="5">
        <v>0</v>
      </c>
    </row>
    <row r="294" spans="1:20" x14ac:dyDescent="0.2">
      <c r="A294" s="5" t="s">
        <v>363</v>
      </c>
      <c r="B294" s="9" t="s">
        <v>69</v>
      </c>
      <c r="C294" s="5" t="s">
        <v>767</v>
      </c>
      <c r="D294" s="7">
        <f t="shared" si="1"/>
        <v>2.2999999999999998</v>
      </c>
      <c r="E294" s="5">
        <v>0</v>
      </c>
      <c r="F294" s="5">
        <v>0</v>
      </c>
      <c r="G294" s="5">
        <v>0</v>
      </c>
      <c r="H294" s="5">
        <v>0</v>
      </c>
      <c r="I294" s="5">
        <v>0</v>
      </c>
      <c r="J294" s="9">
        <v>0</v>
      </c>
      <c r="K294" s="5">
        <v>0</v>
      </c>
      <c r="L294" s="5">
        <v>0</v>
      </c>
      <c r="M294" s="5">
        <v>0</v>
      </c>
      <c r="N294" s="9">
        <v>0</v>
      </c>
      <c r="O294" s="5">
        <v>1</v>
      </c>
      <c r="P294" s="5">
        <v>13</v>
      </c>
      <c r="Q294" s="5">
        <v>0</v>
      </c>
      <c r="R294" s="9">
        <v>0</v>
      </c>
      <c r="S294" s="5">
        <v>0</v>
      </c>
      <c r="T294" s="5">
        <v>0</v>
      </c>
    </row>
    <row r="295" spans="1:20" x14ac:dyDescent="0.2">
      <c r="A295" s="5" t="s">
        <v>479</v>
      </c>
      <c r="B295" s="9" t="s">
        <v>69</v>
      </c>
      <c r="C295" s="5" t="s">
        <v>773</v>
      </c>
      <c r="D295" s="7">
        <f t="shared" si="1"/>
        <v>2.4000000000000004</v>
      </c>
      <c r="E295" s="5">
        <v>0</v>
      </c>
      <c r="F295" s="5">
        <v>0</v>
      </c>
      <c r="G295" s="5">
        <v>0</v>
      </c>
      <c r="H295" s="5">
        <v>0</v>
      </c>
      <c r="I295" s="5">
        <v>0</v>
      </c>
      <c r="J295" s="9">
        <v>0</v>
      </c>
      <c r="K295" s="5">
        <v>0</v>
      </c>
      <c r="L295" s="5">
        <v>0</v>
      </c>
      <c r="M295" s="5">
        <v>0</v>
      </c>
      <c r="N295" s="9">
        <v>0</v>
      </c>
      <c r="O295" s="5">
        <v>1</v>
      </c>
      <c r="P295" s="5">
        <v>14</v>
      </c>
      <c r="Q295" s="5">
        <v>0</v>
      </c>
      <c r="R295" s="9">
        <v>0</v>
      </c>
      <c r="S295" s="5">
        <v>0</v>
      </c>
      <c r="T295" s="5">
        <v>0</v>
      </c>
    </row>
    <row r="296" spans="1:20" x14ac:dyDescent="0.2">
      <c r="A296" s="5" t="s">
        <v>275</v>
      </c>
      <c r="B296" s="9" t="s">
        <v>69</v>
      </c>
      <c r="C296" s="5" t="s">
        <v>780</v>
      </c>
      <c r="D296" s="7">
        <f t="shared" si="1"/>
        <v>1.4</v>
      </c>
      <c r="E296" s="5">
        <v>0</v>
      </c>
      <c r="F296" s="5">
        <v>0</v>
      </c>
      <c r="G296" s="5">
        <v>0</v>
      </c>
      <c r="H296" s="5">
        <v>0</v>
      </c>
      <c r="I296" s="5">
        <v>0</v>
      </c>
      <c r="J296" s="9">
        <v>0</v>
      </c>
      <c r="K296" s="5">
        <v>0</v>
      </c>
      <c r="L296" s="5">
        <v>0</v>
      </c>
      <c r="M296" s="5">
        <v>0</v>
      </c>
      <c r="N296" s="9">
        <v>0</v>
      </c>
      <c r="O296" s="5">
        <v>1</v>
      </c>
      <c r="P296" s="5">
        <v>4</v>
      </c>
      <c r="Q296" s="5">
        <v>0</v>
      </c>
      <c r="R296" s="9">
        <v>0</v>
      </c>
      <c r="S296" s="5">
        <v>0</v>
      </c>
      <c r="T296" s="5">
        <v>0</v>
      </c>
    </row>
    <row r="297" spans="1:20" x14ac:dyDescent="0.2">
      <c r="A297" s="5" t="s">
        <v>278</v>
      </c>
      <c r="B297" s="9" t="s">
        <v>69</v>
      </c>
      <c r="C297" s="5" t="s">
        <v>768</v>
      </c>
      <c r="D297" s="7">
        <f t="shared" si="1"/>
        <v>1.6</v>
      </c>
      <c r="E297" s="5">
        <v>0</v>
      </c>
      <c r="F297" s="5">
        <v>0</v>
      </c>
      <c r="G297" s="5">
        <v>0</v>
      </c>
      <c r="H297" s="5">
        <v>0</v>
      </c>
      <c r="I297" s="5">
        <v>0</v>
      </c>
      <c r="J297" s="9">
        <v>0</v>
      </c>
      <c r="K297" s="5">
        <v>0</v>
      </c>
      <c r="L297" s="5">
        <v>0</v>
      </c>
      <c r="M297" s="5">
        <v>0</v>
      </c>
      <c r="N297" s="9">
        <v>0</v>
      </c>
      <c r="O297" s="5">
        <v>1</v>
      </c>
      <c r="P297" s="5">
        <v>6</v>
      </c>
      <c r="Q297" s="5">
        <v>0</v>
      </c>
      <c r="R297" s="9">
        <v>0</v>
      </c>
      <c r="S297" s="5">
        <v>0</v>
      </c>
      <c r="T297" s="5">
        <v>0</v>
      </c>
    </row>
    <row r="298" spans="1:20" x14ac:dyDescent="0.2">
      <c r="A298" s="5" t="s">
        <v>303</v>
      </c>
      <c r="B298" s="9" t="s">
        <v>69</v>
      </c>
      <c r="C298" s="5" t="s">
        <v>778</v>
      </c>
      <c r="D298" s="7">
        <f t="shared" si="1"/>
        <v>1.6</v>
      </c>
      <c r="E298" s="5">
        <v>0</v>
      </c>
      <c r="F298" s="5">
        <v>0</v>
      </c>
      <c r="G298" s="5">
        <v>0</v>
      </c>
      <c r="H298" s="5">
        <v>0</v>
      </c>
      <c r="I298" s="5">
        <v>0</v>
      </c>
      <c r="J298" s="9">
        <v>0</v>
      </c>
      <c r="K298" s="5">
        <v>0</v>
      </c>
      <c r="L298" s="5">
        <v>0</v>
      </c>
      <c r="M298" s="5">
        <v>0</v>
      </c>
      <c r="N298" s="9">
        <v>0</v>
      </c>
      <c r="O298" s="5">
        <v>1</v>
      </c>
      <c r="P298" s="5">
        <v>6</v>
      </c>
      <c r="Q298" s="5">
        <v>0</v>
      </c>
      <c r="R298" s="9">
        <v>0</v>
      </c>
      <c r="S298" s="5">
        <v>0</v>
      </c>
      <c r="T298" s="5">
        <v>0</v>
      </c>
    </row>
    <row r="299" spans="1:20" x14ac:dyDescent="0.2">
      <c r="A299" s="5" t="s">
        <v>789</v>
      </c>
      <c r="B299" s="9" t="s">
        <v>69</v>
      </c>
      <c r="C299" s="5" t="s">
        <v>780</v>
      </c>
      <c r="D299" s="7">
        <f t="shared" si="1"/>
        <v>1.6</v>
      </c>
      <c r="E299" s="5">
        <v>0</v>
      </c>
      <c r="F299" s="5">
        <v>0</v>
      </c>
      <c r="G299" s="5">
        <v>0</v>
      </c>
      <c r="H299" s="5">
        <v>0</v>
      </c>
      <c r="I299" s="5">
        <v>0</v>
      </c>
      <c r="J299" s="9">
        <v>0</v>
      </c>
      <c r="K299" s="5">
        <v>0</v>
      </c>
      <c r="L299" s="5">
        <v>0</v>
      </c>
      <c r="M299" s="5">
        <v>0</v>
      </c>
      <c r="N299" s="9">
        <v>0</v>
      </c>
      <c r="O299" s="5">
        <v>1</v>
      </c>
      <c r="P299" s="5">
        <v>6</v>
      </c>
      <c r="Q299" s="5">
        <v>0</v>
      </c>
      <c r="R299" s="9">
        <v>0</v>
      </c>
      <c r="S299" s="5">
        <v>0</v>
      </c>
      <c r="T299" s="5">
        <v>0</v>
      </c>
    </row>
    <row r="300" spans="1:20" x14ac:dyDescent="0.2">
      <c r="A300" s="5" t="s">
        <v>289</v>
      </c>
      <c r="B300" s="9" t="s">
        <v>69</v>
      </c>
      <c r="C300" s="5" t="s">
        <v>780</v>
      </c>
      <c r="D300" s="7">
        <f t="shared" si="1"/>
        <v>1.5</v>
      </c>
      <c r="E300" s="5">
        <v>0</v>
      </c>
      <c r="F300" s="5">
        <v>0</v>
      </c>
      <c r="G300" s="5">
        <v>0</v>
      </c>
      <c r="H300" s="5">
        <v>0</v>
      </c>
      <c r="I300" s="5">
        <v>0</v>
      </c>
      <c r="J300" s="9">
        <v>0</v>
      </c>
      <c r="K300" s="5">
        <v>0</v>
      </c>
      <c r="L300" s="5">
        <v>0</v>
      </c>
      <c r="M300" s="5">
        <v>0</v>
      </c>
      <c r="N300" s="9">
        <v>0</v>
      </c>
      <c r="O300" s="5">
        <v>1</v>
      </c>
      <c r="P300" s="5">
        <v>5</v>
      </c>
      <c r="Q300" s="5">
        <v>0</v>
      </c>
      <c r="R300" s="9">
        <v>0</v>
      </c>
      <c r="S300" s="5">
        <v>0</v>
      </c>
      <c r="T300" s="5">
        <v>0</v>
      </c>
    </row>
    <row r="301" spans="1:20" x14ac:dyDescent="0.2">
      <c r="A301" s="5" t="s">
        <v>429</v>
      </c>
      <c r="B301" s="9" t="s">
        <v>69</v>
      </c>
      <c r="C301" s="5" t="s">
        <v>777</v>
      </c>
      <c r="D301" s="7">
        <f t="shared" si="1"/>
        <v>1.5</v>
      </c>
      <c r="E301" s="5">
        <v>0</v>
      </c>
      <c r="F301" s="5">
        <v>0</v>
      </c>
      <c r="G301" s="5">
        <v>0</v>
      </c>
      <c r="H301" s="5">
        <v>0</v>
      </c>
      <c r="I301" s="5">
        <v>0</v>
      </c>
      <c r="J301" s="9">
        <v>0</v>
      </c>
      <c r="K301" s="5">
        <v>0</v>
      </c>
      <c r="L301" s="5">
        <v>0</v>
      </c>
      <c r="M301" s="5">
        <v>0</v>
      </c>
      <c r="N301" s="9">
        <v>0</v>
      </c>
      <c r="O301" s="5">
        <v>1</v>
      </c>
      <c r="P301" s="5">
        <v>5</v>
      </c>
      <c r="Q301" s="5">
        <v>0</v>
      </c>
      <c r="R301" s="9">
        <v>0</v>
      </c>
      <c r="S301" s="5">
        <v>0</v>
      </c>
      <c r="T301" s="5">
        <v>0</v>
      </c>
    </row>
    <row r="302" spans="1:20" x14ac:dyDescent="0.2">
      <c r="A302" s="5" t="s">
        <v>291</v>
      </c>
      <c r="B302" s="9" t="s">
        <v>69</v>
      </c>
      <c r="C302" s="5" t="s">
        <v>771</v>
      </c>
      <c r="D302" s="7">
        <f t="shared" si="1"/>
        <v>1.7000000000000002</v>
      </c>
      <c r="E302" s="5">
        <v>0</v>
      </c>
      <c r="F302" s="5">
        <v>0</v>
      </c>
      <c r="G302" s="5">
        <v>0</v>
      </c>
      <c r="H302" s="5">
        <v>0</v>
      </c>
      <c r="I302" s="5">
        <v>0</v>
      </c>
      <c r="J302" s="9">
        <v>0</v>
      </c>
      <c r="K302" s="5">
        <v>0</v>
      </c>
      <c r="L302" s="5">
        <v>0</v>
      </c>
      <c r="M302" s="5">
        <v>0</v>
      </c>
      <c r="N302" s="9">
        <v>0</v>
      </c>
      <c r="O302" s="5">
        <v>1</v>
      </c>
      <c r="P302" s="5">
        <v>7</v>
      </c>
      <c r="Q302" s="5">
        <v>0</v>
      </c>
      <c r="R302" s="9">
        <v>0</v>
      </c>
      <c r="S302" s="5">
        <v>0</v>
      </c>
      <c r="T302" s="5">
        <v>0</v>
      </c>
    </row>
    <row r="303" spans="1:20" x14ac:dyDescent="0.2">
      <c r="A303" s="5" t="s">
        <v>309</v>
      </c>
      <c r="B303" s="9" t="s">
        <v>69</v>
      </c>
      <c r="C303" s="5" t="s">
        <v>775</v>
      </c>
      <c r="D303" s="7">
        <f t="shared" si="1"/>
        <v>1.7000000000000002</v>
      </c>
      <c r="E303" s="5">
        <v>0</v>
      </c>
      <c r="F303" s="5">
        <v>0</v>
      </c>
      <c r="G303" s="5">
        <v>0</v>
      </c>
      <c r="H303" s="5">
        <v>0</v>
      </c>
      <c r="I303" s="5">
        <v>0</v>
      </c>
      <c r="J303" s="9">
        <v>0</v>
      </c>
      <c r="K303" s="5">
        <v>0</v>
      </c>
      <c r="L303" s="5">
        <v>0</v>
      </c>
      <c r="M303" s="5">
        <v>0</v>
      </c>
      <c r="N303" s="9">
        <v>0</v>
      </c>
      <c r="O303" s="5">
        <v>1</v>
      </c>
      <c r="P303" s="5">
        <v>7</v>
      </c>
      <c r="Q303" s="5">
        <v>0</v>
      </c>
      <c r="R303" s="9">
        <v>0</v>
      </c>
      <c r="S303" s="5">
        <v>0</v>
      </c>
      <c r="T303" s="5">
        <v>0</v>
      </c>
    </row>
    <row r="304" spans="1:20" x14ac:dyDescent="0.2">
      <c r="A304" s="5" t="s">
        <v>354</v>
      </c>
      <c r="B304" s="9" t="s">
        <v>69</v>
      </c>
      <c r="C304" s="5" t="s">
        <v>776</v>
      </c>
      <c r="D304" s="7">
        <f t="shared" si="1"/>
        <v>1.4</v>
      </c>
      <c r="E304" s="5">
        <v>0</v>
      </c>
      <c r="F304" s="5">
        <v>0</v>
      </c>
      <c r="G304" s="5">
        <v>0</v>
      </c>
      <c r="H304" s="5">
        <v>0</v>
      </c>
      <c r="I304" s="5">
        <v>0</v>
      </c>
      <c r="J304" s="9">
        <v>0</v>
      </c>
      <c r="K304" s="5">
        <v>0</v>
      </c>
      <c r="L304" s="5">
        <v>0</v>
      </c>
      <c r="M304" s="5">
        <v>0</v>
      </c>
      <c r="N304" s="9">
        <v>0</v>
      </c>
      <c r="O304" s="5">
        <v>1</v>
      </c>
      <c r="P304" s="5">
        <v>4</v>
      </c>
      <c r="Q304" s="5">
        <v>0</v>
      </c>
      <c r="R304" s="9">
        <v>0</v>
      </c>
      <c r="S304" s="5">
        <v>0</v>
      </c>
      <c r="T304" s="5">
        <v>0</v>
      </c>
    </row>
    <row r="305" spans="1:20" x14ac:dyDescent="0.2">
      <c r="A305" s="5" t="s">
        <v>492</v>
      </c>
      <c r="B305" s="9" t="s">
        <v>69</v>
      </c>
      <c r="C305" s="5" t="s">
        <v>777</v>
      </c>
      <c r="D305" s="7">
        <f t="shared" si="1"/>
        <v>1.8</v>
      </c>
      <c r="E305" s="5">
        <v>0</v>
      </c>
      <c r="F305" s="5">
        <v>0</v>
      </c>
      <c r="G305" s="5">
        <v>0</v>
      </c>
      <c r="H305" s="5">
        <v>0</v>
      </c>
      <c r="I305" s="5">
        <v>0</v>
      </c>
      <c r="J305" s="9">
        <v>0</v>
      </c>
      <c r="K305" s="5">
        <v>0</v>
      </c>
      <c r="L305" s="5">
        <v>0</v>
      </c>
      <c r="M305" s="5">
        <v>0</v>
      </c>
      <c r="N305" s="9">
        <v>0</v>
      </c>
      <c r="O305" s="5">
        <v>1</v>
      </c>
      <c r="P305" s="5">
        <v>8</v>
      </c>
      <c r="Q305" s="5">
        <v>0</v>
      </c>
      <c r="R305" s="9">
        <v>0</v>
      </c>
      <c r="S305" s="5">
        <v>0</v>
      </c>
      <c r="T305" s="5">
        <v>0</v>
      </c>
    </row>
    <row r="306" spans="1:20" x14ac:dyDescent="0.2">
      <c r="A306" s="5" t="s">
        <v>437</v>
      </c>
      <c r="B306" s="9" t="s">
        <v>69</v>
      </c>
      <c r="C306" s="5" t="s">
        <v>777</v>
      </c>
      <c r="D306" s="7">
        <f t="shared" si="1"/>
        <v>1.6</v>
      </c>
      <c r="E306" s="5">
        <v>0</v>
      </c>
      <c r="F306" s="5">
        <v>0</v>
      </c>
      <c r="G306" s="5">
        <v>0</v>
      </c>
      <c r="H306" s="5">
        <v>0</v>
      </c>
      <c r="I306" s="5">
        <v>0</v>
      </c>
      <c r="J306" s="9">
        <v>0</v>
      </c>
      <c r="K306" s="5">
        <v>0</v>
      </c>
      <c r="L306" s="5">
        <v>0</v>
      </c>
      <c r="M306" s="5">
        <v>0</v>
      </c>
      <c r="N306" s="9">
        <v>0</v>
      </c>
      <c r="O306" s="5">
        <v>1</v>
      </c>
      <c r="P306" s="5">
        <v>6</v>
      </c>
      <c r="Q306" s="5">
        <v>0</v>
      </c>
      <c r="R306" s="9">
        <v>0</v>
      </c>
      <c r="S306" s="5">
        <v>0</v>
      </c>
      <c r="T306" s="5">
        <v>0</v>
      </c>
    </row>
    <row r="307" spans="1:20" x14ac:dyDescent="0.2">
      <c r="B307" s="9"/>
      <c r="J307" s="9"/>
      <c r="N307" s="9"/>
      <c r="R307" s="9"/>
    </row>
    <row r="308" spans="1:20" x14ac:dyDescent="0.2">
      <c r="B308" s="9"/>
      <c r="J308" s="9"/>
      <c r="N308" s="9"/>
      <c r="R308" s="9"/>
    </row>
    <row r="309" spans="1:20" x14ac:dyDescent="0.2">
      <c r="B309" s="9"/>
      <c r="J309" s="9"/>
      <c r="N309" s="9"/>
      <c r="R309" s="9"/>
    </row>
    <row r="310" spans="1:20" x14ac:dyDescent="0.2">
      <c r="B310" s="9"/>
      <c r="J310" s="9"/>
      <c r="N310" s="9"/>
      <c r="R310" s="9"/>
    </row>
  </sheetData>
  <autoFilter ref="A2:T306" xr:uid="{00000000-0009-0000-0000-00000F000000}"/>
  <mergeCells count="4">
    <mergeCell ref="E1:J1"/>
    <mergeCell ref="K1:N1"/>
    <mergeCell ref="O1:R1"/>
    <mergeCell ref="S1:T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T300"/>
  <sheetViews>
    <sheetView workbookViewId="0"/>
  </sheetViews>
  <sheetFormatPr defaultColWidth="12.5703125" defaultRowHeight="15.75" customHeight="1" x14ac:dyDescent="0.2"/>
  <cols>
    <col min="1" max="1" width="19.85546875" customWidth="1"/>
    <col min="2" max="2" width="9.85546875" customWidth="1"/>
    <col min="3" max="3" width="9.285156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
      <c r="B1" s="2"/>
      <c r="C1" s="25"/>
      <c r="D1" s="21"/>
      <c r="E1" s="60" t="s">
        <v>0</v>
      </c>
      <c r="F1" s="55"/>
      <c r="G1" s="55"/>
      <c r="H1" s="55"/>
      <c r="I1" s="55"/>
      <c r="J1" s="55"/>
      <c r="K1" s="58" t="s">
        <v>1</v>
      </c>
      <c r="L1" s="55"/>
      <c r="M1" s="55"/>
      <c r="N1" s="55"/>
      <c r="O1" s="58" t="s">
        <v>2</v>
      </c>
      <c r="P1" s="55"/>
      <c r="Q1" s="55"/>
      <c r="R1" s="56"/>
      <c r="S1" s="60" t="s">
        <v>3</v>
      </c>
      <c r="T1" s="56"/>
    </row>
    <row r="2" spans="1:20" x14ac:dyDescent="0.2">
      <c r="A2" s="13" t="s">
        <v>4</v>
      </c>
      <c r="B2" s="13" t="s">
        <v>5</v>
      </c>
      <c r="C2" s="26" t="s">
        <v>6</v>
      </c>
      <c r="D2" s="22" t="s">
        <v>7</v>
      </c>
      <c r="E2" s="13" t="s">
        <v>8</v>
      </c>
      <c r="F2" s="13" t="s">
        <v>9</v>
      </c>
      <c r="G2" s="13" t="s">
        <v>10</v>
      </c>
      <c r="H2" s="13" t="s">
        <v>11</v>
      </c>
      <c r="I2" s="13" t="s">
        <v>12</v>
      </c>
      <c r="J2" s="22" t="s">
        <v>13</v>
      </c>
      <c r="K2" s="23" t="s">
        <v>8</v>
      </c>
      <c r="L2" s="13" t="s">
        <v>10</v>
      </c>
      <c r="M2" s="13" t="s">
        <v>11</v>
      </c>
      <c r="N2" s="22" t="s">
        <v>13</v>
      </c>
      <c r="O2" s="23" t="s">
        <v>14</v>
      </c>
      <c r="P2" s="13" t="s">
        <v>10</v>
      </c>
      <c r="Q2" s="13" t="s">
        <v>11</v>
      </c>
      <c r="R2" s="22" t="s">
        <v>13</v>
      </c>
      <c r="S2" s="13" t="s">
        <v>15</v>
      </c>
      <c r="T2" s="13" t="s">
        <v>11</v>
      </c>
    </row>
    <row r="3" spans="1:20" x14ac:dyDescent="0.2">
      <c r="A3" s="5" t="s">
        <v>58</v>
      </c>
      <c r="B3" s="5" t="s">
        <v>17</v>
      </c>
      <c r="C3" s="10" t="s">
        <v>790</v>
      </c>
      <c r="D3" s="7">
        <f t="shared" ref="D3:D257" si="0">0.04*G3+4*H3-2*I3+2*J3+0.1*L3+6*M3+2*N3+1*O3+0.1*P3+6*Q3+2*R3-2*S3</f>
        <v>36.340000000000003</v>
      </c>
      <c r="E3" s="5">
        <v>21</v>
      </c>
      <c r="F3" s="5">
        <v>18</v>
      </c>
      <c r="G3" s="5">
        <v>321</v>
      </c>
      <c r="H3" s="5">
        <v>5</v>
      </c>
      <c r="I3" s="5">
        <v>0</v>
      </c>
      <c r="J3" s="9">
        <v>0</v>
      </c>
      <c r="K3" s="8">
        <v>6</v>
      </c>
      <c r="L3" s="5">
        <v>35</v>
      </c>
      <c r="M3" s="5">
        <v>0</v>
      </c>
      <c r="N3" s="9">
        <v>0</v>
      </c>
      <c r="O3" s="8">
        <v>0</v>
      </c>
      <c r="P3" s="5">
        <v>0</v>
      </c>
      <c r="Q3" s="5">
        <v>0</v>
      </c>
      <c r="R3" s="9">
        <v>0</v>
      </c>
      <c r="S3" s="5">
        <v>0</v>
      </c>
      <c r="T3" s="5">
        <v>0</v>
      </c>
    </row>
    <row r="4" spans="1:20" x14ac:dyDescent="0.2">
      <c r="A4" s="5" t="s">
        <v>21</v>
      </c>
      <c r="B4" s="5" t="s">
        <v>17</v>
      </c>
      <c r="C4" s="10" t="s">
        <v>791</v>
      </c>
      <c r="D4" s="7">
        <f t="shared" si="0"/>
        <v>28.44</v>
      </c>
      <c r="E4" s="5">
        <v>33</v>
      </c>
      <c r="F4" s="5">
        <v>24</v>
      </c>
      <c r="G4" s="5">
        <v>256</v>
      </c>
      <c r="H4" s="5">
        <v>3</v>
      </c>
      <c r="I4" s="5">
        <v>0</v>
      </c>
      <c r="J4" s="9">
        <v>0</v>
      </c>
      <c r="K4" s="8">
        <v>2</v>
      </c>
      <c r="L4" s="5">
        <v>2</v>
      </c>
      <c r="M4" s="5">
        <v>1</v>
      </c>
      <c r="N4" s="9">
        <v>0</v>
      </c>
      <c r="O4" s="8">
        <v>0</v>
      </c>
      <c r="P4" s="5">
        <v>0</v>
      </c>
      <c r="Q4" s="5">
        <v>0</v>
      </c>
      <c r="R4" s="9">
        <v>0</v>
      </c>
      <c r="S4" s="5">
        <v>0</v>
      </c>
      <c r="T4" s="5">
        <v>0</v>
      </c>
    </row>
    <row r="5" spans="1:20" x14ac:dyDescent="0.2">
      <c r="A5" s="5" t="s">
        <v>642</v>
      </c>
      <c r="B5" s="5" t="s">
        <v>17</v>
      </c>
      <c r="C5" s="10" t="s">
        <v>792</v>
      </c>
      <c r="D5" s="7">
        <f t="shared" si="0"/>
        <v>23.68</v>
      </c>
      <c r="E5" s="5">
        <v>31</v>
      </c>
      <c r="F5" s="5">
        <v>25</v>
      </c>
      <c r="G5" s="5">
        <v>232</v>
      </c>
      <c r="H5" s="5">
        <v>3</v>
      </c>
      <c r="I5" s="5">
        <v>1</v>
      </c>
      <c r="J5" s="9">
        <v>1</v>
      </c>
      <c r="K5" s="8">
        <v>5</v>
      </c>
      <c r="L5" s="5">
        <v>24</v>
      </c>
      <c r="M5" s="5">
        <v>0</v>
      </c>
      <c r="N5" s="9">
        <v>0</v>
      </c>
      <c r="O5" s="8">
        <v>0</v>
      </c>
      <c r="P5" s="5">
        <v>0</v>
      </c>
      <c r="Q5" s="5">
        <v>0</v>
      </c>
      <c r="R5" s="9">
        <v>0</v>
      </c>
      <c r="S5" s="5">
        <v>0</v>
      </c>
      <c r="T5" s="5">
        <v>0</v>
      </c>
    </row>
    <row r="6" spans="1:20" x14ac:dyDescent="0.2">
      <c r="A6" s="5" t="s">
        <v>713</v>
      </c>
      <c r="B6" s="5" t="s">
        <v>17</v>
      </c>
      <c r="C6" s="10" t="s">
        <v>793</v>
      </c>
      <c r="D6" s="7">
        <f t="shared" si="0"/>
        <v>22.66</v>
      </c>
      <c r="E6" s="5">
        <v>29</v>
      </c>
      <c r="F6" s="5">
        <v>19</v>
      </c>
      <c r="G6" s="5">
        <v>309</v>
      </c>
      <c r="H6" s="5">
        <v>3</v>
      </c>
      <c r="I6" s="5">
        <v>1</v>
      </c>
      <c r="J6" s="9">
        <v>0</v>
      </c>
      <c r="K6" s="8">
        <v>2</v>
      </c>
      <c r="L6" s="5">
        <v>3</v>
      </c>
      <c r="M6" s="5">
        <v>0</v>
      </c>
      <c r="N6" s="9">
        <v>0</v>
      </c>
      <c r="O6" s="8">
        <v>0</v>
      </c>
      <c r="P6" s="5">
        <v>0</v>
      </c>
      <c r="Q6" s="5">
        <v>0</v>
      </c>
      <c r="R6" s="9">
        <v>0</v>
      </c>
      <c r="S6" s="5">
        <v>0</v>
      </c>
      <c r="T6" s="5">
        <v>0</v>
      </c>
    </row>
    <row r="7" spans="1:20" x14ac:dyDescent="0.2">
      <c r="A7" s="5" t="s">
        <v>43</v>
      </c>
      <c r="B7" s="5" t="s">
        <v>17</v>
      </c>
      <c r="C7" s="10" t="s">
        <v>794</v>
      </c>
      <c r="D7" s="7">
        <f t="shared" si="0"/>
        <v>25.22</v>
      </c>
      <c r="E7" s="5">
        <v>32</v>
      </c>
      <c r="F7" s="5">
        <v>20</v>
      </c>
      <c r="G7" s="5">
        <v>268</v>
      </c>
      <c r="H7" s="5">
        <v>1</v>
      </c>
      <c r="I7" s="5">
        <v>0</v>
      </c>
      <c r="J7" s="9">
        <v>0</v>
      </c>
      <c r="K7" s="8">
        <v>11</v>
      </c>
      <c r="L7" s="5">
        <v>45</v>
      </c>
      <c r="M7" s="5">
        <v>1</v>
      </c>
      <c r="N7" s="9">
        <v>0</v>
      </c>
      <c r="O7" s="8">
        <v>0</v>
      </c>
      <c r="P7" s="5">
        <v>0</v>
      </c>
      <c r="Q7" s="5">
        <v>0</v>
      </c>
      <c r="R7" s="9">
        <v>0</v>
      </c>
      <c r="S7" s="5">
        <v>0</v>
      </c>
      <c r="T7" s="5">
        <v>0</v>
      </c>
    </row>
    <row r="8" spans="1:20" x14ac:dyDescent="0.2">
      <c r="A8" s="5" t="s">
        <v>45</v>
      </c>
      <c r="B8" s="5" t="s">
        <v>17</v>
      </c>
      <c r="C8" s="10" t="s">
        <v>792</v>
      </c>
      <c r="D8" s="7">
        <f t="shared" si="0"/>
        <v>19.18</v>
      </c>
      <c r="E8" s="5">
        <v>23</v>
      </c>
      <c r="F8" s="5">
        <v>18</v>
      </c>
      <c r="G8" s="5">
        <v>167</v>
      </c>
      <c r="H8" s="5">
        <v>3</v>
      </c>
      <c r="I8" s="5">
        <v>1</v>
      </c>
      <c r="J8" s="9">
        <v>0</v>
      </c>
      <c r="K8" s="8">
        <v>8</v>
      </c>
      <c r="L8" s="5">
        <v>25</v>
      </c>
      <c r="M8" s="5">
        <v>0</v>
      </c>
      <c r="N8" s="9">
        <v>0</v>
      </c>
      <c r="O8" s="8">
        <v>0</v>
      </c>
      <c r="P8" s="5">
        <v>0</v>
      </c>
      <c r="Q8" s="5">
        <v>0</v>
      </c>
      <c r="R8" s="9">
        <v>0</v>
      </c>
      <c r="S8" s="5">
        <v>0</v>
      </c>
      <c r="T8" s="5">
        <v>0</v>
      </c>
    </row>
    <row r="9" spans="1:20" x14ac:dyDescent="0.2">
      <c r="A9" s="5" t="s">
        <v>476</v>
      </c>
      <c r="B9" s="5" t="s">
        <v>17</v>
      </c>
      <c r="C9" s="10" t="s">
        <v>795</v>
      </c>
      <c r="D9" s="7">
        <f t="shared" si="0"/>
        <v>20.260000000000002</v>
      </c>
      <c r="E9" s="5">
        <v>47</v>
      </c>
      <c r="F9" s="5">
        <v>30</v>
      </c>
      <c r="G9" s="5">
        <v>299</v>
      </c>
      <c r="H9" s="5">
        <v>2</v>
      </c>
      <c r="I9" s="5">
        <v>0</v>
      </c>
      <c r="J9" s="9">
        <v>0</v>
      </c>
      <c r="K9" s="8">
        <v>2</v>
      </c>
      <c r="L9" s="5">
        <v>3</v>
      </c>
      <c r="M9" s="5">
        <v>0</v>
      </c>
      <c r="N9" s="9">
        <v>0</v>
      </c>
      <c r="O9" s="8">
        <v>0</v>
      </c>
      <c r="P9" s="5">
        <v>0</v>
      </c>
      <c r="Q9" s="5">
        <v>0</v>
      </c>
      <c r="R9" s="9">
        <v>0</v>
      </c>
      <c r="S9" s="5">
        <v>0</v>
      </c>
      <c r="T9" s="5">
        <v>0</v>
      </c>
    </row>
    <row r="10" spans="1:20" x14ac:dyDescent="0.2">
      <c r="A10" s="5" t="s">
        <v>59</v>
      </c>
      <c r="B10" s="5" t="s">
        <v>17</v>
      </c>
      <c r="C10" s="10" t="s">
        <v>796</v>
      </c>
      <c r="D10" s="7">
        <f t="shared" si="0"/>
        <v>20.3</v>
      </c>
      <c r="E10" s="5">
        <v>38</v>
      </c>
      <c r="F10" s="5">
        <v>26</v>
      </c>
      <c r="G10" s="5">
        <v>345</v>
      </c>
      <c r="H10" s="5">
        <v>2</v>
      </c>
      <c r="I10" s="5">
        <v>1</v>
      </c>
      <c r="J10" s="9">
        <v>0</v>
      </c>
      <c r="K10" s="8">
        <v>2</v>
      </c>
      <c r="L10" s="5">
        <v>5</v>
      </c>
      <c r="M10" s="5">
        <v>0</v>
      </c>
      <c r="N10" s="9">
        <v>0</v>
      </c>
      <c r="O10" s="8">
        <v>0</v>
      </c>
      <c r="P10" s="5">
        <v>0</v>
      </c>
      <c r="Q10" s="5">
        <v>0</v>
      </c>
      <c r="R10" s="9">
        <v>0</v>
      </c>
      <c r="S10" s="5">
        <v>0</v>
      </c>
      <c r="T10" s="5">
        <v>0</v>
      </c>
    </row>
    <row r="11" spans="1:20" x14ac:dyDescent="0.2">
      <c r="A11" s="5" t="s">
        <v>65</v>
      </c>
      <c r="B11" s="5" t="s">
        <v>17</v>
      </c>
      <c r="C11" s="10" t="s">
        <v>797</v>
      </c>
      <c r="D11" s="7">
        <f t="shared" si="0"/>
        <v>21.08</v>
      </c>
      <c r="E11" s="5">
        <v>33</v>
      </c>
      <c r="F11" s="5">
        <v>19</v>
      </c>
      <c r="G11" s="5">
        <v>197</v>
      </c>
      <c r="H11" s="5">
        <v>1</v>
      </c>
      <c r="I11" s="5">
        <v>0</v>
      </c>
      <c r="J11" s="9">
        <v>0</v>
      </c>
      <c r="K11" s="8">
        <v>7</v>
      </c>
      <c r="L11" s="5">
        <v>32</v>
      </c>
      <c r="M11" s="5">
        <v>1</v>
      </c>
      <c r="N11" s="9">
        <v>0</v>
      </c>
      <c r="O11" s="8">
        <v>0</v>
      </c>
      <c r="P11" s="5">
        <v>0</v>
      </c>
      <c r="Q11" s="5">
        <v>0</v>
      </c>
      <c r="R11" s="9">
        <v>0</v>
      </c>
      <c r="S11" s="5">
        <v>0</v>
      </c>
      <c r="T11" s="5">
        <v>0</v>
      </c>
    </row>
    <row r="12" spans="1:20" x14ac:dyDescent="0.2">
      <c r="A12" s="5" t="s">
        <v>33</v>
      </c>
      <c r="B12" s="5" t="s">
        <v>17</v>
      </c>
      <c r="C12" s="10" t="s">
        <v>798</v>
      </c>
      <c r="D12" s="7">
        <f t="shared" si="0"/>
        <v>17.600000000000001</v>
      </c>
      <c r="E12" s="5">
        <v>28</v>
      </c>
      <c r="F12" s="5">
        <v>22</v>
      </c>
      <c r="G12" s="5">
        <v>230</v>
      </c>
      <c r="H12" s="5">
        <v>2</v>
      </c>
      <c r="I12" s="5">
        <v>0</v>
      </c>
      <c r="J12" s="9">
        <v>0</v>
      </c>
      <c r="K12" s="8">
        <v>1</v>
      </c>
      <c r="L12" s="5">
        <v>4</v>
      </c>
      <c r="M12" s="5">
        <v>0</v>
      </c>
      <c r="N12" s="9">
        <v>0</v>
      </c>
      <c r="O12" s="8">
        <v>0</v>
      </c>
      <c r="P12" s="5">
        <v>0</v>
      </c>
      <c r="Q12" s="5">
        <v>0</v>
      </c>
      <c r="R12" s="9">
        <v>0</v>
      </c>
      <c r="S12" s="5">
        <v>0</v>
      </c>
      <c r="T12" s="5">
        <v>0</v>
      </c>
    </row>
    <row r="13" spans="1:20" x14ac:dyDescent="0.2">
      <c r="A13" s="5" t="s">
        <v>48</v>
      </c>
      <c r="B13" s="5" t="s">
        <v>17</v>
      </c>
      <c r="C13" s="10" t="s">
        <v>799</v>
      </c>
      <c r="D13" s="7">
        <f t="shared" si="0"/>
        <v>21.16</v>
      </c>
      <c r="E13" s="5">
        <v>30</v>
      </c>
      <c r="F13" s="5">
        <v>15</v>
      </c>
      <c r="G13" s="5">
        <v>169</v>
      </c>
      <c r="H13" s="5">
        <v>0</v>
      </c>
      <c r="I13" s="5">
        <v>1</v>
      </c>
      <c r="J13" s="9">
        <v>0</v>
      </c>
      <c r="K13" s="8">
        <v>11</v>
      </c>
      <c r="L13" s="5">
        <v>44</v>
      </c>
      <c r="M13" s="5">
        <v>2</v>
      </c>
      <c r="N13" s="9">
        <v>0</v>
      </c>
      <c r="O13" s="8">
        <v>0</v>
      </c>
      <c r="P13" s="5">
        <v>0</v>
      </c>
      <c r="Q13" s="5">
        <v>0</v>
      </c>
      <c r="R13" s="9">
        <v>0</v>
      </c>
      <c r="S13" s="5">
        <v>0</v>
      </c>
      <c r="T13" s="5">
        <v>0</v>
      </c>
    </row>
    <row r="14" spans="1:20" x14ac:dyDescent="0.2">
      <c r="A14" s="5" t="s">
        <v>37</v>
      </c>
      <c r="B14" s="5" t="s">
        <v>17</v>
      </c>
      <c r="C14" s="10" t="s">
        <v>800</v>
      </c>
      <c r="D14" s="7">
        <f t="shared" si="0"/>
        <v>16.259999999999998</v>
      </c>
      <c r="E14" s="5">
        <v>33</v>
      </c>
      <c r="F14" s="5">
        <v>22</v>
      </c>
      <c r="G14" s="5">
        <v>309</v>
      </c>
      <c r="H14" s="5">
        <v>2</v>
      </c>
      <c r="I14" s="5">
        <v>2</v>
      </c>
      <c r="J14" s="9">
        <v>0</v>
      </c>
      <c r="K14" s="8">
        <v>1</v>
      </c>
      <c r="L14" s="5">
        <v>-1</v>
      </c>
      <c r="M14" s="5">
        <v>0</v>
      </c>
      <c r="N14" s="9">
        <v>0</v>
      </c>
      <c r="O14" s="8">
        <v>0</v>
      </c>
      <c r="P14" s="5">
        <v>0</v>
      </c>
      <c r="Q14" s="5">
        <v>0</v>
      </c>
      <c r="R14" s="9">
        <v>0</v>
      </c>
      <c r="S14" s="5">
        <v>0</v>
      </c>
      <c r="T14" s="5">
        <v>0</v>
      </c>
    </row>
    <row r="15" spans="1:20" x14ac:dyDescent="0.2">
      <c r="A15" s="5" t="s">
        <v>73</v>
      </c>
      <c r="B15" s="5" t="s">
        <v>17</v>
      </c>
      <c r="C15" s="10" t="s">
        <v>801</v>
      </c>
      <c r="D15" s="7">
        <f t="shared" si="0"/>
        <v>18.759999999999998</v>
      </c>
      <c r="E15" s="5">
        <v>41</v>
      </c>
      <c r="F15" s="5">
        <v>27</v>
      </c>
      <c r="G15" s="5">
        <v>319</v>
      </c>
      <c r="H15" s="5">
        <v>1</v>
      </c>
      <c r="I15" s="5">
        <v>1</v>
      </c>
      <c r="J15" s="9">
        <v>0</v>
      </c>
      <c r="K15" s="8">
        <v>6</v>
      </c>
      <c r="L15" s="5">
        <v>40</v>
      </c>
      <c r="M15" s="5">
        <v>0</v>
      </c>
      <c r="N15" s="9">
        <v>0</v>
      </c>
      <c r="O15" s="8">
        <v>0</v>
      </c>
      <c r="P15" s="5">
        <v>0</v>
      </c>
      <c r="Q15" s="5">
        <v>0</v>
      </c>
      <c r="R15" s="9">
        <v>0</v>
      </c>
      <c r="S15" s="5">
        <v>0</v>
      </c>
      <c r="T15" s="5">
        <v>0</v>
      </c>
    </row>
    <row r="16" spans="1:20" x14ac:dyDescent="0.2">
      <c r="A16" s="5" t="s">
        <v>41</v>
      </c>
      <c r="B16" s="5" t="s">
        <v>17</v>
      </c>
      <c r="C16" s="10" t="s">
        <v>800</v>
      </c>
      <c r="D16" s="7">
        <f t="shared" si="0"/>
        <v>15.579999999999998</v>
      </c>
      <c r="E16" s="5">
        <v>32</v>
      </c>
      <c r="F16" s="5">
        <v>24</v>
      </c>
      <c r="G16" s="5">
        <v>197</v>
      </c>
      <c r="H16" s="5">
        <v>2</v>
      </c>
      <c r="I16" s="5">
        <v>0</v>
      </c>
      <c r="J16" s="9">
        <v>0</v>
      </c>
      <c r="K16" s="8">
        <v>3</v>
      </c>
      <c r="L16" s="5">
        <v>-3</v>
      </c>
      <c r="M16" s="5">
        <v>0</v>
      </c>
      <c r="N16" s="9">
        <v>0</v>
      </c>
      <c r="O16" s="8">
        <v>0</v>
      </c>
      <c r="P16" s="5">
        <v>0</v>
      </c>
      <c r="Q16" s="5">
        <v>0</v>
      </c>
      <c r="R16" s="9">
        <v>0</v>
      </c>
      <c r="S16" s="5">
        <v>0</v>
      </c>
      <c r="T16" s="5">
        <v>0</v>
      </c>
    </row>
    <row r="17" spans="1:20" x14ac:dyDescent="0.2">
      <c r="A17" s="5" t="s">
        <v>55</v>
      </c>
      <c r="B17" s="5" t="s">
        <v>17</v>
      </c>
      <c r="C17" s="10" t="s">
        <v>802</v>
      </c>
      <c r="D17" s="7">
        <f t="shared" si="0"/>
        <v>16.899999999999999</v>
      </c>
      <c r="E17" s="5">
        <v>33</v>
      </c>
      <c r="F17" s="5">
        <v>23</v>
      </c>
      <c r="G17" s="5">
        <v>290</v>
      </c>
      <c r="H17" s="5">
        <v>1</v>
      </c>
      <c r="I17" s="5">
        <v>0</v>
      </c>
      <c r="J17" s="9">
        <v>0</v>
      </c>
      <c r="K17" s="8">
        <v>3</v>
      </c>
      <c r="L17" s="5">
        <v>33</v>
      </c>
      <c r="M17" s="5">
        <v>0</v>
      </c>
      <c r="N17" s="9">
        <v>0</v>
      </c>
      <c r="O17" s="8">
        <v>0</v>
      </c>
      <c r="P17" s="5">
        <v>0</v>
      </c>
      <c r="Q17" s="5">
        <v>0</v>
      </c>
      <c r="R17" s="9">
        <v>0</v>
      </c>
      <c r="S17" s="5">
        <v>1</v>
      </c>
      <c r="T17" s="5">
        <v>0</v>
      </c>
    </row>
    <row r="18" spans="1:20" x14ac:dyDescent="0.2">
      <c r="A18" s="5" t="s">
        <v>16</v>
      </c>
      <c r="B18" s="5" t="s">
        <v>17</v>
      </c>
      <c r="C18" s="10" t="s">
        <v>790</v>
      </c>
      <c r="D18" s="7">
        <f t="shared" si="0"/>
        <v>14.88</v>
      </c>
      <c r="E18" s="5">
        <v>38</v>
      </c>
      <c r="F18" s="5">
        <v>22</v>
      </c>
      <c r="G18" s="5">
        <v>237</v>
      </c>
      <c r="H18" s="5">
        <v>2</v>
      </c>
      <c r="I18" s="5">
        <v>2</v>
      </c>
      <c r="J18" s="9">
        <v>0</v>
      </c>
      <c r="K18" s="8">
        <v>2</v>
      </c>
      <c r="L18" s="5">
        <v>14</v>
      </c>
      <c r="M18" s="5">
        <v>0</v>
      </c>
      <c r="N18" s="9">
        <v>0</v>
      </c>
      <c r="O18" s="8">
        <v>0</v>
      </c>
      <c r="P18" s="5">
        <v>0</v>
      </c>
      <c r="Q18" s="5">
        <v>0</v>
      </c>
      <c r="R18" s="9">
        <v>0</v>
      </c>
      <c r="S18" s="5">
        <v>0</v>
      </c>
      <c r="T18" s="5">
        <v>0</v>
      </c>
    </row>
    <row r="19" spans="1:20" x14ac:dyDescent="0.2">
      <c r="A19" s="5" t="s">
        <v>603</v>
      </c>
      <c r="B19" s="5" t="s">
        <v>17</v>
      </c>
      <c r="C19" s="10" t="s">
        <v>794</v>
      </c>
      <c r="D19" s="7">
        <f t="shared" si="0"/>
        <v>15.120000000000001</v>
      </c>
      <c r="E19" s="5">
        <v>29</v>
      </c>
      <c r="F19" s="5">
        <v>10</v>
      </c>
      <c r="G19" s="5">
        <v>163</v>
      </c>
      <c r="H19" s="5">
        <v>1</v>
      </c>
      <c r="I19" s="5">
        <v>3</v>
      </c>
      <c r="J19" s="9">
        <v>0</v>
      </c>
      <c r="K19" s="8">
        <v>4</v>
      </c>
      <c r="L19" s="5">
        <v>46</v>
      </c>
      <c r="M19" s="5">
        <v>1</v>
      </c>
      <c r="N19" s="9">
        <v>0</v>
      </c>
      <c r="O19" s="8">
        <v>0</v>
      </c>
      <c r="P19" s="5">
        <v>0</v>
      </c>
      <c r="Q19" s="5">
        <v>0</v>
      </c>
      <c r="R19" s="9">
        <v>0</v>
      </c>
      <c r="S19" s="5">
        <v>0</v>
      </c>
      <c r="T19" s="5">
        <v>0</v>
      </c>
    </row>
    <row r="20" spans="1:20" x14ac:dyDescent="0.2">
      <c r="A20" s="5" t="s">
        <v>718</v>
      </c>
      <c r="B20" s="5" t="s">
        <v>17</v>
      </c>
      <c r="C20" s="10" t="s">
        <v>793</v>
      </c>
      <c r="D20" s="7">
        <f t="shared" si="0"/>
        <v>13.74</v>
      </c>
      <c r="E20" s="5">
        <v>45</v>
      </c>
      <c r="F20" s="5">
        <v>32</v>
      </c>
      <c r="G20" s="5">
        <v>261</v>
      </c>
      <c r="H20" s="5">
        <v>1</v>
      </c>
      <c r="I20" s="5">
        <v>1</v>
      </c>
      <c r="J20" s="9">
        <v>0</v>
      </c>
      <c r="K20" s="8">
        <v>4</v>
      </c>
      <c r="L20" s="5">
        <v>13</v>
      </c>
      <c r="M20" s="5">
        <v>0</v>
      </c>
      <c r="N20" s="9">
        <v>0</v>
      </c>
      <c r="O20" s="8">
        <v>0</v>
      </c>
      <c r="P20" s="5">
        <v>0</v>
      </c>
      <c r="Q20" s="5">
        <v>0</v>
      </c>
      <c r="R20" s="9">
        <v>0</v>
      </c>
      <c r="S20" s="5">
        <v>0</v>
      </c>
      <c r="T20" s="5">
        <v>0</v>
      </c>
    </row>
    <row r="21" spans="1:20" x14ac:dyDescent="0.2">
      <c r="A21" s="5" t="s">
        <v>23</v>
      </c>
      <c r="B21" s="5" t="s">
        <v>17</v>
      </c>
      <c r="C21" s="10" t="s">
        <v>797</v>
      </c>
      <c r="D21" s="7">
        <f t="shared" si="0"/>
        <v>12</v>
      </c>
      <c r="E21" s="5">
        <v>29</v>
      </c>
      <c r="F21" s="5">
        <v>21</v>
      </c>
      <c r="G21" s="5">
        <v>245</v>
      </c>
      <c r="H21" s="5">
        <v>1</v>
      </c>
      <c r="I21" s="5">
        <v>0</v>
      </c>
      <c r="J21" s="9">
        <v>0</v>
      </c>
      <c r="K21" s="8">
        <v>4</v>
      </c>
      <c r="L21" s="5">
        <v>2</v>
      </c>
      <c r="M21" s="5">
        <v>0</v>
      </c>
      <c r="N21" s="9">
        <v>0</v>
      </c>
      <c r="O21" s="8">
        <v>0</v>
      </c>
      <c r="P21" s="5">
        <v>0</v>
      </c>
      <c r="Q21" s="5">
        <v>0</v>
      </c>
      <c r="R21" s="9">
        <v>0</v>
      </c>
      <c r="S21" s="5">
        <v>1</v>
      </c>
      <c r="T21" s="5">
        <v>0</v>
      </c>
    </row>
    <row r="22" spans="1:20" x14ac:dyDescent="0.2">
      <c r="A22" s="5" t="s">
        <v>70</v>
      </c>
      <c r="B22" s="5" t="s">
        <v>17</v>
      </c>
      <c r="C22" s="10" t="s">
        <v>795</v>
      </c>
      <c r="D22" s="7">
        <f t="shared" si="0"/>
        <v>13.260000000000002</v>
      </c>
      <c r="E22" s="5">
        <v>23</v>
      </c>
      <c r="F22" s="5">
        <v>15</v>
      </c>
      <c r="G22" s="5">
        <v>224</v>
      </c>
      <c r="H22" s="5">
        <v>1</v>
      </c>
      <c r="I22" s="5">
        <v>0</v>
      </c>
      <c r="J22" s="9">
        <v>0</v>
      </c>
      <c r="K22" s="8">
        <v>2</v>
      </c>
      <c r="L22" s="5">
        <v>3</v>
      </c>
      <c r="M22" s="5">
        <v>0</v>
      </c>
      <c r="N22" s="9">
        <v>0</v>
      </c>
      <c r="O22" s="8">
        <v>0</v>
      </c>
      <c r="P22" s="5">
        <v>0</v>
      </c>
      <c r="Q22" s="5">
        <v>0</v>
      </c>
      <c r="R22" s="9">
        <v>0</v>
      </c>
      <c r="S22" s="5">
        <v>0</v>
      </c>
      <c r="T22" s="5">
        <v>0</v>
      </c>
    </row>
    <row r="23" spans="1:20" x14ac:dyDescent="0.2">
      <c r="A23" s="5" t="s">
        <v>46</v>
      </c>
      <c r="B23" s="5" t="s">
        <v>17</v>
      </c>
      <c r="C23" s="10" t="s">
        <v>801</v>
      </c>
      <c r="D23" s="7">
        <f t="shared" si="0"/>
        <v>12.58</v>
      </c>
      <c r="E23" s="5">
        <v>34</v>
      </c>
      <c r="F23" s="5">
        <v>24</v>
      </c>
      <c r="G23" s="5">
        <v>317</v>
      </c>
      <c r="H23" s="5">
        <v>1</v>
      </c>
      <c r="I23" s="5">
        <v>2</v>
      </c>
      <c r="J23" s="9">
        <v>0</v>
      </c>
      <c r="K23" s="8">
        <v>1</v>
      </c>
      <c r="L23" s="5">
        <v>-1</v>
      </c>
      <c r="M23" s="5">
        <v>0</v>
      </c>
      <c r="N23" s="9">
        <v>0</v>
      </c>
      <c r="O23" s="8">
        <v>0</v>
      </c>
      <c r="P23" s="5">
        <v>0</v>
      </c>
      <c r="Q23" s="5">
        <v>0</v>
      </c>
      <c r="R23" s="9">
        <v>0</v>
      </c>
      <c r="S23" s="5">
        <v>0</v>
      </c>
      <c r="T23" s="5">
        <v>0</v>
      </c>
    </row>
    <row r="24" spans="1:20" x14ac:dyDescent="0.2">
      <c r="A24" s="5" t="s">
        <v>803</v>
      </c>
      <c r="B24" s="5" t="s">
        <v>17</v>
      </c>
      <c r="C24" s="10" t="s">
        <v>804</v>
      </c>
      <c r="D24" s="7">
        <f t="shared" si="0"/>
        <v>13.56</v>
      </c>
      <c r="E24" s="5">
        <v>32</v>
      </c>
      <c r="F24" s="5">
        <v>20</v>
      </c>
      <c r="G24" s="5">
        <v>224</v>
      </c>
      <c r="H24" s="5">
        <v>1</v>
      </c>
      <c r="I24" s="5">
        <v>0</v>
      </c>
      <c r="J24" s="9">
        <v>0</v>
      </c>
      <c r="K24" s="8">
        <v>6</v>
      </c>
      <c r="L24" s="5">
        <v>6</v>
      </c>
      <c r="M24" s="5">
        <v>0</v>
      </c>
      <c r="N24" s="9">
        <v>0</v>
      </c>
      <c r="O24" s="8">
        <v>0</v>
      </c>
      <c r="P24" s="5">
        <v>0</v>
      </c>
      <c r="Q24" s="5">
        <v>0</v>
      </c>
      <c r="R24" s="9">
        <v>0</v>
      </c>
      <c r="S24" s="5">
        <v>0</v>
      </c>
      <c r="T24" s="5">
        <v>0</v>
      </c>
    </row>
    <row r="25" spans="1:20" x14ac:dyDescent="0.2">
      <c r="A25" s="5" t="s">
        <v>53</v>
      </c>
      <c r="B25" s="5" t="s">
        <v>17</v>
      </c>
      <c r="C25" s="10" t="s">
        <v>805</v>
      </c>
      <c r="D25" s="7">
        <f t="shared" si="0"/>
        <v>12.92</v>
      </c>
      <c r="E25" s="5">
        <v>32</v>
      </c>
      <c r="F25" s="5">
        <v>24</v>
      </c>
      <c r="G25" s="5">
        <v>213</v>
      </c>
      <c r="H25" s="5">
        <v>1</v>
      </c>
      <c r="I25" s="5">
        <v>0</v>
      </c>
      <c r="J25" s="9">
        <v>0</v>
      </c>
      <c r="K25" s="8">
        <v>1</v>
      </c>
      <c r="L25" s="5">
        <v>4</v>
      </c>
      <c r="M25" s="5">
        <v>0</v>
      </c>
      <c r="N25" s="9">
        <v>0</v>
      </c>
      <c r="O25" s="8">
        <v>0</v>
      </c>
      <c r="P25" s="5">
        <v>0</v>
      </c>
      <c r="Q25" s="5">
        <v>0</v>
      </c>
      <c r="R25" s="9">
        <v>0</v>
      </c>
      <c r="S25" s="5">
        <v>0</v>
      </c>
      <c r="T25" s="5">
        <v>0</v>
      </c>
    </row>
    <row r="26" spans="1:20" x14ac:dyDescent="0.2">
      <c r="A26" s="5" t="s">
        <v>44</v>
      </c>
      <c r="B26" s="5" t="s">
        <v>17</v>
      </c>
      <c r="C26" s="10" t="s">
        <v>796</v>
      </c>
      <c r="D26" s="7">
        <f t="shared" si="0"/>
        <v>10.84</v>
      </c>
      <c r="E26" s="5">
        <v>34</v>
      </c>
      <c r="F26" s="5">
        <v>19</v>
      </c>
      <c r="G26" s="5">
        <v>271</v>
      </c>
      <c r="H26" s="5">
        <v>1</v>
      </c>
      <c r="I26" s="5">
        <v>2</v>
      </c>
      <c r="J26" s="9">
        <v>0</v>
      </c>
      <c r="K26" s="8">
        <v>0</v>
      </c>
      <c r="L26" s="5">
        <v>0</v>
      </c>
      <c r="M26" s="5">
        <v>0</v>
      </c>
      <c r="N26" s="9">
        <v>0</v>
      </c>
      <c r="O26" s="8">
        <v>0</v>
      </c>
      <c r="P26" s="5">
        <v>0</v>
      </c>
      <c r="Q26" s="5">
        <v>0</v>
      </c>
      <c r="R26" s="9">
        <v>0</v>
      </c>
      <c r="S26" s="5">
        <v>0</v>
      </c>
      <c r="T26" s="5">
        <v>0</v>
      </c>
    </row>
    <row r="27" spans="1:20" x14ac:dyDescent="0.2">
      <c r="A27" s="5" t="s">
        <v>68</v>
      </c>
      <c r="B27" s="5" t="s">
        <v>69</v>
      </c>
      <c r="C27" s="10" t="s">
        <v>800</v>
      </c>
      <c r="D27" s="7">
        <f t="shared" si="0"/>
        <v>11.54</v>
      </c>
      <c r="E27" s="5">
        <v>2</v>
      </c>
      <c r="F27" s="5">
        <v>1</v>
      </c>
      <c r="G27" s="5">
        <v>11</v>
      </c>
      <c r="H27" s="5">
        <v>0</v>
      </c>
      <c r="I27" s="5">
        <v>0</v>
      </c>
      <c r="J27" s="9">
        <v>0</v>
      </c>
      <c r="K27" s="8">
        <v>2</v>
      </c>
      <c r="L27" s="5">
        <v>1</v>
      </c>
      <c r="M27" s="5">
        <v>0</v>
      </c>
      <c r="N27" s="9">
        <v>0</v>
      </c>
      <c r="O27" s="8">
        <v>2</v>
      </c>
      <c r="P27" s="5">
        <v>30</v>
      </c>
      <c r="Q27" s="5">
        <v>1</v>
      </c>
      <c r="R27" s="9">
        <v>0</v>
      </c>
      <c r="S27" s="5">
        <v>0</v>
      </c>
      <c r="T27" s="5">
        <v>0</v>
      </c>
    </row>
    <row r="28" spans="1:20" x14ac:dyDescent="0.2">
      <c r="A28" s="5" t="s">
        <v>736</v>
      </c>
      <c r="B28" s="5" t="s">
        <v>17</v>
      </c>
      <c r="C28" s="10" t="s">
        <v>804</v>
      </c>
      <c r="D28" s="7">
        <f t="shared" si="0"/>
        <v>11.9</v>
      </c>
      <c r="E28" s="5">
        <v>38</v>
      </c>
      <c r="F28" s="5">
        <v>24</v>
      </c>
      <c r="G28" s="5">
        <v>220</v>
      </c>
      <c r="H28" s="5">
        <v>0</v>
      </c>
      <c r="I28" s="5">
        <v>0</v>
      </c>
      <c r="J28" s="9">
        <v>0</v>
      </c>
      <c r="K28" s="8">
        <v>5</v>
      </c>
      <c r="L28" s="5">
        <v>31</v>
      </c>
      <c r="M28" s="5">
        <v>0</v>
      </c>
      <c r="N28" s="9">
        <v>0</v>
      </c>
      <c r="O28" s="8">
        <v>0</v>
      </c>
      <c r="P28" s="5">
        <v>0</v>
      </c>
      <c r="Q28" s="5">
        <v>0</v>
      </c>
      <c r="R28" s="9">
        <v>0</v>
      </c>
      <c r="S28" s="5">
        <v>0</v>
      </c>
      <c r="T28" s="5">
        <v>0</v>
      </c>
    </row>
    <row r="29" spans="1:20" x14ac:dyDescent="0.2">
      <c r="A29" s="5" t="s">
        <v>488</v>
      </c>
      <c r="B29" s="5" t="s">
        <v>17</v>
      </c>
      <c r="C29" s="10" t="s">
        <v>799</v>
      </c>
      <c r="D29" s="7">
        <f t="shared" si="0"/>
        <v>12.059999999999999</v>
      </c>
      <c r="E29" s="5">
        <v>26</v>
      </c>
      <c r="F29" s="5">
        <v>16</v>
      </c>
      <c r="G29" s="5">
        <v>209</v>
      </c>
      <c r="H29" s="5">
        <v>0</v>
      </c>
      <c r="I29" s="5">
        <v>3</v>
      </c>
      <c r="J29" s="9">
        <v>0</v>
      </c>
      <c r="K29" s="8">
        <v>5</v>
      </c>
      <c r="L29" s="5">
        <v>37</v>
      </c>
      <c r="M29" s="5">
        <v>1</v>
      </c>
      <c r="N29" s="9">
        <v>0</v>
      </c>
      <c r="O29" s="8">
        <v>0</v>
      </c>
      <c r="P29" s="5">
        <v>0</v>
      </c>
      <c r="Q29" s="5">
        <v>0</v>
      </c>
      <c r="R29" s="9">
        <v>0</v>
      </c>
      <c r="S29" s="5">
        <v>0</v>
      </c>
      <c r="T29" s="5">
        <v>0</v>
      </c>
    </row>
    <row r="30" spans="1:20" x14ac:dyDescent="0.2">
      <c r="A30" s="5" t="s">
        <v>738</v>
      </c>
      <c r="B30" s="5" t="s">
        <v>17</v>
      </c>
      <c r="C30" s="10" t="s">
        <v>791</v>
      </c>
      <c r="D30" s="7">
        <f t="shared" si="0"/>
        <v>9.1199999999999992</v>
      </c>
      <c r="E30" s="5">
        <v>22</v>
      </c>
      <c r="F30" s="5">
        <v>13</v>
      </c>
      <c r="G30" s="5">
        <v>113</v>
      </c>
      <c r="H30" s="5">
        <v>1</v>
      </c>
      <c r="I30" s="5">
        <v>0</v>
      </c>
      <c r="J30" s="9">
        <v>0</v>
      </c>
      <c r="K30" s="8">
        <v>1</v>
      </c>
      <c r="L30" s="5">
        <v>6</v>
      </c>
      <c r="M30" s="5">
        <v>0</v>
      </c>
      <c r="N30" s="9">
        <v>0</v>
      </c>
      <c r="O30" s="8">
        <v>0</v>
      </c>
      <c r="P30" s="5">
        <v>0</v>
      </c>
      <c r="Q30" s="5">
        <v>0</v>
      </c>
      <c r="R30" s="9">
        <v>0</v>
      </c>
      <c r="S30" s="5">
        <v>0</v>
      </c>
      <c r="T30" s="5">
        <v>0</v>
      </c>
    </row>
    <row r="31" spans="1:20" x14ac:dyDescent="0.2">
      <c r="A31" s="5" t="s">
        <v>759</v>
      </c>
      <c r="B31" s="5" t="s">
        <v>17</v>
      </c>
      <c r="C31" s="10" t="s">
        <v>802</v>
      </c>
      <c r="D31" s="7">
        <f t="shared" si="0"/>
        <v>11.46</v>
      </c>
      <c r="E31" s="5">
        <v>24</v>
      </c>
      <c r="F31" s="5">
        <v>18</v>
      </c>
      <c r="G31" s="5">
        <v>274</v>
      </c>
      <c r="H31" s="5">
        <v>0</v>
      </c>
      <c r="I31" s="5">
        <v>0</v>
      </c>
      <c r="J31" s="9">
        <v>0</v>
      </c>
      <c r="K31" s="8">
        <v>6</v>
      </c>
      <c r="L31" s="5">
        <v>5</v>
      </c>
      <c r="M31" s="5">
        <v>0</v>
      </c>
      <c r="N31" s="9">
        <v>0</v>
      </c>
      <c r="O31" s="8">
        <v>0</v>
      </c>
      <c r="P31" s="5">
        <v>0</v>
      </c>
      <c r="Q31" s="5">
        <v>0</v>
      </c>
      <c r="R31" s="9">
        <v>0</v>
      </c>
      <c r="S31" s="5">
        <v>0</v>
      </c>
      <c r="T31" s="5">
        <v>0</v>
      </c>
    </row>
    <row r="32" spans="1:20" x14ac:dyDescent="0.2">
      <c r="A32" s="5" t="s">
        <v>452</v>
      </c>
      <c r="B32" s="5" t="s">
        <v>17</v>
      </c>
      <c r="C32" s="10" t="s">
        <v>806</v>
      </c>
      <c r="D32" s="7">
        <f t="shared" si="0"/>
        <v>9.52</v>
      </c>
      <c r="E32" s="5">
        <v>24</v>
      </c>
      <c r="F32" s="5">
        <v>17</v>
      </c>
      <c r="G32" s="5">
        <v>178</v>
      </c>
      <c r="H32" s="5">
        <v>0</v>
      </c>
      <c r="I32" s="5">
        <v>0</v>
      </c>
      <c r="J32" s="9">
        <v>0</v>
      </c>
      <c r="K32" s="8">
        <v>3</v>
      </c>
      <c r="L32" s="5">
        <v>24</v>
      </c>
      <c r="M32" s="5">
        <v>0</v>
      </c>
      <c r="N32" s="9">
        <v>0</v>
      </c>
      <c r="O32" s="8">
        <v>0</v>
      </c>
      <c r="P32" s="5">
        <v>0</v>
      </c>
      <c r="Q32" s="5">
        <v>0</v>
      </c>
      <c r="R32" s="9">
        <v>0</v>
      </c>
      <c r="S32" s="5">
        <v>0</v>
      </c>
      <c r="T32" s="5">
        <v>0</v>
      </c>
    </row>
    <row r="33" spans="1:20" x14ac:dyDescent="0.2">
      <c r="A33" s="5" t="s">
        <v>39</v>
      </c>
      <c r="B33" s="5" t="s">
        <v>17</v>
      </c>
      <c r="C33" s="10" t="s">
        <v>798</v>
      </c>
      <c r="D33" s="7">
        <f t="shared" si="0"/>
        <v>6.66</v>
      </c>
      <c r="E33" s="5">
        <v>28</v>
      </c>
      <c r="F33" s="5">
        <v>17</v>
      </c>
      <c r="G33" s="5">
        <v>169</v>
      </c>
      <c r="H33" s="5">
        <v>1</v>
      </c>
      <c r="I33" s="5">
        <v>2</v>
      </c>
      <c r="J33" s="9">
        <v>0</v>
      </c>
      <c r="K33" s="8">
        <v>1</v>
      </c>
      <c r="L33" s="5">
        <v>-1</v>
      </c>
      <c r="M33" s="5">
        <v>0</v>
      </c>
      <c r="N33" s="9">
        <v>0</v>
      </c>
      <c r="O33" s="8">
        <v>0</v>
      </c>
      <c r="P33" s="5">
        <v>0</v>
      </c>
      <c r="Q33" s="5">
        <v>0</v>
      </c>
      <c r="R33" s="9">
        <v>0</v>
      </c>
      <c r="S33" s="5">
        <v>0</v>
      </c>
      <c r="T33" s="5">
        <v>0</v>
      </c>
    </row>
    <row r="34" spans="1:20" x14ac:dyDescent="0.2">
      <c r="A34" s="5" t="s">
        <v>497</v>
      </c>
      <c r="B34" s="5" t="s">
        <v>17</v>
      </c>
      <c r="C34" s="10" t="s">
        <v>790</v>
      </c>
      <c r="D34" s="7">
        <f t="shared" si="0"/>
        <v>4.66</v>
      </c>
      <c r="E34" s="5">
        <v>1</v>
      </c>
      <c r="F34" s="5">
        <v>1</v>
      </c>
      <c r="G34" s="5">
        <v>19</v>
      </c>
      <c r="H34" s="5">
        <v>1</v>
      </c>
      <c r="I34" s="5">
        <v>0</v>
      </c>
      <c r="J34" s="9">
        <v>0</v>
      </c>
      <c r="K34" s="8">
        <v>1</v>
      </c>
      <c r="L34" s="5">
        <v>-1</v>
      </c>
      <c r="M34" s="5">
        <v>0</v>
      </c>
      <c r="N34" s="9">
        <v>0</v>
      </c>
      <c r="O34" s="8">
        <v>0</v>
      </c>
      <c r="P34" s="5">
        <v>0</v>
      </c>
      <c r="Q34" s="5">
        <v>0</v>
      </c>
      <c r="R34" s="9">
        <v>0</v>
      </c>
      <c r="S34" s="5">
        <v>0</v>
      </c>
      <c r="T34" s="5">
        <v>0</v>
      </c>
    </row>
    <row r="35" spans="1:20" x14ac:dyDescent="0.2">
      <c r="A35" s="5" t="s">
        <v>64</v>
      </c>
      <c r="B35" s="5" t="s">
        <v>17</v>
      </c>
      <c r="C35" s="10" t="s">
        <v>805</v>
      </c>
      <c r="D35" s="7">
        <f t="shared" si="0"/>
        <v>6.72</v>
      </c>
      <c r="E35" s="5">
        <v>20</v>
      </c>
      <c r="F35" s="5">
        <v>16</v>
      </c>
      <c r="G35" s="5">
        <v>168</v>
      </c>
      <c r="H35" s="5">
        <v>0</v>
      </c>
      <c r="I35" s="5">
        <v>0</v>
      </c>
      <c r="J35" s="9">
        <v>0</v>
      </c>
      <c r="K35" s="8">
        <v>0</v>
      </c>
      <c r="L35" s="5">
        <v>0</v>
      </c>
      <c r="M35" s="5">
        <v>0</v>
      </c>
      <c r="N35" s="9">
        <v>0</v>
      </c>
      <c r="O35" s="8">
        <v>0</v>
      </c>
      <c r="P35" s="5">
        <v>0</v>
      </c>
      <c r="Q35" s="5">
        <v>0</v>
      </c>
      <c r="R35" s="9">
        <v>0</v>
      </c>
      <c r="S35" s="5">
        <v>0</v>
      </c>
      <c r="T35" s="5">
        <v>0</v>
      </c>
    </row>
    <row r="36" spans="1:20" x14ac:dyDescent="0.2">
      <c r="A36" s="5" t="s">
        <v>57</v>
      </c>
      <c r="B36" s="5" t="s">
        <v>17</v>
      </c>
      <c r="C36" s="10" t="s">
        <v>806</v>
      </c>
      <c r="D36" s="7">
        <f t="shared" si="0"/>
        <v>2.6800000000000006</v>
      </c>
      <c r="E36" s="5">
        <v>32</v>
      </c>
      <c r="F36" s="5">
        <v>19</v>
      </c>
      <c r="G36" s="5">
        <v>112</v>
      </c>
      <c r="H36" s="5">
        <v>0</v>
      </c>
      <c r="I36" s="5">
        <v>1</v>
      </c>
      <c r="J36" s="9">
        <v>0</v>
      </c>
      <c r="K36" s="8">
        <v>1</v>
      </c>
      <c r="L36" s="5">
        <v>2</v>
      </c>
      <c r="M36" s="5">
        <v>0</v>
      </c>
      <c r="N36" s="9">
        <v>0</v>
      </c>
      <c r="O36" s="8">
        <v>0</v>
      </c>
      <c r="P36" s="5">
        <v>0</v>
      </c>
      <c r="Q36" s="5">
        <v>0</v>
      </c>
      <c r="R36" s="9">
        <v>0</v>
      </c>
      <c r="S36" s="5">
        <v>0</v>
      </c>
      <c r="T36" s="5">
        <v>0</v>
      </c>
    </row>
    <row r="37" spans="1:20" x14ac:dyDescent="0.2">
      <c r="A37" s="5" t="s">
        <v>66</v>
      </c>
      <c r="B37" s="5" t="s">
        <v>17</v>
      </c>
      <c r="C37" s="10" t="s">
        <v>791</v>
      </c>
      <c r="D37" s="7">
        <f t="shared" si="0"/>
        <v>1.28</v>
      </c>
      <c r="E37" s="5">
        <v>1</v>
      </c>
      <c r="F37" s="5">
        <v>1</v>
      </c>
      <c r="G37" s="5">
        <v>37</v>
      </c>
      <c r="H37" s="5">
        <v>0</v>
      </c>
      <c r="I37" s="5">
        <v>0</v>
      </c>
      <c r="J37" s="9">
        <v>0</v>
      </c>
      <c r="K37" s="8">
        <v>2</v>
      </c>
      <c r="L37" s="5">
        <v>-2</v>
      </c>
      <c r="M37" s="5">
        <v>0</v>
      </c>
      <c r="N37" s="9">
        <v>0</v>
      </c>
      <c r="O37" s="8">
        <v>0</v>
      </c>
      <c r="P37" s="5">
        <v>0</v>
      </c>
      <c r="Q37" s="5">
        <v>0</v>
      </c>
      <c r="R37" s="9">
        <v>0</v>
      </c>
      <c r="S37" s="5">
        <v>0</v>
      </c>
      <c r="T37" s="5">
        <v>0</v>
      </c>
    </row>
    <row r="38" spans="1:20" x14ac:dyDescent="0.2">
      <c r="A38" s="5" t="s">
        <v>397</v>
      </c>
      <c r="B38" s="5" t="s">
        <v>17</v>
      </c>
      <c r="C38" s="10" t="s">
        <v>799</v>
      </c>
      <c r="D38" s="7">
        <f t="shared" si="0"/>
        <v>-0.2</v>
      </c>
      <c r="E38" s="5">
        <v>0</v>
      </c>
      <c r="F38" s="5">
        <v>0</v>
      </c>
      <c r="G38" s="5">
        <v>0</v>
      </c>
      <c r="H38" s="5">
        <v>0</v>
      </c>
      <c r="I38" s="5">
        <v>0</v>
      </c>
      <c r="J38" s="9">
        <v>0</v>
      </c>
      <c r="K38" s="8">
        <v>2</v>
      </c>
      <c r="L38" s="5">
        <v>-2</v>
      </c>
      <c r="M38" s="5">
        <v>0</v>
      </c>
      <c r="N38" s="9">
        <v>0</v>
      </c>
      <c r="O38" s="8">
        <v>0</v>
      </c>
      <c r="P38" s="5">
        <v>0</v>
      </c>
      <c r="Q38" s="5">
        <v>0</v>
      </c>
      <c r="R38" s="9">
        <v>0</v>
      </c>
      <c r="S38" s="5">
        <v>0</v>
      </c>
      <c r="T38" s="5">
        <v>0</v>
      </c>
    </row>
    <row r="39" spans="1:20" x14ac:dyDescent="0.2">
      <c r="A39" s="5" t="s">
        <v>807</v>
      </c>
      <c r="B39" s="5" t="s">
        <v>17</v>
      </c>
      <c r="C39" s="10" t="s">
        <v>806</v>
      </c>
      <c r="D39" s="7">
        <f t="shared" si="0"/>
        <v>-0.30000000000000004</v>
      </c>
      <c r="E39" s="5">
        <v>0</v>
      </c>
      <c r="F39" s="5">
        <v>0</v>
      </c>
      <c r="G39" s="5">
        <v>0</v>
      </c>
      <c r="H39" s="5">
        <v>0</v>
      </c>
      <c r="I39" s="5">
        <v>0</v>
      </c>
      <c r="J39" s="9">
        <v>0</v>
      </c>
      <c r="K39" s="8">
        <v>3</v>
      </c>
      <c r="L39" s="5">
        <v>-3</v>
      </c>
      <c r="M39" s="5">
        <v>0</v>
      </c>
      <c r="N39" s="9">
        <v>0</v>
      </c>
      <c r="O39" s="8">
        <v>0</v>
      </c>
      <c r="P39" s="5">
        <v>0</v>
      </c>
      <c r="Q39" s="5">
        <v>0</v>
      </c>
      <c r="R39" s="9">
        <v>0</v>
      </c>
      <c r="S39" s="5">
        <v>0</v>
      </c>
      <c r="T39" s="5">
        <v>0</v>
      </c>
    </row>
    <row r="40" spans="1:20" x14ac:dyDescent="0.2">
      <c r="A40" s="5" t="s">
        <v>67</v>
      </c>
      <c r="B40" s="5" t="s">
        <v>17</v>
      </c>
      <c r="C40" s="10" t="s">
        <v>798</v>
      </c>
      <c r="D40" s="7">
        <f t="shared" si="0"/>
        <v>-0.2</v>
      </c>
      <c r="E40" s="5">
        <v>0</v>
      </c>
      <c r="F40" s="5">
        <v>0</v>
      </c>
      <c r="G40" s="5">
        <v>0</v>
      </c>
      <c r="H40" s="5">
        <v>0</v>
      </c>
      <c r="I40" s="5">
        <v>0</v>
      </c>
      <c r="J40" s="9">
        <v>0</v>
      </c>
      <c r="K40" s="8">
        <v>2</v>
      </c>
      <c r="L40" s="5">
        <v>-2</v>
      </c>
      <c r="M40" s="5">
        <v>0</v>
      </c>
      <c r="N40" s="9">
        <v>0</v>
      </c>
      <c r="O40" s="8">
        <v>0</v>
      </c>
      <c r="P40" s="5">
        <v>0</v>
      </c>
      <c r="Q40" s="5">
        <v>0</v>
      </c>
      <c r="R40" s="9">
        <v>0</v>
      </c>
      <c r="S40" s="5">
        <v>0</v>
      </c>
      <c r="T40" s="5">
        <v>0</v>
      </c>
    </row>
    <row r="41" spans="1:20" x14ac:dyDescent="0.2">
      <c r="A41" s="5" t="s">
        <v>612</v>
      </c>
      <c r="B41" s="5" t="s">
        <v>17</v>
      </c>
      <c r="C41" s="10" t="s">
        <v>791</v>
      </c>
      <c r="D41" s="7">
        <f t="shared" si="0"/>
        <v>-0.91999999999999993</v>
      </c>
      <c r="E41" s="5">
        <v>10</v>
      </c>
      <c r="F41" s="5">
        <v>5</v>
      </c>
      <c r="G41" s="5">
        <v>67</v>
      </c>
      <c r="H41" s="5">
        <v>0</v>
      </c>
      <c r="I41" s="5">
        <v>1</v>
      </c>
      <c r="J41" s="9">
        <v>0</v>
      </c>
      <c r="K41" s="8">
        <v>2</v>
      </c>
      <c r="L41" s="5">
        <v>4</v>
      </c>
      <c r="M41" s="5">
        <v>0</v>
      </c>
      <c r="N41" s="9">
        <v>0</v>
      </c>
      <c r="O41" s="8">
        <v>0</v>
      </c>
      <c r="P41" s="5">
        <v>0</v>
      </c>
      <c r="Q41" s="5">
        <v>0</v>
      </c>
      <c r="R41" s="9">
        <v>0</v>
      </c>
      <c r="S41" s="5">
        <v>1</v>
      </c>
      <c r="T41" s="5">
        <v>0</v>
      </c>
    </row>
    <row r="42" spans="1:20" x14ac:dyDescent="0.2">
      <c r="A42" s="5" t="s">
        <v>594</v>
      </c>
      <c r="B42" s="5" t="s">
        <v>17</v>
      </c>
      <c r="C42" s="10" t="s">
        <v>805</v>
      </c>
      <c r="D42" s="7">
        <f t="shared" si="0"/>
        <v>-1.3599999999999999</v>
      </c>
      <c r="E42" s="5">
        <v>6</v>
      </c>
      <c r="F42" s="5">
        <v>2</v>
      </c>
      <c r="G42" s="5">
        <v>16</v>
      </c>
      <c r="H42" s="5">
        <v>0</v>
      </c>
      <c r="I42" s="5">
        <v>0</v>
      </c>
      <c r="J42" s="9">
        <v>0</v>
      </c>
      <c r="K42" s="8">
        <v>0</v>
      </c>
      <c r="L42" s="5">
        <v>0</v>
      </c>
      <c r="M42" s="5">
        <v>0</v>
      </c>
      <c r="N42" s="9">
        <v>0</v>
      </c>
      <c r="O42" s="8">
        <v>0</v>
      </c>
      <c r="P42" s="5">
        <v>0</v>
      </c>
      <c r="Q42" s="5">
        <v>0</v>
      </c>
      <c r="R42" s="9">
        <v>0</v>
      </c>
      <c r="S42" s="5">
        <v>1</v>
      </c>
      <c r="T42" s="5">
        <v>0</v>
      </c>
    </row>
    <row r="43" spans="1:20" x14ac:dyDescent="0.2">
      <c r="A43" s="5" t="s">
        <v>425</v>
      </c>
      <c r="B43" s="5" t="s">
        <v>17</v>
      </c>
      <c r="C43" s="10" t="s">
        <v>790</v>
      </c>
      <c r="D43" s="7">
        <f t="shared" si="0"/>
        <v>-2</v>
      </c>
      <c r="E43" s="5">
        <v>0</v>
      </c>
      <c r="F43" s="5">
        <v>0</v>
      </c>
      <c r="G43" s="5">
        <v>0</v>
      </c>
      <c r="H43" s="5">
        <v>0</v>
      </c>
      <c r="I43" s="5">
        <v>0</v>
      </c>
      <c r="J43" s="9">
        <v>0</v>
      </c>
      <c r="K43" s="8">
        <v>1</v>
      </c>
      <c r="L43" s="5">
        <v>0</v>
      </c>
      <c r="M43" s="5">
        <v>0</v>
      </c>
      <c r="N43" s="9">
        <v>0</v>
      </c>
      <c r="O43" s="8">
        <v>0</v>
      </c>
      <c r="P43" s="5">
        <v>0</v>
      </c>
      <c r="Q43" s="5">
        <v>0</v>
      </c>
      <c r="R43" s="9">
        <v>0</v>
      </c>
      <c r="S43" s="5">
        <v>1</v>
      </c>
      <c r="T43" s="5">
        <v>0</v>
      </c>
    </row>
    <row r="44" spans="1:20" x14ac:dyDescent="0.2">
      <c r="A44" s="5" t="s">
        <v>51</v>
      </c>
      <c r="B44" s="5" t="s">
        <v>17</v>
      </c>
      <c r="C44" s="10" t="s">
        <v>794</v>
      </c>
      <c r="D44" s="7">
        <f t="shared" si="0"/>
        <v>-1.3199999999999998</v>
      </c>
      <c r="E44" s="5">
        <v>4</v>
      </c>
      <c r="F44" s="5">
        <v>3</v>
      </c>
      <c r="G44" s="5">
        <v>17</v>
      </c>
      <c r="H44" s="5">
        <v>0</v>
      </c>
      <c r="I44" s="5">
        <v>1</v>
      </c>
      <c r="J44" s="9">
        <v>0</v>
      </c>
      <c r="K44" s="8">
        <v>0</v>
      </c>
      <c r="L44" s="5">
        <v>0</v>
      </c>
      <c r="M44" s="5">
        <v>0</v>
      </c>
      <c r="N44" s="9">
        <v>0</v>
      </c>
      <c r="O44" s="8">
        <v>0</v>
      </c>
      <c r="P44" s="5">
        <v>0</v>
      </c>
      <c r="Q44" s="5">
        <v>0</v>
      </c>
      <c r="R44" s="9">
        <v>0</v>
      </c>
      <c r="S44" s="5">
        <v>0</v>
      </c>
      <c r="T44" s="5">
        <v>0</v>
      </c>
    </row>
    <row r="45" spans="1:20" x14ac:dyDescent="0.2">
      <c r="A45" s="5" t="s">
        <v>104</v>
      </c>
      <c r="B45" s="5" t="s">
        <v>75</v>
      </c>
      <c r="C45" s="10" t="s">
        <v>797</v>
      </c>
      <c r="D45" s="7">
        <f t="shared" si="0"/>
        <v>29.5</v>
      </c>
      <c r="E45" s="5">
        <v>0</v>
      </c>
      <c r="F45" s="5">
        <v>0</v>
      </c>
      <c r="G45" s="5">
        <v>0</v>
      </c>
      <c r="H45" s="5">
        <v>0</v>
      </c>
      <c r="I45" s="5">
        <v>0</v>
      </c>
      <c r="J45" s="9">
        <v>0</v>
      </c>
      <c r="K45" s="8">
        <v>18</v>
      </c>
      <c r="L45" s="5">
        <v>130</v>
      </c>
      <c r="M45" s="5">
        <v>0</v>
      </c>
      <c r="N45" s="9">
        <v>0</v>
      </c>
      <c r="O45" s="8">
        <v>7</v>
      </c>
      <c r="P45" s="5">
        <v>35</v>
      </c>
      <c r="Q45" s="5">
        <v>1</v>
      </c>
      <c r="R45" s="9">
        <v>0</v>
      </c>
      <c r="S45" s="5">
        <v>0</v>
      </c>
      <c r="T45" s="5">
        <v>0</v>
      </c>
    </row>
    <row r="46" spans="1:20" x14ac:dyDescent="0.2">
      <c r="A46" s="5" t="s">
        <v>83</v>
      </c>
      <c r="B46" s="5" t="s">
        <v>75</v>
      </c>
      <c r="C46" s="10" t="s">
        <v>801</v>
      </c>
      <c r="D46" s="7">
        <f t="shared" si="0"/>
        <v>30.1</v>
      </c>
      <c r="E46" s="5">
        <v>0</v>
      </c>
      <c r="F46" s="5">
        <v>0</v>
      </c>
      <c r="G46" s="5">
        <v>0</v>
      </c>
      <c r="H46" s="5">
        <v>0</v>
      </c>
      <c r="I46" s="5">
        <v>0</v>
      </c>
      <c r="J46" s="9">
        <v>0</v>
      </c>
      <c r="K46" s="8">
        <v>20</v>
      </c>
      <c r="L46" s="5">
        <v>87</v>
      </c>
      <c r="M46" s="5">
        <v>3</v>
      </c>
      <c r="N46" s="9">
        <v>0</v>
      </c>
      <c r="O46" s="8">
        <v>2</v>
      </c>
      <c r="P46" s="5">
        <v>14</v>
      </c>
      <c r="Q46" s="5">
        <v>0</v>
      </c>
      <c r="R46" s="9">
        <v>0</v>
      </c>
      <c r="S46" s="5">
        <v>0</v>
      </c>
      <c r="T46" s="5">
        <v>0</v>
      </c>
    </row>
    <row r="47" spans="1:20" x14ac:dyDescent="0.2">
      <c r="A47" s="5" t="s">
        <v>85</v>
      </c>
      <c r="B47" s="5" t="s">
        <v>75</v>
      </c>
      <c r="C47" s="10" t="s">
        <v>793</v>
      </c>
      <c r="D47" s="7">
        <f t="shared" si="0"/>
        <v>27.599999999999998</v>
      </c>
      <c r="E47" s="5">
        <v>0</v>
      </c>
      <c r="F47" s="5">
        <v>0</v>
      </c>
      <c r="G47" s="5">
        <v>0</v>
      </c>
      <c r="H47" s="5">
        <v>0</v>
      </c>
      <c r="I47" s="5">
        <v>0</v>
      </c>
      <c r="J47" s="9">
        <v>0</v>
      </c>
      <c r="K47" s="8">
        <v>13</v>
      </c>
      <c r="L47" s="5">
        <v>84</v>
      </c>
      <c r="M47" s="5">
        <v>0</v>
      </c>
      <c r="N47" s="9">
        <v>0</v>
      </c>
      <c r="O47" s="8">
        <v>9</v>
      </c>
      <c r="P47" s="5">
        <v>42</v>
      </c>
      <c r="Q47" s="5">
        <v>1</v>
      </c>
      <c r="R47" s="9">
        <v>0</v>
      </c>
      <c r="S47" s="5">
        <v>0</v>
      </c>
      <c r="T47" s="5">
        <v>0</v>
      </c>
    </row>
    <row r="48" spans="1:20" x14ac:dyDescent="0.2">
      <c r="A48" s="5" t="s">
        <v>95</v>
      </c>
      <c r="B48" s="5" t="s">
        <v>75</v>
      </c>
      <c r="C48" s="10" t="s">
        <v>792</v>
      </c>
      <c r="D48" s="7">
        <f t="shared" si="0"/>
        <v>26.3</v>
      </c>
      <c r="E48" s="5">
        <v>0</v>
      </c>
      <c r="F48" s="5">
        <v>0</v>
      </c>
      <c r="G48" s="5">
        <v>0</v>
      </c>
      <c r="H48" s="5">
        <v>0</v>
      </c>
      <c r="I48" s="5">
        <v>0</v>
      </c>
      <c r="J48" s="9">
        <v>0</v>
      </c>
      <c r="K48" s="8">
        <v>26</v>
      </c>
      <c r="L48" s="5">
        <v>128</v>
      </c>
      <c r="M48" s="5">
        <v>1</v>
      </c>
      <c r="N48" s="9">
        <v>0</v>
      </c>
      <c r="O48" s="8">
        <v>1</v>
      </c>
      <c r="P48" s="5">
        <v>5</v>
      </c>
      <c r="Q48" s="5">
        <v>1</v>
      </c>
      <c r="R48" s="9">
        <v>0</v>
      </c>
      <c r="S48" s="5">
        <v>0</v>
      </c>
      <c r="T48" s="5">
        <v>0</v>
      </c>
    </row>
    <row r="49" spans="1:20" x14ac:dyDescent="0.2">
      <c r="A49" s="5" t="s">
        <v>80</v>
      </c>
      <c r="B49" s="5" t="s">
        <v>75</v>
      </c>
      <c r="C49" s="10" t="s">
        <v>806</v>
      </c>
      <c r="D49" s="7">
        <f t="shared" si="0"/>
        <v>25.800000000000004</v>
      </c>
      <c r="E49" s="5">
        <v>0</v>
      </c>
      <c r="F49" s="5">
        <v>0</v>
      </c>
      <c r="G49" s="5">
        <v>0</v>
      </c>
      <c r="H49" s="5">
        <v>0</v>
      </c>
      <c r="I49" s="5">
        <v>0</v>
      </c>
      <c r="J49" s="9">
        <v>0</v>
      </c>
      <c r="K49" s="8">
        <v>16</v>
      </c>
      <c r="L49" s="5">
        <v>102</v>
      </c>
      <c r="M49" s="5">
        <v>2</v>
      </c>
      <c r="N49" s="9">
        <v>0</v>
      </c>
      <c r="O49" s="8">
        <v>2</v>
      </c>
      <c r="P49" s="5">
        <v>16</v>
      </c>
      <c r="Q49" s="5">
        <v>0</v>
      </c>
      <c r="R49" s="9">
        <v>0</v>
      </c>
      <c r="S49" s="5">
        <v>0</v>
      </c>
      <c r="T49" s="5">
        <v>0</v>
      </c>
    </row>
    <row r="50" spans="1:20" x14ac:dyDescent="0.2">
      <c r="A50" s="5" t="s">
        <v>136</v>
      </c>
      <c r="B50" s="5" t="s">
        <v>75</v>
      </c>
      <c r="C50" s="10" t="s">
        <v>793</v>
      </c>
      <c r="D50" s="7">
        <f t="shared" si="0"/>
        <v>26.1</v>
      </c>
      <c r="E50" s="5">
        <v>0</v>
      </c>
      <c r="F50" s="5">
        <v>0</v>
      </c>
      <c r="G50" s="5">
        <v>0</v>
      </c>
      <c r="H50" s="5">
        <v>0</v>
      </c>
      <c r="I50" s="5">
        <v>0</v>
      </c>
      <c r="J50" s="9">
        <v>0</v>
      </c>
      <c r="K50" s="8">
        <v>12</v>
      </c>
      <c r="L50" s="5">
        <v>64</v>
      </c>
      <c r="M50" s="5">
        <v>0</v>
      </c>
      <c r="N50" s="9">
        <v>0</v>
      </c>
      <c r="O50" s="8">
        <v>2</v>
      </c>
      <c r="P50" s="5">
        <v>57</v>
      </c>
      <c r="Q50" s="5">
        <v>2</v>
      </c>
      <c r="R50" s="9">
        <v>0</v>
      </c>
      <c r="S50" s="5">
        <v>0</v>
      </c>
      <c r="T50" s="5">
        <v>0</v>
      </c>
    </row>
    <row r="51" spans="1:20" x14ac:dyDescent="0.2">
      <c r="A51" s="5" t="s">
        <v>117</v>
      </c>
      <c r="B51" s="5" t="s">
        <v>75</v>
      </c>
      <c r="C51" s="10" t="s">
        <v>802</v>
      </c>
      <c r="D51" s="7">
        <f t="shared" si="0"/>
        <v>24.200000000000003</v>
      </c>
      <c r="E51" s="5">
        <v>0</v>
      </c>
      <c r="F51" s="5">
        <v>0</v>
      </c>
      <c r="G51" s="5">
        <v>0</v>
      </c>
      <c r="H51" s="5">
        <v>0</v>
      </c>
      <c r="I51" s="5">
        <v>0</v>
      </c>
      <c r="J51" s="9">
        <v>0</v>
      </c>
      <c r="K51" s="8">
        <v>27</v>
      </c>
      <c r="L51" s="5">
        <v>122</v>
      </c>
      <c r="M51" s="5">
        <v>2</v>
      </c>
      <c r="N51" s="9">
        <v>0</v>
      </c>
      <c r="O51" s="8">
        <v>0</v>
      </c>
      <c r="P51" s="5">
        <v>0</v>
      </c>
      <c r="Q51" s="5">
        <v>0</v>
      </c>
      <c r="R51" s="9">
        <v>0</v>
      </c>
      <c r="S51" s="5">
        <v>0</v>
      </c>
      <c r="T51" s="5">
        <v>0</v>
      </c>
    </row>
    <row r="52" spans="1:20" x14ac:dyDescent="0.2">
      <c r="A52" s="5" t="s">
        <v>375</v>
      </c>
      <c r="B52" s="5" t="s">
        <v>75</v>
      </c>
      <c r="C52" s="10" t="s">
        <v>790</v>
      </c>
      <c r="D52" s="7">
        <f t="shared" si="0"/>
        <v>23.700000000000003</v>
      </c>
      <c r="E52" s="5">
        <v>0</v>
      </c>
      <c r="F52" s="5">
        <v>0</v>
      </c>
      <c r="G52" s="5">
        <v>0</v>
      </c>
      <c r="H52" s="5">
        <v>0</v>
      </c>
      <c r="I52" s="5">
        <v>0</v>
      </c>
      <c r="J52" s="9">
        <v>0</v>
      </c>
      <c r="K52" s="8">
        <v>14</v>
      </c>
      <c r="L52" s="5">
        <v>107</v>
      </c>
      <c r="M52" s="5">
        <v>0</v>
      </c>
      <c r="N52" s="9">
        <v>0</v>
      </c>
      <c r="O52" s="8">
        <v>4</v>
      </c>
      <c r="P52" s="5">
        <v>30</v>
      </c>
      <c r="Q52" s="5">
        <v>1</v>
      </c>
      <c r="R52" s="9">
        <v>0</v>
      </c>
      <c r="S52" s="5">
        <v>0</v>
      </c>
      <c r="T52" s="5">
        <v>0</v>
      </c>
    </row>
    <row r="53" spans="1:20" x14ac:dyDescent="0.2">
      <c r="A53" s="5" t="s">
        <v>91</v>
      </c>
      <c r="B53" s="5" t="s">
        <v>75</v>
      </c>
      <c r="C53" s="10" t="s">
        <v>790</v>
      </c>
      <c r="D53" s="7">
        <f t="shared" si="0"/>
        <v>22.200000000000003</v>
      </c>
      <c r="E53" s="5">
        <v>0</v>
      </c>
      <c r="F53" s="5">
        <v>0</v>
      </c>
      <c r="G53" s="5">
        <v>0</v>
      </c>
      <c r="H53" s="5">
        <v>0</v>
      </c>
      <c r="I53" s="5">
        <v>0</v>
      </c>
      <c r="J53" s="9">
        <v>0</v>
      </c>
      <c r="K53" s="8">
        <v>3</v>
      </c>
      <c r="L53" s="5">
        <v>48</v>
      </c>
      <c r="M53" s="5">
        <v>0</v>
      </c>
      <c r="N53" s="9">
        <v>0</v>
      </c>
      <c r="O53" s="8">
        <v>5</v>
      </c>
      <c r="P53" s="5">
        <v>64</v>
      </c>
      <c r="Q53" s="5">
        <v>1</v>
      </c>
      <c r="R53" s="9">
        <v>0</v>
      </c>
      <c r="S53" s="5">
        <v>0</v>
      </c>
      <c r="T53" s="5">
        <v>0</v>
      </c>
    </row>
    <row r="54" spans="1:20" x14ac:dyDescent="0.2">
      <c r="A54" s="5" t="s">
        <v>99</v>
      </c>
      <c r="B54" s="5" t="s">
        <v>75</v>
      </c>
      <c r="C54" s="10" t="s">
        <v>794</v>
      </c>
      <c r="D54" s="7">
        <f t="shared" si="0"/>
        <v>20.9</v>
      </c>
      <c r="E54" s="5">
        <v>0</v>
      </c>
      <c r="F54" s="5">
        <v>0</v>
      </c>
      <c r="G54" s="5">
        <v>0</v>
      </c>
      <c r="H54" s="5">
        <v>0</v>
      </c>
      <c r="I54" s="5">
        <v>0</v>
      </c>
      <c r="J54" s="9">
        <v>0</v>
      </c>
      <c r="K54" s="8">
        <v>18</v>
      </c>
      <c r="L54" s="5">
        <v>124</v>
      </c>
      <c r="M54" s="5">
        <v>1</v>
      </c>
      <c r="N54" s="9">
        <v>0</v>
      </c>
      <c r="O54" s="8">
        <v>2</v>
      </c>
      <c r="P54" s="5">
        <v>5</v>
      </c>
      <c r="Q54" s="5">
        <v>0</v>
      </c>
      <c r="R54" s="9">
        <v>0</v>
      </c>
      <c r="S54" s="5">
        <v>0</v>
      </c>
      <c r="T54" s="5">
        <v>0</v>
      </c>
    </row>
    <row r="55" spans="1:20" x14ac:dyDescent="0.2">
      <c r="A55" s="5" t="s">
        <v>113</v>
      </c>
      <c r="B55" s="5" t="s">
        <v>75</v>
      </c>
      <c r="C55" s="10" t="s">
        <v>802</v>
      </c>
      <c r="D55" s="7">
        <f t="shared" si="0"/>
        <v>19.8</v>
      </c>
      <c r="E55" s="5">
        <v>0</v>
      </c>
      <c r="F55" s="5">
        <v>0</v>
      </c>
      <c r="G55" s="5">
        <v>0</v>
      </c>
      <c r="H55" s="5">
        <v>0</v>
      </c>
      <c r="I55" s="5">
        <v>0</v>
      </c>
      <c r="J55" s="9">
        <v>0</v>
      </c>
      <c r="K55" s="8">
        <v>13</v>
      </c>
      <c r="L55" s="5">
        <v>75</v>
      </c>
      <c r="M55" s="5">
        <v>1</v>
      </c>
      <c r="N55" s="9">
        <v>0</v>
      </c>
      <c r="O55" s="8">
        <v>4</v>
      </c>
      <c r="P55" s="5">
        <v>23</v>
      </c>
      <c r="Q55" s="5">
        <v>0</v>
      </c>
      <c r="R55" s="9">
        <v>0</v>
      </c>
      <c r="S55" s="5">
        <v>0</v>
      </c>
      <c r="T55" s="5">
        <v>0</v>
      </c>
    </row>
    <row r="56" spans="1:20" x14ac:dyDescent="0.2">
      <c r="A56" s="5" t="s">
        <v>103</v>
      </c>
      <c r="B56" s="5" t="s">
        <v>75</v>
      </c>
      <c r="C56" s="10" t="s">
        <v>797</v>
      </c>
      <c r="D56" s="7">
        <f t="shared" si="0"/>
        <v>18.7</v>
      </c>
      <c r="E56" s="5">
        <v>0</v>
      </c>
      <c r="F56" s="5">
        <v>0</v>
      </c>
      <c r="G56" s="5">
        <v>0</v>
      </c>
      <c r="H56" s="5">
        <v>0</v>
      </c>
      <c r="I56" s="5">
        <v>0</v>
      </c>
      <c r="J56" s="9">
        <v>0</v>
      </c>
      <c r="K56" s="8">
        <v>21</v>
      </c>
      <c r="L56" s="5">
        <v>65</v>
      </c>
      <c r="M56" s="5">
        <v>0</v>
      </c>
      <c r="N56" s="9">
        <v>0</v>
      </c>
      <c r="O56" s="8">
        <v>4</v>
      </c>
      <c r="P56" s="5">
        <v>22</v>
      </c>
      <c r="Q56" s="5">
        <v>1</v>
      </c>
      <c r="R56" s="9">
        <v>0</v>
      </c>
      <c r="S56" s="5">
        <v>0</v>
      </c>
      <c r="T56" s="5">
        <v>0</v>
      </c>
    </row>
    <row r="57" spans="1:20" x14ac:dyDescent="0.2">
      <c r="A57" s="5" t="s">
        <v>515</v>
      </c>
      <c r="B57" s="5" t="s">
        <v>75</v>
      </c>
      <c r="C57" s="10" t="s">
        <v>795</v>
      </c>
      <c r="D57" s="7">
        <f t="shared" si="0"/>
        <v>17.400000000000002</v>
      </c>
      <c r="E57" s="5">
        <v>0</v>
      </c>
      <c r="F57" s="5">
        <v>0</v>
      </c>
      <c r="G57" s="5">
        <v>0</v>
      </c>
      <c r="H57" s="5">
        <v>0</v>
      </c>
      <c r="I57" s="5">
        <v>0</v>
      </c>
      <c r="J57" s="9">
        <v>0</v>
      </c>
      <c r="K57" s="8">
        <v>21</v>
      </c>
      <c r="L57" s="5">
        <v>96</v>
      </c>
      <c r="M57" s="5">
        <v>1</v>
      </c>
      <c r="N57" s="9">
        <v>0</v>
      </c>
      <c r="O57" s="8">
        <v>1</v>
      </c>
      <c r="P57" s="5">
        <v>8</v>
      </c>
      <c r="Q57" s="5">
        <v>0</v>
      </c>
      <c r="R57" s="9">
        <v>0</v>
      </c>
      <c r="S57" s="5">
        <v>0</v>
      </c>
      <c r="T57" s="5">
        <v>0</v>
      </c>
    </row>
    <row r="58" spans="1:20" x14ac:dyDescent="0.2">
      <c r="A58" s="5" t="s">
        <v>100</v>
      </c>
      <c r="B58" s="5" t="s">
        <v>75</v>
      </c>
      <c r="C58" s="10" t="s">
        <v>802</v>
      </c>
      <c r="D58" s="7">
        <f t="shared" si="0"/>
        <v>16.5</v>
      </c>
      <c r="E58" s="5">
        <v>0</v>
      </c>
      <c r="F58" s="5">
        <v>0</v>
      </c>
      <c r="G58" s="5">
        <v>0</v>
      </c>
      <c r="H58" s="5">
        <v>0</v>
      </c>
      <c r="I58" s="5">
        <v>0</v>
      </c>
      <c r="J58" s="9">
        <v>0</v>
      </c>
      <c r="K58" s="8">
        <v>10</v>
      </c>
      <c r="L58" s="5">
        <v>53</v>
      </c>
      <c r="M58" s="5">
        <v>1</v>
      </c>
      <c r="N58" s="9">
        <v>0</v>
      </c>
      <c r="O58" s="8">
        <v>3</v>
      </c>
      <c r="P58" s="5">
        <v>22</v>
      </c>
      <c r="Q58" s="5">
        <v>0</v>
      </c>
      <c r="R58" s="9">
        <v>0</v>
      </c>
      <c r="S58" s="5">
        <v>0</v>
      </c>
      <c r="T58" s="5">
        <v>0</v>
      </c>
    </row>
    <row r="59" spans="1:20" x14ac:dyDescent="0.2">
      <c r="A59" s="5" t="s">
        <v>78</v>
      </c>
      <c r="B59" s="5" t="s">
        <v>75</v>
      </c>
      <c r="C59" s="10" t="s">
        <v>794</v>
      </c>
      <c r="D59" s="7">
        <f t="shared" si="0"/>
        <v>15.8</v>
      </c>
      <c r="E59" s="5">
        <v>0</v>
      </c>
      <c r="F59" s="5">
        <v>0</v>
      </c>
      <c r="G59" s="5">
        <v>0</v>
      </c>
      <c r="H59" s="5">
        <v>0</v>
      </c>
      <c r="I59" s="5">
        <v>0</v>
      </c>
      <c r="J59" s="9">
        <v>0</v>
      </c>
      <c r="K59" s="8">
        <v>5</v>
      </c>
      <c r="L59" s="5">
        <v>13</v>
      </c>
      <c r="M59" s="5">
        <v>0</v>
      </c>
      <c r="N59" s="9">
        <v>0</v>
      </c>
      <c r="O59" s="8">
        <v>1</v>
      </c>
      <c r="P59" s="5">
        <v>75</v>
      </c>
      <c r="Q59" s="5">
        <v>1</v>
      </c>
      <c r="R59" s="9">
        <v>0</v>
      </c>
      <c r="S59" s="5">
        <v>0</v>
      </c>
      <c r="T59" s="5">
        <v>0</v>
      </c>
    </row>
    <row r="60" spans="1:20" x14ac:dyDescent="0.2">
      <c r="A60" s="5" t="s">
        <v>153</v>
      </c>
      <c r="B60" s="5" t="s">
        <v>75</v>
      </c>
      <c r="C60" s="10" t="s">
        <v>795</v>
      </c>
      <c r="D60" s="7">
        <f t="shared" si="0"/>
        <v>15.600000000000001</v>
      </c>
      <c r="E60" s="5">
        <v>0</v>
      </c>
      <c r="F60" s="5">
        <v>0</v>
      </c>
      <c r="G60" s="5">
        <v>0</v>
      </c>
      <c r="H60" s="5">
        <v>0</v>
      </c>
      <c r="I60" s="5">
        <v>0</v>
      </c>
      <c r="J60" s="9">
        <v>0</v>
      </c>
      <c r="K60" s="8">
        <v>20</v>
      </c>
      <c r="L60" s="5">
        <v>71</v>
      </c>
      <c r="M60" s="5">
        <v>0</v>
      </c>
      <c r="N60" s="9">
        <v>0</v>
      </c>
      <c r="O60" s="8">
        <v>5</v>
      </c>
      <c r="P60" s="5">
        <v>35</v>
      </c>
      <c r="Q60" s="5">
        <v>0</v>
      </c>
      <c r="R60" s="9">
        <v>0</v>
      </c>
      <c r="S60" s="5">
        <v>0</v>
      </c>
      <c r="T60" s="5">
        <v>0</v>
      </c>
    </row>
    <row r="61" spans="1:20" x14ac:dyDescent="0.2">
      <c r="A61" s="5" t="s">
        <v>82</v>
      </c>
      <c r="B61" s="5" t="s">
        <v>75</v>
      </c>
      <c r="C61" s="10" t="s">
        <v>794</v>
      </c>
      <c r="D61" s="7">
        <f t="shared" si="0"/>
        <v>14.9</v>
      </c>
      <c r="E61" s="5">
        <v>0</v>
      </c>
      <c r="F61" s="5">
        <v>0</v>
      </c>
      <c r="G61" s="5">
        <v>0</v>
      </c>
      <c r="H61" s="5">
        <v>0</v>
      </c>
      <c r="I61" s="5">
        <v>0</v>
      </c>
      <c r="J61" s="9">
        <v>0</v>
      </c>
      <c r="K61" s="8">
        <v>7</v>
      </c>
      <c r="L61" s="5">
        <v>21</v>
      </c>
      <c r="M61" s="5">
        <v>1</v>
      </c>
      <c r="N61" s="9">
        <v>0</v>
      </c>
      <c r="O61" s="8">
        <v>3</v>
      </c>
      <c r="P61" s="5">
        <v>38</v>
      </c>
      <c r="Q61" s="5">
        <v>0</v>
      </c>
      <c r="R61" s="9">
        <v>0</v>
      </c>
      <c r="S61" s="5">
        <v>0</v>
      </c>
      <c r="T61" s="5">
        <v>0</v>
      </c>
    </row>
    <row r="62" spans="1:20" x14ac:dyDescent="0.2">
      <c r="A62" s="5" t="s">
        <v>74</v>
      </c>
      <c r="B62" s="5" t="s">
        <v>75</v>
      </c>
      <c r="C62" s="10" t="s">
        <v>791</v>
      </c>
      <c r="D62" s="7">
        <f t="shared" si="0"/>
        <v>14</v>
      </c>
      <c r="E62" s="5">
        <v>0</v>
      </c>
      <c r="F62" s="5">
        <v>0</v>
      </c>
      <c r="G62" s="5">
        <v>0</v>
      </c>
      <c r="H62" s="5">
        <v>0</v>
      </c>
      <c r="I62" s="5">
        <v>0</v>
      </c>
      <c r="J62" s="9">
        <v>0</v>
      </c>
      <c r="K62" s="8">
        <v>20</v>
      </c>
      <c r="L62" s="5">
        <v>120</v>
      </c>
      <c r="M62" s="5">
        <v>0</v>
      </c>
      <c r="N62" s="9">
        <v>0</v>
      </c>
      <c r="O62" s="8">
        <v>1</v>
      </c>
      <c r="P62" s="5">
        <v>10</v>
      </c>
      <c r="Q62" s="5">
        <v>0</v>
      </c>
      <c r="R62" s="9">
        <v>0</v>
      </c>
      <c r="S62" s="5">
        <v>0</v>
      </c>
      <c r="T62" s="5">
        <v>0</v>
      </c>
    </row>
    <row r="63" spans="1:20" x14ac:dyDescent="0.2">
      <c r="A63" s="5" t="s">
        <v>148</v>
      </c>
      <c r="B63" s="5" t="s">
        <v>75</v>
      </c>
      <c r="C63" s="10" t="s">
        <v>798</v>
      </c>
      <c r="D63" s="7">
        <f t="shared" si="0"/>
        <v>14</v>
      </c>
      <c r="E63" s="5">
        <v>0</v>
      </c>
      <c r="F63" s="5">
        <v>0</v>
      </c>
      <c r="G63" s="5">
        <v>0</v>
      </c>
      <c r="H63" s="5">
        <v>0</v>
      </c>
      <c r="I63" s="5">
        <v>0</v>
      </c>
      <c r="J63" s="9">
        <v>0</v>
      </c>
      <c r="K63" s="8">
        <v>17</v>
      </c>
      <c r="L63" s="5">
        <v>80</v>
      </c>
      <c r="M63" s="5">
        <v>1</v>
      </c>
      <c r="N63" s="9">
        <v>0</v>
      </c>
      <c r="O63" s="8">
        <v>0</v>
      </c>
      <c r="P63" s="5">
        <v>0</v>
      </c>
      <c r="Q63" s="5">
        <v>0</v>
      </c>
      <c r="R63" s="9">
        <v>0</v>
      </c>
      <c r="S63" s="5">
        <v>0</v>
      </c>
      <c r="T63" s="5">
        <v>0</v>
      </c>
    </row>
    <row r="64" spans="1:20" x14ac:dyDescent="0.2">
      <c r="A64" s="5" t="s">
        <v>123</v>
      </c>
      <c r="B64" s="5" t="s">
        <v>75</v>
      </c>
      <c r="C64" s="10" t="s">
        <v>792</v>
      </c>
      <c r="D64" s="7">
        <f t="shared" si="0"/>
        <v>13.700000000000001</v>
      </c>
      <c r="E64" s="5">
        <v>0</v>
      </c>
      <c r="F64" s="5">
        <v>0</v>
      </c>
      <c r="G64" s="5">
        <v>0</v>
      </c>
      <c r="H64" s="5">
        <v>0</v>
      </c>
      <c r="I64" s="5">
        <v>0</v>
      </c>
      <c r="J64" s="9">
        <v>0</v>
      </c>
      <c r="K64" s="8">
        <v>7</v>
      </c>
      <c r="L64" s="5">
        <v>61</v>
      </c>
      <c r="M64" s="5">
        <v>0</v>
      </c>
      <c r="N64" s="9">
        <v>0</v>
      </c>
      <c r="O64" s="8">
        <v>1</v>
      </c>
      <c r="P64" s="5">
        <v>6</v>
      </c>
      <c r="Q64" s="5">
        <v>1</v>
      </c>
      <c r="R64" s="9">
        <v>0</v>
      </c>
      <c r="S64" s="5">
        <v>0</v>
      </c>
      <c r="T64" s="5">
        <v>0</v>
      </c>
    </row>
    <row r="65" spans="1:20" x14ac:dyDescent="0.2">
      <c r="A65" s="5" t="s">
        <v>77</v>
      </c>
      <c r="B65" s="5" t="s">
        <v>75</v>
      </c>
      <c r="C65" s="10" t="s">
        <v>798</v>
      </c>
      <c r="D65" s="7">
        <f t="shared" si="0"/>
        <v>13.100000000000001</v>
      </c>
      <c r="E65" s="5">
        <v>0</v>
      </c>
      <c r="F65" s="5">
        <v>0</v>
      </c>
      <c r="G65" s="5">
        <v>0</v>
      </c>
      <c r="H65" s="5">
        <v>0</v>
      </c>
      <c r="I65" s="5">
        <v>0</v>
      </c>
      <c r="J65" s="9">
        <v>0</v>
      </c>
      <c r="K65" s="8">
        <v>14</v>
      </c>
      <c r="L65" s="5">
        <v>64</v>
      </c>
      <c r="M65" s="5">
        <v>0</v>
      </c>
      <c r="N65" s="9">
        <v>0</v>
      </c>
      <c r="O65" s="8">
        <v>4</v>
      </c>
      <c r="P65" s="5">
        <v>27</v>
      </c>
      <c r="Q65" s="5">
        <v>0</v>
      </c>
      <c r="R65" s="9">
        <v>0</v>
      </c>
      <c r="S65" s="5">
        <v>0</v>
      </c>
      <c r="T65" s="5">
        <v>0</v>
      </c>
    </row>
    <row r="66" spans="1:20" x14ac:dyDescent="0.2">
      <c r="A66" s="5" t="s">
        <v>90</v>
      </c>
      <c r="B66" s="5" t="s">
        <v>75</v>
      </c>
      <c r="C66" s="10" t="s">
        <v>796</v>
      </c>
      <c r="D66" s="7">
        <f t="shared" si="0"/>
        <v>12.5</v>
      </c>
      <c r="E66" s="5">
        <v>0</v>
      </c>
      <c r="F66" s="5">
        <v>0</v>
      </c>
      <c r="G66" s="5">
        <v>0</v>
      </c>
      <c r="H66" s="5">
        <v>0</v>
      </c>
      <c r="I66" s="5">
        <v>0</v>
      </c>
      <c r="J66" s="9">
        <v>0</v>
      </c>
      <c r="K66" s="8">
        <v>14</v>
      </c>
      <c r="L66" s="5">
        <v>65</v>
      </c>
      <c r="M66" s="5">
        <v>1</v>
      </c>
      <c r="N66" s="9">
        <v>0</v>
      </c>
      <c r="O66" s="8">
        <v>0</v>
      </c>
      <c r="P66" s="5">
        <v>0</v>
      </c>
      <c r="Q66" s="5">
        <v>0</v>
      </c>
      <c r="R66" s="9">
        <v>0</v>
      </c>
      <c r="S66" s="5">
        <v>0</v>
      </c>
      <c r="T66" s="5">
        <v>0</v>
      </c>
    </row>
    <row r="67" spans="1:20" x14ac:dyDescent="0.2">
      <c r="A67" s="5" t="s">
        <v>116</v>
      </c>
      <c r="B67" s="5" t="s">
        <v>75</v>
      </c>
      <c r="C67" s="10" t="s">
        <v>790</v>
      </c>
      <c r="D67" s="7">
        <f t="shared" si="0"/>
        <v>10.8</v>
      </c>
      <c r="E67" s="5">
        <v>0</v>
      </c>
      <c r="F67" s="5">
        <v>0</v>
      </c>
      <c r="G67" s="5">
        <v>0</v>
      </c>
      <c r="H67" s="5">
        <v>0</v>
      </c>
      <c r="I67" s="5">
        <v>0</v>
      </c>
      <c r="J67" s="9">
        <v>0</v>
      </c>
      <c r="K67" s="8">
        <v>16</v>
      </c>
      <c r="L67" s="5">
        <v>68</v>
      </c>
      <c r="M67" s="5">
        <v>1</v>
      </c>
      <c r="N67" s="9">
        <v>0</v>
      </c>
      <c r="O67" s="8">
        <v>0</v>
      </c>
      <c r="P67" s="5">
        <v>0</v>
      </c>
      <c r="Q67" s="5">
        <v>0</v>
      </c>
      <c r="R67" s="9">
        <v>0</v>
      </c>
      <c r="S67" s="5">
        <v>1</v>
      </c>
      <c r="T67" s="5">
        <v>0</v>
      </c>
    </row>
    <row r="68" spans="1:20" x14ac:dyDescent="0.2">
      <c r="A68" s="5" t="s">
        <v>81</v>
      </c>
      <c r="B68" s="5" t="s">
        <v>75</v>
      </c>
      <c r="C68" s="10" t="s">
        <v>794</v>
      </c>
      <c r="D68" s="7">
        <f t="shared" si="0"/>
        <v>11.6</v>
      </c>
      <c r="E68" s="5">
        <v>0</v>
      </c>
      <c r="F68" s="5">
        <v>0</v>
      </c>
      <c r="G68" s="5">
        <v>0</v>
      </c>
      <c r="H68" s="5">
        <v>0</v>
      </c>
      <c r="I68" s="5">
        <v>0</v>
      </c>
      <c r="J68" s="9">
        <v>0</v>
      </c>
      <c r="K68" s="8">
        <v>15</v>
      </c>
      <c r="L68" s="5">
        <v>75</v>
      </c>
      <c r="M68" s="5">
        <v>0</v>
      </c>
      <c r="N68" s="9">
        <v>0</v>
      </c>
      <c r="O68" s="8">
        <v>3</v>
      </c>
      <c r="P68" s="5">
        <v>11</v>
      </c>
      <c r="Q68" s="5">
        <v>0</v>
      </c>
      <c r="R68" s="9">
        <v>0</v>
      </c>
      <c r="S68" s="5">
        <v>0</v>
      </c>
      <c r="T68" s="5">
        <v>0</v>
      </c>
    </row>
    <row r="69" spans="1:20" x14ac:dyDescent="0.2">
      <c r="A69" s="5" t="s">
        <v>93</v>
      </c>
      <c r="B69" s="5" t="s">
        <v>75</v>
      </c>
      <c r="C69" s="10" t="s">
        <v>798</v>
      </c>
      <c r="D69" s="7">
        <f t="shared" si="0"/>
        <v>11.600000000000001</v>
      </c>
      <c r="E69" s="5">
        <v>0</v>
      </c>
      <c r="F69" s="5">
        <v>0</v>
      </c>
      <c r="G69" s="5">
        <v>0</v>
      </c>
      <c r="H69" s="5">
        <v>0</v>
      </c>
      <c r="I69" s="5">
        <v>0</v>
      </c>
      <c r="J69" s="9">
        <v>0</v>
      </c>
      <c r="K69" s="8">
        <v>9</v>
      </c>
      <c r="L69" s="5">
        <v>44</v>
      </c>
      <c r="M69" s="5">
        <v>0</v>
      </c>
      <c r="N69" s="9">
        <v>0</v>
      </c>
      <c r="O69" s="8">
        <v>4</v>
      </c>
      <c r="P69" s="5">
        <v>32</v>
      </c>
      <c r="Q69" s="5">
        <v>0</v>
      </c>
      <c r="R69" s="9">
        <v>0</v>
      </c>
      <c r="S69" s="5">
        <v>0</v>
      </c>
      <c r="T69" s="5">
        <v>0</v>
      </c>
    </row>
    <row r="70" spans="1:20" x14ac:dyDescent="0.2">
      <c r="A70" s="5" t="s">
        <v>151</v>
      </c>
      <c r="B70" s="5" t="s">
        <v>75</v>
      </c>
      <c r="C70" s="10" t="s">
        <v>805</v>
      </c>
      <c r="D70" s="7">
        <f t="shared" si="0"/>
        <v>11.6</v>
      </c>
      <c r="E70" s="5">
        <v>0</v>
      </c>
      <c r="F70" s="5">
        <v>0</v>
      </c>
      <c r="G70" s="5">
        <v>0</v>
      </c>
      <c r="H70" s="5">
        <v>0</v>
      </c>
      <c r="I70" s="5">
        <v>0</v>
      </c>
      <c r="J70" s="9">
        <v>0</v>
      </c>
      <c r="K70" s="8">
        <v>16</v>
      </c>
      <c r="L70" s="5">
        <v>80</v>
      </c>
      <c r="M70" s="5">
        <v>0</v>
      </c>
      <c r="N70" s="9">
        <v>0</v>
      </c>
      <c r="O70" s="8">
        <v>3</v>
      </c>
      <c r="P70" s="5">
        <v>6</v>
      </c>
      <c r="Q70" s="5">
        <v>0</v>
      </c>
      <c r="R70" s="9">
        <v>0</v>
      </c>
      <c r="S70" s="5">
        <v>0</v>
      </c>
      <c r="T70" s="5">
        <v>0</v>
      </c>
    </row>
    <row r="71" spans="1:20" x14ac:dyDescent="0.2">
      <c r="A71" s="5" t="s">
        <v>154</v>
      </c>
      <c r="B71" s="5" t="s">
        <v>75</v>
      </c>
      <c r="C71" s="10" t="s">
        <v>800</v>
      </c>
      <c r="D71" s="7">
        <f t="shared" si="0"/>
        <v>10.6</v>
      </c>
      <c r="E71" s="5">
        <v>0</v>
      </c>
      <c r="F71" s="5">
        <v>0</v>
      </c>
      <c r="G71" s="5">
        <v>0</v>
      </c>
      <c r="H71" s="5">
        <v>0</v>
      </c>
      <c r="I71" s="5">
        <v>0</v>
      </c>
      <c r="J71" s="9">
        <v>0</v>
      </c>
      <c r="K71" s="8">
        <v>3</v>
      </c>
      <c r="L71" s="5">
        <v>16</v>
      </c>
      <c r="M71" s="5">
        <v>0</v>
      </c>
      <c r="N71" s="9">
        <v>0</v>
      </c>
      <c r="O71" s="8">
        <v>5</v>
      </c>
      <c r="P71" s="5">
        <v>40</v>
      </c>
      <c r="Q71" s="5">
        <v>0</v>
      </c>
      <c r="R71" s="9">
        <v>0</v>
      </c>
      <c r="S71" s="5">
        <v>0</v>
      </c>
      <c r="T71" s="5">
        <v>0</v>
      </c>
    </row>
    <row r="72" spans="1:20" x14ac:dyDescent="0.2">
      <c r="A72" s="5" t="s">
        <v>110</v>
      </c>
      <c r="B72" s="5" t="s">
        <v>75</v>
      </c>
      <c r="C72" s="10" t="s">
        <v>799</v>
      </c>
      <c r="D72" s="7">
        <f t="shared" si="0"/>
        <v>11.5</v>
      </c>
      <c r="E72" s="5">
        <v>0</v>
      </c>
      <c r="F72" s="5">
        <v>0</v>
      </c>
      <c r="G72" s="5">
        <v>0</v>
      </c>
      <c r="H72" s="5">
        <v>0</v>
      </c>
      <c r="I72" s="5">
        <v>0</v>
      </c>
      <c r="J72" s="9">
        <v>0</v>
      </c>
      <c r="K72" s="8">
        <v>14</v>
      </c>
      <c r="L72" s="5">
        <v>39</v>
      </c>
      <c r="M72" s="5">
        <v>1</v>
      </c>
      <c r="N72" s="9">
        <v>0</v>
      </c>
      <c r="O72" s="8">
        <v>1</v>
      </c>
      <c r="P72" s="5">
        <v>6</v>
      </c>
      <c r="Q72" s="5">
        <v>0</v>
      </c>
      <c r="R72" s="9">
        <v>0</v>
      </c>
      <c r="S72" s="5">
        <v>0</v>
      </c>
      <c r="T72" s="5">
        <v>0</v>
      </c>
    </row>
    <row r="73" spans="1:20" x14ac:dyDescent="0.2">
      <c r="A73" s="5" t="s">
        <v>108</v>
      </c>
      <c r="B73" s="5" t="s">
        <v>75</v>
      </c>
      <c r="C73" s="10" t="s">
        <v>806</v>
      </c>
      <c r="D73" s="7">
        <f t="shared" si="0"/>
        <v>11.1</v>
      </c>
      <c r="E73" s="5">
        <v>0</v>
      </c>
      <c r="F73" s="5">
        <v>0</v>
      </c>
      <c r="G73" s="5">
        <v>0</v>
      </c>
      <c r="H73" s="5">
        <v>0</v>
      </c>
      <c r="I73" s="5">
        <v>0</v>
      </c>
      <c r="J73" s="9">
        <v>0</v>
      </c>
      <c r="K73" s="8">
        <v>11</v>
      </c>
      <c r="L73" s="5">
        <v>45</v>
      </c>
      <c r="M73" s="5">
        <v>0</v>
      </c>
      <c r="N73" s="9">
        <v>0</v>
      </c>
      <c r="O73" s="8">
        <v>4</v>
      </c>
      <c r="P73" s="5">
        <v>26</v>
      </c>
      <c r="Q73" s="5">
        <v>0</v>
      </c>
      <c r="R73" s="9">
        <v>0</v>
      </c>
      <c r="S73" s="5">
        <v>0</v>
      </c>
      <c r="T73" s="5">
        <v>0</v>
      </c>
    </row>
    <row r="74" spans="1:20" x14ac:dyDescent="0.2">
      <c r="A74" s="5" t="s">
        <v>115</v>
      </c>
      <c r="B74" s="5" t="s">
        <v>75</v>
      </c>
      <c r="C74" s="10" t="s">
        <v>800</v>
      </c>
      <c r="D74" s="7">
        <f t="shared" si="0"/>
        <v>11.100000000000001</v>
      </c>
      <c r="E74" s="5">
        <v>0</v>
      </c>
      <c r="F74" s="5">
        <v>0</v>
      </c>
      <c r="G74" s="5">
        <v>0</v>
      </c>
      <c r="H74" s="5">
        <v>0</v>
      </c>
      <c r="I74" s="5">
        <v>0</v>
      </c>
      <c r="J74" s="9">
        <v>0</v>
      </c>
      <c r="K74" s="8">
        <v>19</v>
      </c>
      <c r="L74" s="5">
        <v>58</v>
      </c>
      <c r="M74" s="5">
        <v>0</v>
      </c>
      <c r="N74" s="9">
        <v>0</v>
      </c>
      <c r="O74" s="8">
        <v>4</v>
      </c>
      <c r="P74" s="5">
        <v>13</v>
      </c>
      <c r="Q74" s="5">
        <v>0</v>
      </c>
      <c r="R74" s="9">
        <v>0</v>
      </c>
      <c r="S74" s="5">
        <v>0</v>
      </c>
      <c r="T74" s="5">
        <v>0</v>
      </c>
    </row>
    <row r="75" spans="1:20" x14ac:dyDescent="0.2">
      <c r="A75" s="5" t="s">
        <v>132</v>
      </c>
      <c r="B75" s="5" t="s">
        <v>75</v>
      </c>
      <c r="C75" s="10" t="s">
        <v>791</v>
      </c>
      <c r="D75" s="7">
        <f t="shared" si="0"/>
        <v>9.4</v>
      </c>
      <c r="E75" s="5">
        <v>0</v>
      </c>
      <c r="F75" s="5">
        <v>0</v>
      </c>
      <c r="G75" s="5">
        <v>0</v>
      </c>
      <c r="H75" s="5">
        <v>0</v>
      </c>
      <c r="I75" s="5">
        <v>0</v>
      </c>
      <c r="J75" s="9">
        <v>0</v>
      </c>
      <c r="K75" s="8">
        <v>10</v>
      </c>
      <c r="L75" s="5">
        <v>40</v>
      </c>
      <c r="M75" s="5">
        <v>0</v>
      </c>
      <c r="N75" s="9">
        <v>0</v>
      </c>
      <c r="O75" s="8">
        <v>3</v>
      </c>
      <c r="P75" s="5">
        <v>24</v>
      </c>
      <c r="Q75" s="5">
        <v>0</v>
      </c>
      <c r="R75" s="9">
        <v>0</v>
      </c>
      <c r="S75" s="5">
        <v>0</v>
      </c>
      <c r="T75" s="5">
        <v>0</v>
      </c>
    </row>
    <row r="76" spans="1:20" x14ac:dyDescent="0.2">
      <c r="A76" s="5" t="s">
        <v>428</v>
      </c>
      <c r="B76" s="5" t="s">
        <v>75</v>
      </c>
      <c r="C76" s="10" t="s">
        <v>793</v>
      </c>
      <c r="D76" s="7">
        <f t="shared" si="0"/>
        <v>9.1</v>
      </c>
      <c r="E76" s="5">
        <v>0</v>
      </c>
      <c r="F76" s="5">
        <v>0</v>
      </c>
      <c r="G76" s="5">
        <v>0</v>
      </c>
      <c r="H76" s="5">
        <v>0</v>
      </c>
      <c r="I76" s="5">
        <v>0</v>
      </c>
      <c r="J76" s="9">
        <v>0</v>
      </c>
      <c r="K76" s="8">
        <v>10</v>
      </c>
      <c r="L76" s="5">
        <v>31</v>
      </c>
      <c r="M76" s="5">
        <v>1</v>
      </c>
      <c r="N76" s="9">
        <v>0</v>
      </c>
      <c r="O76" s="8">
        <v>0</v>
      </c>
      <c r="P76" s="5">
        <v>0</v>
      </c>
      <c r="Q76" s="5">
        <v>0</v>
      </c>
      <c r="R76" s="9">
        <v>0</v>
      </c>
      <c r="S76" s="5">
        <v>0</v>
      </c>
      <c r="T76" s="5">
        <v>0</v>
      </c>
    </row>
    <row r="77" spans="1:20" x14ac:dyDescent="0.2">
      <c r="A77" s="5" t="s">
        <v>114</v>
      </c>
      <c r="B77" s="5" t="s">
        <v>75</v>
      </c>
      <c r="C77" s="10" t="s">
        <v>800</v>
      </c>
      <c r="D77" s="7">
        <f t="shared" si="0"/>
        <v>8.6</v>
      </c>
      <c r="E77" s="5">
        <v>0</v>
      </c>
      <c r="F77" s="5">
        <v>0</v>
      </c>
      <c r="G77" s="5">
        <v>0</v>
      </c>
      <c r="H77" s="5">
        <v>0</v>
      </c>
      <c r="I77" s="5">
        <v>0</v>
      </c>
      <c r="J77" s="9">
        <v>0</v>
      </c>
      <c r="K77" s="8">
        <v>11</v>
      </c>
      <c r="L77" s="5">
        <v>42</v>
      </c>
      <c r="M77" s="5">
        <v>0</v>
      </c>
      <c r="N77" s="9">
        <v>0</v>
      </c>
      <c r="O77" s="8">
        <v>4</v>
      </c>
      <c r="P77" s="5">
        <v>24</v>
      </c>
      <c r="Q77" s="5">
        <v>0</v>
      </c>
      <c r="R77" s="9">
        <v>0</v>
      </c>
      <c r="S77" s="5">
        <v>1</v>
      </c>
      <c r="T77" s="5">
        <v>0</v>
      </c>
    </row>
    <row r="78" spans="1:20" x14ac:dyDescent="0.2">
      <c r="A78" s="5" t="s">
        <v>144</v>
      </c>
      <c r="B78" s="5" t="s">
        <v>75</v>
      </c>
      <c r="C78" s="10" t="s">
        <v>802</v>
      </c>
      <c r="D78" s="7">
        <f t="shared" si="0"/>
        <v>9.1000000000000014</v>
      </c>
      <c r="E78" s="5">
        <v>0</v>
      </c>
      <c r="F78" s="5">
        <v>0</v>
      </c>
      <c r="G78" s="5">
        <v>0</v>
      </c>
      <c r="H78" s="5">
        <v>0</v>
      </c>
      <c r="I78" s="5">
        <v>0</v>
      </c>
      <c r="J78" s="9">
        <v>0</v>
      </c>
      <c r="K78" s="8">
        <v>2</v>
      </c>
      <c r="L78" s="5">
        <v>2</v>
      </c>
      <c r="M78" s="5">
        <v>0</v>
      </c>
      <c r="N78" s="9">
        <v>0</v>
      </c>
      <c r="O78" s="8">
        <v>5</v>
      </c>
      <c r="P78" s="5">
        <v>39</v>
      </c>
      <c r="Q78" s="5">
        <v>0</v>
      </c>
      <c r="R78" s="9">
        <v>0</v>
      </c>
      <c r="S78" s="5">
        <v>0</v>
      </c>
      <c r="T78" s="5">
        <v>0</v>
      </c>
    </row>
    <row r="79" spans="1:20" x14ac:dyDescent="0.2">
      <c r="A79" s="5" t="s">
        <v>761</v>
      </c>
      <c r="B79" s="5" t="s">
        <v>75</v>
      </c>
      <c r="C79" s="10" t="s">
        <v>799</v>
      </c>
      <c r="D79" s="7">
        <f t="shared" si="0"/>
        <v>8.9</v>
      </c>
      <c r="E79" s="5">
        <v>0</v>
      </c>
      <c r="F79" s="5">
        <v>0</v>
      </c>
      <c r="G79" s="5">
        <v>0</v>
      </c>
      <c r="H79" s="5">
        <v>0</v>
      </c>
      <c r="I79" s="5">
        <v>0</v>
      </c>
      <c r="J79" s="9">
        <v>0</v>
      </c>
      <c r="K79" s="8">
        <v>2</v>
      </c>
      <c r="L79" s="5">
        <v>15</v>
      </c>
      <c r="M79" s="5">
        <v>0</v>
      </c>
      <c r="N79" s="9">
        <v>0</v>
      </c>
      <c r="O79" s="8">
        <v>2</v>
      </c>
      <c r="P79" s="5">
        <v>54</v>
      </c>
      <c r="Q79" s="5">
        <v>0</v>
      </c>
      <c r="R79" s="9">
        <v>0</v>
      </c>
      <c r="S79" s="5">
        <v>0</v>
      </c>
      <c r="T79" s="5">
        <v>0</v>
      </c>
    </row>
    <row r="80" spans="1:20" x14ac:dyDescent="0.2">
      <c r="A80" s="5" t="s">
        <v>147</v>
      </c>
      <c r="B80" s="5" t="s">
        <v>75</v>
      </c>
      <c r="C80" s="10" t="s">
        <v>804</v>
      </c>
      <c r="D80" s="7">
        <f t="shared" si="0"/>
        <v>9.2000000000000011</v>
      </c>
      <c r="E80" s="5">
        <v>0</v>
      </c>
      <c r="F80" s="5">
        <v>0</v>
      </c>
      <c r="G80" s="5">
        <v>0</v>
      </c>
      <c r="H80" s="5">
        <v>0</v>
      </c>
      <c r="I80" s="5">
        <v>0</v>
      </c>
      <c r="J80" s="9">
        <v>0</v>
      </c>
      <c r="K80" s="8">
        <v>8</v>
      </c>
      <c r="L80" s="5">
        <v>44</v>
      </c>
      <c r="M80" s="5">
        <v>0</v>
      </c>
      <c r="N80" s="9">
        <v>0</v>
      </c>
      <c r="O80" s="8">
        <v>3</v>
      </c>
      <c r="P80" s="5">
        <v>18</v>
      </c>
      <c r="Q80" s="5">
        <v>0</v>
      </c>
      <c r="R80" s="9">
        <v>0</v>
      </c>
      <c r="S80" s="5">
        <v>0</v>
      </c>
      <c r="T80" s="5">
        <v>0</v>
      </c>
    </row>
    <row r="81" spans="1:20" x14ac:dyDescent="0.2">
      <c r="A81" s="5" t="s">
        <v>105</v>
      </c>
      <c r="B81" s="5" t="s">
        <v>75</v>
      </c>
      <c r="C81" s="10" t="s">
        <v>804</v>
      </c>
      <c r="D81" s="7">
        <f t="shared" si="0"/>
        <v>8.8000000000000007</v>
      </c>
      <c r="E81" s="5">
        <v>0</v>
      </c>
      <c r="F81" s="5">
        <v>0</v>
      </c>
      <c r="G81" s="5">
        <v>0</v>
      </c>
      <c r="H81" s="5">
        <v>0</v>
      </c>
      <c r="I81" s="5">
        <v>0</v>
      </c>
      <c r="J81" s="9">
        <v>0</v>
      </c>
      <c r="K81" s="8">
        <v>15</v>
      </c>
      <c r="L81" s="5">
        <v>41</v>
      </c>
      <c r="M81" s="5">
        <v>0</v>
      </c>
      <c r="N81" s="9">
        <v>0</v>
      </c>
      <c r="O81" s="8">
        <v>3</v>
      </c>
      <c r="P81" s="5">
        <v>17</v>
      </c>
      <c r="Q81" s="5">
        <v>0</v>
      </c>
      <c r="R81" s="9">
        <v>0</v>
      </c>
      <c r="S81" s="5">
        <v>0</v>
      </c>
      <c r="T81" s="5">
        <v>0</v>
      </c>
    </row>
    <row r="82" spans="1:20" x14ac:dyDescent="0.2">
      <c r="A82" s="5" t="s">
        <v>101</v>
      </c>
      <c r="B82" s="5" t="s">
        <v>75</v>
      </c>
      <c r="C82" s="10" t="s">
        <v>801</v>
      </c>
      <c r="D82" s="7">
        <f t="shared" si="0"/>
        <v>8.8000000000000007</v>
      </c>
      <c r="E82" s="5">
        <v>0</v>
      </c>
      <c r="F82" s="5">
        <v>0</v>
      </c>
      <c r="G82" s="5">
        <v>0</v>
      </c>
      <c r="H82" s="5">
        <v>0</v>
      </c>
      <c r="I82" s="5">
        <v>0</v>
      </c>
      <c r="J82" s="9">
        <v>0</v>
      </c>
      <c r="K82" s="8">
        <v>12</v>
      </c>
      <c r="L82" s="5">
        <v>39</v>
      </c>
      <c r="M82" s="5">
        <v>0</v>
      </c>
      <c r="N82" s="9">
        <v>0</v>
      </c>
      <c r="O82" s="8">
        <v>3</v>
      </c>
      <c r="P82" s="5">
        <v>19</v>
      </c>
      <c r="Q82" s="5">
        <v>0</v>
      </c>
      <c r="R82" s="9">
        <v>0</v>
      </c>
      <c r="S82" s="5">
        <v>0</v>
      </c>
      <c r="T82" s="5">
        <v>0</v>
      </c>
    </row>
    <row r="83" spans="1:20" x14ac:dyDescent="0.2">
      <c r="A83" s="5" t="s">
        <v>423</v>
      </c>
      <c r="B83" s="5" t="s">
        <v>75</v>
      </c>
      <c r="C83" s="10" t="s">
        <v>790</v>
      </c>
      <c r="D83" s="7">
        <f t="shared" si="0"/>
        <v>7</v>
      </c>
      <c r="E83" s="5">
        <v>0</v>
      </c>
      <c r="F83" s="5">
        <v>0</v>
      </c>
      <c r="G83" s="5">
        <v>0</v>
      </c>
      <c r="H83" s="5">
        <v>0</v>
      </c>
      <c r="I83" s="5">
        <v>0</v>
      </c>
      <c r="J83" s="9">
        <v>0</v>
      </c>
      <c r="K83" s="8">
        <v>6</v>
      </c>
      <c r="L83" s="5">
        <v>10</v>
      </c>
      <c r="M83" s="5">
        <v>1</v>
      </c>
      <c r="N83" s="9">
        <v>0</v>
      </c>
      <c r="O83" s="8">
        <v>0</v>
      </c>
      <c r="P83" s="5">
        <v>0</v>
      </c>
      <c r="Q83" s="5">
        <v>0</v>
      </c>
      <c r="R83" s="9">
        <v>0</v>
      </c>
      <c r="S83" s="5">
        <v>0</v>
      </c>
      <c r="T83" s="5">
        <v>0</v>
      </c>
    </row>
    <row r="84" spans="1:20" x14ac:dyDescent="0.2">
      <c r="A84" s="5" t="s">
        <v>487</v>
      </c>
      <c r="B84" s="5" t="s">
        <v>75</v>
      </c>
      <c r="C84" s="10" t="s">
        <v>790</v>
      </c>
      <c r="D84" s="7">
        <f t="shared" si="0"/>
        <v>7.4</v>
      </c>
      <c r="E84" s="5">
        <v>0</v>
      </c>
      <c r="F84" s="5">
        <v>0</v>
      </c>
      <c r="G84" s="5">
        <v>0</v>
      </c>
      <c r="H84" s="5">
        <v>0</v>
      </c>
      <c r="I84" s="5">
        <v>0</v>
      </c>
      <c r="J84" s="9">
        <v>0</v>
      </c>
      <c r="K84" s="8">
        <v>0</v>
      </c>
      <c r="L84" s="5">
        <v>0</v>
      </c>
      <c r="M84" s="5">
        <v>0</v>
      </c>
      <c r="N84" s="9">
        <v>0</v>
      </c>
      <c r="O84" s="8">
        <v>1</v>
      </c>
      <c r="P84" s="5">
        <v>4</v>
      </c>
      <c r="Q84" s="5">
        <v>1</v>
      </c>
      <c r="R84" s="9">
        <v>0</v>
      </c>
      <c r="S84" s="5">
        <v>0</v>
      </c>
      <c r="T84" s="5">
        <v>0</v>
      </c>
    </row>
    <row r="85" spans="1:20" x14ac:dyDescent="0.2">
      <c r="A85" s="5" t="s">
        <v>152</v>
      </c>
      <c r="B85" s="5" t="s">
        <v>75</v>
      </c>
      <c r="C85" s="10" t="s">
        <v>792</v>
      </c>
      <c r="D85" s="7">
        <f t="shared" si="0"/>
        <v>7.6000000000000005</v>
      </c>
      <c r="E85" s="5">
        <v>0</v>
      </c>
      <c r="F85" s="5">
        <v>0</v>
      </c>
      <c r="G85" s="5">
        <v>0</v>
      </c>
      <c r="H85" s="5">
        <v>0</v>
      </c>
      <c r="I85" s="5">
        <v>0</v>
      </c>
      <c r="J85" s="9">
        <v>0</v>
      </c>
      <c r="K85" s="8">
        <v>13</v>
      </c>
      <c r="L85" s="5">
        <v>61</v>
      </c>
      <c r="M85" s="5">
        <v>0</v>
      </c>
      <c r="N85" s="9">
        <v>0</v>
      </c>
      <c r="O85" s="8">
        <v>1</v>
      </c>
      <c r="P85" s="5">
        <v>5</v>
      </c>
      <c r="Q85" s="5">
        <v>0</v>
      </c>
      <c r="R85" s="9">
        <v>0</v>
      </c>
      <c r="S85" s="5">
        <v>0</v>
      </c>
      <c r="T85" s="5">
        <v>0</v>
      </c>
    </row>
    <row r="86" spans="1:20" x14ac:dyDescent="0.2">
      <c r="A86" s="5" t="s">
        <v>470</v>
      </c>
      <c r="B86" s="5" t="s">
        <v>75</v>
      </c>
      <c r="C86" s="10" t="s">
        <v>800</v>
      </c>
      <c r="D86" s="7">
        <f t="shared" si="0"/>
        <v>6.9</v>
      </c>
      <c r="E86" s="5">
        <v>0</v>
      </c>
      <c r="F86" s="5">
        <v>0</v>
      </c>
      <c r="G86" s="5">
        <v>0</v>
      </c>
      <c r="H86" s="5">
        <v>0</v>
      </c>
      <c r="I86" s="5">
        <v>0</v>
      </c>
      <c r="J86" s="9">
        <v>0</v>
      </c>
      <c r="K86" s="8">
        <v>10</v>
      </c>
      <c r="L86" s="5">
        <v>45</v>
      </c>
      <c r="M86" s="5">
        <v>0</v>
      </c>
      <c r="N86" s="9">
        <v>0</v>
      </c>
      <c r="O86" s="8">
        <v>2</v>
      </c>
      <c r="P86" s="5">
        <v>4</v>
      </c>
      <c r="Q86" s="5">
        <v>0</v>
      </c>
      <c r="R86" s="9">
        <v>0</v>
      </c>
      <c r="S86" s="5">
        <v>0</v>
      </c>
      <c r="T86" s="5">
        <v>0</v>
      </c>
    </row>
    <row r="87" spans="1:20" x14ac:dyDescent="0.2">
      <c r="A87" s="5" t="s">
        <v>129</v>
      </c>
      <c r="B87" s="5" t="s">
        <v>75</v>
      </c>
      <c r="C87" s="10" t="s">
        <v>805</v>
      </c>
      <c r="D87" s="7">
        <f t="shared" si="0"/>
        <v>6.9</v>
      </c>
      <c r="E87" s="5">
        <v>0</v>
      </c>
      <c r="F87" s="5">
        <v>0</v>
      </c>
      <c r="G87" s="5">
        <v>0</v>
      </c>
      <c r="H87" s="5">
        <v>0</v>
      </c>
      <c r="I87" s="5">
        <v>0</v>
      </c>
      <c r="J87" s="9">
        <v>0</v>
      </c>
      <c r="K87" s="8">
        <v>6</v>
      </c>
      <c r="L87" s="5">
        <v>0</v>
      </c>
      <c r="M87" s="5">
        <v>0</v>
      </c>
      <c r="N87" s="9">
        <v>0</v>
      </c>
      <c r="O87" s="8">
        <v>4</v>
      </c>
      <c r="P87" s="5">
        <v>29</v>
      </c>
      <c r="Q87" s="5">
        <v>0</v>
      </c>
      <c r="R87" s="9">
        <v>0</v>
      </c>
      <c r="S87" s="5">
        <v>0</v>
      </c>
      <c r="T87" s="5">
        <v>0</v>
      </c>
    </row>
    <row r="88" spans="1:20" x14ac:dyDescent="0.2">
      <c r="A88" s="5" t="s">
        <v>580</v>
      </c>
      <c r="B88" s="5" t="s">
        <v>75</v>
      </c>
      <c r="C88" s="10" t="s">
        <v>790</v>
      </c>
      <c r="D88" s="7">
        <f t="shared" si="0"/>
        <v>6.3999999999999995</v>
      </c>
      <c r="E88" s="5">
        <v>0</v>
      </c>
      <c r="F88" s="5">
        <v>0</v>
      </c>
      <c r="G88" s="5">
        <v>0</v>
      </c>
      <c r="H88" s="5">
        <v>0</v>
      </c>
      <c r="I88" s="5">
        <v>0</v>
      </c>
      <c r="J88" s="9">
        <v>0</v>
      </c>
      <c r="K88" s="8">
        <v>3</v>
      </c>
      <c r="L88" s="5">
        <v>21</v>
      </c>
      <c r="M88" s="5">
        <v>0</v>
      </c>
      <c r="N88" s="9">
        <v>0</v>
      </c>
      <c r="O88" s="8">
        <v>3</v>
      </c>
      <c r="P88" s="5">
        <v>13</v>
      </c>
      <c r="Q88" s="5">
        <v>0</v>
      </c>
      <c r="R88" s="9">
        <v>0</v>
      </c>
      <c r="S88" s="5">
        <v>0</v>
      </c>
      <c r="T88" s="5">
        <v>0</v>
      </c>
    </row>
    <row r="89" spans="1:20" x14ac:dyDescent="0.2">
      <c r="A89" s="5" t="s">
        <v>676</v>
      </c>
      <c r="B89" s="5" t="s">
        <v>75</v>
      </c>
      <c r="C89" s="10" t="s">
        <v>793</v>
      </c>
      <c r="D89" s="7">
        <f t="shared" si="0"/>
        <v>5</v>
      </c>
      <c r="E89" s="5">
        <v>0</v>
      </c>
      <c r="F89" s="5">
        <v>0</v>
      </c>
      <c r="G89" s="5">
        <v>0</v>
      </c>
      <c r="H89" s="5">
        <v>0</v>
      </c>
      <c r="I89" s="5">
        <v>0</v>
      </c>
      <c r="J89" s="9">
        <v>0</v>
      </c>
      <c r="K89" s="8">
        <v>2</v>
      </c>
      <c r="L89" s="5">
        <v>3</v>
      </c>
      <c r="M89" s="5">
        <v>0</v>
      </c>
      <c r="N89" s="9">
        <v>0</v>
      </c>
      <c r="O89" s="8">
        <v>4</v>
      </c>
      <c r="P89" s="5">
        <v>27</v>
      </c>
      <c r="Q89" s="5">
        <v>0</v>
      </c>
      <c r="R89" s="9">
        <v>0</v>
      </c>
      <c r="S89" s="5">
        <v>1</v>
      </c>
      <c r="T89" s="5">
        <v>0</v>
      </c>
    </row>
    <row r="90" spans="1:20" x14ac:dyDescent="0.2">
      <c r="A90" s="5" t="s">
        <v>102</v>
      </c>
      <c r="B90" s="5" t="s">
        <v>75</v>
      </c>
      <c r="C90" s="10" t="s">
        <v>799</v>
      </c>
      <c r="D90" s="7">
        <f t="shared" si="0"/>
        <v>5.4</v>
      </c>
      <c r="E90" s="5">
        <v>0</v>
      </c>
      <c r="F90" s="5">
        <v>0</v>
      </c>
      <c r="G90" s="5">
        <v>0</v>
      </c>
      <c r="H90" s="5">
        <v>0</v>
      </c>
      <c r="I90" s="5">
        <v>0</v>
      </c>
      <c r="J90" s="9">
        <v>0</v>
      </c>
      <c r="K90" s="8">
        <v>16</v>
      </c>
      <c r="L90" s="5">
        <v>48</v>
      </c>
      <c r="M90" s="5">
        <v>0</v>
      </c>
      <c r="N90" s="9">
        <v>0</v>
      </c>
      <c r="O90" s="8">
        <v>1</v>
      </c>
      <c r="P90" s="5">
        <v>-4</v>
      </c>
      <c r="Q90" s="5">
        <v>0</v>
      </c>
      <c r="R90" s="9">
        <v>0</v>
      </c>
      <c r="S90" s="5">
        <v>0</v>
      </c>
      <c r="T90" s="5">
        <v>0</v>
      </c>
    </row>
    <row r="91" spans="1:20" x14ac:dyDescent="0.2">
      <c r="A91" s="5" t="s">
        <v>97</v>
      </c>
      <c r="B91" s="5" t="s">
        <v>75</v>
      </c>
      <c r="C91" s="10" t="s">
        <v>792</v>
      </c>
      <c r="D91" s="7">
        <f t="shared" si="0"/>
        <v>6.68</v>
      </c>
      <c r="E91" s="5">
        <v>1</v>
      </c>
      <c r="F91" s="5">
        <v>1</v>
      </c>
      <c r="G91" s="5">
        <v>17</v>
      </c>
      <c r="H91" s="5">
        <v>0</v>
      </c>
      <c r="I91" s="5">
        <v>0</v>
      </c>
      <c r="J91" s="9">
        <v>0</v>
      </c>
      <c r="K91" s="8">
        <v>2</v>
      </c>
      <c r="L91" s="5">
        <v>5</v>
      </c>
      <c r="M91" s="5">
        <v>0</v>
      </c>
      <c r="N91" s="9">
        <v>0</v>
      </c>
      <c r="O91" s="8">
        <v>4</v>
      </c>
      <c r="P91" s="5">
        <v>15</v>
      </c>
      <c r="Q91" s="5">
        <v>0</v>
      </c>
      <c r="R91" s="9">
        <v>0</v>
      </c>
      <c r="S91" s="5">
        <v>0</v>
      </c>
      <c r="T91" s="5">
        <v>0</v>
      </c>
    </row>
    <row r="92" spans="1:20" x14ac:dyDescent="0.2">
      <c r="A92" s="5" t="s">
        <v>111</v>
      </c>
      <c r="B92" s="5" t="s">
        <v>75</v>
      </c>
      <c r="C92" s="10" t="s">
        <v>796</v>
      </c>
      <c r="D92" s="7">
        <f t="shared" si="0"/>
        <v>5.3</v>
      </c>
      <c r="E92" s="5">
        <v>0</v>
      </c>
      <c r="F92" s="5">
        <v>0</v>
      </c>
      <c r="G92" s="5">
        <v>0</v>
      </c>
      <c r="H92" s="5">
        <v>0</v>
      </c>
      <c r="I92" s="5">
        <v>0</v>
      </c>
      <c r="J92" s="9">
        <v>0</v>
      </c>
      <c r="K92" s="8">
        <v>15</v>
      </c>
      <c r="L92" s="5">
        <v>43</v>
      </c>
      <c r="M92" s="5">
        <v>0</v>
      </c>
      <c r="N92" s="9">
        <v>0</v>
      </c>
      <c r="O92" s="8">
        <v>1</v>
      </c>
      <c r="P92" s="5">
        <v>0</v>
      </c>
      <c r="Q92" s="5">
        <v>0</v>
      </c>
      <c r="R92" s="9">
        <v>0</v>
      </c>
      <c r="S92" s="5">
        <v>0</v>
      </c>
      <c r="T92" s="5">
        <v>0</v>
      </c>
    </row>
    <row r="93" spans="1:20" x14ac:dyDescent="0.2">
      <c r="A93" s="5" t="s">
        <v>453</v>
      </c>
      <c r="B93" s="5" t="s">
        <v>75</v>
      </c>
      <c r="C93" s="10" t="s">
        <v>798</v>
      </c>
      <c r="D93" s="7">
        <f t="shared" si="0"/>
        <v>5.3000000000000007</v>
      </c>
      <c r="E93" s="5">
        <v>0</v>
      </c>
      <c r="F93" s="5">
        <v>0</v>
      </c>
      <c r="G93" s="5">
        <v>0</v>
      </c>
      <c r="H93" s="5">
        <v>0</v>
      </c>
      <c r="I93" s="5">
        <v>0</v>
      </c>
      <c r="J93" s="9">
        <v>0</v>
      </c>
      <c r="K93" s="8">
        <v>0</v>
      </c>
      <c r="L93" s="5">
        <v>0</v>
      </c>
      <c r="M93" s="5">
        <v>0</v>
      </c>
      <c r="N93" s="9">
        <v>0</v>
      </c>
      <c r="O93" s="8">
        <v>3</v>
      </c>
      <c r="P93" s="5">
        <v>23</v>
      </c>
      <c r="Q93" s="5">
        <v>0</v>
      </c>
      <c r="R93" s="9">
        <v>0</v>
      </c>
      <c r="S93" s="5">
        <v>0</v>
      </c>
      <c r="T93" s="5">
        <v>0</v>
      </c>
    </row>
    <row r="94" spans="1:20" x14ac:dyDescent="0.2">
      <c r="A94" s="5" t="s">
        <v>79</v>
      </c>
      <c r="B94" s="5" t="s">
        <v>75</v>
      </c>
      <c r="C94" s="10" t="s">
        <v>796</v>
      </c>
      <c r="D94" s="7">
        <f t="shared" si="0"/>
        <v>5.9</v>
      </c>
      <c r="E94" s="5">
        <v>0</v>
      </c>
      <c r="F94" s="5">
        <v>0</v>
      </c>
      <c r="G94" s="5">
        <v>0</v>
      </c>
      <c r="H94" s="5">
        <v>0</v>
      </c>
      <c r="I94" s="5">
        <v>0</v>
      </c>
      <c r="J94" s="9">
        <v>0</v>
      </c>
      <c r="K94" s="8">
        <v>16</v>
      </c>
      <c r="L94" s="5">
        <v>49</v>
      </c>
      <c r="M94" s="5">
        <v>0</v>
      </c>
      <c r="N94" s="9">
        <v>0</v>
      </c>
      <c r="O94" s="8">
        <v>1</v>
      </c>
      <c r="P94" s="5">
        <v>0</v>
      </c>
      <c r="Q94" s="5">
        <v>0</v>
      </c>
      <c r="R94" s="9">
        <v>0</v>
      </c>
      <c r="S94" s="5">
        <v>0</v>
      </c>
      <c r="T94" s="5">
        <v>0</v>
      </c>
    </row>
    <row r="95" spans="1:20" x14ac:dyDescent="0.2">
      <c r="A95" s="5" t="s">
        <v>434</v>
      </c>
      <c r="B95" s="5" t="s">
        <v>75</v>
      </c>
      <c r="C95" s="10" t="s">
        <v>795</v>
      </c>
      <c r="D95" s="7">
        <f t="shared" si="0"/>
        <v>6.1000000000000005</v>
      </c>
      <c r="E95" s="5">
        <v>0</v>
      </c>
      <c r="F95" s="5">
        <v>0</v>
      </c>
      <c r="G95" s="5">
        <v>0</v>
      </c>
      <c r="H95" s="5">
        <v>0</v>
      </c>
      <c r="I95" s="5">
        <v>0</v>
      </c>
      <c r="J95" s="9">
        <v>0</v>
      </c>
      <c r="K95" s="8">
        <v>5</v>
      </c>
      <c r="L95" s="5">
        <v>32</v>
      </c>
      <c r="M95" s="5">
        <v>0</v>
      </c>
      <c r="N95" s="9">
        <v>0</v>
      </c>
      <c r="O95" s="8">
        <v>2</v>
      </c>
      <c r="P95" s="5">
        <v>9</v>
      </c>
      <c r="Q95" s="5">
        <v>0</v>
      </c>
      <c r="R95" s="9">
        <v>0</v>
      </c>
      <c r="S95" s="5">
        <v>0</v>
      </c>
      <c r="T95" s="5">
        <v>0</v>
      </c>
    </row>
    <row r="96" spans="1:20" x14ac:dyDescent="0.2">
      <c r="A96" s="5" t="s">
        <v>395</v>
      </c>
      <c r="B96" s="5" t="s">
        <v>75</v>
      </c>
      <c r="C96" s="10" t="s">
        <v>797</v>
      </c>
      <c r="D96" s="7">
        <f t="shared" si="0"/>
        <v>4.8000000000000007</v>
      </c>
      <c r="E96" s="5">
        <v>0</v>
      </c>
      <c r="F96" s="5">
        <v>0</v>
      </c>
      <c r="G96" s="5">
        <v>0</v>
      </c>
      <c r="H96" s="5">
        <v>0</v>
      </c>
      <c r="I96" s="5">
        <v>0</v>
      </c>
      <c r="J96" s="9">
        <v>0</v>
      </c>
      <c r="K96" s="8">
        <v>3</v>
      </c>
      <c r="L96" s="5">
        <v>5</v>
      </c>
      <c r="M96" s="5">
        <v>0</v>
      </c>
      <c r="N96" s="9">
        <v>0</v>
      </c>
      <c r="O96" s="8">
        <v>2</v>
      </c>
      <c r="P96" s="5">
        <v>23</v>
      </c>
      <c r="Q96" s="5">
        <v>0</v>
      </c>
      <c r="R96" s="9">
        <v>0</v>
      </c>
      <c r="S96" s="5">
        <v>0</v>
      </c>
      <c r="T96" s="5">
        <v>0</v>
      </c>
    </row>
    <row r="97" spans="1:20" x14ac:dyDescent="0.2">
      <c r="A97" s="5" t="s">
        <v>76</v>
      </c>
      <c r="B97" s="5" t="s">
        <v>75</v>
      </c>
      <c r="C97" s="10" t="s">
        <v>804</v>
      </c>
      <c r="D97" s="7">
        <f t="shared" si="0"/>
        <v>4.0000000000000009</v>
      </c>
      <c r="E97" s="5">
        <v>0</v>
      </c>
      <c r="F97" s="5">
        <v>0</v>
      </c>
      <c r="G97" s="5">
        <v>0</v>
      </c>
      <c r="H97" s="5">
        <v>0</v>
      </c>
      <c r="I97" s="5">
        <v>0</v>
      </c>
      <c r="J97" s="9">
        <v>0</v>
      </c>
      <c r="K97" s="8">
        <v>13</v>
      </c>
      <c r="L97" s="5">
        <v>46</v>
      </c>
      <c r="M97" s="5">
        <v>0</v>
      </c>
      <c r="N97" s="9">
        <v>0</v>
      </c>
      <c r="O97" s="8">
        <v>1</v>
      </c>
      <c r="P97" s="5">
        <v>4</v>
      </c>
      <c r="Q97" s="5">
        <v>0</v>
      </c>
      <c r="R97" s="9">
        <v>0</v>
      </c>
      <c r="S97" s="5">
        <v>1</v>
      </c>
      <c r="T97" s="5">
        <v>0</v>
      </c>
    </row>
    <row r="98" spans="1:20" x14ac:dyDescent="0.2">
      <c r="A98" s="5" t="s">
        <v>145</v>
      </c>
      <c r="B98" s="5" t="s">
        <v>75</v>
      </c>
      <c r="C98" s="10" t="s">
        <v>798</v>
      </c>
      <c r="D98" s="7">
        <f t="shared" si="0"/>
        <v>5.6000000000000005</v>
      </c>
      <c r="E98" s="5">
        <v>0</v>
      </c>
      <c r="F98" s="5">
        <v>0</v>
      </c>
      <c r="G98" s="5">
        <v>0</v>
      </c>
      <c r="H98" s="5">
        <v>0</v>
      </c>
      <c r="I98" s="5">
        <v>0</v>
      </c>
      <c r="J98" s="9">
        <v>0</v>
      </c>
      <c r="K98" s="8">
        <v>4</v>
      </c>
      <c r="L98" s="5">
        <v>19</v>
      </c>
      <c r="M98" s="5">
        <v>0</v>
      </c>
      <c r="N98" s="9">
        <v>0</v>
      </c>
      <c r="O98" s="8">
        <v>2</v>
      </c>
      <c r="P98" s="5">
        <v>17</v>
      </c>
      <c r="Q98" s="5">
        <v>0</v>
      </c>
      <c r="R98" s="9">
        <v>0</v>
      </c>
      <c r="S98" s="5">
        <v>0</v>
      </c>
      <c r="T98" s="5">
        <v>0</v>
      </c>
    </row>
    <row r="99" spans="1:20" x14ac:dyDescent="0.2">
      <c r="A99" s="5" t="s">
        <v>88</v>
      </c>
      <c r="B99" s="5" t="s">
        <v>75</v>
      </c>
      <c r="C99" s="10" t="s">
        <v>805</v>
      </c>
      <c r="D99" s="7">
        <f t="shared" si="0"/>
        <v>4.2</v>
      </c>
      <c r="E99" s="5">
        <v>0</v>
      </c>
      <c r="F99" s="5">
        <v>0</v>
      </c>
      <c r="G99" s="5">
        <v>0</v>
      </c>
      <c r="H99" s="5">
        <v>0</v>
      </c>
      <c r="I99" s="5">
        <v>0</v>
      </c>
      <c r="J99" s="9">
        <v>0</v>
      </c>
      <c r="K99" s="8">
        <v>12</v>
      </c>
      <c r="L99" s="5">
        <v>42</v>
      </c>
      <c r="M99" s="5">
        <v>0</v>
      </c>
      <c r="N99" s="9">
        <v>0</v>
      </c>
      <c r="O99" s="8">
        <v>0</v>
      </c>
      <c r="P99" s="5">
        <v>0</v>
      </c>
      <c r="Q99" s="5">
        <v>0</v>
      </c>
      <c r="R99" s="9">
        <v>0</v>
      </c>
      <c r="S99" s="5">
        <v>0</v>
      </c>
      <c r="T99" s="5">
        <v>0</v>
      </c>
    </row>
    <row r="100" spans="1:20" x14ac:dyDescent="0.2">
      <c r="A100" s="5" t="s">
        <v>89</v>
      </c>
      <c r="B100" s="5" t="s">
        <v>75</v>
      </c>
      <c r="C100" s="10" t="s">
        <v>791</v>
      </c>
      <c r="D100" s="7">
        <f t="shared" si="0"/>
        <v>5</v>
      </c>
      <c r="E100" s="5">
        <v>0</v>
      </c>
      <c r="F100" s="5">
        <v>0</v>
      </c>
      <c r="G100" s="5">
        <v>0</v>
      </c>
      <c r="H100" s="5">
        <v>0</v>
      </c>
      <c r="I100" s="5">
        <v>0</v>
      </c>
      <c r="J100" s="9">
        <v>0</v>
      </c>
      <c r="K100" s="8">
        <v>3</v>
      </c>
      <c r="L100" s="5">
        <v>17</v>
      </c>
      <c r="M100" s="5">
        <v>0</v>
      </c>
      <c r="N100" s="9">
        <v>0</v>
      </c>
      <c r="O100" s="8">
        <v>2</v>
      </c>
      <c r="P100" s="5">
        <v>13</v>
      </c>
      <c r="Q100" s="5">
        <v>0</v>
      </c>
      <c r="R100" s="9">
        <v>0</v>
      </c>
      <c r="S100" s="5">
        <v>0</v>
      </c>
      <c r="T100" s="5">
        <v>0</v>
      </c>
    </row>
    <row r="101" spans="1:20" x14ac:dyDescent="0.2">
      <c r="A101" s="5" t="s">
        <v>98</v>
      </c>
      <c r="B101" s="5" t="s">
        <v>75</v>
      </c>
      <c r="C101" s="10" t="s">
        <v>804</v>
      </c>
      <c r="D101" s="7">
        <f t="shared" si="0"/>
        <v>4.5999999999999996</v>
      </c>
      <c r="E101" s="5">
        <v>0</v>
      </c>
      <c r="F101" s="5">
        <v>0</v>
      </c>
      <c r="G101" s="5">
        <v>0</v>
      </c>
      <c r="H101" s="5">
        <v>0</v>
      </c>
      <c r="I101" s="5">
        <v>0</v>
      </c>
      <c r="J101" s="9">
        <v>0</v>
      </c>
      <c r="K101" s="8">
        <v>4</v>
      </c>
      <c r="L101" s="5">
        <v>10</v>
      </c>
      <c r="M101" s="5">
        <v>0</v>
      </c>
      <c r="N101" s="9">
        <v>0</v>
      </c>
      <c r="O101" s="8">
        <v>2</v>
      </c>
      <c r="P101" s="5">
        <v>16</v>
      </c>
      <c r="Q101" s="5">
        <v>0</v>
      </c>
      <c r="R101" s="9">
        <v>0</v>
      </c>
      <c r="S101" s="5">
        <v>0</v>
      </c>
      <c r="T101" s="5">
        <v>0</v>
      </c>
    </row>
    <row r="102" spans="1:20" x14ac:dyDescent="0.2">
      <c r="A102" s="5" t="s">
        <v>94</v>
      </c>
      <c r="B102" s="5" t="s">
        <v>75</v>
      </c>
      <c r="C102" s="10" t="s">
        <v>806</v>
      </c>
      <c r="D102" s="7">
        <f t="shared" si="0"/>
        <v>4.2</v>
      </c>
      <c r="E102" s="5">
        <v>0</v>
      </c>
      <c r="F102" s="5">
        <v>0</v>
      </c>
      <c r="G102" s="5">
        <v>0</v>
      </c>
      <c r="H102" s="5">
        <v>0</v>
      </c>
      <c r="I102" s="5">
        <v>0</v>
      </c>
      <c r="J102" s="9">
        <v>0</v>
      </c>
      <c r="K102" s="8">
        <v>2</v>
      </c>
      <c r="L102" s="5">
        <v>10</v>
      </c>
      <c r="M102" s="5">
        <v>0</v>
      </c>
      <c r="N102" s="9">
        <v>0</v>
      </c>
      <c r="O102" s="8">
        <v>2</v>
      </c>
      <c r="P102" s="5">
        <v>12</v>
      </c>
      <c r="Q102" s="5">
        <v>0</v>
      </c>
      <c r="R102" s="9">
        <v>0</v>
      </c>
      <c r="S102" s="5">
        <v>0</v>
      </c>
      <c r="T102" s="5">
        <v>0</v>
      </c>
    </row>
    <row r="103" spans="1:20" x14ac:dyDescent="0.2">
      <c r="A103" s="5" t="s">
        <v>112</v>
      </c>
      <c r="B103" s="5" t="s">
        <v>75</v>
      </c>
      <c r="C103" s="10" t="s">
        <v>806</v>
      </c>
      <c r="D103" s="7">
        <f t="shared" si="0"/>
        <v>3.2</v>
      </c>
      <c r="E103" s="5">
        <v>0</v>
      </c>
      <c r="F103" s="5">
        <v>0</v>
      </c>
      <c r="G103" s="5">
        <v>0</v>
      </c>
      <c r="H103" s="5">
        <v>0</v>
      </c>
      <c r="I103" s="5">
        <v>0</v>
      </c>
      <c r="J103" s="9">
        <v>0</v>
      </c>
      <c r="K103" s="8">
        <v>10</v>
      </c>
      <c r="L103" s="5">
        <v>32</v>
      </c>
      <c r="M103" s="5">
        <v>0</v>
      </c>
      <c r="N103" s="9">
        <v>0</v>
      </c>
      <c r="O103" s="8">
        <v>0</v>
      </c>
      <c r="P103" s="5">
        <v>0</v>
      </c>
      <c r="Q103" s="5">
        <v>0</v>
      </c>
      <c r="R103" s="9">
        <v>0</v>
      </c>
      <c r="S103" s="5">
        <v>0</v>
      </c>
      <c r="T103" s="5">
        <v>0</v>
      </c>
    </row>
    <row r="104" spans="1:20" x14ac:dyDescent="0.2">
      <c r="A104" s="5" t="s">
        <v>393</v>
      </c>
      <c r="B104" s="5" t="s">
        <v>75</v>
      </c>
      <c r="C104" s="10" t="s">
        <v>804</v>
      </c>
      <c r="D104" s="7">
        <f t="shared" si="0"/>
        <v>2.9</v>
      </c>
      <c r="E104" s="5">
        <v>0</v>
      </c>
      <c r="F104" s="5">
        <v>0</v>
      </c>
      <c r="G104" s="5">
        <v>0</v>
      </c>
      <c r="H104" s="5">
        <v>0</v>
      </c>
      <c r="I104" s="5">
        <v>0</v>
      </c>
      <c r="J104" s="9">
        <v>0</v>
      </c>
      <c r="K104" s="8">
        <v>1</v>
      </c>
      <c r="L104" s="5">
        <v>-1</v>
      </c>
      <c r="M104" s="5">
        <v>0</v>
      </c>
      <c r="N104" s="9">
        <v>0</v>
      </c>
      <c r="O104" s="8">
        <v>2</v>
      </c>
      <c r="P104" s="5">
        <v>10</v>
      </c>
      <c r="Q104" s="5">
        <v>0</v>
      </c>
      <c r="R104" s="9">
        <v>0</v>
      </c>
      <c r="S104" s="5">
        <v>0</v>
      </c>
      <c r="T104" s="5">
        <v>0</v>
      </c>
    </row>
    <row r="105" spans="1:20" x14ac:dyDescent="0.2">
      <c r="A105" s="5" t="s">
        <v>140</v>
      </c>
      <c r="B105" s="5" t="s">
        <v>75</v>
      </c>
      <c r="C105" s="10" t="s">
        <v>791</v>
      </c>
      <c r="D105" s="7">
        <f t="shared" si="0"/>
        <v>3</v>
      </c>
      <c r="E105" s="5">
        <v>0</v>
      </c>
      <c r="F105" s="5">
        <v>0</v>
      </c>
      <c r="G105" s="5">
        <v>0</v>
      </c>
      <c r="H105" s="5">
        <v>0</v>
      </c>
      <c r="I105" s="5">
        <v>0</v>
      </c>
      <c r="J105" s="9">
        <v>0</v>
      </c>
      <c r="K105" s="8">
        <v>8</v>
      </c>
      <c r="L105" s="5">
        <v>30</v>
      </c>
      <c r="M105" s="5">
        <v>0</v>
      </c>
      <c r="N105" s="9">
        <v>0</v>
      </c>
      <c r="O105" s="8">
        <v>0</v>
      </c>
      <c r="P105" s="5">
        <v>0</v>
      </c>
      <c r="Q105" s="5">
        <v>0</v>
      </c>
      <c r="R105" s="9">
        <v>0</v>
      </c>
      <c r="S105" s="5">
        <v>0</v>
      </c>
      <c r="T105" s="5">
        <v>0</v>
      </c>
    </row>
    <row r="106" spans="1:20" x14ac:dyDescent="0.2">
      <c r="A106" s="5" t="s">
        <v>380</v>
      </c>
      <c r="B106" s="5" t="s">
        <v>75</v>
      </c>
      <c r="C106" s="10" t="s">
        <v>795</v>
      </c>
      <c r="D106" s="7">
        <f t="shared" si="0"/>
        <v>3.2</v>
      </c>
      <c r="E106" s="5">
        <v>0</v>
      </c>
      <c r="F106" s="5">
        <v>0</v>
      </c>
      <c r="G106" s="5">
        <v>0</v>
      </c>
      <c r="H106" s="5">
        <v>0</v>
      </c>
      <c r="I106" s="5">
        <v>0</v>
      </c>
      <c r="J106" s="9">
        <v>0</v>
      </c>
      <c r="K106" s="8">
        <v>1</v>
      </c>
      <c r="L106" s="5">
        <v>4</v>
      </c>
      <c r="M106" s="5">
        <v>0</v>
      </c>
      <c r="N106" s="9">
        <v>0</v>
      </c>
      <c r="O106" s="8">
        <v>1</v>
      </c>
      <c r="P106" s="5">
        <v>18</v>
      </c>
      <c r="Q106" s="5">
        <v>0</v>
      </c>
      <c r="R106" s="9">
        <v>0</v>
      </c>
      <c r="S106" s="5">
        <v>0</v>
      </c>
      <c r="T106" s="5">
        <v>0</v>
      </c>
    </row>
    <row r="107" spans="1:20" x14ac:dyDescent="0.2">
      <c r="A107" s="5" t="s">
        <v>122</v>
      </c>
      <c r="B107" s="5" t="s">
        <v>75</v>
      </c>
      <c r="C107" s="10" t="s">
        <v>791</v>
      </c>
      <c r="D107" s="7">
        <f t="shared" si="0"/>
        <v>2.7</v>
      </c>
      <c r="E107" s="5">
        <v>0</v>
      </c>
      <c r="F107" s="5">
        <v>0</v>
      </c>
      <c r="G107" s="5">
        <v>0</v>
      </c>
      <c r="H107" s="5">
        <v>0</v>
      </c>
      <c r="I107" s="5">
        <v>0</v>
      </c>
      <c r="J107" s="9">
        <v>0</v>
      </c>
      <c r="K107" s="8">
        <v>7</v>
      </c>
      <c r="L107" s="5">
        <v>27</v>
      </c>
      <c r="M107" s="5">
        <v>0</v>
      </c>
      <c r="N107" s="9">
        <v>0</v>
      </c>
      <c r="O107" s="8">
        <v>0</v>
      </c>
      <c r="P107" s="5">
        <v>0</v>
      </c>
      <c r="Q107" s="5">
        <v>0</v>
      </c>
      <c r="R107" s="9">
        <v>0</v>
      </c>
      <c r="S107" s="5">
        <v>0</v>
      </c>
      <c r="T107" s="5">
        <v>0</v>
      </c>
    </row>
    <row r="108" spans="1:20" x14ac:dyDescent="0.2">
      <c r="A108" s="5" t="s">
        <v>118</v>
      </c>
      <c r="B108" s="5" t="s">
        <v>75</v>
      </c>
      <c r="C108" s="10" t="s">
        <v>790</v>
      </c>
      <c r="D108" s="7">
        <f t="shared" si="0"/>
        <v>2.8</v>
      </c>
      <c r="E108" s="5">
        <v>0</v>
      </c>
      <c r="F108" s="5">
        <v>0</v>
      </c>
      <c r="G108" s="5">
        <v>0</v>
      </c>
      <c r="H108" s="5">
        <v>0</v>
      </c>
      <c r="I108" s="5">
        <v>0</v>
      </c>
      <c r="J108" s="9">
        <v>0</v>
      </c>
      <c r="K108" s="8">
        <v>0</v>
      </c>
      <c r="L108" s="5">
        <v>0</v>
      </c>
      <c r="M108" s="5">
        <v>0</v>
      </c>
      <c r="N108" s="9">
        <v>0</v>
      </c>
      <c r="O108" s="8">
        <v>1</v>
      </c>
      <c r="P108" s="5">
        <v>18</v>
      </c>
      <c r="Q108" s="5">
        <v>0</v>
      </c>
      <c r="R108" s="9">
        <v>0</v>
      </c>
      <c r="S108" s="5">
        <v>0</v>
      </c>
      <c r="T108" s="5">
        <v>0</v>
      </c>
    </row>
    <row r="109" spans="1:20" x14ac:dyDescent="0.2">
      <c r="A109" s="5" t="s">
        <v>655</v>
      </c>
      <c r="B109" s="5" t="s">
        <v>75</v>
      </c>
      <c r="C109" s="10" t="s">
        <v>799</v>
      </c>
      <c r="D109" s="7">
        <f t="shared" si="0"/>
        <v>2.2000000000000002</v>
      </c>
      <c r="E109" s="5">
        <v>0</v>
      </c>
      <c r="F109" s="5">
        <v>0</v>
      </c>
      <c r="G109" s="5">
        <v>0</v>
      </c>
      <c r="H109" s="5">
        <v>0</v>
      </c>
      <c r="I109" s="5">
        <v>0</v>
      </c>
      <c r="J109" s="9">
        <v>0</v>
      </c>
      <c r="K109" s="8">
        <v>5</v>
      </c>
      <c r="L109" s="5">
        <v>22</v>
      </c>
      <c r="M109" s="5">
        <v>0</v>
      </c>
      <c r="N109" s="9">
        <v>0</v>
      </c>
      <c r="O109" s="8">
        <v>0</v>
      </c>
      <c r="P109" s="5">
        <v>0</v>
      </c>
      <c r="Q109" s="5">
        <v>0</v>
      </c>
      <c r="R109" s="9">
        <v>0</v>
      </c>
      <c r="S109" s="5">
        <v>0</v>
      </c>
      <c r="T109" s="5">
        <v>0</v>
      </c>
    </row>
    <row r="110" spans="1:20" x14ac:dyDescent="0.2">
      <c r="A110" s="5" t="s">
        <v>120</v>
      </c>
      <c r="B110" s="5" t="s">
        <v>75</v>
      </c>
      <c r="C110" s="10" t="s">
        <v>805</v>
      </c>
      <c r="D110" s="7">
        <f t="shared" si="0"/>
        <v>3.1</v>
      </c>
      <c r="E110" s="5">
        <v>0</v>
      </c>
      <c r="F110" s="5">
        <v>0</v>
      </c>
      <c r="G110" s="5">
        <v>0</v>
      </c>
      <c r="H110" s="5">
        <v>0</v>
      </c>
      <c r="I110" s="5">
        <v>0</v>
      </c>
      <c r="J110" s="9">
        <v>0</v>
      </c>
      <c r="K110" s="8">
        <v>8</v>
      </c>
      <c r="L110" s="5">
        <v>16</v>
      </c>
      <c r="M110" s="5">
        <v>0</v>
      </c>
      <c r="N110" s="9">
        <v>0</v>
      </c>
      <c r="O110" s="8">
        <v>1</v>
      </c>
      <c r="P110" s="5">
        <v>5</v>
      </c>
      <c r="Q110" s="5">
        <v>0</v>
      </c>
      <c r="R110" s="9">
        <v>0</v>
      </c>
      <c r="S110" s="5">
        <v>0</v>
      </c>
      <c r="T110" s="5">
        <v>0</v>
      </c>
    </row>
    <row r="111" spans="1:20" x14ac:dyDescent="0.2">
      <c r="A111" s="5" t="s">
        <v>159</v>
      </c>
      <c r="B111" s="5" t="s">
        <v>75</v>
      </c>
      <c r="C111" s="10" t="s">
        <v>796</v>
      </c>
      <c r="D111" s="7">
        <f t="shared" si="0"/>
        <v>2.2000000000000002</v>
      </c>
      <c r="E111" s="5">
        <v>0</v>
      </c>
      <c r="F111" s="5">
        <v>0</v>
      </c>
      <c r="G111" s="5">
        <v>0</v>
      </c>
      <c r="H111" s="5">
        <v>0</v>
      </c>
      <c r="I111" s="5">
        <v>0</v>
      </c>
      <c r="J111" s="9">
        <v>0</v>
      </c>
      <c r="K111" s="8">
        <v>2</v>
      </c>
      <c r="L111" s="5">
        <v>2</v>
      </c>
      <c r="M111" s="5">
        <v>0</v>
      </c>
      <c r="N111" s="9">
        <v>0</v>
      </c>
      <c r="O111" s="8">
        <v>1</v>
      </c>
      <c r="P111" s="5">
        <v>10</v>
      </c>
      <c r="Q111" s="5">
        <v>0</v>
      </c>
      <c r="R111" s="9">
        <v>0</v>
      </c>
      <c r="S111" s="5">
        <v>0</v>
      </c>
      <c r="T111" s="5">
        <v>0</v>
      </c>
    </row>
    <row r="112" spans="1:20" x14ac:dyDescent="0.2">
      <c r="A112" s="5" t="s">
        <v>426</v>
      </c>
      <c r="B112" s="5" t="s">
        <v>75</v>
      </c>
      <c r="C112" s="10" t="s">
        <v>793</v>
      </c>
      <c r="D112" s="7">
        <f t="shared" si="0"/>
        <v>1.8</v>
      </c>
      <c r="E112" s="5">
        <v>0</v>
      </c>
      <c r="F112" s="5">
        <v>0</v>
      </c>
      <c r="G112" s="5">
        <v>0</v>
      </c>
      <c r="H112" s="5">
        <v>0</v>
      </c>
      <c r="I112" s="5">
        <v>0</v>
      </c>
      <c r="J112" s="9">
        <v>0</v>
      </c>
      <c r="K112" s="8">
        <v>0</v>
      </c>
      <c r="L112" s="5">
        <v>0</v>
      </c>
      <c r="M112" s="5">
        <v>0</v>
      </c>
      <c r="N112" s="9">
        <v>0</v>
      </c>
      <c r="O112" s="8">
        <v>1</v>
      </c>
      <c r="P112" s="5">
        <v>8</v>
      </c>
      <c r="Q112" s="5">
        <v>0</v>
      </c>
      <c r="R112" s="9">
        <v>0</v>
      </c>
      <c r="S112" s="5">
        <v>0</v>
      </c>
      <c r="T112" s="5">
        <v>0</v>
      </c>
    </row>
    <row r="113" spans="1:20" x14ac:dyDescent="0.2">
      <c r="A113" s="5" t="s">
        <v>424</v>
      </c>
      <c r="B113" s="5" t="s">
        <v>75</v>
      </c>
      <c r="C113" s="10" t="s">
        <v>790</v>
      </c>
      <c r="D113" s="7">
        <f t="shared" si="0"/>
        <v>1.2000000000000002</v>
      </c>
      <c r="E113" s="5">
        <v>0</v>
      </c>
      <c r="F113" s="5">
        <v>0</v>
      </c>
      <c r="G113" s="5">
        <v>0</v>
      </c>
      <c r="H113" s="5">
        <v>0</v>
      </c>
      <c r="I113" s="5">
        <v>0</v>
      </c>
      <c r="J113" s="9">
        <v>0</v>
      </c>
      <c r="K113" s="8">
        <v>4</v>
      </c>
      <c r="L113" s="5">
        <v>12</v>
      </c>
      <c r="M113" s="5">
        <v>0</v>
      </c>
      <c r="N113" s="9">
        <v>0</v>
      </c>
      <c r="O113" s="8">
        <v>0</v>
      </c>
      <c r="P113" s="5">
        <v>0</v>
      </c>
      <c r="Q113" s="5">
        <v>0</v>
      </c>
      <c r="R113" s="9">
        <v>0</v>
      </c>
      <c r="S113" s="5">
        <v>0</v>
      </c>
      <c r="T113" s="5">
        <v>0</v>
      </c>
    </row>
    <row r="114" spans="1:20" x14ac:dyDescent="0.2">
      <c r="A114" s="5" t="s">
        <v>370</v>
      </c>
      <c r="B114" s="5" t="s">
        <v>75</v>
      </c>
      <c r="C114" s="10" t="s">
        <v>792</v>
      </c>
      <c r="D114" s="7">
        <f t="shared" si="0"/>
        <v>1.9</v>
      </c>
      <c r="E114" s="5">
        <v>0</v>
      </c>
      <c r="F114" s="5">
        <v>0</v>
      </c>
      <c r="G114" s="5">
        <v>0</v>
      </c>
      <c r="H114" s="5">
        <v>0</v>
      </c>
      <c r="I114" s="5">
        <v>0</v>
      </c>
      <c r="J114" s="9">
        <v>0</v>
      </c>
      <c r="K114" s="8">
        <v>0</v>
      </c>
      <c r="L114" s="5">
        <v>0</v>
      </c>
      <c r="M114" s="5">
        <v>0</v>
      </c>
      <c r="N114" s="9">
        <v>0</v>
      </c>
      <c r="O114" s="8">
        <v>1</v>
      </c>
      <c r="P114" s="5">
        <v>9</v>
      </c>
      <c r="Q114" s="5">
        <v>0</v>
      </c>
      <c r="R114" s="9">
        <v>0</v>
      </c>
      <c r="S114" s="5">
        <v>0</v>
      </c>
      <c r="T114" s="5">
        <v>0</v>
      </c>
    </row>
    <row r="115" spans="1:20" x14ac:dyDescent="0.2">
      <c r="A115" s="5" t="s">
        <v>519</v>
      </c>
      <c r="B115" s="5" t="s">
        <v>75</v>
      </c>
      <c r="C115" s="10" t="s">
        <v>801</v>
      </c>
      <c r="D115" s="7">
        <f t="shared" si="0"/>
        <v>1.8</v>
      </c>
      <c r="E115" s="5">
        <v>0</v>
      </c>
      <c r="F115" s="5">
        <v>0</v>
      </c>
      <c r="G115" s="5">
        <v>0</v>
      </c>
      <c r="H115" s="5">
        <v>0</v>
      </c>
      <c r="I115" s="5">
        <v>0</v>
      </c>
      <c r="J115" s="9">
        <v>0</v>
      </c>
      <c r="K115" s="8">
        <v>1</v>
      </c>
      <c r="L115" s="5">
        <v>2</v>
      </c>
      <c r="M115" s="5">
        <v>0</v>
      </c>
      <c r="N115" s="9">
        <v>0</v>
      </c>
      <c r="O115" s="8">
        <v>1</v>
      </c>
      <c r="P115" s="5">
        <v>6</v>
      </c>
      <c r="Q115" s="5">
        <v>0</v>
      </c>
      <c r="R115" s="9">
        <v>0</v>
      </c>
      <c r="S115" s="5">
        <v>0</v>
      </c>
      <c r="T115" s="5">
        <v>0</v>
      </c>
    </row>
    <row r="116" spans="1:20" x14ac:dyDescent="0.2">
      <c r="A116" s="5" t="s">
        <v>499</v>
      </c>
      <c r="B116" s="5" t="s">
        <v>75</v>
      </c>
      <c r="C116" s="10" t="s">
        <v>800</v>
      </c>
      <c r="D116" s="7">
        <f t="shared" si="0"/>
        <v>2.4000000000000004</v>
      </c>
      <c r="E116" s="5">
        <v>0</v>
      </c>
      <c r="F116" s="5">
        <v>0</v>
      </c>
      <c r="G116" s="5">
        <v>0</v>
      </c>
      <c r="H116" s="5">
        <v>0</v>
      </c>
      <c r="I116" s="5">
        <v>0</v>
      </c>
      <c r="J116" s="9">
        <v>0</v>
      </c>
      <c r="K116" s="8">
        <v>1</v>
      </c>
      <c r="L116" s="5">
        <v>7</v>
      </c>
      <c r="M116" s="5">
        <v>0</v>
      </c>
      <c r="N116" s="9">
        <v>0</v>
      </c>
      <c r="O116" s="8">
        <v>1</v>
      </c>
      <c r="P116" s="5">
        <v>7</v>
      </c>
      <c r="Q116" s="5">
        <v>0</v>
      </c>
      <c r="R116" s="9">
        <v>0</v>
      </c>
      <c r="S116" s="5">
        <v>0</v>
      </c>
      <c r="T116" s="5">
        <v>0</v>
      </c>
    </row>
    <row r="117" spans="1:20" x14ac:dyDescent="0.2">
      <c r="A117" s="5" t="s">
        <v>383</v>
      </c>
      <c r="B117" s="5" t="s">
        <v>75</v>
      </c>
      <c r="C117" s="10" t="s">
        <v>801</v>
      </c>
      <c r="D117" s="7">
        <f t="shared" si="0"/>
        <v>1.4</v>
      </c>
      <c r="E117" s="5">
        <v>0</v>
      </c>
      <c r="F117" s="5">
        <v>0</v>
      </c>
      <c r="G117" s="5">
        <v>0</v>
      </c>
      <c r="H117" s="5">
        <v>0</v>
      </c>
      <c r="I117" s="5">
        <v>0</v>
      </c>
      <c r="J117" s="9">
        <v>0</v>
      </c>
      <c r="K117" s="8">
        <v>0</v>
      </c>
      <c r="L117" s="5">
        <v>0</v>
      </c>
      <c r="M117" s="5">
        <v>0</v>
      </c>
      <c r="N117" s="9">
        <v>0</v>
      </c>
      <c r="O117" s="8">
        <v>1</v>
      </c>
      <c r="P117" s="5">
        <v>4</v>
      </c>
      <c r="Q117" s="5">
        <v>0</v>
      </c>
      <c r="R117" s="9">
        <v>0</v>
      </c>
      <c r="S117" s="5">
        <v>0</v>
      </c>
      <c r="T117" s="5">
        <v>0</v>
      </c>
    </row>
    <row r="118" spans="1:20" x14ac:dyDescent="0.2">
      <c r="A118" s="5" t="s">
        <v>356</v>
      </c>
      <c r="B118" s="5" t="s">
        <v>75</v>
      </c>
      <c r="C118" s="10" t="s">
        <v>793</v>
      </c>
      <c r="D118" s="7">
        <f t="shared" si="0"/>
        <v>0.90000000000000036</v>
      </c>
      <c r="E118" s="5">
        <v>0</v>
      </c>
      <c r="F118" s="5">
        <v>0</v>
      </c>
      <c r="G118" s="5">
        <v>0</v>
      </c>
      <c r="H118" s="5">
        <v>0</v>
      </c>
      <c r="I118" s="5">
        <v>0</v>
      </c>
      <c r="J118" s="9">
        <v>0</v>
      </c>
      <c r="K118" s="8">
        <v>4</v>
      </c>
      <c r="L118" s="5">
        <v>29</v>
      </c>
      <c r="M118" s="5">
        <v>0</v>
      </c>
      <c r="N118" s="9">
        <v>0</v>
      </c>
      <c r="O118" s="8">
        <v>0</v>
      </c>
      <c r="P118" s="5">
        <v>0</v>
      </c>
      <c r="Q118" s="5">
        <v>0</v>
      </c>
      <c r="R118" s="9">
        <v>0</v>
      </c>
      <c r="S118" s="5">
        <v>1</v>
      </c>
      <c r="T118" s="5">
        <v>0</v>
      </c>
    </row>
    <row r="119" spans="1:20" x14ac:dyDescent="0.2">
      <c r="A119" s="5" t="s">
        <v>808</v>
      </c>
      <c r="B119" s="5" t="s">
        <v>75</v>
      </c>
      <c r="C119" s="10" t="s">
        <v>805</v>
      </c>
      <c r="D119" s="7">
        <f t="shared" si="0"/>
        <v>1.1000000000000001</v>
      </c>
      <c r="E119" s="5">
        <v>0</v>
      </c>
      <c r="F119" s="5">
        <v>0</v>
      </c>
      <c r="G119" s="5">
        <v>0</v>
      </c>
      <c r="H119" s="5">
        <v>0</v>
      </c>
      <c r="I119" s="5">
        <v>0</v>
      </c>
      <c r="J119" s="9">
        <v>0</v>
      </c>
      <c r="K119" s="8">
        <v>3</v>
      </c>
      <c r="L119" s="5">
        <v>11</v>
      </c>
      <c r="M119" s="5">
        <v>0</v>
      </c>
      <c r="N119" s="9">
        <v>0</v>
      </c>
      <c r="O119" s="8">
        <v>0</v>
      </c>
      <c r="P119" s="5">
        <v>0</v>
      </c>
      <c r="Q119" s="5">
        <v>0</v>
      </c>
      <c r="R119" s="9">
        <v>0</v>
      </c>
      <c r="S119" s="5">
        <v>0</v>
      </c>
      <c r="T119" s="5">
        <v>0</v>
      </c>
    </row>
    <row r="120" spans="1:20" x14ac:dyDescent="0.2">
      <c r="A120" s="5" t="s">
        <v>760</v>
      </c>
      <c r="B120" s="5" t="s">
        <v>75</v>
      </c>
      <c r="C120" s="10" t="s">
        <v>795</v>
      </c>
      <c r="D120" s="7">
        <f t="shared" si="0"/>
        <v>0.60000000000000009</v>
      </c>
      <c r="E120" s="5">
        <v>0</v>
      </c>
      <c r="F120" s="5">
        <v>0</v>
      </c>
      <c r="G120" s="5">
        <v>0</v>
      </c>
      <c r="H120" s="5">
        <v>0</v>
      </c>
      <c r="I120" s="5">
        <v>0</v>
      </c>
      <c r="J120" s="9">
        <v>0</v>
      </c>
      <c r="K120" s="8">
        <v>2</v>
      </c>
      <c r="L120" s="5">
        <v>6</v>
      </c>
      <c r="M120" s="5">
        <v>0</v>
      </c>
      <c r="N120" s="9">
        <v>0</v>
      </c>
      <c r="O120" s="8">
        <v>0</v>
      </c>
      <c r="P120" s="5">
        <v>0</v>
      </c>
      <c r="Q120" s="5">
        <v>0</v>
      </c>
      <c r="R120" s="9">
        <v>0</v>
      </c>
      <c r="S120" s="5">
        <v>0</v>
      </c>
      <c r="T120" s="5">
        <v>0</v>
      </c>
    </row>
    <row r="121" spans="1:20" x14ac:dyDescent="0.2">
      <c r="A121" s="5" t="s">
        <v>716</v>
      </c>
      <c r="B121" s="5" t="s">
        <v>75</v>
      </c>
      <c r="C121" s="10" t="s">
        <v>795</v>
      </c>
      <c r="D121" s="7">
        <f t="shared" si="0"/>
        <v>0.30000000000000004</v>
      </c>
      <c r="E121" s="5">
        <v>0</v>
      </c>
      <c r="F121" s="5">
        <v>0</v>
      </c>
      <c r="G121" s="5">
        <v>0</v>
      </c>
      <c r="H121" s="5">
        <v>0</v>
      </c>
      <c r="I121" s="5">
        <v>0</v>
      </c>
      <c r="J121" s="9">
        <v>0</v>
      </c>
      <c r="K121" s="8">
        <v>1</v>
      </c>
      <c r="L121" s="5">
        <v>3</v>
      </c>
      <c r="M121" s="5">
        <v>0</v>
      </c>
      <c r="N121" s="9">
        <v>0</v>
      </c>
      <c r="O121" s="8">
        <v>0</v>
      </c>
      <c r="P121" s="5">
        <v>0</v>
      </c>
      <c r="Q121" s="5">
        <v>0</v>
      </c>
      <c r="R121" s="9">
        <v>0</v>
      </c>
      <c r="S121" s="5">
        <v>0</v>
      </c>
      <c r="T121" s="5">
        <v>0</v>
      </c>
    </row>
    <row r="122" spans="1:20" x14ac:dyDescent="0.2">
      <c r="A122" s="5" t="s">
        <v>156</v>
      </c>
      <c r="B122" s="5" t="s">
        <v>75</v>
      </c>
      <c r="C122" s="10" t="s">
        <v>806</v>
      </c>
      <c r="D122" s="7">
        <f t="shared" si="0"/>
        <v>0</v>
      </c>
      <c r="E122" s="5">
        <v>0</v>
      </c>
      <c r="F122" s="5">
        <v>0</v>
      </c>
      <c r="G122" s="5">
        <v>0</v>
      </c>
      <c r="H122" s="5">
        <v>0</v>
      </c>
      <c r="I122" s="5">
        <v>0</v>
      </c>
      <c r="J122" s="9">
        <v>0</v>
      </c>
      <c r="K122" s="8">
        <v>3</v>
      </c>
      <c r="L122" s="5">
        <v>0</v>
      </c>
      <c r="M122" s="5">
        <v>0</v>
      </c>
      <c r="N122" s="9">
        <v>0</v>
      </c>
      <c r="O122" s="8">
        <v>0</v>
      </c>
      <c r="P122" s="5">
        <v>0</v>
      </c>
      <c r="Q122" s="5">
        <v>0</v>
      </c>
      <c r="R122" s="9">
        <v>0</v>
      </c>
      <c r="S122" s="5">
        <v>0</v>
      </c>
      <c r="T122" s="5">
        <v>0</v>
      </c>
    </row>
    <row r="123" spans="1:20" x14ac:dyDescent="0.2">
      <c r="A123" s="5" t="s">
        <v>86</v>
      </c>
      <c r="B123" s="5" t="s">
        <v>75</v>
      </c>
      <c r="C123" s="10" t="s">
        <v>804</v>
      </c>
      <c r="D123" s="7">
        <f t="shared" si="0"/>
        <v>0.2</v>
      </c>
      <c r="E123" s="5">
        <v>0</v>
      </c>
      <c r="F123" s="5">
        <v>0</v>
      </c>
      <c r="G123" s="5">
        <v>0</v>
      </c>
      <c r="H123" s="5">
        <v>0</v>
      </c>
      <c r="I123" s="5">
        <v>0</v>
      </c>
      <c r="J123" s="9">
        <v>0</v>
      </c>
      <c r="K123" s="8">
        <v>2</v>
      </c>
      <c r="L123" s="5">
        <v>2</v>
      </c>
      <c r="M123" s="5">
        <v>0</v>
      </c>
      <c r="N123" s="9">
        <v>0</v>
      </c>
      <c r="O123" s="8">
        <v>0</v>
      </c>
      <c r="P123" s="5">
        <v>0</v>
      </c>
      <c r="Q123" s="5">
        <v>0</v>
      </c>
      <c r="R123" s="9">
        <v>0</v>
      </c>
      <c r="S123" s="5">
        <v>0</v>
      </c>
      <c r="T123" s="5">
        <v>0</v>
      </c>
    </row>
    <row r="124" spans="1:20" x14ac:dyDescent="0.2">
      <c r="A124" s="5" t="s">
        <v>451</v>
      </c>
      <c r="B124" s="5" t="s">
        <v>75</v>
      </c>
      <c r="C124" s="10" t="s">
        <v>798</v>
      </c>
      <c r="D124" s="7">
        <f t="shared" si="0"/>
        <v>0.30000000000000004</v>
      </c>
      <c r="E124" s="5">
        <v>0</v>
      </c>
      <c r="F124" s="5">
        <v>0</v>
      </c>
      <c r="G124" s="5">
        <v>0</v>
      </c>
      <c r="H124" s="5">
        <v>0</v>
      </c>
      <c r="I124" s="5">
        <v>0</v>
      </c>
      <c r="J124" s="9">
        <v>0</v>
      </c>
      <c r="K124" s="8">
        <v>2</v>
      </c>
      <c r="L124" s="5">
        <v>3</v>
      </c>
      <c r="M124" s="5">
        <v>0</v>
      </c>
      <c r="N124" s="9">
        <v>0</v>
      </c>
      <c r="O124" s="8">
        <v>0</v>
      </c>
      <c r="P124" s="5">
        <v>0</v>
      </c>
      <c r="Q124" s="5">
        <v>0</v>
      </c>
      <c r="R124" s="9">
        <v>0</v>
      </c>
      <c r="S124" s="5">
        <v>0</v>
      </c>
      <c r="T124" s="5">
        <v>0</v>
      </c>
    </row>
    <row r="125" spans="1:20" x14ac:dyDescent="0.2">
      <c r="A125" s="5" t="s">
        <v>149</v>
      </c>
      <c r="B125" s="5" t="s">
        <v>75</v>
      </c>
      <c r="C125" s="10" t="s">
        <v>799</v>
      </c>
      <c r="D125" s="7">
        <f t="shared" si="0"/>
        <v>0</v>
      </c>
      <c r="E125" s="5">
        <v>0</v>
      </c>
      <c r="F125" s="5">
        <v>0</v>
      </c>
      <c r="G125" s="5">
        <v>0</v>
      </c>
      <c r="H125" s="5">
        <v>0</v>
      </c>
      <c r="I125" s="5">
        <v>0</v>
      </c>
      <c r="J125" s="9">
        <v>0</v>
      </c>
      <c r="K125" s="8">
        <v>1</v>
      </c>
      <c r="L125" s="5">
        <v>0</v>
      </c>
      <c r="M125" s="5">
        <v>0</v>
      </c>
      <c r="N125" s="9">
        <v>0</v>
      </c>
      <c r="O125" s="8">
        <v>0</v>
      </c>
      <c r="P125" s="5">
        <v>0</v>
      </c>
      <c r="Q125" s="5">
        <v>0</v>
      </c>
      <c r="R125" s="9">
        <v>0</v>
      </c>
      <c r="S125" s="5">
        <v>0</v>
      </c>
      <c r="T125" s="5">
        <v>0</v>
      </c>
    </row>
    <row r="126" spans="1:20" x14ac:dyDescent="0.2">
      <c r="A126" s="5" t="s">
        <v>392</v>
      </c>
      <c r="B126" s="5" t="s">
        <v>75</v>
      </c>
      <c r="C126" s="10" t="s">
        <v>805</v>
      </c>
      <c r="D126" s="7">
        <f t="shared" si="0"/>
        <v>0</v>
      </c>
      <c r="E126" s="5">
        <v>0</v>
      </c>
      <c r="F126" s="5">
        <v>0</v>
      </c>
      <c r="G126" s="5">
        <v>0</v>
      </c>
      <c r="H126" s="5">
        <v>0</v>
      </c>
      <c r="I126" s="5">
        <v>0</v>
      </c>
      <c r="J126" s="9">
        <v>0</v>
      </c>
      <c r="K126" s="8">
        <v>1</v>
      </c>
      <c r="L126" s="5">
        <v>0</v>
      </c>
      <c r="M126" s="5">
        <v>0</v>
      </c>
      <c r="N126" s="9">
        <v>0</v>
      </c>
      <c r="O126" s="8">
        <v>0</v>
      </c>
      <c r="P126" s="5">
        <v>0</v>
      </c>
      <c r="Q126" s="5">
        <v>0</v>
      </c>
      <c r="R126" s="9">
        <v>0</v>
      </c>
      <c r="S126" s="5">
        <v>0</v>
      </c>
      <c r="T126" s="5">
        <v>0</v>
      </c>
    </row>
    <row r="127" spans="1:20" x14ac:dyDescent="0.2">
      <c r="A127" s="5" t="s">
        <v>160</v>
      </c>
      <c r="B127" s="5" t="s">
        <v>75</v>
      </c>
      <c r="C127" s="10" t="s">
        <v>797</v>
      </c>
      <c r="D127" s="7">
        <f t="shared" si="0"/>
        <v>0.2</v>
      </c>
      <c r="E127" s="5">
        <v>0</v>
      </c>
      <c r="F127" s="5">
        <v>0</v>
      </c>
      <c r="G127" s="5">
        <v>0</v>
      </c>
      <c r="H127" s="5">
        <v>0</v>
      </c>
      <c r="I127" s="5">
        <v>0</v>
      </c>
      <c r="J127" s="9">
        <v>0</v>
      </c>
      <c r="K127" s="8">
        <v>1</v>
      </c>
      <c r="L127" s="5">
        <v>2</v>
      </c>
      <c r="M127" s="5">
        <v>0</v>
      </c>
      <c r="N127" s="9">
        <v>0</v>
      </c>
      <c r="O127" s="8">
        <v>0</v>
      </c>
      <c r="P127" s="5">
        <v>0</v>
      </c>
      <c r="Q127" s="5">
        <v>0</v>
      </c>
      <c r="R127" s="9">
        <v>0</v>
      </c>
      <c r="S127" s="5">
        <v>0</v>
      </c>
      <c r="T127" s="5">
        <v>0</v>
      </c>
    </row>
    <row r="128" spans="1:20" x14ac:dyDescent="0.2">
      <c r="A128" s="5" t="s">
        <v>192</v>
      </c>
      <c r="B128" s="5" t="s">
        <v>162</v>
      </c>
      <c r="C128" s="10" t="s">
        <v>796</v>
      </c>
      <c r="D128" s="7">
        <f t="shared" si="0"/>
        <v>40.200000000000003</v>
      </c>
      <c r="E128" s="5">
        <v>0</v>
      </c>
      <c r="F128" s="5">
        <v>0</v>
      </c>
      <c r="G128" s="5">
        <v>0</v>
      </c>
      <c r="H128" s="5">
        <v>0</v>
      </c>
      <c r="I128" s="5">
        <v>0</v>
      </c>
      <c r="J128" s="9">
        <v>0</v>
      </c>
      <c r="K128" s="8">
        <v>1</v>
      </c>
      <c r="L128" s="5">
        <v>5</v>
      </c>
      <c r="M128" s="5">
        <v>0</v>
      </c>
      <c r="N128" s="9">
        <v>0</v>
      </c>
      <c r="O128" s="8">
        <v>13</v>
      </c>
      <c r="P128" s="5">
        <v>227</v>
      </c>
      <c r="Q128" s="5">
        <v>1</v>
      </c>
      <c r="R128" s="9">
        <v>0</v>
      </c>
      <c r="S128" s="5">
        <v>1</v>
      </c>
      <c r="T128" s="5">
        <v>0</v>
      </c>
    </row>
    <row r="129" spans="1:20" x14ac:dyDescent="0.2">
      <c r="A129" s="5" t="s">
        <v>190</v>
      </c>
      <c r="B129" s="5" t="s">
        <v>162</v>
      </c>
      <c r="C129" s="10" t="s">
        <v>795</v>
      </c>
      <c r="D129" s="7">
        <f t="shared" si="0"/>
        <v>37.6</v>
      </c>
      <c r="E129" s="5">
        <v>0</v>
      </c>
      <c r="F129" s="5">
        <v>0</v>
      </c>
      <c r="G129" s="5">
        <v>0</v>
      </c>
      <c r="H129" s="5">
        <v>0</v>
      </c>
      <c r="I129" s="5">
        <v>0</v>
      </c>
      <c r="J129" s="9">
        <v>0</v>
      </c>
      <c r="K129" s="8">
        <v>0</v>
      </c>
      <c r="L129" s="5">
        <v>0</v>
      </c>
      <c r="M129" s="5">
        <v>0</v>
      </c>
      <c r="N129" s="9">
        <v>0</v>
      </c>
      <c r="O129" s="8">
        <v>13</v>
      </c>
      <c r="P129" s="5">
        <v>126</v>
      </c>
      <c r="Q129" s="5">
        <v>2</v>
      </c>
      <c r="R129" s="9">
        <v>0</v>
      </c>
      <c r="S129" s="5">
        <v>0</v>
      </c>
      <c r="T129" s="5">
        <v>0</v>
      </c>
    </row>
    <row r="130" spans="1:20" x14ac:dyDescent="0.2">
      <c r="A130" s="5" t="s">
        <v>235</v>
      </c>
      <c r="B130" s="5" t="s">
        <v>162</v>
      </c>
      <c r="C130" s="10" t="s">
        <v>794</v>
      </c>
      <c r="D130" s="7">
        <f t="shared" si="0"/>
        <v>30.9</v>
      </c>
      <c r="E130" s="5">
        <v>0</v>
      </c>
      <c r="F130" s="5">
        <v>0</v>
      </c>
      <c r="G130" s="5">
        <v>0</v>
      </c>
      <c r="H130" s="5">
        <v>0</v>
      </c>
      <c r="I130" s="5">
        <v>0</v>
      </c>
      <c r="J130" s="9">
        <v>0</v>
      </c>
      <c r="K130" s="8">
        <v>0</v>
      </c>
      <c r="L130" s="5">
        <v>0</v>
      </c>
      <c r="M130" s="5">
        <v>0</v>
      </c>
      <c r="N130" s="9">
        <v>0</v>
      </c>
      <c r="O130" s="8">
        <v>9</v>
      </c>
      <c r="P130" s="5">
        <v>159</v>
      </c>
      <c r="Q130" s="5">
        <v>1</v>
      </c>
      <c r="R130" s="9">
        <v>0</v>
      </c>
      <c r="S130" s="5">
        <v>0</v>
      </c>
      <c r="T130" s="5">
        <v>0</v>
      </c>
    </row>
    <row r="131" spans="1:20" x14ac:dyDescent="0.2">
      <c r="A131" s="5" t="s">
        <v>225</v>
      </c>
      <c r="B131" s="5" t="s">
        <v>162</v>
      </c>
      <c r="C131" s="10" t="s">
        <v>791</v>
      </c>
      <c r="D131" s="7">
        <f t="shared" si="0"/>
        <v>26.9</v>
      </c>
      <c r="E131" s="5">
        <v>0</v>
      </c>
      <c r="F131" s="5">
        <v>0</v>
      </c>
      <c r="G131" s="5">
        <v>0</v>
      </c>
      <c r="H131" s="5">
        <v>0</v>
      </c>
      <c r="I131" s="5">
        <v>0</v>
      </c>
      <c r="J131" s="9">
        <v>0</v>
      </c>
      <c r="K131" s="8">
        <v>0</v>
      </c>
      <c r="L131" s="5">
        <v>0</v>
      </c>
      <c r="M131" s="5">
        <v>0</v>
      </c>
      <c r="N131" s="9">
        <v>0</v>
      </c>
      <c r="O131" s="8">
        <v>6</v>
      </c>
      <c r="P131" s="5">
        <v>89</v>
      </c>
      <c r="Q131" s="5">
        <v>2</v>
      </c>
      <c r="R131" s="9">
        <v>0</v>
      </c>
      <c r="S131" s="5">
        <v>0</v>
      </c>
      <c r="T131" s="5">
        <v>0</v>
      </c>
    </row>
    <row r="132" spans="1:20" x14ac:dyDescent="0.2">
      <c r="A132" s="5" t="s">
        <v>163</v>
      </c>
      <c r="B132" s="5" t="s">
        <v>162</v>
      </c>
      <c r="C132" s="10" t="s">
        <v>798</v>
      </c>
      <c r="D132" s="7">
        <f t="shared" si="0"/>
        <v>24.4</v>
      </c>
      <c r="E132" s="5">
        <v>0</v>
      </c>
      <c r="F132" s="5">
        <v>0</v>
      </c>
      <c r="G132" s="5">
        <v>0</v>
      </c>
      <c r="H132" s="5">
        <v>0</v>
      </c>
      <c r="I132" s="5">
        <v>0</v>
      </c>
      <c r="J132" s="9">
        <v>0</v>
      </c>
      <c r="K132" s="8">
        <v>0</v>
      </c>
      <c r="L132" s="5">
        <v>0</v>
      </c>
      <c r="M132" s="5">
        <v>0</v>
      </c>
      <c r="N132" s="9">
        <v>0</v>
      </c>
      <c r="O132" s="8">
        <v>7</v>
      </c>
      <c r="P132" s="5">
        <v>114</v>
      </c>
      <c r="Q132" s="5">
        <v>1</v>
      </c>
      <c r="R132" s="9">
        <v>0</v>
      </c>
      <c r="S132" s="5">
        <v>0</v>
      </c>
      <c r="T132" s="5">
        <v>0</v>
      </c>
    </row>
    <row r="133" spans="1:20" x14ac:dyDescent="0.2">
      <c r="A133" s="5" t="s">
        <v>764</v>
      </c>
      <c r="B133" s="5" t="s">
        <v>162</v>
      </c>
      <c r="C133" s="10" t="s">
        <v>791</v>
      </c>
      <c r="D133" s="7">
        <f t="shared" si="0"/>
        <v>22.5</v>
      </c>
      <c r="E133" s="5">
        <v>0</v>
      </c>
      <c r="F133" s="5">
        <v>0</v>
      </c>
      <c r="G133" s="5">
        <v>0</v>
      </c>
      <c r="H133" s="5">
        <v>0</v>
      </c>
      <c r="I133" s="5">
        <v>0</v>
      </c>
      <c r="J133" s="9">
        <v>0</v>
      </c>
      <c r="K133" s="8">
        <v>0</v>
      </c>
      <c r="L133" s="5">
        <v>0</v>
      </c>
      <c r="M133" s="5">
        <v>0</v>
      </c>
      <c r="N133" s="9">
        <v>0</v>
      </c>
      <c r="O133" s="8">
        <v>6</v>
      </c>
      <c r="P133" s="5">
        <v>105</v>
      </c>
      <c r="Q133" s="5">
        <v>1</v>
      </c>
      <c r="R133" s="9">
        <v>0</v>
      </c>
      <c r="S133" s="5">
        <v>0</v>
      </c>
      <c r="T133" s="5">
        <v>0</v>
      </c>
    </row>
    <row r="134" spans="1:20" x14ac:dyDescent="0.2">
      <c r="A134" s="5" t="s">
        <v>173</v>
      </c>
      <c r="B134" s="5" t="s">
        <v>162</v>
      </c>
      <c r="C134" s="10" t="s">
        <v>796</v>
      </c>
      <c r="D134" s="7">
        <f t="shared" si="0"/>
        <v>22.1</v>
      </c>
      <c r="E134" s="5">
        <v>0</v>
      </c>
      <c r="F134" s="5">
        <v>0</v>
      </c>
      <c r="G134" s="5">
        <v>0</v>
      </c>
      <c r="H134" s="5">
        <v>0</v>
      </c>
      <c r="I134" s="5">
        <v>0</v>
      </c>
      <c r="J134" s="9">
        <v>0</v>
      </c>
      <c r="K134" s="8">
        <v>1</v>
      </c>
      <c r="L134" s="5">
        <v>11</v>
      </c>
      <c r="M134" s="5">
        <v>0</v>
      </c>
      <c r="N134" s="9">
        <v>0</v>
      </c>
      <c r="O134" s="8">
        <v>6</v>
      </c>
      <c r="P134" s="5">
        <v>90</v>
      </c>
      <c r="Q134" s="5">
        <v>1</v>
      </c>
      <c r="R134" s="9">
        <v>0</v>
      </c>
      <c r="S134" s="5">
        <v>0</v>
      </c>
      <c r="T134" s="5">
        <v>0</v>
      </c>
    </row>
    <row r="135" spans="1:20" x14ac:dyDescent="0.2">
      <c r="A135" s="5" t="s">
        <v>210</v>
      </c>
      <c r="B135" s="5" t="s">
        <v>162</v>
      </c>
      <c r="C135" s="10" t="s">
        <v>802</v>
      </c>
      <c r="D135" s="7">
        <f t="shared" si="0"/>
        <v>20.100000000000001</v>
      </c>
      <c r="E135" s="5">
        <v>0</v>
      </c>
      <c r="F135" s="5">
        <v>0</v>
      </c>
      <c r="G135" s="5">
        <v>0</v>
      </c>
      <c r="H135" s="5">
        <v>0</v>
      </c>
      <c r="I135" s="5">
        <v>0</v>
      </c>
      <c r="J135" s="9">
        <v>0</v>
      </c>
      <c r="K135" s="8">
        <v>0</v>
      </c>
      <c r="L135" s="5">
        <v>0</v>
      </c>
      <c r="M135" s="5">
        <v>0</v>
      </c>
      <c r="N135" s="9">
        <v>0</v>
      </c>
      <c r="O135" s="8">
        <v>7</v>
      </c>
      <c r="P135" s="5">
        <v>131</v>
      </c>
      <c r="Q135" s="5">
        <v>0</v>
      </c>
      <c r="R135" s="9">
        <v>0</v>
      </c>
      <c r="S135" s="5">
        <v>0</v>
      </c>
      <c r="T135" s="5">
        <v>0</v>
      </c>
    </row>
    <row r="136" spans="1:20" x14ac:dyDescent="0.2">
      <c r="A136" s="5" t="s">
        <v>236</v>
      </c>
      <c r="B136" s="5" t="s">
        <v>162</v>
      </c>
      <c r="C136" s="10" t="s">
        <v>801</v>
      </c>
      <c r="D136" s="7">
        <f t="shared" si="0"/>
        <v>20.6</v>
      </c>
      <c r="E136" s="5">
        <v>0</v>
      </c>
      <c r="F136" s="5">
        <v>0</v>
      </c>
      <c r="G136" s="5">
        <v>0</v>
      </c>
      <c r="H136" s="5">
        <v>0</v>
      </c>
      <c r="I136" s="5">
        <v>0</v>
      </c>
      <c r="J136" s="9">
        <v>0</v>
      </c>
      <c r="K136" s="8">
        <v>0</v>
      </c>
      <c r="L136" s="5">
        <v>0</v>
      </c>
      <c r="M136" s="5">
        <v>0</v>
      </c>
      <c r="N136" s="9">
        <v>0</v>
      </c>
      <c r="O136" s="8">
        <v>4</v>
      </c>
      <c r="P136" s="5">
        <v>106</v>
      </c>
      <c r="Q136" s="5">
        <v>1</v>
      </c>
      <c r="R136" s="9">
        <v>0</v>
      </c>
      <c r="S136" s="5">
        <v>0</v>
      </c>
      <c r="T136" s="5">
        <v>0</v>
      </c>
    </row>
    <row r="137" spans="1:20" x14ac:dyDescent="0.2">
      <c r="A137" s="5" t="s">
        <v>179</v>
      </c>
      <c r="B137" s="5" t="s">
        <v>162</v>
      </c>
      <c r="C137" s="10" t="s">
        <v>790</v>
      </c>
      <c r="D137" s="7">
        <f t="shared" si="0"/>
        <v>19.600000000000001</v>
      </c>
      <c r="E137" s="5">
        <v>0</v>
      </c>
      <c r="F137" s="5">
        <v>0</v>
      </c>
      <c r="G137" s="5">
        <v>0</v>
      </c>
      <c r="H137" s="5">
        <v>0</v>
      </c>
      <c r="I137" s="5">
        <v>0</v>
      </c>
      <c r="J137" s="9">
        <v>0</v>
      </c>
      <c r="K137" s="8">
        <v>0</v>
      </c>
      <c r="L137" s="5">
        <v>0</v>
      </c>
      <c r="M137" s="5">
        <v>0</v>
      </c>
      <c r="N137" s="9">
        <v>0</v>
      </c>
      <c r="O137" s="8">
        <v>3</v>
      </c>
      <c r="P137" s="5">
        <v>106</v>
      </c>
      <c r="Q137" s="5">
        <v>1</v>
      </c>
      <c r="R137" s="9">
        <v>0</v>
      </c>
      <c r="S137" s="5">
        <v>0</v>
      </c>
      <c r="T137" s="5">
        <v>0</v>
      </c>
    </row>
    <row r="138" spans="1:20" x14ac:dyDescent="0.2">
      <c r="A138" s="5" t="s">
        <v>427</v>
      </c>
      <c r="B138" s="5" t="s">
        <v>162</v>
      </c>
      <c r="C138" s="10" t="s">
        <v>801</v>
      </c>
      <c r="D138" s="7">
        <f t="shared" si="0"/>
        <v>19.899999999999999</v>
      </c>
      <c r="E138" s="5">
        <v>0</v>
      </c>
      <c r="F138" s="5">
        <v>0</v>
      </c>
      <c r="G138" s="5">
        <v>0</v>
      </c>
      <c r="H138" s="5">
        <v>0</v>
      </c>
      <c r="I138" s="5">
        <v>0</v>
      </c>
      <c r="J138" s="9">
        <v>0</v>
      </c>
      <c r="K138" s="8">
        <v>1</v>
      </c>
      <c r="L138" s="5">
        <v>24</v>
      </c>
      <c r="M138" s="5">
        <v>1</v>
      </c>
      <c r="N138" s="9">
        <v>0</v>
      </c>
      <c r="O138" s="8">
        <v>6</v>
      </c>
      <c r="P138" s="5">
        <v>55</v>
      </c>
      <c r="Q138" s="5">
        <v>0</v>
      </c>
      <c r="R138" s="9">
        <v>0</v>
      </c>
      <c r="S138" s="5">
        <v>0</v>
      </c>
      <c r="T138" s="5">
        <v>0</v>
      </c>
    </row>
    <row r="139" spans="1:20" x14ac:dyDescent="0.2">
      <c r="A139" s="5" t="s">
        <v>233</v>
      </c>
      <c r="B139" s="5" t="s">
        <v>162</v>
      </c>
      <c r="C139" s="10" t="s">
        <v>796</v>
      </c>
      <c r="D139" s="7">
        <f t="shared" si="0"/>
        <v>17</v>
      </c>
      <c r="E139" s="5">
        <v>0</v>
      </c>
      <c r="F139" s="5">
        <v>0</v>
      </c>
      <c r="G139" s="5">
        <v>0</v>
      </c>
      <c r="H139" s="5">
        <v>0</v>
      </c>
      <c r="I139" s="5">
        <v>0</v>
      </c>
      <c r="J139" s="9">
        <v>0</v>
      </c>
      <c r="K139" s="8">
        <v>0</v>
      </c>
      <c r="L139" s="5">
        <v>0</v>
      </c>
      <c r="M139" s="5">
        <v>0</v>
      </c>
      <c r="N139" s="9">
        <v>0</v>
      </c>
      <c r="O139" s="8">
        <v>5</v>
      </c>
      <c r="P139" s="5">
        <v>60</v>
      </c>
      <c r="Q139" s="5">
        <v>1</v>
      </c>
      <c r="R139" s="9">
        <v>0</v>
      </c>
      <c r="S139" s="5">
        <v>0</v>
      </c>
      <c r="T139" s="5">
        <v>0</v>
      </c>
    </row>
    <row r="140" spans="1:20" x14ac:dyDescent="0.2">
      <c r="A140" s="5" t="s">
        <v>198</v>
      </c>
      <c r="B140" s="5" t="s">
        <v>162</v>
      </c>
      <c r="C140" s="10" t="s">
        <v>800</v>
      </c>
      <c r="D140" s="7">
        <f t="shared" si="0"/>
        <v>17.100000000000001</v>
      </c>
      <c r="E140" s="5">
        <v>0</v>
      </c>
      <c r="F140" s="5">
        <v>0</v>
      </c>
      <c r="G140" s="5">
        <v>0</v>
      </c>
      <c r="H140" s="5">
        <v>0</v>
      </c>
      <c r="I140" s="5">
        <v>0</v>
      </c>
      <c r="J140" s="9">
        <v>0</v>
      </c>
      <c r="K140" s="8">
        <v>0</v>
      </c>
      <c r="L140" s="5">
        <v>0</v>
      </c>
      <c r="M140" s="5">
        <v>0</v>
      </c>
      <c r="N140" s="9">
        <v>0</v>
      </c>
      <c r="O140" s="8">
        <v>3</v>
      </c>
      <c r="P140" s="5">
        <v>81</v>
      </c>
      <c r="Q140" s="5">
        <v>1</v>
      </c>
      <c r="R140" s="9">
        <v>0</v>
      </c>
      <c r="S140" s="5">
        <v>0</v>
      </c>
      <c r="T140" s="5">
        <v>0</v>
      </c>
    </row>
    <row r="141" spans="1:20" x14ac:dyDescent="0.2">
      <c r="A141" s="5" t="s">
        <v>582</v>
      </c>
      <c r="B141" s="5" t="s">
        <v>162</v>
      </c>
      <c r="C141" s="10" t="s">
        <v>792</v>
      </c>
      <c r="D141" s="7">
        <f t="shared" si="0"/>
        <v>17.399999999999999</v>
      </c>
      <c r="E141" s="5">
        <v>0</v>
      </c>
      <c r="F141" s="5">
        <v>0</v>
      </c>
      <c r="G141" s="5">
        <v>0</v>
      </c>
      <c r="H141" s="5">
        <v>0</v>
      </c>
      <c r="I141" s="5">
        <v>0</v>
      </c>
      <c r="J141" s="9">
        <v>0</v>
      </c>
      <c r="K141" s="8">
        <v>0</v>
      </c>
      <c r="L141" s="5">
        <v>0</v>
      </c>
      <c r="M141" s="5">
        <v>0</v>
      </c>
      <c r="N141" s="9">
        <v>0</v>
      </c>
      <c r="O141" s="8">
        <v>2</v>
      </c>
      <c r="P141" s="5">
        <v>34</v>
      </c>
      <c r="Q141" s="5">
        <v>2</v>
      </c>
      <c r="R141" s="9">
        <v>0</v>
      </c>
      <c r="S141" s="5">
        <v>0</v>
      </c>
      <c r="T141" s="5">
        <v>0</v>
      </c>
    </row>
    <row r="142" spans="1:20" x14ac:dyDescent="0.2">
      <c r="A142" s="5" t="s">
        <v>208</v>
      </c>
      <c r="B142" s="5" t="s">
        <v>162</v>
      </c>
      <c r="C142" s="10" t="s">
        <v>793</v>
      </c>
      <c r="D142" s="7">
        <f t="shared" si="0"/>
        <v>17.100000000000001</v>
      </c>
      <c r="E142" s="5">
        <v>0</v>
      </c>
      <c r="F142" s="5">
        <v>0</v>
      </c>
      <c r="G142" s="5">
        <v>0</v>
      </c>
      <c r="H142" s="5">
        <v>0</v>
      </c>
      <c r="I142" s="5">
        <v>0</v>
      </c>
      <c r="J142" s="9">
        <v>0</v>
      </c>
      <c r="K142" s="8">
        <v>0</v>
      </c>
      <c r="L142" s="5">
        <v>0</v>
      </c>
      <c r="M142" s="5">
        <v>0</v>
      </c>
      <c r="N142" s="9">
        <v>0</v>
      </c>
      <c r="O142" s="8">
        <v>5</v>
      </c>
      <c r="P142" s="5">
        <v>61</v>
      </c>
      <c r="Q142" s="5">
        <v>1</v>
      </c>
      <c r="R142" s="9">
        <v>0</v>
      </c>
      <c r="S142" s="5">
        <v>0</v>
      </c>
      <c r="T142" s="5">
        <v>0</v>
      </c>
    </row>
    <row r="143" spans="1:20" x14ac:dyDescent="0.2">
      <c r="A143" s="5" t="s">
        <v>170</v>
      </c>
      <c r="B143" s="5" t="s">
        <v>162</v>
      </c>
      <c r="C143" s="10" t="s">
        <v>801</v>
      </c>
      <c r="D143" s="7">
        <f t="shared" si="0"/>
        <v>18.700000000000003</v>
      </c>
      <c r="E143" s="5">
        <v>0</v>
      </c>
      <c r="F143" s="5">
        <v>0</v>
      </c>
      <c r="G143" s="5">
        <v>0</v>
      </c>
      <c r="H143" s="5">
        <v>0</v>
      </c>
      <c r="I143" s="5">
        <v>0</v>
      </c>
      <c r="J143" s="9">
        <v>0</v>
      </c>
      <c r="K143" s="8">
        <v>2</v>
      </c>
      <c r="L143" s="5">
        <v>19</v>
      </c>
      <c r="M143" s="5">
        <v>0</v>
      </c>
      <c r="N143" s="9">
        <v>0</v>
      </c>
      <c r="O143" s="8">
        <v>5</v>
      </c>
      <c r="P143" s="5">
        <v>118</v>
      </c>
      <c r="Q143" s="5">
        <v>0</v>
      </c>
      <c r="R143" s="9">
        <v>0</v>
      </c>
      <c r="S143" s="5">
        <v>0</v>
      </c>
      <c r="T143" s="5">
        <v>0</v>
      </c>
    </row>
    <row r="144" spans="1:20" x14ac:dyDescent="0.2">
      <c r="A144" s="5" t="s">
        <v>209</v>
      </c>
      <c r="B144" s="5" t="s">
        <v>162</v>
      </c>
      <c r="C144" s="10" t="s">
        <v>800</v>
      </c>
      <c r="D144" s="7">
        <f t="shared" si="0"/>
        <v>16.399999999999999</v>
      </c>
      <c r="E144" s="5">
        <v>0</v>
      </c>
      <c r="F144" s="5">
        <v>0</v>
      </c>
      <c r="G144" s="5">
        <v>0</v>
      </c>
      <c r="H144" s="5">
        <v>0</v>
      </c>
      <c r="I144" s="5">
        <v>0</v>
      </c>
      <c r="J144" s="9">
        <v>0</v>
      </c>
      <c r="K144" s="8">
        <v>0</v>
      </c>
      <c r="L144" s="5">
        <v>0</v>
      </c>
      <c r="M144" s="5">
        <v>0</v>
      </c>
      <c r="N144" s="9">
        <v>0</v>
      </c>
      <c r="O144" s="8">
        <v>4</v>
      </c>
      <c r="P144" s="5">
        <v>84</v>
      </c>
      <c r="Q144" s="5">
        <v>1</v>
      </c>
      <c r="R144" s="9">
        <v>0</v>
      </c>
      <c r="S144" s="5">
        <v>1</v>
      </c>
      <c r="T144" s="5">
        <v>0</v>
      </c>
    </row>
    <row r="145" spans="1:20" x14ac:dyDescent="0.2">
      <c r="A145" s="5" t="s">
        <v>193</v>
      </c>
      <c r="B145" s="5" t="s">
        <v>162</v>
      </c>
      <c r="C145" s="10" t="s">
        <v>797</v>
      </c>
      <c r="D145" s="7">
        <f t="shared" si="0"/>
        <v>17.700000000000003</v>
      </c>
      <c r="E145" s="5">
        <v>0</v>
      </c>
      <c r="F145" s="5">
        <v>0</v>
      </c>
      <c r="G145" s="5">
        <v>0</v>
      </c>
      <c r="H145" s="5">
        <v>0</v>
      </c>
      <c r="I145" s="5">
        <v>0</v>
      </c>
      <c r="J145" s="9">
        <v>0</v>
      </c>
      <c r="K145" s="8">
        <v>0</v>
      </c>
      <c r="L145" s="5">
        <v>0</v>
      </c>
      <c r="M145" s="5">
        <v>0</v>
      </c>
      <c r="N145" s="9">
        <v>0</v>
      </c>
      <c r="O145" s="8">
        <v>5</v>
      </c>
      <c r="P145" s="5">
        <v>127</v>
      </c>
      <c r="Q145" s="5">
        <v>0</v>
      </c>
      <c r="R145" s="9">
        <v>0</v>
      </c>
      <c r="S145" s="5">
        <v>0</v>
      </c>
      <c r="T145" s="5">
        <v>0</v>
      </c>
    </row>
    <row r="146" spans="1:20" x14ac:dyDescent="0.2">
      <c r="A146" s="5" t="s">
        <v>200</v>
      </c>
      <c r="B146" s="5" t="s">
        <v>162</v>
      </c>
      <c r="C146" s="10" t="s">
        <v>798</v>
      </c>
      <c r="D146" s="7">
        <f t="shared" si="0"/>
        <v>18.2</v>
      </c>
      <c r="E146" s="5">
        <v>0</v>
      </c>
      <c r="F146" s="5">
        <v>0</v>
      </c>
      <c r="G146" s="5">
        <v>0</v>
      </c>
      <c r="H146" s="5">
        <v>0</v>
      </c>
      <c r="I146" s="5">
        <v>0</v>
      </c>
      <c r="J146" s="9">
        <v>0</v>
      </c>
      <c r="K146" s="8">
        <v>3</v>
      </c>
      <c r="L146" s="5">
        <v>35</v>
      </c>
      <c r="M146" s="5">
        <v>0</v>
      </c>
      <c r="N146" s="9">
        <v>0</v>
      </c>
      <c r="O146" s="8">
        <v>5</v>
      </c>
      <c r="P146" s="5">
        <v>37</v>
      </c>
      <c r="Q146" s="5">
        <v>1</v>
      </c>
      <c r="R146" s="9">
        <v>0</v>
      </c>
      <c r="S146" s="5">
        <v>0</v>
      </c>
      <c r="T146" s="5">
        <v>0</v>
      </c>
    </row>
    <row r="147" spans="1:20" x14ac:dyDescent="0.2">
      <c r="A147" s="5" t="s">
        <v>678</v>
      </c>
      <c r="B147" s="5" t="s">
        <v>162</v>
      </c>
      <c r="C147" s="10" t="s">
        <v>804</v>
      </c>
      <c r="D147" s="7">
        <f t="shared" si="0"/>
        <v>16.8</v>
      </c>
      <c r="E147" s="5">
        <v>0</v>
      </c>
      <c r="F147" s="5">
        <v>0</v>
      </c>
      <c r="G147" s="5">
        <v>0</v>
      </c>
      <c r="H147" s="5">
        <v>0</v>
      </c>
      <c r="I147" s="5">
        <v>0</v>
      </c>
      <c r="J147" s="9">
        <v>0</v>
      </c>
      <c r="K147" s="8">
        <v>0</v>
      </c>
      <c r="L147" s="5">
        <v>0</v>
      </c>
      <c r="M147" s="5">
        <v>0</v>
      </c>
      <c r="N147" s="9">
        <v>0</v>
      </c>
      <c r="O147" s="8">
        <v>7</v>
      </c>
      <c r="P147" s="5">
        <v>98</v>
      </c>
      <c r="Q147" s="5">
        <v>0</v>
      </c>
      <c r="R147" s="9">
        <v>0</v>
      </c>
      <c r="S147" s="5">
        <v>0</v>
      </c>
      <c r="T147" s="5">
        <v>0</v>
      </c>
    </row>
    <row r="148" spans="1:20" x14ac:dyDescent="0.2">
      <c r="A148" s="5" t="s">
        <v>232</v>
      </c>
      <c r="B148" s="5" t="s">
        <v>162</v>
      </c>
      <c r="C148" s="10" t="s">
        <v>798</v>
      </c>
      <c r="D148" s="7">
        <f t="shared" si="0"/>
        <v>16.100000000000001</v>
      </c>
      <c r="E148" s="5">
        <v>0</v>
      </c>
      <c r="F148" s="5">
        <v>0</v>
      </c>
      <c r="G148" s="5">
        <v>0</v>
      </c>
      <c r="H148" s="5">
        <v>0</v>
      </c>
      <c r="I148" s="5">
        <v>0</v>
      </c>
      <c r="J148" s="9">
        <v>0</v>
      </c>
      <c r="K148" s="8">
        <v>0</v>
      </c>
      <c r="L148" s="5">
        <v>0</v>
      </c>
      <c r="M148" s="5">
        <v>0</v>
      </c>
      <c r="N148" s="9">
        <v>0</v>
      </c>
      <c r="O148" s="8">
        <v>4</v>
      </c>
      <c r="P148" s="5">
        <v>61</v>
      </c>
      <c r="Q148" s="5">
        <v>1</v>
      </c>
      <c r="R148" s="9">
        <v>0</v>
      </c>
      <c r="S148" s="5">
        <v>0</v>
      </c>
      <c r="T148" s="5">
        <v>0</v>
      </c>
    </row>
    <row r="149" spans="1:20" x14ac:dyDescent="0.2">
      <c r="A149" s="5" t="s">
        <v>183</v>
      </c>
      <c r="B149" s="5" t="s">
        <v>162</v>
      </c>
      <c r="C149" s="10" t="s">
        <v>805</v>
      </c>
      <c r="D149" s="7">
        <f t="shared" si="0"/>
        <v>15.7</v>
      </c>
      <c r="E149" s="5">
        <v>0</v>
      </c>
      <c r="F149" s="5">
        <v>0</v>
      </c>
      <c r="G149" s="5">
        <v>0</v>
      </c>
      <c r="H149" s="5">
        <v>0</v>
      </c>
      <c r="I149" s="5">
        <v>0</v>
      </c>
      <c r="J149" s="9">
        <v>0</v>
      </c>
      <c r="K149" s="8">
        <v>1</v>
      </c>
      <c r="L149" s="5">
        <v>7</v>
      </c>
      <c r="M149" s="5">
        <v>0</v>
      </c>
      <c r="N149" s="9">
        <v>0</v>
      </c>
      <c r="O149" s="8">
        <v>7</v>
      </c>
      <c r="P149" s="5">
        <v>80</v>
      </c>
      <c r="Q149" s="5">
        <v>0</v>
      </c>
      <c r="R149" s="9">
        <v>0</v>
      </c>
      <c r="S149" s="5">
        <v>0</v>
      </c>
      <c r="T149" s="5">
        <v>0</v>
      </c>
    </row>
    <row r="150" spans="1:20" x14ac:dyDescent="0.2">
      <c r="A150" s="5" t="s">
        <v>629</v>
      </c>
      <c r="B150" s="5" t="s">
        <v>162</v>
      </c>
      <c r="C150" s="10" t="s">
        <v>792</v>
      </c>
      <c r="D150" s="7">
        <f t="shared" si="0"/>
        <v>15.200000000000001</v>
      </c>
      <c r="E150" s="5">
        <v>0</v>
      </c>
      <c r="F150" s="5">
        <v>0</v>
      </c>
      <c r="G150" s="5">
        <v>0</v>
      </c>
      <c r="H150" s="5">
        <v>0</v>
      </c>
      <c r="I150" s="5">
        <v>0</v>
      </c>
      <c r="J150" s="9">
        <v>0</v>
      </c>
      <c r="K150" s="8">
        <v>0</v>
      </c>
      <c r="L150" s="5">
        <v>0</v>
      </c>
      <c r="M150" s="5">
        <v>0</v>
      </c>
      <c r="N150" s="9">
        <v>0</v>
      </c>
      <c r="O150" s="8">
        <v>7</v>
      </c>
      <c r="P150" s="5">
        <v>82</v>
      </c>
      <c r="Q150" s="5">
        <v>0</v>
      </c>
      <c r="R150" s="9">
        <v>0</v>
      </c>
      <c r="S150" s="5">
        <v>0</v>
      </c>
      <c r="T150" s="5">
        <v>0</v>
      </c>
    </row>
    <row r="151" spans="1:20" x14ac:dyDescent="0.2">
      <c r="A151" s="5" t="s">
        <v>188</v>
      </c>
      <c r="B151" s="5" t="s">
        <v>162</v>
      </c>
      <c r="C151" s="10" t="s">
        <v>802</v>
      </c>
      <c r="D151" s="7">
        <f t="shared" si="0"/>
        <v>15.600000000000001</v>
      </c>
      <c r="E151" s="5">
        <v>0</v>
      </c>
      <c r="F151" s="5">
        <v>0</v>
      </c>
      <c r="G151" s="5">
        <v>0</v>
      </c>
      <c r="H151" s="5">
        <v>0</v>
      </c>
      <c r="I151" s="5">
        <v>0</v>
      </c>
      <c r="J151" s="9">
        <v>0</v>
      </c>
      <c r="K151" s="8">
        <v>0</v>
      </c>
      <c r="L151" s="5">
        <v>0</v>
      </c>
      <c r="M151" s="5">
        <v>0</v>
      </c>
      <c r="N151" s="9">
        <v>0</v>
      </c>
      <c r="O151" s="8">
        <v>5</v>
      </c>
      <c r="P151" s="5">
        <v>106</v>
      </c>
      <c r="Q151" s="5">
        <v>0</v>
      </c>
      <c r="R151" s="9">
        <v>0</v>
      </c>
      <c r="S151" s="5">
        <v>0</v>
      </c>
      <c r="T151" s="5">
        <v>0</v>
      </c>
    </row>
    <row r="152" spans="1:20" x14ac:dyDescent="0.2">
      <c r="A152" s="5" t="s">
        <v>250</v>
      </c>
      <c r="B152" s="5" t="s">
        <v>162</v>
      </c>
      <c r="C152" s="10" t="s">
        <v>792</v>
      </c>
      <c r="D152" s="7">
        <f t="shared" si="0"/>
        <v>15.5</v>
      </c>
      <c r="E152" s="5">
        <v>0</v>
      </c>
      <c r="F152" s="5">
        <v>0</v>
      </c>
      <c r="G152" s="5">
        <v>0</v>
      </c>
      <c r="H152" s="5">
        <v>0</v>
      </c>
      <c r="I152" s="5">
        <v>0</v>
      </c>
      <c r="J152" s="9">
        <v>0</v>
      </c>
      <c r="K152" s="8">
        <v>0</v>
      </c>
      <c r="L152" s="5">
        <v>0</v>
      </c>
      <c r="M152" s="5">
        <v>0</v>
      </c>
      <c r="N152" s="9">
        <v>0</v>
      </c>
      <c r="O152" s="8">
        <v>4</v>
      </c>
      <c r="P152" s="5">
        <v>35</v>
      </c>
      <c r="Q152" s="5">
        <v>1</v>
      </c>
      <c r="R152" s="9">
        <v>1</v>
      </c>
      <c r="S152" s="5">
        <v>0</v>
      </c>
      <c r="T152" s="5">
        <v>0</v>
      </c>
    </row>
    <row r="153" spans="1:20" x14ac:dyDescent="0.2">
      <c r="A153" s="5" t="s">
        <v>187</v>
      </c>
      <c r="B153" s="5" t="s">
        <v>162</v>
      </c>
      <c r="C153" s="10" t="s">
        <v>805</v>
      </c>
      <c r="D153" s="7">
        <f t="shared" si="0"/>
        <v>14.2</v>
      </c>
      <c r="E153" s="5">
        <v>0</v>
      </c>
      <c r="F153" s="5">
        <v>0</v>
      </c>
      <c r="G153" s="5">
        <v>0</v>
      </c>
      <c r="H153" s="5">
        <v>0</v>
      </c>
      <c r="I153" s="5">
        <v>0</v>
      </c>
      <c r="J153" s="9">
        <v>0</v>
      </c>
      <c r="K153" s="8">
        <v>0</v>
      </c>
      <c r="L153" s="5">
        <v>0</v>
      </c>
      <c r="M153" s="5">
        <v>0</v>
      </c>
      <c r="N153" s="9">
        <v>0</v>
      </c>
      <c r="O153" s="8">
        <v>7</v>
      </c>
      <c r="P153" s="5">
        <v>72</v>
      </c>
      <c r="Q153" s="5">
        <v>0</v>
      </c>
      <c r="R153" s="9">
        <v>0</v>
      </c>
      <c r="S153" s="5">
        <v>0</v>
      </c>
      <c r="T153" s="5">
        <v>0</v>
      </c>
    </row>
    <row r="154" spans="1:20" x14ac:dyDescent="0.2">
      <c r="A154" s="5" t="s">
        <v>204</v>
      </c>
      <c r="B154" s="5" t="s">
        <v>162</v>
      </c>
      <c r="C154" s="10" t="s">
        <v>804</v>
      </c>
      <c r="D154" s="7">
        <f t="shared" si="0"/>
        <v>14.9</v>
      </c>
      <c r="E154" s="5">
        <v>0</v>
      </c>
      <c r="F154" s="5">
        <v>0</v>
      </c>
      <c r="G154" s="5">
        <v>0</v>
      </c>
      <c r="H154" s="5">
        <v>0</v>
      </c>
      <c r="I154" s="5">
        <v>0</v>
      </c>
      <c r="J154" s="9">
        <v>0</v>
      </c>
      <c r="K154" s="8">
        <v>0</v>
      </c>
      <c r="L154" s="5">
        <v>0</v>
      </c>
      <c r="M154" s="5">
        <v>0</v>
      </c>
      <c r="N154" s="9">
        <v>0</v>
      </c>
      <c r="O154" s="8">
        <v>2</v>
      </c>
      <c r="P154" s="5">
        <v>69</v>
      </c>
      <c r="Q154" s="5">
        <v>1</v>
      </c>
      <c r="R154" s="9">
        <v>0</v>
      </c>
      <c r="S154" s="5">
        <v>0</v>
      </c>
      <c r="T154" s="5">
        <v>0</v>
      </c>
    </row>
    <row r="155" spans="1:20" x14ac:dyDescent="0.2">
      <c r="A155" s="5" t="s">
        <v>627</v>
      </c>
      <c r="B155" s="5" t="s">
        <v>162</v>
      </c>
      <c r="C155" s="10" t="s">
        <v>801</v>
      </c>
      <c r="D155" s="7">
        <f t="shared" si="0"/>
        <v>13.200000000000001</v>
      </c>
      <c r="E155" s="5">
        <v>0</v>
      </c>
      <c r="F155" s="5">
        <v>0</v>
      </c>
      <c r="G155" s="5">
        <v>0</v>
      </c>
      <c r="H155" s="5">
        <v>0</v>
      </c>
      <c r="I155" s="5">
        <v>0</v>
      </c>
      <c r="J155" s="9">
        <v>0</v>
      </c>
      <c r="K155" s="8">
        <v>0</v>
      </c>
      <c r="L155" s="5">
        <v>0</v>
      </c>
      <c r="M155" s="5">
        <v>0</v>
      </c>
      <c r="N155" s="9">
        <v>0</v>
      </c>
      <c r="O155" s="8">
        <v>6</v>
      </c>
      <c r="P155" s="5">
        <v>92</v>
      </c>
      <c r="Q155" s="5">
        <v>0</v>
      </c>
      <c r="R155" s="9">
        <v>0</v>
      </c>
      <c r="S155" s="5">
        <v>1</v>
      </c>
      <c r="T155" s="5">
        <v>0</v>
      </c>
    </row>
    <row r="156" spans="1:20" x14ac:dyDescent="0.2">
      <c r="A156" s="5" t="s">
        <v>161</v>
      </c>
      <c r="B156" s="5" t="s">
        <v>162</v>
      </c>
      <c r="C156" s="10" t="s">
        <v>790</v>
      </c>
      <c r="D156" s="7">
        <f t="shared" si="0"/>
        <v>13.600000000000001</v>
      </c>
      <c r="E156" s="5">
        <v>0</v>
      </c>
      <c r="F156" s="5">
        <v>0</v>
      </c>
      <c r="G156" s="5">
        <v>0</v>
      </c>
      <c r="H156" s="5">
        <v>0</v>
      </c>
      <c r="I156" s="5">
        <v>0</v>
      </c>
      <c r="J156" s="9">
        <v>0</v>
      </c>
      <c r="K156" s="8">
        <v>1</v>
      </c>
      <c r="L156" s="5">
        <v>0</v>
      </c>
      <c r="M156" s="5">
        <v>0</v>
      </c>
      <c r="N156" s="9">
        <v>0</v>
      </c>
      <c r="O156" s="8">
        <v>6</v>
      </c>
      <c r="P156" s="5">
        <v>76</v>
      </c>
      <c r="Q156" s="5">
        <v>0</v>
      </c>
      <c r="R156" s="9">
        <v>0</v>
      </c>
      <c r="S156" s="5">
        <v>0</v>
      </c>
      <c r="T156" s="5">
        <v>0</v>
      </c>
    </row>
    <row r="157" spans="1:20" x14ac:dyDescent="0.2">
      <c r="A157" s="5" t="s">
        <v>513</v>
      </c>
      <c r="B157" s="5" t="s">
        <v>162</v>
      </c>
      <c r="C157" s="10" t="s">
        <v>801</v>
      </c>
      <c r="D157" s="7">
        <f t="shared" si="0"/>
        <v>12.7</v>
      </c>
      <c r="E157" s="5">
        <v>0</v>
      </c>
      <c r="F157" s="5">
        <v>0</v>
      </c>
      <c r="G157" s="5">
        <v>0</v>
      </c>
      <c r="H157" s="5">
        <v>0</v>
      </c>
      <c r="I157" s="5">
        <v>0</v>
      </c>
      <c r="J157" s="9">
        <v>0</v>
      </c>
      <c r="K157" s="8">
        <v>0</v>
      </c>
      <c r="L157" s="5">
        <v>0</v>
      </c>
      <c r="M157" s="5">
        <v>0</v>
      </c>
      <c r="N157" s="9">
        <v>0</v>
      </c>
      <c r="O157" s="8">
        <v>4</v>
      </c>
      <c r="P157" s="5">
        <v>27</v>
      </c>
      <c r="Q157" s="5">
        <v>1</v>
      </c>
      <c r="R157" s="9">
        <v>0</v>
      </c>
      <c r="S157" s="5">
        <v>0</v>
      </c>
      <c r="T157" s="5">
        <v>0</v>
      </c>
    </row>
    <row r="158" spans="1:20" x14ac:dyDescent="0.2">
      <c r="A158" s="5" t="s">
        <v>265</v>
      </c>
      <c r="B158" s="5" t="s">
        <v>162</v>
      </c>
      <c r="C158" s="10" t="s">
        <v>795</v>
      </c>
      <c r="D158" s="7">
        <f t="shared" si="0"/>
        <v>12.8</v>
      </c>
      <c r="E158" s="5">
        <v>0</v>
      </c>
      <c r="F158" s="5">
        <v>0</v>
      </c>
      <c r="G158" s="5">
        <v>0</v>
      </c>
      <c r="H158" s="5">
        <v>0</v>
      </c>
      <c r="I158" s="5">
        <v>0</v>
      </c>
      <c r="J158" s="9">
        <v>0</v>
      </c>
      <c r="K158" s="8">
        <v>0</v>
      </c>
      <c r="L158" s="5">
        <v>0</v>
      </c>
      <c r="M158" s="5">
        <v>0</v>
      </c>
      <c r="N158" s="9">
        <v>0</v>
      </c>
      <c r="O158" s="8">
        <v>1</v>
      </c>
      <c r="P158" s="5">
        <v>58</v>
      </c>
      <c r="Q158" s="5">
        <v>1</v>
      </c>
      <c r="R158" s="9">
        <v>0</v>
      </c>
      <c r="S158" s="5">
        <v>0</v>
      </c>
      <c r="T158" s="5">
        <v>0</v>
      </c>
    </row>
    <row r="159" spans="1:20" x14ac:dyDescent="0.2">
      <c r="A159" s="5" t="s">
        <v>214</v>
      </c>
      <c r="B159" s="5" t="s">
        <v>162</v>
      </c>
      <c r="C159" s="10" t="s">
        <v>802</v>
      </c>
      <c r="D159" s="7">
        <f t="shared" si="0"/>
        <v>11.600000000000001</v>
      </c>
      <c r="E159" s="5">
        <v>0</v>
      </c>
      <c r="F159" s="5">
        <v>0</v>
      </c>
      <c r="G159" s="5">
        <v>0</v>
      </c>
      <c r="H159" s="5">
        <v>0</v>
      </c>
      <c r="I159" s="5">
        <v>0</v>
      </c>
      <c r="J159" s="9">
        <v>0</v>
      </c>
      <c r="K159" s="8">
        <v>0</v>
      </c>
      <c r="L159" s="5">
        <v>0</v>
      </c>
      <c r="M159" s="5">
        <v>0</v>
      </c>
      <c r="N159" s="9">
        <v>0</v>
      </c>
      <c r="O159" s="8">
        <v>4</v>
      </c>
      <c r="P159" s="5">
        <v>76</v>
      </c>
      <c r="Q159" s="5">
        <v>0</v>
      </c>
      <c r="R159" s="9">
        <v>0</v>
      </c>
      <c r="S159" s="5">
        <v>0</v>
      </c>
      <c r="T159" s="5">
        <v>0</v>
      </c>
    </row>
    <row r="160" spans="1:20" x14ac:dyDescent="0.2">
      <c r="A160" s="5" t="s">
        <v>164</v>
      </c>
      <c r="B160" s="5" t="s">
        <v>162</v>
      </c>
      <c r="C160" s="10" t="s">
        <v>795</v>
      </c>
      <c r="D160" s="7">
        <f t="shared" si="0"/>
        <v>11.600000000000001</v>
      </c>
      <c r="E160" s="5">
        <v>0</v>
      </c>
      <c r="F160" s="5">
        <v>0</v>
      </c>
      <c r="G160" s="5">
        <v>0</v>
      </c>
      <c r="H160" s="5">
        <v>0</v>
      </c>
      <c r="I160" s="5">
        <v>0</v>
      </c>
      <c r="J160" s="9">
        <v>0</v>
      </c>
      <c r="K160" s="8">
        <v>0</v>
      </c>
      <c r="L160" s="5">
        <v>0</v>
      </c>
      <c r="M160" s="5">
        <v>0</v>
      </c>
      <c r="N160" s="9">
        <v>0</v>
      </c>
      <c r="O160" s="8">
        <v>6</v>
      </c>
      <c r="P160" s="5">
        <v>56</v>
      </c>
      <c r="Q160" s="5">
        <v>0</v>
      </c>
      <c r="R160" s="9">
        <v>0</v>
      </c>
      <c r="S160" s="5">
        <v>0</v>
      </c>
      <c r="T160" s="5">
        <v>0</v>
      </c>
    </row>
    <row r="161" spans="1:20" x14ac:dyDescent="0.2">
      <c r="A161" s="5" t="s">
        <v>175</v>
      </c>
      <c r="B161" s="5" t="s">
        <v>162</v>
      </c>
      <c r="C161" s="10" t="s">
        <v>800</v>
      </c>
      <c r="D161" s="7">
        <f t="shared" si="0"/>
        <v>10</v>
      </c>
      <c r="E161" s="5">
        <v>0</v>
      </c>
      <c r="F161" s="5">
        <v>0</v>
      </c>
      <c r="G161" s="5">
        <v>0</v>
      </c>
      <c r="H161" s="5">
        <v>0</v>
      </c>
      <c r="I161" s="5">
        <v>0</v>
      </c>
      <c r="J161" s="9">
        <v>0</v>
      </c>
      <c r="K161" s="8">
        <v>0</v>
      </c>
      <c r="L161" s="5">
        <v>0</v>
      </c>
      <c r="M161" s="5">
        <v>0</v>
      </c>
      <c r="N161" s="9">
        <v>0</v>
      </c>
      <c r="O161" s="8">
        <v>3</v>
      </c>
      <c r="P161" s="5">
        <v>70</v>
      </c>
      <c r="Q161" s="5">
        <v>0</v>
      </c>
      <c r="R161" s="9">
        <v>0</v>
      </c>
      <c r="S161" s="5">
        <v>0</v>
      </c>
      <c r="T161" s="5">
        <v>0</v>
      </c>
    </row>
    <row r="162" spans="1:20" x14ac:dyDescent="0.2">
      <c r="A162" s="5" t="s">
        <v>167</v>
      </c>
      <c r="B162" s="5" t="s">
        <v>162</v>
      </c>
      <c r="C162" s="10" t="s">
        <v>791</v>
      </c>
      <c r="D162" s="7">
        <f t="shared" si="0"/>
        <v>10.9</v>
      </c>
      <c r="E162" s="5">
        <v>0</v>
      </c>
      <c r="F162" s="5">
        <v>0</v>
      </c>
      <c r="G162" s="5">
        <v>0</v>
      </c>
      <c r="H162" s="5">
        <v>0</v>
      </c>
      <c r="I162" s="5">
        <v>0</v>
      </c>
      <c r="J162" s="9">
        <v>0</v>
      </c>
      <c r="K162" s="8">
        <v>0</v>
      </c>
      <c r="L162" s="5">
        <v>0</v>
      </c>
      <c r="M162" s="5">
        <v>0</v>
      </c>
      <c r="N162" s="9">
        <v>0</v>
      </c>
      <c r="O162" s="8">
        <v>5</v>
      </c>
      <c r="P162" s="5">
        <v>59</v>
      </c>
      <c r="Q162" s="5">
        <v>0</v>
      </c>
      <c r="R162" s="9">
        <v>0</v>
      </c>
      <c r="S162" s="5">
        <v>0</v>
      </c>
      <c r="T162" s="5">
        <v>0</v>
      </c>
    </row>
    <row r="163" spans="1:20" x14ac:dyDescent="0.2">
      <c r="A163" s="5" t="s">
        <v>485</v>
      </c>
      <c r="B163" s="5" t="s">
        <v>162</v>
      </c>
      <c r="C163" s="10" t="s">
        <v>790</v>
      </c>
      <c r="D163" s="7">
        <f t="shared" si="0"/>
        <v>10.7</v>
      </c>
      <c r="E163" s="5">
        <v>0</v>
      </c>
      <c r="F163" s="5">
        <v>0</v>
      </c>
      <c r="G163" s="5">
        <v>0</v>
      </c>
      <c r="H163" s="5">
        <v>0</v>
      </c>
      <c r="I163" s="5">
        <v>0</v>
      </c>
      <c r="J163" s="9">
        <v>0</v>
      </c>
      <c r="K163" s="8">
        <v>0</v>
      </c>
      <c r="L163" s="5">
        <v>0</v>
      </c>
      <c r="M163" s="5">
        <v>0</v>
      </c>
      <c r="N163" s="9">
        <v>0</v>
      </c>
      <c r="O163" s="8">
        <v>2</v>
      </c>
      <c r="P163" s="5">
        <v>27</v>
      </c>
      <c r="Q163" s="5">
        <v>1</v>
      </c>
      <c r="R163" s="9">
        <v>0</v>
      </c>
      <c r="S163" s="5">
        <v>0</v>
      </c>
      <c r="T163" s="5">
        <v>0</v>
      </c>
    </row>
    <row r="164" spans="1:20" x14ac:dyDescent="0.2">
      <c r="A164" s="5" t="s">
        <v>184</v>
      </c>
      <c r="B164" s="5" t="s">
        <v>162</v>
      </c>
      <c r="C164" s="10" t="s">
        <v>793</v>
      </c>
      <c r="D164" s="7">
        <f t="shared" si="0"/>
        <v>9.9</v>
      </c>
      <c r="E164" s="5">
        <v>0</v>
      </c>
      <c r="F164" s="5">
        <v>0</v>
      </c>
      <c r="G164" s="5">
        <v>0</v>
      </c>
      <c r="H164" s="5">
        <v>0</v>
      </c>
      <c r="I164" s="5">
        <v>0</v>
      </c>
      <c r="J164" s="9">
        <v>0</v>
      </c>
      <c r="K164" s="8">
        <v>1</v>
      </c>
      <c r="L164" s="5">
        <v>-1</v>
      </c>
      <c r="M164" s="5">
        <v>0</v>
      </c>
      <c r="N164" s="9">
        <v>0</v>
      </c>
      <c r="O164" s="8">
        <v>5</v>
      </c>
      <c r="P164" s="5">
        <v>50</v>
      </c>
      <c r="Q164" s="5">
        <v>0</v>
      </c>
      <c r="R164" s="9">
        <v>0</v>
      </c>
      <c r="S164" s="5">
        <v>0</v>
      </c>
      <c r="T164" s="5">
        <v>0</v>
      </c>
    </row>
    <row r="165" spans="1:20" x14ac:dyDescent="0.2">
      <c r="A165" s="5" t="s">
        <v>217</v>
      </c>
      <c r="B165" s="5" t="s">
        <v>162</v>
      </c>
      <c r="C165" s="10" t="s">
        <v>790</v>
      </c>
      <c r="D165" s="7">
        <f t="shared" si="0"/>
        <v>9.4</v>
      </c>
      <c r="E165" s="5">
        <v>0</v>
      </c>
      <c r="F165" s="5">
        <v>0</v>
      </c>
      <c r="G165" s="5">
        <v>0</v>
      </c>
      <c r="H165" s="5">
        <v>0</v>
      </c>
      <c r="I165" s="5">
        <v>0</v>
      </c>
      <c r="J165" s="9">
        <v>0</v>
      </c>
      <c r="K165" s="8">
        <v>0</v>
      </c>
      <c r="L165" s="5">
        <v>0</v>
      </c>
      <c r="M165" s="5">
        <v>0</v>
      </c>
      <c r="N165" s="9">
        <v>0</v>
      </c>
      <c r="O165" s="8">
        <v>4</v>
      </c>
      <c r="P165" s="5">
        <v>54</v>
      </c>
      <c r="Q165" s="5">
        <v>0</v>
      </c>
      <c r="R165" s="9">
        <v>0</v>
      </c>
      <c r="S165" s="5">
        <v>0</v>
      </c>
      <c r="T165" s="5">
        <v>0</v>
      </c>
    </row>
    <row r="166" spans="1:20" x14ac:dyDescent="0.2">
      <c r="A166" s="5" t="s">
        <v>182</v>
      </c>
      <c r="B166" s="5" t="s">
        <v>162</v>
      </c>
      <c r="C166" s="10" t="s">
        <v>792</v>
      </c>
      <c r="D166" s="7">
        <f t="shared" si="0"/>
        <v>9.3000000000000007</v>
      </c>
      <c r="E166" s="5">
        <v>0</v>
      </c>
      <c r="F166" s="5">
        <v>0</v>
      </c>
      <c r="G166" s="5">
        <v>0</v>
      </c>
      <c r="H166" s="5">
        <v>0</v>
      </c>
      <c r="I166" s="5">
        <v>0</v>
      </c>
      <c r="J166" s="9">
        <v>0</v>
      </c>
      <c r="K166" s="8">
        <v>0</v>
      </c>
      <c r="L166" s="5">
        <v>0</v>
      </c>
      <c r="M166" s="5">
        <v>0</v>
      </c>
      <c r="N166" s="9">
        <v>0</v>
      </c>
      <c r="O166" s="8">
        <v>4</v>
      </c>
      <c r="P166" s="5">
        <v>53</v>
      </c>
      <c r="Q166" s="5">
        <v>0</v>
      </c>
      <c r="R166" s="9">
        <v>0</v>
      </c>
      <c r="S166" s="5">
        <v>0</v>
      </c>
      <c r="T166" s="5">
        <v>0</v>
      </c>
    </row>
    <row r="167" spans="1:20" x14ac:dyDescent="0.2">
      <c r="A167" s="5" t="s">
        <v>339</v>
      </c>
      <c r="B167" s="5" t="s">
        <v>162</v>
      </c>
      <c r="C167" s="10" t="s">
        <v>794</v>
      </c>
      <c r="D167" s="7">
        <f t="shared" si="0"/>
        <v>9.6000000000000014</v>
      </c>
      <c r="E167" s="5">
        <v>0</v>
      </c>
      <c r="F167" s="5">
        <v>0</v>
      </c>
      <c r="G167" s="5">
        <v>0</v>
      </c>
      <c r="H167" s="5">
        <v>0</v>
      </c>
      <c r="I167" s="5">
        <v>0</v>
      </c>
      <c r="J167" s="9">
        <v>0</v>
      </c>
      <c r="K167" s="8">
        <v>0</v>
      </c>
      <c r="L167" s="5">
        <v>0</v>
      </c>
      <c r="M167" s="5">
        <v>0</v>
      </c>
      <c r="N167" s="9">
        <v>0</v>
      </c>
      <c r="O167" s="8">
        <v>4</v>
      </c>
      <c r="P167" s="5">
        <v>56</v>
      </c>
      <c r="Q167" s="5">
        <v>0</v>
      </c>
      <c r="R167" s="9">
        <v>0</v>
      </c>
      <c r="S167" s="5">
        <v>0</v>
      </c>
      <c r="T167" s="5">
        <v>0</v>
      </c>
    </row>
    <row r="168" spans="1:20" x14ac:dyDescent="0.2">
      <c r="A168" s="5" t="s">
        <v>169</v>
      </c>
      <c r="B168" s="5" t="s">
        <v>162</v>
      </c>
      <c r="C168" s="10" t="s">
        <v>795</v>
      </c>
      <c r="D168" s="7">
        <f t="shared" si="0"/>
        <v>9.6000000000000014</v>
      </c>
      <c r="E168" s="5">
        <v>0</v>
      </c>
      <c r="F168" s="5">
        <v>0</v>
      </c>
      <c r="G168" s="5">
        <v>0</v>
      </c>
      <c r="H168" s="5">
        <v>0</v>
      </c>
      <c r="I168" s="5">
        <v>0</v>
      </c>
      <c r="J168" s="9">
        <v>0</v>
      </c>
      <c r="K168" s="8">
        <v>0</v>
      </c>
      <c r="L168" s="5">
        <v>0</v>
      </c>
      <c r="M168" s="5">
        <v>0</v>
      </c>
      <c r="N168" s="9">
        <v>0</v>
      </c>
      <c r="O168" s="8">
        <v>5</v>
      </c>
      <c r="P168" s="5">
        <v>46</v>
      </c>
      <c r="Q168" s="5">
        <v>0</v>
      </c>
      <c r="R168" s="9">
        <v>0</v>
      </c>
      <c r="S168" s="5">
        <v>0</v>
      </c>
      <c r="T168" s="5">
        <v>0</v>
      </c>
    </row>
    <row r="169" spans="1:20" x14ac:dyDescent="0.2">
      <c r="A169" s="5" t="s">
        <v>246</v>
      </c>
      <c r="B169" s="5" t="s">
        <v>162</v>
      </c>
      <c r="C169" s="10" t="s">
        <v>806</v>
      </c>
      <c r="D169" s="7">
        <f t="shared" si="0"/>
        <v>9.8000000000000007</v>
      </c>
      <c r="E169" s="5">
        <v>0</v>
      </c>
      <c r="F169" s="5">
        <v>0</v>
      </c>
      <c r="G169" s="5">
        <v>0</v>
      </c>
      <c r="H169" s="5">
        <v>0</v>
      </c>
      <c r="I169" s="5">
        <v>0</v>
      </c>
      <c r="J169" s="9">
        <v>0</v>
      </c>
      <c r="K169" s="8">
        <v>0</v>
      </c>
      <c r="L169" s="5">
        <v>0</v>
      </c>
      <c r="M169" s="5">
        <v>0</v>
      </c>
      <c r="N169" s="9">
        <v>0</v>
      </c>
      <c r="O169" s="8">
        <v>6</v>
      </c>
      <c r="P169" s="5">
        <v>38</v>
      </c>
      <c r="Q169" s="5">
        <v>0</v>
      </c>
      <c r="R169" s="9">
        <v>0</v>
      </c>
      <c r="S169" s="5">
        <v>0</v>
      </c>
      <c r="T169" s="5">
        <v>0</v>
      </c>
    </row>
    <row r="170" spans="1:20" x14ac:dyDescent="0.2">
      <c r="A170" s="5" t="s">
        <v>197</v>
      </c>
      <c r="B170" s="5" t="s">
        <v>162</v>
      </c>
      <c r="C170" s="10" t="s">
        <v>805</v>
      </c>
      <c r="D170" s="7">
        <f t="shared" si="0"/>
        <v>9.8000000000000007</v>
      </c>
      <c r="E170" s="5">
        <v>0</v>
      </c>
      <c r="F170" s="5">
        <v>0</v>
      </c>
      <c r="G170" s="5">
        <v>0</v>
      </c>
      <c r="H170" s="5">
        <v>0</v>
      </c>
      <c r="I170" s="5">
        <v>0</v>
      </c>
      <c r="J170" s="9">
        <v>0</v>
      </c>
      <c r="K170" s="8">
        <v>0</v>
      </c>
      <c r="L170" s="5">
        <v>0</v>
      </c>
      <c r="M170" s="5">
        <v>0</v>
      </c>
      <c r="N170" s="9">
        <v>0</v>
      </c>
      <c r="O170" s="8">
        <v>4</v>
      </c>
      <c r="P170" s="5">
        <v>58</v>
      </c>
      <c r="Q170" s="5">
        <v>0</v>
      </c>
      <c r="R170" s="9">
        <v>0</v>
      </c>
      <c r="S170" s="5">
        <v>0</v>
      </c>
      <c r="T170" s="5">
        <v>0</v>
      </c>
    </row>
    <row r="171" spans="1:20" x14ac:dyDescent="0.2">
      <c r="A171" s="5" t="s">
        <v>360</v>
      </c>
      <c r="B171" s="5" t="s">
        <v>162</v>
      </c>
      <c r="C171" s="10" t="s">
        <v>804</v>
      </c>
      <c r="D171" s="7">
        <f t="shared" si="0"/>
        <v>8.4</v>
      </c>
      <c r="E171" s="5">
        <v>0</v>
      </c>
      <c r="F171" s="5">
        <v>0</v>
      </c>
      <c r="G171" s="5">
        <v>0</v>
      </c>
      <c r="H171" s="5">
        <v>0</v>
      </c>
      <c r="I171" s="5">
        <v>0</v>
      </c>
      <c r="J171" s="9">
        <v>0</v>
      </c>
      <c r="K171" s="8">
        <v>0</v>
      </c>
      <c r="L171" s="5">
        <v>0</v>
      </c>
      <c r="M171" s="5">
        <v>0</v>
      </c>
      <c r="N171" s="9">
        <v>0</v>
      </c>
      <c r="O171" s="8">
        <v>3</v>
      </c>
      <c r="P171" s="5">
        <v>54</v>
      </c>
      <c r="Q171" s="5">
        <v>0</v>
      </c>
      <c r="R171" s="9">
        <v>0</v>
      </c>
      <c r="S171" s="5">
        <v>0</v>
      </c>
      <c r="T171" s="5">
        <v>0</v>
      </c>
    </row>
    <row r="172" spans="1:20" x14ac:dyDescent="0.2">
      <c r="A172" s="5" t="s">
        <v>350</v>
      </c>
      <c r="B172" s="5" t="s">
        <v>162</v>
      </c>
      <c r="C172" s="10" t="s">
        <v>799</v>
      </c>
      <c r="D172" s="7">
        <f t="shared" si="0"/>
        <v>8.9</v>
      </c>
      <c r="E172" s="5">
        <v>0</v>
      </c>
      <c r="F172" s="5">
        <v>0</v>
      </c>
      <c r="G172" s="5">
        <v>0</v>
      </c>
      <c r="H172" s="5">
        <v>0</v>
      </c>
      <c r="I172" s="5">
        <v>0</v>
      </c>
      <c r="J172" s="9">
        <v>0</v>
      </c>
      <c r="K172" s="8">
        <v>1</v>
      </c>
      <c r="L172" s="5">
        <v>10</v>
      </c>
      <c r="M172" s="5">
        <v>0</v>
      </c>
      <c r="N172" s="9">
        <v>0</v>
      </c>
      <c r="O172" s="8">
        <v>4</v>
      </c>
      <c r="P172" s="5">
        <v>39</v>
      </c>
      <c r="Q172" s="5">
        <v>0</v>
      </c>
      <c r="R172" s="9">
        <v>0</v>
      </c>
      <c r="S172" s="5">
        <v>0</v>
      </c>
      <c r="T172" s="5">
        <v>0</v>
      </c>
    </row>
    <row r="173" spans="1:20" x14ac:dyDescent="0.2">
      <c r="A173" s="5" t="s">
        <v>237</v>
      </c>
      <c r="B173" s="5" t="s">
        <v>162</v>
      </c>
      <c r="C173" s="10" t="s">
        <v>802</v>
      </c>
      <c r="D173" s="7">
        <f t="shared" si="0"/>
        <v>8.1999999999999993</v>
      </c>
      <c r="E173" s="5">
        <v>0</v>
      </c>
      <c r="F173" s="5">
        <v>0</v>
      </c>
      <c r="G173" s="5">
        <v>0</v>
      </c>
      <c r="H173" s="5">
        <v>0</v>
      </c>
      <c r="I173" s="5">
        <v>0</v>
      </c>
      <c r="J173" s="9">
        <v>0</v>
      </c>
      <c r="K173" s="8">
        <v>0</v>
      </c>
      <c r="L173" s="5">
        <v>0</v>
      </c>
      <c r="M173" s="5">
        <v>0</v>
      </c>
      <c r="N173" s="9">
        <v>0</v>
      </c>
      <c r="O173" s="8">
        <v>1</v>
      </c>
      <c r="P173" s="5">
        <v>12</v>
      </c>
      <c r="Q173" s="5">
        <v>1</v>
      </c>
      <c r="R173" s="9">
        <v>0</v>
      </c>
      <c r="S173" s="5">
        <v>0</v>
      </c>
      <c r="T173" s="5">
        <v>0</v>
      </c>
    </row>
    <row r="174" spans="1:20" x14ac:dyDescent="0.2">
      <c r="A174" s="5" t="s">
        <v>523</v>
      </c>
      <c r="B174" s="5" t="s">
        <v>162</v>
      </c>
      <c r="C174" s="10" t="s">
        <v>796</v>
      </c>
      <c r="D174" s="7">
        <f t="shared" si="0"/>
        <v>9.5</v>
      </c>
      <c r="E174" s="5">
        <v>0</v>
      </c>
      <c r="F174" s="5">
        <v>0</v>
      </c>
      <c r="G174" s="5">
        <v>0</v>
      </c>
      <c r="H174" s="5">
        <v>0</v>
      </c>
      <c r="I174" s="5">
        <v>0</v>
      </c>
      <c r="J174" s="9">
        <v>0</v>
      </c>
      <c r="K174" s="8">
        <v>1</v>
      </c>
      <c r="L174" s="5">
        <v>6</v>
      </c>
      <c r="M174" s="5">
        <v>0</v>
      </c>
      <c r="N174" s="9">
        <v>0</v>
      </c>
      <c r="O174" s="8">
        <v>2</v>
      </c>
      <c r="P174" s="5">
        <v>69</v>
      </c>
      <c r="Q174" s="5">
        <v>0</v>
      </c>
      <c r="R174" s="9">
        <v>0</v>
      </c>
      <c r="S174" s="5">
        <v>0</v>
      </c>
      <c r="T174" s="5">
        <v>0</v>
      </c>
    </row>
    <row r="175" spans="1:20" x14ac:dyDescent="0.2">
      <c r="A175" s="5" t="s">
        <v>268</v>
      </c>
      <c r="B175" s="5" t="s">
        <v>162</v>
      </c>
      <c r="C175" s="10" t="s">
        <v>806</v>
      </c>
      <c r="D175" s="7">
        <f t="shared" si="0"/>
        <v>7.3000000000000007</v>
      </c>
      <c r="E175" s="5">
        <v>0</v>
      </c>
      <c r="F175" s="5">
        <v>0</v>
      </c>
      <c r="G175" s="5">
        <v>0</v>
      </c>
      <c r="H175" s="5">
        <v>0</v>
      </c>
      <c r="I175" s="5">
        <v>0</v>
      </c>
      <c r="J175" s="9">
        <v>0</v>
      </c>
      <c r="K175" s="8">
        <v>0</v>
      </c>
      <c r="L175" s="5">
        <v>0</v>
      </c>
      <c r="M175" s="5">
        <v>0</v>
      </c>
      <c r="N175" s="9">
        <v>0</v>
      </c>
      <c r="O175" s="8">
        <v>2</v>
      </c>
      <c r="P175" s="5">
        <v>53</v>
      </c>
      <c r="Q175" s="5">
        <v>0</v>
      </c>
      <c r="R175" s="9">
        <v>0</v>
      </c>
      <c r="S175" s="5">
        <v>0</v>
      </c>
      <c r="T175" s="5">
        <v>0</v>
      </c>
    </row>
    <row r="176" spans="1:20" x14ac:dyDescent="0.2">
      <c r="A176" s="5" t="s">
        <v>206</v>
      </c>
      <c r="B176" s="5" t="s">
        <v>162</v>
      </c>
      <c r="C176" s="10" t="s">
        <v>797</v>
      </c>
      <c r="D176" s="7">
        <f t="shared" si="0"/>
        <v>7.1000000000000005</v>
      </c>
      <c r="E176" s="5">
        <v>0</v>
      </c>
      <c r="F176" s="5">
        <v>0</v>
      </c>
      <c r="G176" s="5">
        <v>0</v>
      </c>
      <c r="H176" s="5">
        <v>0</v>
      </c>
      <c r="I176" s="5">
        <v>0</v>
      </c>
      <c r="J176" s="9">
        <v>0</v>
      </c>
      <c r="K176" s="8">
        <v>0</v>
      </c>
      <c r="L176" s="5">
        <v>0</v>
      </c>
      <c r="M176" s="5">
        <v>0</v>
      </c>
      <c r="N176" s="9">
        <v>0</v>
      </c>
      <c r="O176" s="8">
        <v>3</v>
      </c>
      <c r="P176" s="5">
        <v>41</v>
      </c>
      <c r="Q176" s="5">
        <v>0</v>
      </c>
      <c r="R176" s="9">
        <v>0</v>
      </c>
      <c r="S176" s="5">
        <v>0</v>
      </c>
      <c r="T176" s="5">
        <v>0</v>
      </c>
    </row>
    <row r="177" spans="1:20" x14ac:dyDescent="0.2">
      <c r="A177" s="5" t="s">
        <v>809</v>
      </c>
      <c r="B177" s="5" t="s">
        <v>162</v>
      </c>
      <c r="C177" s="10" t="s">
        <v>804</v>
      </c>
      <c r="D177" s="7">
        <f t="shared" si="0"/>
        <v>7.5</v>
      </c>
      <c r="E177" s="5">
        <v>0</v>
      </c>
      <c r="F177" s="5">
        <v>0</v>
      </c>
      <c r="G177" s="5">
        <v>0</v>
      </c>
      <c r="H177" s="5">
        <v>0</v>
      </c>
      <c r="I177" s="5">
        <v>0</v>
      </c>
      <c r="J177" s="9">
        <v>0</v>
      </c>
      <c r="K177" s="8">
        <v>0</v>
      </c>
      <c r="L177" s="5">
        <v>0</v>
      </c>
      <c r="M177" s="5">
        <v>0</v>
      </c>
      <c r="N177" s="9">
        <v>0</v>
      </c>
      <c r="O177" s="8">
        <v>5</v>
      </c>
      <c r="P177" s="5">
        <v>25</v>
      </c>
      <c r="Q177" s="5">
        <v>0</v>
      </c>
      <c r="R177" s="9">
        <v>0</v>
      </c>
      <c r="S177" s="5">
        <v>0</v>
      </c>
      <c r="T177" s="5">
        <v>0</v>
      </c>
    </row>
    <row r="178" spans="1:20" x14ac:dyDescent="0.2">
      <c r="A178" s="5" t="s">
        <v>207</v>
      </c>
      <c r="B178" s="5" t="s">
        <v>162</v>
      </c>
      <c r="C178" s="10" t="s">
        <v>799</v>
      </c>
      <c r="D178" s="7">
        <f t="shared" si="0"/>
        <v>7.3000000000000007</v>
      </c>
      <c r="E178" s="5">
        <v>0</v>
      </c>
      <c r="F178" s="5">
        <v>0</v>
      </c>
      <c r="G178" s="5">
        <v>0</v>
      </c>
      <c r="H178" s="5">
        <v>0</v>
      </c>
      <c r="I178" s="5">
        <v>0</v>
      </c>
      <c r="J178" s="9">
        <v>0</v>
      </c>
      <c r="K178" s="8">
        <v>3</v>
      </c>
      <c r="L178" s="5">
        <v>12</v>
      </c>
      <c r="M178" s="5">
        <v>0</v>
      </c>
      <c r="N178" s="9">
        <v>0</v>
      </c>
      <c r="O178" s="8">
        <v>3</v>
      </c>
      <c r="P178" s="5">
        <v>31</v>
      </c>
      <c r="Q178" s="5">
        <v>0</v>
      </c>
      <c r="R178" s="9">
        <v>0</v>
      </c>
      <c r="S178" s="5">
        <v>0</v>
      </c>
      <c r="T178" s="5">
        <v>0</v>
      </c>
    </row>
    <row r="179" spans="1:20" x14ac:dyDescent="0.2">
      <c r="A179" s="5" t="s">
        <v>220</v>
      </c>
      <c r="B179" s="5" t="s">
        <v>162</v>
      </c>
      <c r="C179" s="10" t="s">
        <v>795</v>
      </c>
      <c r="D179" s="7">
        <f t="shared" si="0"/>
        <v>7.3000000000000007</v>
      </c>
      <c r="E179" s="5">
        <v>0</v>
      </c>
      <c r="F179" s="5">
        <v>0</v>
      </c>
      <c r="G179" s="5">
        <v>0</v>
      </c>
      <c r="H179" s="5">
        <v>0</v>
      </c>
      <c r="I179" s="5">
        <v>0</v>
      </c>
      <c r="J179" s="9">
        <v>0</v>
      </c>
      <c r="K179" s="8">
        <v>0</v>
      </c>
      <c r="L179" s="5">
        <v>0</v>
      </c>
      <c r="M179" s="5">
        <v>0</v>
      </c>
      <c r="N179" s="9">
        <v>0</v>
      </c>
      <c r="O179" s="8">
        <v>2</v>
      </c>
      <c r="P179" s="5">
        <v>53</v>
      </c>
      <c r="Q179" s="5">
        <v>0</v>
      </c>
      <c r="R179" s="9">
        <v>0</v>
      </c>
      <c r="S179" s="5">
        <v>0</v>
      </c>
      <c r="T179" s="5">
        <v>0</v>
      </c>
    </row>
    <row r="180" spans="1:20" x14ac:dyDescent="0.2">
      <c r="A180" s="5" t="s">
        <v>484</v>
      </c>
      <c r="B180" s="5" t="s">
        <v>162</v>
      </c>
      <c r="C180" s="10" t="s">
        <v>793</v>
      </c>
      <c r="D180" s="7">
        <f t="shared" si="0"/>
        <v>8.1</v>
      </c>
      <c r="E180" s="5">
        <v>0</v>
      </c>
      <c r="F180" s="5">
        <v>0</v>
      </c>
      <c r="G180" s="5">
        <v>0</v>
      </c>
      <c r="H180" s="5">
        <v>0</v>
      </c>
      <c r="I180" s="5">
        <v>0</v>
      </c>
      <c r="J180" s="9">
        <v>0</v>
      </c>
      <c r="K180" s="8">
        <v>1</v>
      </c>
      <c r="L180" s="5">
        <v>8</v>
      </c>
      <c r="M180" s="5">
        <v>0</v>
      </c>
      <c r="N180" s="9">
        <v>0</v>
      </c>
      <c r="O180" s="8">
        <v>4</v>
      </c>
      <c r="P180" s="5">
        <v>33</v>
      </c>
      <c r="Q180" s="5">
        <v>0</v>
      </c>
      <c r="R180" s="9">
        <v>0</v>
      </c>
      <c r="S180" s="5">
        <v>0</v>
      </c>
      <c r="T180" s="5">
        <v>0</v>
      </c>
    </row>
    <row r="181" spans="1:20" x14ac:dyDescent="0.2">
      <c r="A181" s="5" t="s">
        <v>168</v>
      </c>
      <c r="B181" s="5" t="s">
        <v>162</v>
      </c>
      <c r="C181" s="10" t="s">
        <v>806</v>
      </c>
      <c r="D181" s="7">
        <f t="shared" si="0"/>
        <v>7.9</v>
      </c>
      <c r="E181" s="5">
        <v>0</v>
      </c>
      <c r="F181" s="5">
        <v>0</v>
      </c>
      <c r="G181" s="5">
        <v>0</v>
      </c>
      <c r="H181" s="5">
        <v>0</v>
      </c>
      <c r="I181" s="5">
        <v>0</v>
      </c>
      <c r="J181" s="9">
        <v>0</v>
      </c>
      <c r="K181" s="8">
        <v>0</v>
      </c>
      <c r="L181" s="5">
        <v>0</v>
      </c>
      <c r="M181" s="5">
        <v>0</v>
      </c>
      <c r="N181" s="9">
        <v>0</v>
      </c>
      <c r="O181" s="8">
        <v>4</v>
      </c>
      <c r="P181" s="5">
        <v>39</v>
      </c>
      <c r="Q181" s="5">
        <v>0</v>
      </c>
      <c r="R181" s="9">
        <v>0</v>
      </c>
      <c r="S181" s="5">
        <v>0</v>
      </c>
      <c r="T181" s="5">
        <v>0</v>
      </c>
    </row>
    <row r="182" spans="1:20" x14ac:dyDescent="0.2">
      <c r="A182" s="5" t="s">
        <v>165</v>
      </c>
      <c r="B182" s="5" t="s">
        <v>162</v>
      </c>
      <c r="C182" s="10" t="s">
        <v>799</v>
      </c>
      <c r="D182" s="7">
        <f t="shared" si="0"/>
        <v>7.1</v>
      </c>
      <c r="E182" s="5">
        <v>0</v>
      </c>
      <c r="F182" s="5">
        <v>0</v>
      </c>
      <c r="G182" s="5">
        <v>0</v>
      </c>
      <c r="H182" s="5">
        <v>0</v>
      </c>
      <c r="I182" s="5">
        <v>0</v>
      </c>
      <c r="J182" s="9">
        <v>0</v>
      </c>
      <c r="K182" s="8">
        <v>1</v>
      </c>
      <c r="L182" s="5">
        <v>5</v>
      </c>
      <c r="M182" s="5">
        <v>0</v>
      </c>
      <c r="N182" s="9">
        <v>0</v>
      </c>
      <c r="O182" s="8">
        <v>4</v>
      </c>
      <c r="P182" s="5">
        <v>26</v>
      </c>
      <c r="Q182" s="5">
        <v>0</v>
      </c>
      <c r="R182" s="9">
        <v>0</v>
      </c>
      <c r="S182" s="5">
        <v>0</v>
      </c>
      <c r="T182" s="5">
        <v>0</v>
      </c>
    </row>
    <row r="183" spans="1:20" x14ac:dyDescent="0.2">
      <c r="A183" s="5" t="s">
        <v>231</v>
      </c>
      <c r="B183" s="5" t="s">
        <v>162</v>
      </c>
      <c r="C183" s="10" t="s">
        <v>804</v>
      </c>
      <c r="D183" s="7">
        <f t="shared" si="0"/>
        <v>6.7</v>
      </c>
      <c r="E183" s="5">
        <v>0</v>
      </c>
      <c r="F183" s="5">
        <v>0</v>
      </c>
      <c r="G183" s="5">
        <v>0</v>
      </c>
      <c r="H183" s="5">
        <v>0</v>
      </c>
      <c r="I183" s="5">
        <v>0</v>
      </c>
      <c r="J183" s="9">
        <v>0</v>
      </c>
      <c r="K183" s="8">
        <v>0</v>
      </c>
      <c r="L183" s="5">
        <v>0</v>
      </c>
      <c r="M183" s="5">
        <v>0</v>
      </c>
      <c r="N183" s="9">
        <v>0</v>
      </c>
      <c r="O183" s="8">
        <v>4</v>
      </c>
      <c r="P183" s="5">
        <v>27</v>
      </c>
      <c r="Q183" s="5">
        <v>0</v>
      </c>
      <c r="R183" s="9">
        <v>0</v>
      </c>
      <c r="S183" s="5">
        <v>0</v>
      </c>
      <c r="T183" s="5">
        <v>0</v>
      </c>
    </row>
    <row r="184" spans="1:20" x14ac:dyDescent="0.2">
      <c r="A184" s="5" t="s">
        <v>199</v>
      </c>
      <c r="B184" s="5" t="s">
        <v>162</v>
      </c>
      <c r="C184" s="10" t="s">
        <v>798</v>
      </c>
      <c r="D184" s="7">
        <f t="shared" si="0"/>
        <v>6.3000000000000007</v>
      </c>
      <c r="E184" s="5">
        <v>0</v>
      </c>
      <c r="F184" s="5">
        <v>0</v>
      </c>
      <c r="G184" s="5">
        <v>0</v>
      </c>
      <c r="H184" s="5">
        <v>0</v>
      </c>
      <c r="I184" s="5">
        <v>0</v>
      </c>
      <c r="J184" s="9">
        <v>0</v>
      </c>
      <c r="K184" s="8">
        <v>0</v>
      </c>
      <c r="L184" s="5">
        <v>0</v>
      </c>
      <c r="M184" s="5">
        <v>0</v>
      </c>
      <c r="N184" s="9">
        <v>0</v>
      </c>
      <c r="O184" s="8">
        <v>3</v>
      </c>
      <c r="P184" s="5">
        <v>33</v>
      </c>
      <c r="Q184" s="5">
        <v>0</v>
      </c>
      <c r="R184" s="9">
        <v>0</v>
      </c>
      <c r="S184" s="5">
        <v>0</v>
      </c>
      <c r="T184" s="5">
        <v>0</v>
      </c>
    </row>
    <row r="185" spans="1:20" x14ac:dyDescent="0.2">
      <c r="A185" s="5" t="s">
        <v>177</v>
      </c>
      <c r="B185" s="5" t="s">
        <v>162</v>
      </c>
      <c r="C185" s="10" t="s">
        <v>792</v>
      </c>
      <c r="D185" s="7">
        <f t="shared" si="0"/>
        <v>6</v>
      </c>
      <c r="E185" s="5">
        <v>0</v>
      </c>
      <c r="F185" s="5">
        <v>0</v>
      </c>
      <c r="G185" s="5">
        <v>0</v>
      </c>
      <c r="H185" s="5">
        <v>0</v>
      </c>
      <c r="I185" s="5">
        <v>0</v>
      </c>
      <c r="J185" s="9">
        <v>0</v>
      </c>
      <c r="K185" s="8">
        <v>0</v>
      </c>
      <c r="L185" s="5">
        <v>0</v>
      </c>
      <c r="M185" s="5">
        <v>0</v>
      </c>
      <c r="N185" s="9">
        <v>0</v>
      </c>
      <c r="O185" s="8">
        <v>3</v>
      </c>
      <c r="P185" s="5">
        <v>30</v>
      </c>
      <c r="Q185" s="5">
        <v>0</v>
      </c>
      <c r="R185" s="9">
        <v>0</v>
      </c>
      <c r="S185" s="5">
        <v>0</v>
      </c>
      <c r="T185" s="5">
        <v>0</v>
      </c>
    </row>
    <row r="186" spans="1:20" x14ac:dyDescent="0.2">
      <c r="A186" s="5" t="s">
        <v>178</v>
      </c>
      <c r="B186" s="5" t="s">
        <v>162</v>
      </c>
      <c r="C186" s="10" t="s">
        <v>791</v>
      </c>
      <c r="D186" s="7">
        <f t="shared" si="0"/>
        <v>5.8000000000000007</v>
      </c>
      <c r="E186" s="5">
        <v>0</v>
      </c>
      <c r="F186" s="5">
        <v>0</v>
      </c>
      <c r="G186" s="5">
        <v>0</v>
      </c>
      <c r="H186" s="5">
        <v>0</v>
      </c>
      <c r="I186" s="5">
        <v>0</v>
      </c>
      <c r="J186" s="9">
        <v>0</v>
      </c>
      <c r="K186" s="8">
        <v>0</v>
      </c>
      <c r="L186" s="5">
        <v>0</v>
      </c>
      <c r="M186" s="5">
        <v>0</v>
      </c>
      <c r="N186" s="9">
        <v>0</v>
      </c>
      <c r="O186" s="8">
        <v>3</v>
      </c>
      <c r="P186" s="5">
        <v>28</v>
      </c>
      <c r="Q186" s="5">
        <v>0</v>
      </c>
      <c r="R186" s="9">
        <v>0</v>
      </c>
      <c r="S186" s="5">
        <v>0</v>
      </c>
      <c r="T186" s="5">
        <v>0</v>
      </c>
    </row>
    <row r="187" spans="1:20" x14ac:dyDescent="0.2">
      <c r="A187" s="5" t="s">
        <v>174</v>
      </c>
      <c r="B187" s="5" t="s">
        <v>162</v>
      </c>
      <c r="C187" s="10" t="s">
        <v>791</v>
      </c>
      <c r="D187" s="7">
        <f t="shared" si="0"/>
        <v>5.8000000000000007</v>
      </c>
      <c r="E187" s="5">
        <v>0</v>
      </c>
      <c r="F187" s="5">
        <v>0</v>
      </c>
      <c r="G187" s="5">
        <v>0</v>
      </c>
      <c r="H187" s="5">
        <v>0</v>
      </c>
      <c r="I187" s="5">
        <v>0</v>
      </c>
      <c r="J187" s="9">
        <v>0</v>
      </c>
      <c r="K187" s="8">
        <v>0</v>
      </c>
      <c r="L187" s="5">
        <v>0</v>
      </c>
      <c r="M187" s="5">
        <v>0</v>
      </c>
      <c r="N187" s="9">
        <v>0</v>
      </c>
      <c r="O187" s="8">
        <v>3</v>
      </c>
      <c r="P187" s="5">
        <v>28</v>
      </c>
      <c r="Q187" s="5">
        <v>0</v>
      </c>
      <c r="R187" s="9">
        <v>0</v>
      </c>
      <c r="S187" s="5">
        <v>0</v>
      </c>
      <c r="T187" s="5">
        <v>0</v>
      </c>
    </row>
    <row r="188" spans="1:20" x14ac:dyDescent="0.2">
      <c r="A188" s="5" t="s">
        <v>346</v>
      </c>
      <c r="B188" s="5" t="s">
        <v>162</v>
      </c>
      <c r="C188" s="10" t="s">
        <v>801</v>
      </c>
      <c r="D188" s="7">
        <f t="shared" si="0"/>
        <v>5.5</v>
      </c>
      <c r="E188" s="5">
        <v>0</v>
      </c>
      <c r="F188" s="5">
        <v>0</v>
      </c>
      <c r="G188" s="5">
        <v>0</v>
      </c>
      <c r="H188" s="5">
        <v>0</v>
      </c>
      <c r="I188" s="5">
        <v>0</v>
      </c>
      <c r="J188" s="9">
        <v>0</v>
      </c>
      <c r="K188" s="8">
        <v>0</v>
      </c>
      <c r="L188" s="5">
        <v>0</v>
      </c>
      <c r="M188" s="5">
        <v>0</v>
      </c>
      <c r="N188" s="9">
        <v>0</v>
      </c>
      <c r="O188" s="8">
        <v>3</v>
      </c>
      <c r="P188" s="5">
        <v>25</v>
      </c>
      <c r="Q188" s="5">
        <v>0</v>
      </c>
      <c r="R188" s="9">
        <v>0</v>
      </c>
      <c r="S188" s="5">
        <v>0</v>
      </c>
      <c r="T188" s="5">
        <v>0</v>
      </c>
    </row>
    <row r="189" spans="1:20" x14ac:dyDescent="0.2">
      <c r="A189" s="5" t="s">
        <v>253</v>
      </c>
      <c r="B189" s="5" t="s">
        <v>162</v>
      </c>
      <c r="C189" s="10" t="s">
        <v>804</v>
      </c>
      <c r="D189" s="7">
        <f t="shared" si="0"/>
        <v>5.9</v>
      </c>
      <c r="E189" s="5">
        <v>0</v>
      </c>
      <c r="F189" s="5">
        <v>0</v>
      </c>
      <c r="G189" s="5">
        <v>0</v>
      </c>
      <c r="H189" s="5">
        <v>0</v>
      </c>
      <c r="I189" s="5">
        <v>0</v>
      </c>
      <c r="J189" s="9">
        <v>0</v>
      </c>
      <c r="K189" s="8">
        <v>0</v>
      </c>
      <c r="L189" s="5">
        <v>0</v>
      </c>
      <c r="M189" s="5">
        <v>0</v>
      </c>
      <c r="N189" s="9">
        <v>0</v>
      </c>
      <c r="O189" s="8">
        <v>3</v>
      </c>
      <c r="P189" s="5">
        <v>29</v>
      </c>
      <c r="Q189" s="5">
        <v>0</v>
      </c>
      <c r="R189" s="9">
        <v>0</v>
      </c>
      <c r="S189" s="5">
        <v>0</v>
      </c>
      <c r="T189" s="5">
        <v>0</v>
      </c>
    </row>
    <row r="190" spans="1:20" x14ac:dyDescent="0.2">
      <c r="A190" s="5" t="s">
        <v>215</v>
      </c>
      <c r="B190" s="5" t="s">
        <v>162</v>
      </c>
      <c r="C190" s="10" t="s">
        <v>792</v>
      </c>
      <c r="D190" s="7">
        <f t="shared" si="0"/>
        <v>6.4</v>
      </c>
      <c r="E190" s="5">
        <v>0</v>
      </c>
      <c r="F190" s="5">
        <v>0</v>
      </c>
      <c r="G190" s="5">
        <v>0</v>
      </c>
      <c r="H190" s="5">
        <v>0</v>
      </c>
      <c r="I190" s="5">
        <v>0</v>
      </c>
      <c r="J190" s="9">
        <v>0</v>
      </c>
      <c r="K190" s="8">
        <v>2</v>
      </c>
      <c r="L190" s="5">
        <v>8</v>
      </c>
      <c r="M190" s="5">
        <v>0</v>
      </c>
      <c r="N190" s="9">
        <v>0</v>
      </c>
      <c r="O190" s="8">
        <v>3</v>
      </c>
      <c r="P190" s="5">
        <v>26</v>
      </c>
      <c r="Q190" s="5">
        <v>0</v>
      </c>
      <c r="R190" s="9">
        <v>0</v>
      </c>
      <c r="S190" s="5">
        <v>0</v>
      </c>
      <c r="T190" s="5">
        <v>0</v>
      </c>
    </row>
    <row r="191" spans="1:20" x14ac:dyDescent="0.2">
      <c r="A191" s="5" t="s">
        <v>171</v>
      </c>
      <c r="B191" s="5" t="s">
        <v>162</v>
      </c>
      <c r="C191" s="10" t="s">
        <v>800</v>
      </c>
      <c r="D191" s="7">
        <f t="shared" si="0"/>
        <v>5.6</v>
      </c>
      <c r="E191" s="5">
        <v>0</v>
      </c>
      <c r="F191" s="5">
        <v>0</v>
      </c>
      <c r="G191" s="5">
        <v>0</v>
      </c>
      <c r="H191" s="5">
        <v>0</v>
      </c>
      <c r="I191" s="5">
        <v>0</v>
      </c>
      <c r="J191" s="9">
        <v>0</v>
      </c>
      <c r="K191" s="8">
        <v>0</v>
      </c>
      <c r="L191" s="5">
        <v>0</v>
      </c>
      <c r="M191" s="5">
        <v>0</v>
      </c>
      <c r="N191" s="9">
        <v>0</v>
      </c>
      <c r="O191" s="8">
        <v>3</v>
      </c>
      <c r="P191" s="5">
        <v>26</v>
      </c>
      <c r="Q191" s="5">
        <v>0</v>
      </c>
      <c r="R191" s="9">
        <v>0</v>
      </c>
      <c r="S191" s="5">
        <v>0</v>
      </c>
      <c r="T191" s="5">
        <v>0</v>
      </c>
    </row>
    <row r="192" spans="1:20" x14ac:dyDescent="0.2">
      <c r="A192" s="5" t="s">
        <v>557</v>
      </c>
      <c r="B192" s="5" t="s">
        <v>162</v>
      </c>
      <c r="C192" s="10" t="s">
        <v>799</v>
      </c>
      <c r="D192" s="7">
        <f t="shared" si="0"/>
        <v>5.4</v>
      </c>
      <c r="E192" s="5">
        <v>0</v>
      </c>
      <c r="F192" s="5">
        <v>0</v>
      </c>
      <c r="G192" s="5">
        <v>0</v>
      </c>
      <c r="H192" s="5">
        <v>0</v>
      </c>
      <c r="I192" s="5">
        <v>0</v>
      </c>
      <c r="J192" s="9">
        <v>0</v>
      </c>
      <c r="K192" s="8">
        <v>0</v>
      </c>
      <c r="L192" s="5">
        <v>0</v>
      </c>
      <c r="M192" s="5">
        <v>0</v>
      </c>
      <c r="N192" s="9">
        <v>0</v>
      </c>
      <c r="O192" s="8">
        <v>3</v>
      </c>
      <c r="P192" s="5">
        <v>24</v>
      </c>
      <c r="Q192" s="5">
        <v>0</v>
      </c>
      <c r="R192" s="9">
        <v>0</v>
      </c>
      <c r="S192" s="5">
        <v>0</v>
      </c>
      <c r="T192" s="5">
        <v>0</v>
      </c>
    </row>
    <row r="193" spans="1:20" x14ac:dyDescent="0.2">
      <c r="A193" s="5" t="s">
        <v>365</v>
      </c>
      <c r="B193" s="5" t="s">
        <v>162</v>
      </c>
      <c r="C193" s="10" t="s">
        <v>795</v>
      </c>
      <c r="D193" s="7">
        <f t="shared" si="0"/>
        <v>5.6</v>
      </c>
      <c r="E193" s="5">
        <v>0</v>
      </c>
      <c r="F193" s="5">
        <v>0</v>
      </c>
      <c r="G193" s="5">
        <v>0</v>
      </c>
      <c r="H193" s="5">
        <v>0</v>
      </c>
      <c r="I193" s="5">
        <v>0</v>
      </c>
      <c r="J193" s="9">
        <v>0</v>
      </c>
      <c r="K193" s="8">
        <v>0</v>
      </c>
      <c r="L193" s="5">
        <v>0</v>
      </c>
      <c r="M193" s="5">
        <v>0</v>
      </c>
      <c r="N193" s="9">
        <v>0</v>
      </c>
      <c r="O193" s="8">
        <v>2</v>
      </c>
      <c r="P193" s="5">
        <v>36</v>
      </c>
      <c r="Q193" s="5">
        <v>0</v>
      </c>
      <c r="R193" s="9">
        <v>0</v>
      </c>
      <c r="S193" s="5">
        <v>0</v>
      </c>
      <c r="T193" s="5">
        <v>0</v>
      </c>
    </row>
    <row r="194" spans="1:20" x14ac:dyDescent="0.2">
      <c r="A194" s="5" t="s">
        <v>227</v>
      </c>
      <c r="B194" s="5" t="s">
        <v>162</v>
      </c>
      <c r="C194" s="10" t="s">
        <v>797</v>
      </c>
      <c r="D194" s="7">
        <f t="shared" si="0"/>
        <v>5.1000000000000005</v>
      </c>
      <c r="E194" s="5">
        <v>0</v>
      </c>
      <c r="F194" s="5">
        <v>0</v>
      </c>
      <c r="G194" s="5">
        <v>0</v>
      </c>
      <c r="H194" s="5">
        <v>0</v>
      </c>
      <c r="I194" s="5">
        <v>0</v>
      </c>
      <c r="J194" s="9">
        <v>0</v>
      </c>
      <c r="K194" s="8">
        <v>0</v>
      </c>
      <c r="L194" s="5">
        <v>0</v>
      </c>
      <c r="M194" s="5">
        <v>0</v>
      </c>
      <c r="N194" s="9">
        <v>0</v>
      </c>
      <c r="O194" s="8">
        <v>1</v>
      </c>
      <c r="P194" s="5">
        <v>41</v>
      </c>
      <c r="Q194" s="5">
        <v>0</v>
      </c>
      <c r="R194" s="9">
        <v>0</v>
      </c>
      <c r="S194" s="5">
        <v>0</v>
      </c>
      <c r="T194" s="5">
        <v>0</v>
      </c>
    </row>
    <row r="195" spans="1:20" x14ac:dyDescent="0.2">
      <c r="A195" s="5" t="s">
        <v>228</v>
      </c>
      <c r="B195" s="5" t="s">
        <v>162</v>
      </c>
      <c r="C195" s="10" t="s">
        <v>790</v>
      </c>
      <c r="D195" s="7">
        <f t="shared" si="0"/>
        <v>4.3000000000000007</v>
      </c>
      <c r="E195" s="5">
        <v>0</v>
      </c>
      <c r="F195" s="5">
        <v>0</v>
      </c>
      <c r="G195" s="5">
        <v>0</v>
      </c>
      <c r="H195" s="5">
        <v>0</v>
      </c>
      <c r="I195" s="5">
        <v>0</v>
      </c>
      <c r="J195" s="9">
        <v>0</v>
      </c>
      <c r="K195" s="8">
        <v>0</v>
      </c>
      <c r="L195" s="5">
        <v>0</v>
      </c>
      <c r="M195" s="5">
        <v>0</v>
      </c>
      <c r="N195" s="9">
        <v>0</v>
      </c>
      <c r="O195" s="8">
        <v>1</v>
      </c>
      <c r="P195" s="5">
        <v>33</v>
      </c>
      <c r="Q195" s="5">
        <v>0</v>
      </c>
      <c r="R195" s="9">
        <v>0</v>
      </c>
      <c r="S195" s="5">
        <v>0</v>
      </c>
      <c r="T195" s="5">
        <v>0</v>
      </c>
    </row>
    <row r="196" spans="1:20" x14ac:dyDescent="0.2">
      <c r="A196" s="5" t="s">
        <v>238</v>
      </c>
      <c r="B196" s="5" t="s">
        <v>162</v>
      </c>
      <c r="C196" s="10" t="s">
        <v>797</v>
      </c>
      <c r="D196" s="7">
        <f t="shared" si="0"/>
        <v>4.9000000000000004</v>
      </c>
      <c r="E196" s="5">
        <v>0</v>
      </c>
      <c r="F196" s="5">
        <v>0</v>
      </c>
      <c r="G196" s="5">
        <v>0</v>
      </c>
      <c r="H196" s="5">
        <v>0</v>
      </c>
      <c r="I196" s="5">
        <v>0</v>
      </c>
      <c r="J196" s="9">
        <v>0</v>
      </c>
      <c r="K196" s="8">
        <v>0</v>
      </c>
      <c r="L196" s="5">
        <v>0</v>
      </c>
      <c r="M196" s="5">
        <v>0</v>
      </c>
      <c r="N196" s="9">
        <v>0</v>
      </c>
      <c r="O196" s="8">
        <v>2</v>
      </c>
      <c r="P196" s="5">
        <v>29</v>
      </c>
      <c r="Q196" s="5">
        <v>0</v>
      </c>
      <c r="R196" s="9">
        <v>0</v>
      </c>
      <c r="S196" s="5">
        <v>0</v>
      </c>
      <c r="T196" s="5">
        <v>0</v>
      </c>
    </row>
    <row r="197" spans="1:20" x14ac:dyDescent="0.2">
      <c r="A197" s="5" t="s">
        <v>697</v>
      </c>
      <c r="B197" s="5" t="s">
        <v>162</v>
      </c>
      <c r="C197" s="10" t="s">
        <v>793</v>
      </c>
      <c r="D197" s="7">
        <f t="shared" si="0"/>
        <v>4.8000000000000007</v>
      </c>
      <c r="E197" s="5">
        <v>0</v>
      </c>
      <c r="F197" s="5">
        <v>0</v>
      </c>
      <c r="G197" s="5">
        <v>0</v>
      </c>
      <c r="H197" s="5">
        <v>0</v>
      </c>
      <c r="I197" s="5">
        <v>0</v>
      </c>
      <c r="J197" s="9">
        <v>0</v>
      </c>
      <c r="K197" s="8">
        <v>0</v>
      </c>
      <c r="L197" s="5">
        <v>0</v>
      </c>
      <c r="M197" s="5">
        <v>0</v>
      </c>
      <c r="N197" s="9">
        <v>0</v>
      </c>
      <c r="O197" s="8">
        <v>2</v>
      </c>
      <c r="P197" s="5">
        <v>28</v>
      </c>
      <c r="Q197" s="5">
        <v>0</v>
      </c>
      <c r="R197" s="9">
        <v>0</v>
      </c>
      <c r="S197" s="5">
        <v>0</v>
      </c>
      <c r="T197" s="5">
        <v>0</v>
      </c>
    </row>
    <row r="198" spans="1:20" x14ac:dyDescent="0.2">
      <c r="A198" s="5" t="s">
        <v>230</v>
      </c>
      <c r="B198" s="5" t="s">
        <v>162</v>
      </c>
      <c r="C198" s="10" t="s">
        <v>799</v>
      </c>
      <c r="D198" s="7">
        <f t="shared" si="0"/>
        <v>4.0999999999999996</v>
      </c>
      <c r="E198" s="5">
        <v>0</v>
      </c>
      <c r="F198" s="5">
        <v>0</v>
      </c>
      <c r="G198" s="5">
        <v>0</v>
      </c>
      <c r="H198" s="5">
        <v>0</v>
      </c>
      <c r="I198" s="5">
        <v>0</v>
      </c>
      <c r="J198" s="9">
        <v>0</v>
      </c>
      <c r="K198" s="8">
        <v>0</v>
      </c>
      <c r="L198" s="5">
        <v>0</v>
      </c>
      <c r="M198" s="5">
        <v>0</v>
      </c>
      <c r="N198" s="9">
        <v>0</v>
      </c>
      <c r="O198" s="8">
        <v>2</v>
      </c>
      <c r="P198" s="5">
        <v>21</v>
      </c>
      <c r="Q198" s="5">
        <v>0</v>
      </c>
      <c r="R198" s="9">
        <v>0</v>
      </c>
      <c r="S198" s="5">
        <v>0</v>
      </c>
      <c r="T198" s="5">
        <v>0</v>
      </c>
    </row>
    <row r="199" spans="1:20" x14ac:dyDescent="0.2">
      <c r="A199" s="5" t="s">
        <v>222</v>
      </c>
      <c r="B199" s="5" t="s">
        <v>162</v>
      </c>
      <c r="C199" s="10" t="s">
        <v>794</v>
      </c>
      <c r="D199" s="7">
        <f t="shared" si="0"/>
        <v>4.9000000000000004</v>
      </c>
      <c r="E199" s="5">
        <v>0</v>
      </c>
      <c r="F199" s="5">
        <v>0</v>
      </c>
      <c r="G199" s="5">
        <v>0</v>
      </c>
      <c r="H199" s="5">
        <v>0</v>
      </c>
      <c r="I199" s="5">
        <v>0</v>
      </c>
      <c r="J199" s="9">
        <v>0</v>
      </c>
      <c r="K199" s="8">
        <v>0</v>
      </c>
      <c r="L199" s="5">
        <v>0</v>
      </c>
      <c r="M199" s="5">
        <v>0</v>
      </c>
      <c r="N199" s="9">
        <v>0</v>
      </c>
      <c r="O199" s="8">
        <v>3</v>
      </c>
      <c r="P199" s="5">
        <v>19</v>
      </c>
      <c r="Q199" s="5">
        <v>0</v>
      </c>
      <c r="R199" s="9">
        <v>0</v>
      </c>
      <c r="S199" s="5">
        <v>0</v>
      </c>
      <c r="T199" s="5">
        <v>0</v>
      </c>
    </row>
    <row r="200" spans="1:20" x14ac:dyDescent="0.2">
      <c r="A200" s="5" t="s">
        <v>357</v>
      </c>
      <c r="B200" s="5" t="s">
        <v>162</v>
      </c>
      <c r="C200" s="10" t="s">
        <v>805</v>
      </c>
      <c r="D200" s="7">
        <f t="shared" si="0"/>
        <v>4.2</v>
      </c>
      <c r="E200" s="5">
        <v>0</v>
      </c>
      <c r="F200" s="5">
        <v>0</v>
      </c>
      <c r="G200" s="5">
        <v>0</v>
      </c>
      <c r="H200" s="5">
        <v>0</v>
      </c>
      <c r="I200" s="5">
        <v>0</v>
      </c>
      <c r="J200" s="9">
        <v>0</v>
      </c>
      <c r="K200" s="8">
        <v>0</v>
      </c>
      <c r="L200" s="5">
        <v>0</v>
      </c>
      <c r="M200" s="5">
        <v>0</v>
      </c>
      <c r="N200" s="9">
        <v>0</v>
      </c>
      <c r="O200" s="8">
        <v>1</v>
      </c>
      <c r="P200" s="5">
        <v>32</v>
      </c>
      <c r="Q200" s="5">
        <v>0</v>
      </c>
      <c r="R200" s="9">
        <v>0</v>
      </c>
      <c r="S200" s="5">
        <v>0</v>
      </c>
      <c r="T200" s="5">
        <v>0</v>
      </c>
    </row>
    <row r="201" spans="1:20" x14ac:dyDescent="0.2">
      <c r="A201" s="5" t="s">
        <v>577</v>
      </c>
      <c r="B201" s="5" t="s">
        <v>162</v>
      </c>
      <c r="C201" s="10" t="s">
        <v>799</v>
      </c>
      <c r="D201" s="7">
        <f t="shared" si="0"/>
        <v>4.9000000000000004</v>
      </c>
      <c r="E201" s="5">
        <v>0</v>
      </c>
      <c r="F201" s="5">
        <v>0</v>
      </c>
      <c r="G201" s="5">
        <v>0</v>
      </c>
      <c r="H201" s="5">
        <v>0</v>
      </c>
      <c r="I201" s="5">
        <v>0</v>
      </c>
      <c r="J201" s="9">
        <v>0</v>
      </c>
      <c r="K201" s="8">
        <v>0</v>
      </c>
      <c r="L201" s="5">
        <v>0</v>
      </c>
      <c r="M201" s="5">
        <v>0</v>
      </c>
      <c r="N201" s="9">
        <v>0</v>
      </c>
      <c r="O201" s="8">
        <v>1</v>
      </c>
      <c r="P201" s="5">
        <v>39</v>
      </c>
      <c r="Q201" s="5">
        <v>0</v>
      </c>
      <c r="R201" s="9">
        <v>0</v>
      </c>
      <c r="S201" s="5">
        <v>0</v>
      </c>
      <c r="T201" s="5">
        <v>0</v>
      </c>
    </row>
    <row r="202" spans="1:20" x14ac:dyDescent="0.2">
      <c r="A202" s="5" t="s">
        <v>698</v>
      </c>
      <c r="B202" s="5" t="s">
        <v>162</v>
      </c>
      <c r="C202" s="10" t="s">
        <v>806</v>
      </c>
      <c r="D202" s="7">
        <f t="shared" si="0"/>
        <v>4.2</v>
      </c>
      <c r="E202" s="5">
        <v>0</v>
      </c>
      <c r="F202" s="5">
        <v>0</v>
      </c>
      <c r="G202" s="5">
        <v>0</v>
      </c>
      <c r="H202" s="5">
        <v>0</v>
      </c>
      <c r="I202" s="5">
        <v>0</v>
      </c>
      <c r="J202" s="9">
        <v>0</v>
      </c>
      <c r="K202" s="8">
        <v>1</v>
      </c>
      <c r="L202" s="5">
        <v>0</v>
      </c>
      <c r="M202" s="5">
        <v>0</v>
      </c>
      <c r="N202" s="9">
        <v>0</v>
      </c>
      <c r="O202" s="8">
        <v>3</v>
      </c>
      <c r="P202" s="5">
        <v>12</v>
      </c>
      <c r="Q202" s="5">
        <v>0</v>
      </c>
      <c r="R202" s="9">
        <v>0</v>
      </c>
      <c r="S202" s="5">
        <v>0</v>
      </c>
      <c r="T202" s="5">
        <v>0</v>
      </c>
    </row>
    <row r="203" spans="1:20" x14ac:dyDescent="0.2">
      <c r="A203" s="5" t="s">
        <v>340</v>
      </c>
      <c r="B203" s="5" t="s">
        <v>162</v>
      </c>
      <c r="C203" s="10" t="s">
        <v>790</v>
      </c>
      <c r="D203" s="7">
        <f t="shared" si="0"/>
        <v>3.8</v>
      </c>
      <c r="E203" s="5">
        <v>0</v>
      </c>
      <c r="F203" s="5">
        <v>0</v>
      </c>
      <c r="G203" s="5">
        <v>0</v>
      </c>
      <c r="H203" s="5">
        <v>0</v>
      </c>
      <c r="I203" s="5">
        <v>0</v>
      </c>
      <c r="J203" s="9">
        <v>0</v>
      </c>
      <c r="K203" s="8">
        <v>0</v>
      </c>
      <c r="L203" s="5">
        <v>0</v>
      </c>
      <c r="M203" s="5">
        <v>0</v>
      </c>
      <c r="N203" s="9">
        <v>0</v>
      </c>
      <c r="O203" s="8">
        <v>2</v>
      </c>
      <c r="P203" s="5">
        <v>18</v>
      </c>
      <c r="Q203" s="5">
        <v>0</v>
      </c>
      <c r="R203" s="9">
        <v>0</v>
      </c>
      <c r="S203" s="5">
        <v>0</v>
      </c>
      <c r="T203" s="5">
        <v>0</v>
      </c>
    </row>
    <row r="204" spans="1:20" x14ac:dyDescent="0.2">
      <c r="A204" s="5" t="s">
        <v>212</v>
      </c>
      <c r="B204" s="5" t="s">
        <v>162</v>
      </c>
      <c r="C204" s="10" t="s">
        <v>790</v>
      </c>
      <c r="D204" s="7">
        <f t="shared" si="0"/>
        <v>3</v>
      </c>
      <c r="E204" s="5">
        <v>0</v>
      </c>
      <c r="F204" s="5">
        <v>0</v>
      </c>
      <c r="G204" s="5">
        <v>0</v>
      </c>
      <c r="H204" s="5">
        <v>0</v>
      </c>
      <c r="I204" s="5">
        <v>0</v>
      </c>
      <c r="J204" s="9">
        <v>0</v>
      </c>
      <c r="K204" s="8">
        <v>0</v>
      </c>
      <c r="L204" s="5">
        <v>0</v>
      </c>
      <c r="M204" s="5">
        <v>0</v>
      </c>
      <c r="N204" s="9">
        <v>0</v>
      </c>
      <c r="O204" s="8">
        <v>2</v>
      </c>
      <c r="P204" s="5">
        <v>10</v>
      </c>
      <c r="Q204" s="5">
        <v>0</v>
      </c>
      <c r="R204" s="9">
        <v>0</v>
      </c>
      <c r="S204" s="5">
        <v>0</v>
      </c>
      <c r="T204" s="5">
        <v>0</v>
      </c>
    </row>
    <row r="205" spans="1:20" x14ac:dyDescent="0.2">
      <c r="A205" s="5" t="s">
        <v>239</v>
      </c>
      <c r="B205" s="5" t="s">
        <v>162</v>
      </c>
      <c r="C205" s="10" t="s">
        <v>805</v>
      </c>
      <c r="D205" s="7">
        <f t="shared" si="0"/>
        <v>3.1</v>
      </c>
      <c r="E205" s="5">
        <v>0</v>
      </c>
      <c r="F205" s="5">
        <v>0</v>
      </c>
      <c r="G205" s="5">
        <v>0</v>
      </c>
      <c r="H205" s="5">
        <v>0</v>
      </c>
      <c r="I205" s="5">
        <v>0</v>
      </c>
      <c r="J205" s="9">
        <v>0</v>
      </c>
      <c r="K205" s="8">
        <v>0</v>
      </c>
      <c r="L205" s="5">
        <v>0</v>
      </c>
      <c r="M205" s="5">
        <v>0</v>
      </c>
      <c r="N205" s="9">
        <v>0</v>
      </c>
      <c r="O205" s="8">
        <v>2</v>
      </c>
      <c r="P205" s="5">
        <v>11</v>
      </c>
      <c r="Q205" s="5">
        <v>0</v>
      </c>
      <c r="R205" s="9">
        <v>0</v>
      </c>
      <c r="S205" s="5">
        <v>0</v>
      </c>
      <c r="T205" s="5">
        <v>0</v>
      </c>
    </row>
    <row r="206" spans="1:20" x14ac:dyDescent="0.2">
      <c r="A206" s="5" t="s">
        <v>244</v>
      </c>
      <c r="B206" s="5" t="s">
        <v>162</v>
      </c>
      <c r="C206" s="10" t="s">
        <v>794</v>
      </c>
      <c r="D206" s="7">
        <f t="shared" si="0"/>
        <v>3.5</v>
      </c>
      <c r="E206" s="5">
        <v>0</v>
      </c>
      <c r="F206" s="5">
        <v>0</v>
      </c>
      <c r="G206" s="5">
        <v>0</v>
      </c>
      <c r="H206" s="5">
        <v>0</v>
      </c>
      <c r="I206" s="5">
        <v>0</v>
      </c>
      <c r="J206" s="9">
        <v>0</v>
      </c>
      <c r="K206" s="8">
        <v>0</v>
      </c>
      <c r="L206" s="5">
        <v>0</v>
      </c>
      <c r="M206" s="5">
        <v>0</v>
      </c>
      <c r="N206" s="9">
        <v>0</v>
      </c>
      <c r="O206" s="8">
        <v>2</v>
      </c>
      <c r="P206" s="5">
        <v>15</v>
      </c>
      <c r="Q206" s="5">
        <v>0</v>
      </c>
      <c r="R206" s="9">
        <v>0</v>
      </c>
      <c r="S206" s="5">
        <v>0</v>
      </c>
      <c r="T206" s="5">
        <v>0</v>
      </c>
    </row>
    <row r="207" spans="1:20" x14ac:dyDescent="0.2">
      <c r="A207" s="5" t="s">
        <v>172</v>
      </c>
      <c r="B207" s="5" t="s">
        <v>162</v>
      </c>
      <c r="C207" s="10" t="s">
        <v>800</v>
      </c>
      <c r="D207" s="7">
        <f t="shared" si="0"/>
        <v>3.4000000000000004</v>
      </c>
      <c r="E207" s="5">
        <v>0</v>
      </c>
      <c r="F207" s="5">
        <v>0</v>
      </c>
      <c r="G207" s="5">
        <v>0</v>
      </c>
      <c r="H207" s="5">
        <v>0</v>
      </c>
      <c r="I207" s="5">
        <v>0</v>
      </c>
      <c r="J207" s="9">
        <v>0</v>
      </c>
      <c r="K207" s="8">
        <v>0</v>
      </c>
      <c r="L207" s="5">
        <v>0</v>
      </c>
      <c r="M207" s="5">
        <v>0</v>
      </c>
      <c r="N207" s="9">
        <v>0</v>
      </c>
      <c r="O207" s="8">
        <v>2</v>
      </c>
      <c r="P207" s="5">
        <v>14</v>
      </c>
      <c r="Q207" s="5">
        <v>0</v>
      </c>
      <c r="R207" s="9">
        <v>0</v>
      </c>
      <c r="S207" s="5">
        <v>0</v>
      </c>
      <c r="T207" s="5">
        <v>0</v>
      </c>
    </row>
    <row r="208" spans="1:20" x14ac:dyDescent="0.2">
      <c r="A208" s="5" t="s">
        <v>358</v>
      </c>
      <c r="B208" s="5" t="s">
        <v>162</v>
      </c>
      <c r="C208" s="10" t="s">
        <v>793</v>
      </c>
      <c r="D208" s="7">
        <f t="shared" si="0"/>
        <v>2.7</v>
      </c>
      <c r="E208" s="5">
        <v>0</v>
      </c>
      <c r="F208" s="5">
        <v>0</v>
      </c>
      <c r="G208" s="5">
        <v>0</v>
      </c>
      <c r="H208" s="5">
        <v>0</v>
      </c>
      <c r="I208" s="5">
        <v>0</v>
      </c>
      <c r="J208" s="9">
        <v>0</v>
      </c>
      <c r="K208" s="8">
        <v>0</v>
      </c>
      <c r="L208" s="5">
        <v>0</v>
      </c>
      <c r="M208" s="5">
        <v>0</v>
      </c>
      <c r="N208" s="9">
        <v>0</v>
      </c>
      <c r="O208" s="8">
        <v>2</v>
      </c>
      <c r="P208" s="5">
        <v>7</v>
      </c>
      <c r="Q208" s="5">
        <v>0</v>
      </c>
      <c r="R208" s="9">
        <v>0</v>
      </c>
      <c r="S208" s="5">
        <v>0</v>
      </c>
      <c r="T208" s="5">
        <v>0</v>
      </c>
    </row>
    <row r="209" spans="1:20" x14ac:dyDescent="0.2">
      <c r="A209" s="5" t="s">
        <v>371</v>
      </c>
      <c r="B209" s="5" t="s">
        <v>162</v>
      </c>
      <c r="C209" s="10" t="s">
        <v>806</v>
      </c>
      <c r="D209" s="7">
        <f t="shared" si="0"/>
        <v>2.8</v>
      </c>
      <c r="E209" s="5">
        <v>0</v>
      </c>
      <c r="F209" s="5">
        <v>0</v>
      </c>
      <c r="G209" s="5">
        <v>0</v>
      </c>
      <c r="H209" s="5">
        <v>0</v>
      </c>
      <c r="I209" s="5">
        <v>0</v>
      </c>
      <c r="J209" s="9">
        <v>0</v>
      </c>
      <c r="K209" s="8">
        <v>0</v>
      </c>
      <c r="L209" s="5">
        <v>0</v>
      </c>
      <c r="M209" s="5">
        <v>0</v>
      </c>
      <c r="N209" s="9">
        <v>0</v>
      </c>
      <c r="O209" s="8">
        <v>1</v>
      </c>
      <c r="P209" s="5">
        <v>18</v>
      </c>
      <c r="Q209" s="5">
        <v>0</v>
      </c>
      <c r="R209" s="9">
        <v>0</v>
      </c>
      <c r="S209" s="5">
        <v>0</v>
      </c>
      <c r="T209" s="5">
        <v>0</v>
      </c>
    </row>
    <row r="210" spans="1:20" x14ac:dyDescent="0.2">
      <c r="A210" s="5" t="s">
        <v>679</v>
      </c>
      <c r="B210" s="5" t="s">
        <v>162</v>
      </c>
      <c r="C210" s="10" t="s">
        <v>791</v>
      </c>
      <c r="D210" s="7">
        <f t="shared" si="0"/>
        <v>2.2999999999999998</v>
      </c>
      <c r="E210" s="5">
        <v>0</v>
      </c>
      <c r="F210" s="5">
        <v>0</v>
      </c>
      <c r="G210" s="5">
        <v>0</v>
      </c>
      <c r="H210" s="5">
        <v>0</v>
      </c>
      <c r="I210" s="5">
        <v>0</v>
      </c>
      <c r="J210" s="9">
        <v>0</v>
      </c>
      <c r="K210" s="8">
        <v>0</v>
      </c>
      <c r="L210" s="5">
        <v>0</v>
      </c>
      <c r="M210" s="5">
        <v>0</v>
      </c>
      <c r="N210" s="9">
        <v>0</v>
      </c>
      <c r="O210" s="8">
        <v>1</v>
      </c>
      <c r="P210" s="5">
        <v>13</v>
      </c>
      <c r="Q210" s="5">
        <v>0</v>
      </c>
      <c r="R210" s="9">
        <v>0</v>
      </c>
      <c r="S210" s="5">
        <v>0</v>
      </c>
      <c r="T210" s="5">
        <v>0</v>
      </c>
    </row>
    <row r="211" spans="1:20" x14ac:dyDescent="0.2">
      <c r="A211" s="5" t="s">
        <v>326</v>
      </c>
      <c r="B211" s="5" t="s">
        <v>162</v>
      </c>
      <c r="C211" s="10" t="s">
        <v>797</v>
      </c>
      <c r="D211" s="7">
        <f t="shared" si="0"/>
        <v>2.9000000000000004</v>
      </c>
      <c r="E211" s="5">
        <v>0</v>
      </c>
      <c r="F211" s="5">
        <v>0</v>
      </c>
      <c r="G211" s="5">
        <v>0</v>
      </c>
      <c r="H211" s="5">
        <v>0</v>
      </c>
      <c r="I211" s="5">
        <v>0</v>
      </c>
      <c r="J211" s="9">
        <v>0</v>
      </c>
      <c r="K211" s="8">
        <v>0</v>
      </c>
      <c r="L211" s="5">
        <v>0</v>
      </c>
      <c r="M211" s="5">
        <v>0</v>
      </c>
      <c r="N211" s="9">
        <v>0</v>
      </c>
      <c r="O211" s="8">
        <v>1</v>
      </c>
      <c r="P211" s="5">
        <v>19</v>
      </c>
      <c r="Q211" s="5">
        <v>0</v>
      </c>
      <c r="R211" s="9">
        <v>0</v>
      </c>
      <c r="S211" s="5">
        <v>0</v>
      </c>
      <c r="T211" s="5">
        <v>0</v>
      </c>
    </row>
    <row r="212" spans="1:20" x14ac:dyDescent="0.2">
      <c r="A212" s="5" t="s">
        <v>252</v>
      </c>
      <c r="B212" s="5" t="s">
        <v>162</v>
      </c>
      <c r="C212" s="10" t="s">
        <v>801</v>
      </c>
      <c r="D212" s="7">
        <f t="shared" si="0"/>
        <v>2.8</v>
      </c>
      <c r="E212" s="5">
        <v>0</v>
      </c>
      <c r="F212" s="5">
        <v>0</v>
      </c>
      <c r="G212" s="5">
        <v>0</v>
      </c>
      <c r="H212" s="5">
        <v>0</v>
      </c>
      <c r="I212" s="5">
        <v>0</v>
      </c>
      <c r="J212" s="9">
        <v>0</v>
      </c>
      <c r="K212" s="8">
        <v>0</v>
      </c>
      <c r="L212" s="5">
        <v>0</v>
      </c>
      <c r="M212" s="5">
        <v>0</v>
      </c>
      <c r="N212" s="9">
        <v>0</v>
      </c>
      <c r="O212" s="8">
        <v>1</v>
      </c>
      <c r="P212" s="5">
        <v>18</v>
      </c>
      <c r="Q212" s="5">
        <v>0</v>
      </c>
      <c r="R212" s="9">
        <v>0</v>
      </c>
      <c r="S212" s="5">
        <v>0</v>
      </c>
      <c r="T212" s="5">
        <v>0</v>
      </c>
    </row>
    <row r="213" spans="1:20" x14ac:dyDescent="0.2">
      <c r="A213" s="5" t="s">
        <v>260</v>
      </c>
      <c r="B213" s="5" t="s">
        <v>162</v>
      </c>
      <c r="C213" s="10" t="s">
        <v>805</v>
      </c>
      <c r="D213" s="7">
        <f t="shared" si="0"/>
        <v>2.8</v>
      </c>
      <c r="E213" s="5">
        <v>0</v>
      </c>
      <c r="F213" s="5">
        <v>0</v>
      </c>
      <c r="G213" s="5">
        <v>0</v>
      </c>
      <c r="H213" s="5">
        <v>0</v>
      </c>
      <c r="I213" s="5">
        <v>0</v>
      </c>
      <c r="J213" s="9">
        <v>0</v>
      </c>
      <c r="K213" s="8">
        <v>0</v>
      </c>
      <c r="L213" s="5">
        <v>0</v>
      </c>
      <c r="M213" s="5">
        <v>0</v>
      </c>
      <c r="N213" s="9">
        <v>0</v>
      </c>
      <c r="O213" s="8">
        <v>2</v>
      </c>
      <c r="P213" s="5">
        <v>8</v>
      </c>
      <c r="Q213" s="5">
        <v>0</v>
      </c>
      <c r="R213" s="9">
        <v>0</v>
      </c>
      <c r="S213" s="5">
        <v>0</v>
      </c>
      <c r="T213" s="5">
        <v>0</v>
      </c>
    </row>
    <row r="214" spans="1:20" x14ac:dyDescent="0.2">
      <c r="A214" s="5" t="s">
        <v>810</v>
      </c>
      <c r="B214" s="5" t="s">
        <v>162</v>
      </c>
      <c r="C214" s="10" t="s">
        <v>794</v>
      </c>
      <c r="D214" s="7">
        <f t="shared" si="0"/>
        <v>2.1</v>
      </c>
      <c r="E214" s="5">
        <v>0</v>
      </c>
      <c r="F214" s="5">
        <v>0</v>
      </c>
      <c r="G214" s="5">
        <v>0</v>
      </c>
      <c r="H214" s="5">
        <v>0</v>
      </c>
      <c r="I214" s="5">
        <v>0</v>
      </c>
      <c r="J214" s="9">
        <v>0</v>
      </c>
      <c r="K214" s="8">
        <v>0</v>
      </c>
      <c r="L214" s="5">
        <v>0</v>
      </c>
      <c r="M214" s="5">
        <v>0</v>
      </c>
      <c r="N214" s="9">
        <v>0</v>
      </c>
      <c r="O214" s="8">
        <v>1</v>
      </c>
      <c r="P214" s="5">
        <v>11</v>
      </c>
      <c r="Q214" s="5">
        <v>0</v>
      </c>
      <c r="R214" s="9">
        <v>0</v>
      </c>
      <c r="S214" s="5">
        <v>0</v>
      </c>
      <c r="T214" s="5">
        <v>0</v>
      </c>
    </row>
    <row r="215" spans="1:20" x14ac:dyDescent="0.2">
      <c r="A215" s="5" t="s">
        <v>241</v>
      </c>
      <c r="B215" s="5" t="s">
        <v>162</v>
      </c>
      <c r="C215" s="10" t="s">
        <v>802</v>
      </c>
      <c r="D215" s="7">
        <f t="shared" si="0"/>
        <v>2</v>
      </c>
      <c r="E215" s="5">
        <v>0</v>
      </c>
      <c r="F215" s="5">
        <v>0</v>
      </c>
      <c r="G215" s="5">
        <v>0</v>
      </c>
      <c r="H215" s="5">
        <v>0</v>
      </c>
      <c r="I215" s="5">
        <v>0</v>
      </c>
      <c r="J215" s="9">
        <v>0</v>
      </c>
      <c r="K215" s="8">
        <v>0</v>
      </c>
      <c r="L215" s="5">
        <v>0</v>
      </c>
      <c r="M215" s="5">
        <v>0</v>
      </c>
      <c r="N215" s="9">
        <v>0</v>
      </c>
      <c r="O215" s="8">
        <v>1</v>
      </c>
      <c r="P215" s="5">
        <v>10</v>
      </c>
      <c r="Q215" s="5">
        <v>0</v>
      </c>
      <c r="R215" s="9">
        <v>0</v>
      </c>
      <c r="S215" s="5">
        <v>0</v>
      </c>
      <c r="T215" s="5">
        <v>0</v>
      </c>
    </row>
    <row r="216" spans="1:20" x14ac:dyDescent="0.2">
      <c r="A216" s="5" t="s">
        <v>242</v>
      </c>
      <c r="B216" s="5" t="s">
        <v>162</v>
      </c>
      <c r="C216" s="10" t="s">
        <v>806</v>
      </c>
      <c r="D216" s="7">
        <f t="shared" si="0"/>
        <v>2</v>
      </c>
      <c r="E216" s="5">
        <v>0</v>
      </c>
      <c r="F216" s="5">
        <v>0</v>
      </c>
      <c r="G216" s="5">
        <v>0</v>
      </c>
      <c r="H216" s="5">
        <v>0</v>
      </c>
      <c r="I216" s="5">
        <v>0</v>
      </c>
      <c r="J216" s="9">
        <v>0</v>
      </c>
      <c r="K216" s="8">
        <v>0</v>
      </c>
      <c r="L216" s="5">
        <v>0</v>
      </c>
      <c r="M216" s="5">
        <v>0</v>
      </c>
      <c r="N216" s="9">
        <v>0</v>
      </c>
      <c r="O216" s="8">
        <v>2</v>
      </c>
      <c r="P216" s="5">
        <v>0</v>
      </c>
      <c r="Q216" s="5">
        <v>0</v>
      </c>
      <c r="R216" s="9">
        <v>0</v>
      </c>
      <c r="S216" s="5">
        <v>0</v>
      </c>
      <c r="T216" s="5">
        <v>0</v>
      </c>
    </row>
    <row r="217" spans="1:20" x14ac:dyDescent="0.2">
      <c r="A217" s="5" t="s">
        <v>345</v>
      </c>
      <c r="B217" s="5" t="s">
        <v>162</v>
      </c>
      <c r="C217" s="10" t="s">
        <v>799</v>
      </c>
      <c r="D217" s="7">
        <f t="shared" si="0"/>
        <v>2.5</v>
      </c>
      <c r="E217" s="5">
        <v>0</v>
      </c>
      <c r="F217" s="5">
        <v>0</v>
      </c>
      <c r="G217" s="5">
        <v>0</v>
      </c>
      <c r="H217" s="5">
        <v>0</v>
      </c>
      <c r="I217" s="5">
        <v>0</v>
      </c>
      <c r="J217" s="9">
        <v>0</v>
      </c>
      <c r="K217" s="8">
        <v>0</v>
      </c>
      <c r="L217" s="5">
        <v>0</v>
      </c>
      <c r="M217" s="5">
        <v>0</v>
      </c>
      <c r="N217" s="9">
        <v>0</v>
      </c>
      <c r="O217" s="8">
        <v>1</v>
      </c>
      <c r="P217" s="5">
        <v>15</v>
      </c>
      <c r="Q217" s="5">
        <v>0</v>
      </c>
      <c r="R217" s="9">
        <v>0</v>
      </c>
      <c r="S217" s="5">
        <v>0</v>
      </c>
      <c r="T217" s="5">
        <v>0</v>
      </c>
    </row>
    <row r="218" spans="1:20" x14ac:dyDescent="0.2">
      <c r="A218" s="5" t="s">
        <v>243</v>
      </c>
      <c r="B218" s="5" t="s">
        <v>162</v>
      </c>
      <c r="C218" s="10" t="s">
        <v>796</v>
      </c>
      <c r="D218" s="7">
        <f t="shared" si="0"/>
        <v>2.1</v>
      </c>
      <c r="E218" s="5">
        <v>0</v>
      </c>
      <c r="F218" s="5">
        <v>0</v>
      </c>
      <c r="G218" s="5">
        <v>0</v>
      </c>
      <c r="H218" s="5">
        <v>0</v>
      </c>
      <c r="I218" s="5">
        <v>0</v>
      </c>
      <c r="J218" s="9">
        <v>0</v>
      </c>
      <c r="K218" s="8">
        <v>0</v>
      </c>
      <c r="L218" s="5">
        <v>0</v>
      </c>
      <c r="M218" s="5">
        <v>0</v>
      </c>
      <c r="N218" s="9">
        <v>0</v>
      </c>
      <c r="O218" s="8">
        <v>1</v>
      </c>
      <c r="P218" s="5">
        <v>11</v>
      </c>
      <c r="Q218" s="5">
        <v>0</v>
      </c>
      <c r="R218" s="9">
        <v>0</v>
      </c>
      <c r="S218" s="5">
        <v>0</v>
      </c>
      <c r="T218" s="5">
        <v>0</v>
      </c>
    </row>
    <row r="219" spans="1:20" x14ac:dyDescent="0.2">
      <c r="A219" s="5" t="s">
        <v>191</v>
      </c>
      <c r="B219" s="5" t="s">
        <v>162</v>
      </c>
      <c r="C219" s="10" t="s">
        <v>796</v>
      </c>
      <c r="D219" s="7">
        <f t="shared" si="0"/>
        <v>2.2999999999999998</v>
      </c>
      <c r="E219" s="5">
        <v>0</v>
      </c>
      <c r="F219" s="5">
        <v>0</v>
      </c>
      <c r="G219" s="5">
        <v>0</v>
      </c>
      <c r="H219" s="5">
        <v>0</v>
      </c>
      <c r="I219" s="5">
        <v>0</v>
      </c>
      <c r="J219" s="9">
        <v>0</v>
      </c>
      <c r="K219" s="8">
        <v>0</v>
      </c>
      <c r="L219" s="5">
        <v>0</v>
      </c>
      <c r="M219" s="5">
        <v>0</v>
      </c>
      <c r="N219" s="9">
        <v>0</v>
      </c>
      <c r="O219" s="8">
        <v>1</v>
      </c>
      <c r="P219" s="5">
        <v>13</v>
      </c>
      <c r="Q219" s="5">
        <v>0</v>
      </c>
      <c r="R219" s="9">
        <v>0</v>
      </c>
      <c r="S219" s="5">
        <v>0</v>
      </c>
      <c r="T219" s="5">
        <v>0</v>
      </c>
    </row>
    <row r="220" spans="1:20" x14ac:dyDescent="0.2">
      <c r="A220" s="5" t="s">
        <v>387</v>
      </c>
      <c r="B220" s="5" t="s">
        <v>162</v>
      </c>
      <c r="C220" s="10" t="s">
        <v>802</v>
      </c>
      <c r="D220" s="7">
        <f t="shared" si="0"/>
        <v>1.4</v>
      </c>
      <c r="E220" s="5">
        <v>0</v>
      </c>
      <c r="F220" s="5">
        <v>0</v>
      </c>
      <c r="G220" s="5">
        <v>0</v>
      </c>
      <c r="H220" s="5">
        <v>0</v>
      </c>
      <c r="I220" s="5">
        <v>0</v>
      </c>
      <c r="J220" s="9">
        <v>0</v>
      </c>
      <c r="K220" s="8">
        <v>0</v>
      </c>
      <c r="L220" s="5">
        <v>0</v>
      </c>
      <c r="M220" s="5">
        <v>0</v>
      </c>
      <c r="N220" s="9">
        <v>0</v>
      </c>
      <c r="O220" s="8">
        <v>1</v>
      </c>
      <c r="P220" s="5">
        <v>4</v>
      </c>
      <c r="Q220" s="5">
        <v>0</v>
      </c>
      <c r="R220" s="9">
        <v>0</v>
      </c>
      <c r="S220" s="5">
        <v>0</v>
      </c>
      <c r="T220" s="5">
        <v>0</v>
      </c>
    </row>
    <row r="221" spans="1:20" x14ac:dyDescent="0.2">
      <c r="A221" s="5" t="s">
        <v>652</v>
      </c>
      <c r="B221" s="5" t="s">
        <v>162</v>
      </c>
      <c r="C221" s="10" t="s">
        <v>800</v>
      </c>
      <c r="D221" s="7">
        <f t="shared" si="0"/>
        <v>1.6</v>
      </c>
      <c r="E221" s="5">
        <v>0</v>
      </c>
      <c r="F221" s="5">
        <v>0</v>
      </c>
      <c r="G221" s="5">
        <v>0</v>
      </c>
      <c r="H221" s="5">
        <v>0</v>
      </c>
      <c r="I221" s="5">
        <v>0</v>
      </c>
      <c r="J221" s="9">
        <v>0</v>
      </c>
      <c r="K221" s="8">
        <v>0</v>
      </c>
      <c r="L221" s="5">
        <v>0</v>
      </c>
      <c r="M221" s="5">
        <v>0</v>
      </c>
      <c r="N221" s="9">
        <v>0</v>
      </c>
      <c r="O221" s="8">
        <v>1</v>
      </c>
      <c r="P221" s="5">
        <v>6</v>
      </c>
      <c r="Q221" s="5">
        <v>0</v>
      </c>
      <c r="R221" s="9">
        <v>0</v>
      </c>
      <c r="S221" s="5">
        <v>0</v>
      </c>
      <c r="T221" s="5">
        <v>0</v>
      </c>
    </row>
    <row r="222" spans="1:20" x14ac:dyDescent="0.2">
      <c r="A222" s="5" t="s">
        <v>229</v>
      </c>
      <c r="B222" s="5" t="s">
        <v>162</v>
      </c>
      <c r="C222" s="10" t="s">
        <v>805</v>
      </c>
      <c r="D222" s="7">
        <f t="shared" si="0"/>
        <v>1.8</v>
      </c>
      <c r="E222" s="5">
        <v>0</v>
      </c>
      <c r="F222" s="5">
        <v>0</v>
      </c>
      <c r="G222" s="5">
        <v>0</v>
      </c>
      <c r="H222" s="5">
        <v>0</v>
      </c>
      <c r="I222" s="5">
        <v>0</v>
      </c>
      <c r="J222" s="9">
        <v>0</v>
      </c>
      <c r="K222" s="8">
        <v>0</v>
      </c>
      <c r="L222" s="5">
        <v>0</v>
      </c>
      <c r="M222" s="5">
        <v>0</v>
      </c>
      <c r="N222" s="9">
        <v>0</v>
      </c>
      <c r="O222" s="8">
        <v>1</v>
      </c>
      <c r="P222" s="5">
        <v>8</v>
      </c>
      <c r="Q222" s="5">
        <v>0</v>
      </c>
      <c r="R222" s="9">
        <v>0</v>
      </c>
      <c r="S222" s="5">
        <v>0</v>
      </c>
      <c r="T222" s="5">
        <v>0</v>
      </c>
    </row>
    <row r="223" spans="1:20" x14ac:dyDescent="0.2">
      <c r="A223" s="5" t="s">
        <v>483</v>
      </c>
      <c r="B223" s="5" t="s">
        <v>162</v>
      </c>
      <c r="C223" s="10" t="s">
        <v>797</v>
      </c>
      <c r="D223" s="7">
        <f t="shared" si="0"/>
        <v>1.4</v>
      </c>
      <c r="E223" s="5">
        <v>0</v>
      </c>
      <c r="F223" s="5">
        <v>0</v>
      </c>
      <c r="G223" s="5">
        <v>0</v>
      </c>
      <c r="H223" s="5">
        <v>0</v>
      </c>
      <c r="I223" s="5">
        <v>0</v>
      </c>
      <c r="J223" s="9">
        <v>0</v>
      </c>
      <c r="K223" s="8">
        <v>0</v>
      </c>
      <c r="L223" s="5">
        <v>0</v>
      </c>
      <c r="M223" s="5">
        <v>0</v>
      </c>
      <c r="N223" s="9">
        <v>0</v>
      </c>
      <c r="O223" s="8">
        <v>1</v>
      </c>
      <c r="P223" s="5">
        <v>4</v>
      </c>
      <c r="Q223" s="5">
        <v>0</v>
      </c>
      <c r="R223" s="9">
        <v>0</v>
      </c>
      <c r="S223" s="5">
        <v>0</v>
      </c>
      <c r="T223" s="5">
        <v>0</v>
      </c>
    </row>
    <row r="224" spans="1:20" x14ac:dyDescent="0.2">
      <c r="A224" s="5" t="s">
        <v>261</v>
      </c>
      <c r="B224" s="5" t="s">
        <v>162</v>
      </c>
      <c r="C224" s="10" t="s">
        <v>797</v>
      </c>
      <c r="D224" s="7">
        <f t="shared" si="0"/>
        <v>1.6</v>
      </c>
      <c r="E224" s="5">
        <v>0</v>
      </c>
      <c r="F224" s="5">
        <v>0</v>
      </c>
      <c r="G224" s="5">
        <v>0</v>
      </c>
      <c r="H224" s="5">
        <v>0</v>
      </c>
      <c r="I224" s="5">
        <v>0</v>
      </c>
      <c r="J224" s="9">
        <v>0</v>
      </c>
      <c r="K224" s="8">
        <v>0</v>
      </c>
      <c r="L224" s="5">
        <v>0</v>
      </c>
      <c r="M224" s="5">
        <v>0</v>
      </c>
      <c r="N224" s="9">
        <v>0</v>
      </c>
      <c r="O224" s="8">
        <v>1</v>
      </c>
      <c r="P224" s="5">
        <v>6</v>
      </c>
      <c r="Q224" s="5">
        <v>0</v>
      </c>
      <c r="R224" s="9">
        <v>0</v>
      </c>
      <c r="S224" s="5">
        <v>0</v>
      </c>
      <c r="T224" s="5">
        <v>0</v>
      </c>
    </row>
    <row r="225" spans="1:20" x14ac:dyDescent="0.2">
      <c r="A225" s="5" t="s">
        <v>369</v>
      </c>
      <c r="B225" s="5" t="s">
        <v>162</v>
      </c>
      <c r="C225" s="10" t="s">
        <v>805</v>
      </c>
      <c r="D225" s="7">
        <f t="shared" si="0"/>
        <v>2.2000000000000002</v>
      </c>
      <c r="E225" s="5">
        <v>0</v>
      </c>
      <c r="F225" s="5">
        <v>0</v>
      </c>
      <c r="G225" s="5">
        <v>0</v>
      </c>
      <c r="H225" s="5">
        <v>0</v>
      </c>
      <c r="I225" s="5">
        <v>0</v>
      </c>
      <c r="J225" s="9">
        <v>0</v>
      </c>
      <c r="K225" s="8">
        <v>1</v>
      </c>
      <c r="L225" s="5">
        <v>4</v>
      </c>
      <c r="M225" s="5">
        <v>0</v>
      </c>
      <c r="N225" s="9">
        <v>0</v>
      </c>
      <c r="O225" s="8">
        <v>1</v>
      </c>
      <c r="P225" s="5">
        <v>8</v>
      </c>
      <c r="Q225" s="5">
        <v>0</v>
      </c>
      <c r="R225" s="9">
        <v>0</v>
      </c>
      <c r="S225" s="5">
        <v>0</v>
      </c>
      <c r="T225" s="5">
        <v>0</v>
      </c>
    </row>
    <row r="226" spans="1:20" x14ac:dyDescent="0.2">
      <c r="A226" s="5" t="s">
        <v>647</v>
      </c>
      <c r="B226" s="5" t="s">
        <v>162</v>
      </c>
      <c r="C226" s="10" t="s">
        <v>800</v>
      </c>
      <c r="D226" s="7">
        <f t="shared" si="0"/>
        <v>1.5</v>
      </c>
      <c r="E226" s="5">
        <v>0</v>
      </c>
      <c r="F226" s="5">
        <v>0</v>
      </c>
      <c r="G226" s="5">
        <v>0</v>
      </c>
      <c r="H226" s="5">
        <v>0</v>
      </c>
      <c r="I226" s="5">
        <v>0</v>
      </c>
      <c r="J226" s="9">
        <v>0</v>
      </c>
      <c r="K226" s="8">
        <v>0</v>
      </c>
      <c r="L226" s="5">
        <v>0</v>
      </c>
      <c r="M226" s="5">
        <v>0</v>
      </c>
      <c r="N226" s="9">
        <v>0</v>
      </c>
      <c r="O226" s="8">
        <v>1</v>
      </c>
      <c r="P226" s="5">
        <v>5</v>
      </c>
      <c r="Q226" s="5">
        <v>0</v>
      </c>
      <c r="R226" s="9">
        <v>0</v>
      </c>
      <c r="S226" s="5">
        <v>0</v>
      </c>
      <c r="T226" s="5">
        <v>0</v>
      </c>
    </row>
    <row r="227" spans="1:20" x14ac:dyDescent="0.2">
      <c r="A227" s="5" t="s">
        <v>247</v>
      </c>
      <c r="B227" s="5" t="s">
        <v>162</v>
      </c>
      <c r="C227" s="10" t="s">
        <v>800</v>
      </c>
      <c r="D227" s="7">
        <f t="shared" si="0"/>
        <v>1</v>
      </c>
      <c r="E227" s="5">
        <v>0</v>
      </c>
      <c r="F227" s="5">
        <v>0</v>
      </c>
      <c r="G227" s="5">
        <v>0</v>
      </c>
      <c r="H227" s="5">
        <v>0</v>
      </c>
      <c r="I227" s="5">
        <v>0</v>
      </c>
      <c r="J227" s="9">
        <v>0</v>
      </c>
      <c r="K227" s="8">
        <v>0</v>
      </c>
      <c r="L227" s="5">
        <v>0</v>
      </c>
      <c r="M227" s="5">
        <v>0</v>
      </c>
      <c r="N227" s="9">
        <v>0</v>
      </c>
      <c r="O227" s="8">
        <v>1</v>
      </c>
      <c r="P227" s="5">
        <v>0</v>
      </c>
      <c r="Q227" s="5">
        <v>0</v>
      </c>
      <c r="R227" s="9">
        <v>0</v>
      </c>
      <c r="S227" s="5">
        <v>0</v>
      </c>
      <c r="T227" s="5">
        <v>0</v>
      </c>
    </row>
    <row r="228" spans="1:20" x14ac:dyDescent="0.2">
      <c r="A228" s="5" t="s">
        <v>495</v>
      </c>
      <c r="B228" s="5" t="s">
        <v>162</v>
      </c>
      <c r="C228" s="10" t="s">
        <v>793</v>
      </c>
      <c r="D228" s="7">
        <f t="shared" si="0"/>
        <v>1.8</v>
      </c>
      <c r="E228" s="5">
        <v>0</v>
      </c>
      <c r="F228" s="5">
        <v>0</v>
      </c>
      <c r="G228" s="5">
        <v>0</v>
      </c>
      <c r="H228" s="5">
        <v>0</v>
      </c>
      <c r="I228" s="5">
        <v>0</v>
      </c>
      <c r="J228" s="9">
        <v>0</v>
      </c>
      <c r="K228" s="8">
        <v>0</v>
      </c>
      <c r="L228" s="5">
        <v>0</v>
      </c>
      <c r="M228" s="5">
        <v>0</v>
      </c>
      <c r="N228" s="9">
        <v>0</v>
      </c>
      <c r="O228" s="8">
        <v>1</v>
      </c>
      <c r="P228" s="5">
        <v>8</v>
      </c>
      <c r="Q228" s="5">
        <v>0</v>
      </c>
      <c r="R228" s="9">
        <v>0</v>
      </c>
      <c r="S228" s="5">
        <v>0</v>
      </c>
      <c r="T228" s="5">
        <v>0</v>
      </c>
    </row>
    <row r="229" spans="1:20" x14ac:dyDescent="0.2">
      <c r="A229" s="5" t="s">
        <v>361</v>
      </c>
      <c r="B229" s="5" t="s">
        <v>162</v>
      </c>
      <c r="C229" s="10" t="s">
        <v>796</v>
      </c>
      <c r="D229" s="7">
        <f t="shared" si="0"/>
        <v>1.9</v>
      </c>
      <c r="E229" s="5">
        <v>0</v>
      </c>
      <c r="F229" s="5">
        <v>0</v>
      </c>
      <c r="G229" s="5">
        <v>0</v>
      </c>
      <c r="H229" s="5">
        <v>0</v>
      </c>
      <c r="I229" s="5">
        <v>0</v>
      </c>
      <c r="J229" s="9">
        <v>0</v>
      </c>
      <c r="K229" s="8">
        <v>0</v>
      </c>
      <c r="L229" s="5">
        <v>0</v>
      </c>
      <c r="M229" s="5">
        <v>0</v>
      </c>
      <c r="N229" s="9">
        <v>0</v>
      </c>
      <c r="O229" s="8">
        <v>1</v>
      </c>
      <c r="P229" s="5">
        <v>9</v>
      </c>
      <c r="Q229" s="5">
        <v>0</v>
      </c>
      <c r="R229" s="9">
        <v>0</v>
      </c>
      <c r="S229" s="5">
        <v>0</v>
      </c>
      <c r="T229" s="5">
        <v>0</v>
      </c>
    </row>
    <row r="230" spans="1:20" x14ac:dyDescent="0.2">
      <c r="A230" s="5" t="s">
        <v>226</v>
      </c>
      <c r="B230" s="5" t="s">
        <v>162</v>
      </c>
      <c r="C230" s="10" t="s">
        <v>797</v>
      </c>
      <c r="D230" s="7">
        <f t="shared" si="0"/>
        <v>1.3</v>
      </c>
      <c r="E230" s="5">
        <v>0</v>
      </c>
      <c r="F230" s="5">
        <v>0</v>
      </c>
      <c r="G230" s="5">
        <v>0</v>
      </c>
      <c r="H230" s="5">
        <v>0</v>
      </c>
      <c r="I230" s="5">
        <v>0</v>
      </c>
      <c r="J230" s="9">
        <v>0</v>
      </c>
      <c r="K230" s="8">
        <v>0</v>
      </c>
      <c r="L230" s="5">
        <v>0</v>
      </c>
      <c r="M230" s="5">
        <v>0</v>
      </c>
      <c r="N230" s="9">
        <v>0</v>
      </c>
      <c r="O230" s="8">
        <v>1</v>
      </c>
      <c r="P230" s="5">
        <v>3</v>
      </c>
      <c r="Q230" s="5">
        <v>0</v>
      </c>
      <c r="R230" s="9">
        <v>0</v>
      </c>
      <c r="S230" s="5">
        <v>0</v>
      </c>
      <c r="T230" s="5">
        <v>0</v>
      </c>
    </row>
    <row r="231" spans="1:20" x14ac:dyDescent="0.2">
      <c r="A231" s="5" t="s">
        <v>712</v>
      </c>
      <c r="B231" s="5" t="s">
        <v>162</v>
      </c>
      <c r="C231" s="10" t="s">
        <v>806</v>
      </c>
      <c r="D231" s="7">
        <f t="shared" si="0"/>
        <v>1.2</v>
      </c>
      <c r="E231" s="5">
        <v>0</v>
      </c>
      <c r="F231" s="5">
        <v>0</v>
      </c>
      <c r="G231" s="5">
        <v>0</v>
      </c>
      <c r="H231" s="5">
        <v>0</v>
      </c>
      <c r="I231" s="5">
        <v>0</v>
      </c>
      <c r="J231" s="9">
        <v>0</v>
      </c>
      <c r="K231" s="8">
        <v>0</v>
      </c>
      <c r="L231" s="5">
        <v>0</v>
      </c>
      <c r="M231" s="5">
        <v>0</v>
      </c>
      <c r="N231" s="9">
        <v>0</v>
      </c>
      <c r="O231" s="8">
        <v>1</v>
      </c>
      <c r="P231" s="5">
        <v>2</v>
      </c>
      <c r="Q231" s="5">
        <v>0</v>
      </c>
      <c r="R231" s="9">
        <v>0</v>
      </c>
      <c r="S231" s="5">
        <v>0</v>
      </c>
      <c r="T231" s="5">
        <v>0</v>
      </c>
    </row>
    <row r="232" spans="1:20" x14ac:dyDescent="0.2">
      <c r="A232" s="5" t="s">
        <v>258</v>
      </c>
      <c r="B232" s="5" t="s">
        <v>162</v>
      </c>
      <c r="C232" s="10" t="s">
        <v>804</v>
      </c>
      <c r="D232" s="7">
        <f t="shared" si="0"/>
        <v>0.2</v>
      </c>
      <c r="E232" s="5">
        <v>0</v>
      </c>
      <c r="F232" s="5">
        <v>0</v>
      </c>
      <c r="G232" s="5">
        <v>0</v>
      </c>
      <c r="H232" s="5">
        <v>0</v>
      </c>
      <c r="I232" s="5">
        <v>0</v>
      </c>
      <c r="J232" s="9">
        <v>0</v>
      </c>
      <c r="K232" s="8">
        <v>1</v>
      </c>
      <c r="L232" s="5">
        <v>2</v>
      </c>
      <c r="M232" s="5">
        <v>0</v>
      </c>
      <c r="N232" s="9">
        <v>0</v>
      </c>
      <c r="O232" s="8">
        <v>0</v>
      </c>
      <c r="P232" s="5">
        <v>0</v>
      </c>
      <c r="Q232" s="5">
        <v>0</v>
      </c>
      <c r="R232" s="9">
        <v>0</v>
      </c>
      <c r="S232" s="5">
        <v>0</v>
      </c>
      <c r="T232" s="5">
        <v>0</v>
      </c>
    </row>
    <row r="233" spans="1:20" x14ac:dyDescent="0.2">
      <c r="A233" s="5" t="s">
        <v>398</v>
      </c>
      <c r="B233" s="5" t="s">
        <v>162</v>
      </c>
      <c r="C233" s="10" t="s">
        <v>794</v>
      </c>
      <c r="D233" s="7">
        <f t="shared" si="0"/>
        <v>0.2</v>
      </c>
      <c r="E233" s="5">
        <v>0</v>
      </c>
      <c r="F233" s="5">
        <v>0</v>
      </c>
      <c r="G233" s="5">
        <v>0</v>
      </c>
      <c r="H233" s="5">
        <v>0</v>
      </c>
      <c r="I233" s="5">
        <v>0</v>
      </c>
      <c r="J233" s="9">
        <v>0</v>
      </c>
      <c r="K233" s="8">
        <v>1</v>
      </c>
      <c r="L233" s="5">
        <v>2</v>
      </c>
      <c r="M233" s="5">
        <v>0</v>
      </c>
      <c r="N233" s="9">
        <v>0</v>
      </c>
      <c r="O233" s="8">
        <v>0</v>
      </c>
      <c r="P233" s="5">
        <v>0</v>
      </c>
      <c r="Q233" s="5">
        <v>0</v>
      </c>
      <c r="R233" s="9">
        <v>0</v>
      </c>
      <c r="S233" s="5">
        <v>0</v>
      </c>
      <c r="T233" s="5">
        <v>0</v>
      </c>
    </row>
    <row r="234" spans="1:20" x14ac:dyDescent="0.2">
      <c r="A234" s="5" t="s">
        <v>248</v>
      </c>
      <c r="B234" s="5" t="s">
        <v>162</v>
      </c>
      <c r="C234" s="10" t="s">
        <v>791</v>
      </c>
      <c r="D234" s="7">
        <f t="shared" si="0"/>
        <v>-1.6</v>
      </c>
      <c r="E234" s="5">
        <v>0</v>
      </c>
      <c r="F234" s="5">
        <v>0</v>
      </c>
      <c r="G234" s="5">
        <v>0</v>
      </c>
      <c r="H234" s="5">
        <v>0</v>
      </c>
      <c r="I234" s="5">
        <v>0</v>
      </c>
      <c r="J234" s="9">
        <v>0</v>
      </c>
      <c r="K234" s="8">
        <v>0</v>
      </c>
      <c r="L234" s="5">
        <v>0</v>
      </c>
      <c r="M234" s="5">
        <v>0</v>
      </c>
      <c r="N234" s="9">
        <v>0</v>
      </c>
      <c r="O234" s="8">
        <v>1</v>
      </c>
      <c r="P234" s="5">
        <v>-6</v>
      </c>
      <c r="Q234" s="5">
        <v>0</v>
      </c>
      <c r="R234" s="9">
        <v>0</v>
      </c>
      <c r="S234" s="5">
        <v>1</v>
      </c>
      <c r="T234" s="5">
        <v>0</v>
      </c>
    </row>
    <row r="235" spans="1:20" x14ac:dyDescent="0.2">
      <c r="A235" s="5" t="s">
        <v>290</v>
      </c>
      <c r="B235" s="5" t="s">
        <v>69</v>
      </c>
      <c r="C235" s="10" t="s">
        <v>800</v>
      </c>
      <c r="D235" s="7">
        <f t="shared" si="0"/>
        <v>23</v>
      </c>
      <c r="E235" s="5">
        <v>0</v>
      </c>
      <c r="F235" s="5">
        <v>0</v>
      </c>
      <c r="G235" s="5">
        <v>0</v>
      </c>
      <c r="H235" s="5">
        <v>0</v>
      </c>
      <c r="I235" s="5">
        <v>0</v>
      </c>
      <c r="J235" s="9">
        <v>0</v>
      </c>
      <c r="K235" s="8">
        <v>0</v>
      </c>
      <c r="L235" s="5">
        <v>0</v>
      </c>
      <c r="M235" s="5">
        <v>0</v>
      </c>
      <c r="N235" s="9">
        <v>0</v>
      </c>
      <c r="O235" s="8">
        <v>8</v>
      </c>
      <c r="P235" s="5">
        <v>90</v>
      </c>
      <c r="Q235" s="5">
        <v>1</v>
      </c>
      <c r="R235" s="9">
        <v>0</v>
      </c>
      <c r="S235" s="5">
        <v>0</v>
      </c>
      <c r="T235" s="5">
        <v>0</v>
      </c>
    </row>
    <row r="236" spans="1:20" x14ac:dyDescent="0.2">
      <c r="A236" s="5" t="s">
        <v>317</v>
      </c>
      <c r="B236" s="5" t="s">
        <v>69</v>
      </c>
      <c r="C236" s="10" t="s">
        <v>790</v>
      </c>
      <c r="D236" s="7">
        <f t="shared" si="0"/>
        <v>18.2</v>
      </c>
      <c r="E236" s="5">
        <v>0</v>
      </c>
      <c r="F236" s="5">
        <v>0</v>
      </c>
      <c r="G236" s="5">
        <v>0</v>
      </c>
      <c r="H236" s="5">
        <v>0</v>
      </c>
      <c r="I236" s="5">
        <v>0</v>
      </c>
      <c r="J236" s="9">
        <v>0</v>
      </c>
      <c r="K236" s="8">
        <v>0</v>
      </c>
      <c r="L236" s="5">
        <v>0</v>
      </c>
      <c r="M236" s="5">
        <v>0</v>
      </c>
      <c r="N236" s="9">
        <v>0</v>
      </c>
      <c r="O236" s="8">
        <v>2</v>
      </c>
      <c r="P236" s="5">
        <v>42</v>
      </c>
      <c r="Q236" s="5">
        <v>2</v>
      </c>
      <c r="R236" s="9">
        <v>0</v>
      </c>
      <c r="S236" s="5">
        <v>0</v>
      </c>
      <c r="T236" s="5">
        <v>0</v>
      </c>
    </row>
    <row r="237" spans="1:20" x14ac:dyDescent="0.2">
      <c r="A237" s="5" t="s">
        <v>300</v>
      </c>
      <c r="B237" s="5" t="s">
        <v>69</v>
      </c>
      <c r="C237" s="10" t="s">
        <v>793</v>
      </c>
      <c r="D237" s="7">
        <f t="shared" si="0"/>
        <v>17.399999999999999</v>
      </c>
      <c r="E237" s="5">
        <v>0</v>
      </c>
      <c r="F237" s="5">
        <v>0</v>
      </c>
      <c r="G237" s="5">
        <v>0</v>
      </c>
      <c r="H237" s="5">
        <v>0</v>
      </c>
      <c r="I237" s="5">
        <v>0</v>
      </c>
      <c r="J237" s="9">
        <v>0</v>
      </c>
      <c r="K237" s="8">
        <v>0</v>
      </c>
      <c r="L237" s="5">
        <v>0</v>
      </c>
      <c r="M237" s="5">
        <v>0</v>
      </c>
      <c r="N237" s="9">
        <v>0</v>
      </c>
      <c r="O237" s="8">
        <v>6</v>
      </c>
      <c r="P237" s="5">
        <v>134</v>
      </c>
      <c r="Q237" s="5">
        <v>0</v>
      </c>
      <c r="R237" s="9">
        <v>0</v>
      </c>
      <c r="S237" s="5">
        <v>1</v>
      </c>
      <c r="T237" s="5">
        <v>0</v>
      </c>
    </row>
    <row r="238" spans="1:20" x14ac:dyDescent="0.2">
      <c r="A238" s="5" t="s">
        <v>349</v>
      </c>
      <c r="B238" s="5" t="s">
        <v>69</v>
      </c>
      <c r="C238" s="10" t="s">
        <v>792</v>
      </c>
      <c r="D238" s="7">
        <f t="shared" si="0"/>
        <v>15.7</v>
      </c>
      <c r="E238" s="5">
        <v>0</v>
      </c>
      <c r="F238" s="5">
        <v>0</v>
      </c>
      <c r="G238" s="5">
        <v>0</v>
      </c>
      <c r="H238" s="5">
        <v>0</v>
      </c>
      <c r="I238" s="5">
        <v>0</v>
      </c>
      <c r="J238" s="9">
        <v>0</v>
      </c>
      <c r="K238" s="8">
        <v>0</v>
      </c>
      <c r="L238" s="5">
        <v>0</v>
      </c>
      <c r="M238" s="5">
        <v>0</v>
      </c>
      <c r="N238" s="9">
        <v>0</v>
      </c>
      <c r="O238" s="8">
        <v>5</v>
      </c>
      <c r="P238" s="5">
        <v>47</v>
      </c>
      <c r="Q238" s="5">
        <v>1</v>
      </c>
      <c r="R238" s="9">
        <v>0</v>
      </c>
      <c r="S238" s="5">
        <v>0</v>
      </c>
      <c r="T238" s="5">
        <v>0</v>
      </c>
    </row>
    <row r="239" spans="1:20" x14ac:dyDescent="0.2">
      <c r="A239" s="5" t="s">
        <v>280</v>
      </c>
      <c r="B239" s="5" t="s">
        <v>69</v>
      </c>
      <c r="C239" s="10" t="s">
        <v>796</v>
      </c>
      <c r="D239" s="7">
        <f t="shared" si="0"/>
        <v>15.4</v>
      </c>
      <c r="E239" s="5">
        <v>0</v>
      </c>
      <c r="F239" s="5">
        <v>0</v>
      </c>
      <c r="G239" s="5">
        <v>0</v>
      </c>
      <c r="H239" s="5">
        <v>0</v>
      </c>
      <c r="I239" s="5">
        <v>0</v>
      </c>
      <c r="J239" s="9">
        <v>0</v>
      </c>
      <c r="K239" s="8">
        <v>0</v>
      </c>
      <c r="L239" s="5">
        <v>0</v>
      </c>
      <c r="M239" s="5">
        <v>0</v>
      </c>
      <c r="N239" s="9">
        <v>0</v>
      </c>
      <c r="O239" s="8">
        <v>7</v>
      </c>
      <c r="P239" s="5">
        <v>84</v>
      </c>
      <c r="Q239" s="5">
        <v>0</v>
      </c>
      <c r="R239" s="9">
        <v>0</v>
      </c>
      <c r="S239" s="5">
        <v>0</v>
      </c>
      <c r="T239" s="5">
        <v>0</v>
      </c>
    </row>
    <row r="240" spans="1:20" x14ac:dyDescent="0.2">
      <c r="A240" s="5" t="s">
        <v>526</v>
      </c>
      <c r="B240" s="5" t="s">
        <v>69</v>
      </c>
      <c r="C240" s="10" t="s">
        <v>791</v>
      </c>
      <c r="D240" s="7">
        <f t="shared" si="0"/>
        <v>13.9</v>
      </c>
      <c r="E240" s="5">
        <v>0</v>
      </c>
      <c r="F240" s="5">
        <v>0</v>
      </c>
      <c r="G240" s="5">
        <v>0</v>
      </c>
      <c r="H240" s="5">
        <v>0</v>
      </c>
      <c r="I240" s="5">
        <v>0</v>
      </c>
      <c r="J240" s="9">
        <v>0</v>
      </c>
      <c r="K240" s="8">
        <v>0</v>
      </c>
      <c r="L240" s="5">
        <v>0</v>
      </c>
      <c r="M240" s="5">
        <v>0</v>
      </c>
      <c r="N240" s="9">
        <v>0</v>
      </c>
      <c r="O240" s="8">
        <v>4</v>
      </c>
      <c r="P240" s="5">
        <v>39</v>
      </c>
      <c r="Q240" s="5">
        <v>1</v>
      </c>
      <c r="R240" s="9">
        <v>0</v>
      </c>
      <c r="S240" s="5">
        <v>0</v>
      </c>
      <c r="T240" s="5">
        <v>0</v>
      </c>
    </row>
    <row r="241" spans="1:20" x14ac:dyDescent="0.2">
      <c r="A241" s="5" t="s">
        <v>276</v>
      </c>
      <c r="B241" s="5" t="s">
        <v>69</v>
      </c>
      <c r="C241" s="10" t="s">
        <v>806</v>
      </c>
      <c r="D241" s="7">
        <f t="shared" si="0"/>
        <v>12</v>
      </c>
      <c r="E241" s="5">
        <v>0</v>
      </c>
      <c r="F241" s="5">
        <v>0</v>
      </c>
      <c r="G241" s="5">
        <v>0</v>
      </c>
      <c r="H241" s="5">
        <v>0</v>
      </c>
      <c r="I241" s="5">
        <v>0</v>
      </c>
      <c r="J241" s="9">
        <v>0</v>
      </c>
      <c r="K241" s="8">
        <v>0</v>
      </c>
      <c r="L241" s="5">
        <v>0</v>
      </c>
      <c r="M241" s="5">
        <v>0</v>
      </c>
      <c r="N241" s="9">
        <v>0</v>
      </c>
      <c r="O241" s="8">
        <v>6</v>
      </c>
      <c r="P241" s="5">
        <v>60</v>
      </c>
      <c r="Q241" s="5">
        <v>0</v>
      </c>
      <c r="R241" s="9">
        <v>0</v>
      </c>
      <c r="S241" s="5">
        <v>0</v>
      </c>
      <c r="T241" s="5">
        <v>0</v>
      </c>
    </row>
    <row r="242" spans="1:20" x14ac:dyDescent="0.2">
      <c r="A242" s="5" t="s">
        <v>286</v>
      </c>
      <c r="B242" s="5" t="s">
        <v>69</v>
      </c>
      <c r="C242" s="10" t="s">
        <v>801</v>
      </c>
      <c r="D242" s="7">
        <f t="shared" si="0"/>
        <v>12.2</v>
      </c>
      <c r="E242" s="5">
        <v>0</v>
      </c>
      <c r="F242" s="5">
        <v>0</v>
      </c>
      <c r="G242" s="5">
        <v>0</v>
      </c>
      <c r="H242" s="5">
        <v>0</v>
      </c>
      <c r="I242" s="5">
        <v>0</v>
      </c>
      <c r="J242" s="9">
        <v>0</v>
      </c>
      <c r="K242" s="8">
        <v>0</v>
      </c>
      <c r="L242" s="5">
        <v>0</v>
      </c>
      <c r="M242" s="5">
        <v>0</v>
      </c>
      <c r="N242" s="9">
        <v>0</v>
      </c>
      <c r="O242" s="8">
        <v>6</v>
      </c>
      <c r="P242" s="5">
        <v>62</v>
      </c>
      <c r="Q242" s="5">
        <v>0</v>
      </c>
      <c r="R242" s="9">
        <v>0</v>
      </c>
      <c r="S242" s="5">
        <v>0</v>
      </c>
      <c r="T242" s="5">
        <v>0</v>
      </c>
    </row>
    <row r="243" spans="1:20" x14ac:dyDescent="0.2">
      <c r="A243" s="5" t="s">
        <v>291</v>
      </c>
      <c r="B243" s="5" t="s">
        <v>69</v>
      </c>
      <c r="C243" s="10" t="s">
        <v>799</v>
      </c>
      <c r="D243" s="7">
        <f t="shared" si="0"/>
        <v>12.700000000000001</v>
      </c>
      <c r="E243" s="5">
        <v>0</v>
      </c>
      <c r="F243" s="5">
        <v>0</v>
      </c>
      <c r="G243" s="5">
        <v>0</v>
      </c>
      <c r="H243" s="5">
        <v>0</v>
      </c>
      <c r="I243" s="5">
        <v>0</v>
      </c>
      <c r="J243" s="9">
        <v>0</v>
      </c>
      <c r="K243" s="8">
        <v>0</v>
      </c>
      <c r="L243" s="5">
        <v>0</v>
      </c>
      <c r="M243" s="5">
        <v>0</v>
      </c>
      <c r="N243" s="9">
        <v>0</v>
      </c>
      <c r="O243" s="8">
        <v>4</v>
      </c>
      <c r="P243" s="5">
        <v>87</v>
      </c>
      <c r="Q243" s="5">
        <v>0</v>
      </c>
      <c r="R243" s="9">
        <v>0</v>
      </c>
      <c r="S243" s="5">
        <v>0</v>
      </c>
      <c r="T243" s="5">
        <v>0</v>
      </c>
    </row>
    <row r="244" spans="1:20" x14ac:dyDescent="0.2">
      <c r="A244" s="5" t="s">
        <v>347</v>
      </c>
      <c r="B244" s="5" t="s">
        <v>69</v>
      </c>
      <c r="C244" s="10" t="s">
        <v>802</v>
      </c>
      <c r="D244" s="7">
        <f t="shared" si="0"/>
        <v>10.9</v>
      </c>
      <c r="E244" s="5">
        <v>0</v>
      </c>
      <c r="F244" s="5">
        <v>0</v>
      </c>
      <c r="G244" s="5">
        <v>0</v>
      </c>
      <c r="H244" s="5">
        <v>0</v>
      </c>
      <c r="I244" s="5">
        <v>0</v>
      </c>
      <c r="J244" s="9">
        <v>0</v>
      </c>
      <c r="K244" s="8">
        <v>0</v>
      </c>
      <c r="L244" s="5">
        <v>0</v>
      </c>
      <c r="M244" s="5">
        <v>0</v>
      </c>
      <c r="N244" s="9">
        <v>0</v>
      </c>
      <c r="O244" s="8">
        <v>5</v>
      </c>
      <c r="P244" s="5">
        <v>59</v>
      </c>
      <c r="Q244" s="5">
        <v>0</v>
      </c>
      <c r="R244" s="9">
        <v>0</v>
      </c>
      <c r="S244" s="5">
        <v>0</v>
      </c>
      <c r="T244" s="5">
        <v>0</v>
      </c>
    </row>
    <row r="245" spans="1:20" x14ac:dyDescent="0.2">
      <c r="A245" s="5" t="s">
        <v>486</v>
      </c>
      <c r="B245" s="5" t="s">
        <v>69</v>
      </c>
      <c r="C245" s="10" t="s">
        <v>791</v>
      </c>
      <c r="D245" s="7">
        <f t="shared" si="0"/>
        <v>10.8</v>
      </c>
      <c r="E245" s="5">
        <v>0</v>
      </c>
      <c r="F245" s="5">
        <v>0</v>
      </c>
      <c r="G245" s="5">
        <v>0</v>
      </c>
      <c r="H245" s="5">
        <v>0</v>
      </c>
      <c r="I245" s="5">
        <v>0</v>
      </c>
      <c r="J245" s="9">
        <v>0</v>
      </c>
      <c r="K245" s="8">
        <v>0</v>
      </c>
      <c r="L245" s="5">
        <v>0</v>
      </c>
      <c r="M245" s="5">
        <v>0</v>
      </c>
      <c r="N245" s="9">
        <v>0</v>
      </c>
      <c r="O245" s="8">
        <v>6</v>
      </c>
      <c r="P245" s="5">
        <v>48</v>
      </c>
      <c r="Q245" s="5">
        <v>0</v>
      </c>
      <c r="R245" s="9">
        <v>0</v>
      </c>
      <c r="S245" s="5">
        <v>0</v>
      </c>
      <c r="T245" s="5">
        <v>0</v>
      </c>
    </row>
    <row r="246" spans="1:20" x14ac:dyDescent="0.2">
      <c r="A246" s="5" t="s">
        <v>299</v>
      </c>
      <c r="B246" s="5" t="s">
        <v>69</v>
      </c>
      <c r="C246" s="10" t="s">
        <v>792</v>
      </c>
      <c r="D246" s="7">
        <f t="shared" si="0"/>
        <v>10.8</v>
      </c>
      <c r="E246" s="5">
        <v>0</v>
      </c>
      <c r="F246" s="5">
        <v>0</v>
      </c>
      <c r="G246" s="5">
        <v>0</v>
      </c>
      <c r="H246" s="5">
        <v>0</v>
      </c>
      <c r="I246" s="5">
        <v>0</v>
      </c>
      <c r="J246" s="9">
        <v>0</v>
      </c>
      <c r="K246" s="8">
        <v>0</v>
      </c>
      <c r="L246" s="5">
        <v>0</v>
      </c>
      <c r="M246" s="5">
        <v>0</v>
      </c>
      <c r="N246" s="9">
        <v>0</v>
      </c>
      <c r="O246" s="8">
        <v>6</v>
      </c>
      <c r="P246" s="5">
        <v>48</v>
      </c>
      <c r="Q246" s="5">
        <v>0</v>
      </c>
      <c r="R246" s="9">
        <v>0</v>
      </c>
      <c r="S246" s="5">
        <v>0</v>
      </c>
      <c r="T246" s="5">
        <v>0</v>
      </c>
    </row>
    <row r="247" spans="1:20" x14ac:dyDescent="0.2">
      <c r="A247" s="5" t="s">
        <v>294</v>
      </c>
      <c r="B247" s="5" t="s">
        <v>69</v>
      </c>
      <c r="C247" s="10" t="s">
        <v>801</v>
      </c>
      <c r="D247" s="7">
        <f t="shared" si="0"/>
        <v>10.100000000000001</v>
      </c>
      <c r="E247" s="5">
        <v>0</v>
      </c>
      <c r="F247" s="5">
        <v>0</v>
      </c>
      <c r="G247" s="5">
        <v>0</v>
      </c>
      <c r="H247" s="5">
        <v>0</v>
      </c>
      <c r="I247" s="5">
        <v>0</v>
      </c>
      <c r="J247" s="9">
        <v>0</v>
      </c>
      <c r="K247" s="8">
        <v>0</v>
      </c>
      <c r="L247" s="5">
        <v>0</v>
      </c>
      <c r="M247" s="5">
        <v>0</v>
      </c>
      <c r="N247" s="9">
        <v>0</v>
      </c>
      <c r="O247" s="8">
        <v>5</v>
      </c>
      <c r="P247" s="5">
        <v>51</v>
      </c>
      <c r="Q247" s="5">
        <v>0</v>
      </c>
      <c r="R247" s="9">
        <v>0</v>
      </c>
      <c r="S247" s="5">
        <v>0</v>
      </c>
      <c r="T247" s="5">
        <v>0</v>
      </c>
    </row>
    <row r="248" spans="1:20" x14ac:dyDescent="0.2">
      <c r="A248" s="5" t="s">
        <v>316</v>
      </c>
      <c r="B248" s="5" t="s">
        <v>69</v>
      </c>
      <c r="C248" s="10" t="s">
        <v>793</v>
      </c>
      <c r="D248" s="7">
        <f t="shared" si="0"/>
        <v>9.5</v>
      </c>
      <c r="E248" s="5">
        <v>0</v>
      </c>
      <c r="F248" s="5">
        <v>0</v>
      </c>
      <c r="G248" s="5">
        <v>0</v>
      </c>
      <c r="H248" s="5">
        <v>0</v>
      </c>
      <c r="I248" s="5">
        <v>0</v>
      </c>
      <c r="J248" s="9">
        <v>0</v>
      </c>
      <c r="K248" s="8">
        <v>0</v>
      </c>
      <c r="L248" s="5">
        <v>0</v>
      </c>
      <c r="M248" s="5">
        <v>0</v>
      </c>
      <c r="N248" s="9">
        <v>0</v>
      </c>
      <c r="O248" s="8">
        <v>5</v>
      </c>
      <c r="P248" s="5">
        <v>45</v>
      </c>
      <c r="Q248" s="5">
        <v>0</v>
      </c>
      <c r="R248" s="9">
        <v>0</v>
      </c>
      <c r="S248" s="5">
        <v>0</v>
      </c>
      <c r="T248" s="5">
        <v>0</v>
      </c>
    </row>
    <row r="249" spans="1:20" x14ac:dyDescent="0.2">
      <c r="A249" s="5" t="s">
        <v>362</v>
      </c>
      <c r="B249" s="5" t="s">
        <v>69</v>
      </c>
      <c r="C249" s="10" t="s">
        <v>805</v>
      </c>
      <c r="D249" s="7">
        <f t="shared" si="0"/>
        <v>9.9</v>
      </c>
      <c r="E249" s="5">
        <v>0</v>
      </c>
      <c r="F249" s="5">
        <v>0</v>
      </c>
      <c r="G249" s="5">
        <v>0</v>
      </c>
      <c r="H249" s="5">
        <v>0</v>
      </c>
      <c r="I249" s="5">
        <v>0</v>
      </c>
      <c r="J249" s="9">
        <v>0</v>
      </c>
      <c r="K249" s="8">
        <v>0</v>
      </c>
      <c r="L249" s="5">
        <v>0</v>
      </c>
      <c r="M249" s="5">
        <v>0</v>
      </c>
      <c r="N249" s="9">
        <v>0</v>
      </c>
      <c r="O249" s="8">
        <v>2</v>
      </c>
      <c r="P249" s="5">
        <v>19</v>
      </c>
      <c r="Q249" s="5">
        <v>1</v>
      </c>
      <c r="R249" s="9">
        <v>0</v>
      </c>
      <c r="S249" s="5">
        <v>0</v>
      </c>
      <c r="T249" s="5">
        <v>0</v>
      </c>
    </row>
    <row r="250" spans="1:20" x14ac:dyDescent="0.2">
      <c r="A250" s="5" t="s">
        <v>680</v>
      </c>
      <c r="B250" s="5" t="s">
        <v>69</v>
      </c>
      <c r="C250" s="10" t="s">
        <v>790</v>
      </c>
      <c r="D250" s="7">
        <f t="shared" si="0"/>
        <v>8.9</v>
      </c>
      <c r="E250" s="5">
        <v>0</v>
      </c>
      <c r="F250" s="5">
        <v>0</v>
      </c>
      <c r="G250" s="5">
        <v>0</v>
      </c>
      <c r="H250" s="5">
        <v>0</v>
      </c>
      <c r="I250" s="5">
        <v>0</v>
      </c>
      <c r="J250" s="9">
        <v>0</v>
      </c>
      <c r="K250" s="8">
        <v>0</v>
      </c>
      <c r="L250" s="5">
        <v>0</v>
      </c>
      <c r="M250" s="5">
        <v>0</v>
      </c>
      <c r="N250" s="9">
        <v>0</v>
      </c>
      <c r="O250" s="8">
        <v>1</v>
      </c>
      <c r="P250" s="5">
        <v>19</v>
      </c>
      <c r="Q250" s="5">
        <v>1</v>
      </c>
      <c r="R250" s="9">
        <v>0</v>
      </c>
      <c r="S250" s="5">
        <v>0</v>
      </c>
      <c r="T250" s="5">
        <v>0</v>
      </c>
    </row>
    <row r="251" spans="1:20" x14ac:dyDescent="0.2">
      <c r="A251" s="5" t="s">
        <v>287</v>
      </c>
      <c r="B251" s="5" t="s">
        <v>69</v>
      </c>
      <c r="C251" s="10" t="s">
        <v>790</v>
      </c>
      <c r="D251" s="7">
        <f t="shared" si="0"/>
        <v>8.4</v>
      </c>
      <c r="E251" s="5">
        <v>0</v>
      </c>
      <c r="F251" s="5">
        <v>0</v>
      </c>
      <c r="G251" s="5">
        <v>0</v>
      </c>
      <c r="H251" s="5">
        <v>0</v>
      </c>
      <c r="I251" s="5">
        <v>0</v>
      </c>
      <c r="J251" s="9">
        <v>0</v>
      </c>
      <c r="K251" s="8">
        <v>0</v>
      </c>
      <c r="L251" s="5">
        <v>0</v>
      </c>
      <c r="M251" s="5">
        <v>0</v>
      </c>
      <c r="N251" s="9">
        <v>0</v>
      </c>
      <c r="O251" s="8">
        <v>3</v>
      </c>
      <c r="P251" s="5">
        <v>54</v>
      </c>
      <c r="Q251" s="5">
        <v>0</v>
      </c>
      <c r="R251" s="9">
        <v>0</v>
      </c>
      <c r="S251" s="5">
        <v>0</v>
      </c>
      <c r="T251" s="5">
        <v>0</v>
      </c>
    </row>
    <row r="252" spans="1:20" x14ac:dyDescent="0.2">
      <c r="A252" s="5" t="s">
        <v>315</v>
      </c>
      <c r="B252" s="5" t="s">
        <v>69</v>
      </c>
      <c r="C252" s="10" t="s">
        <v>801</v>
      </c>
      <c r="D252" s="7">
        <f t="shared" si="0"/>
        <v>7.9</v>
      </c>
      <c r="E252" s="5">
        <v>0</v>
      </c>
      <c r="F252" s="5">
        <v>0</v>
      </c>
      <c r="G252" s="5">
        <v>0</v>
      </c>
      <c r="H252" s="5">
        <v>0</v>
      </c>
      <c r="I252" s="5">
        <v>0</v>
      </c>
      <c r="J252" s="9">
        <v>0</v>
      </c>
      <c r="K252" s="8">
        <v>0</v>
      </c>
      <c r="L252" s="5">
        <v>0</v>
      </c>
      <c r="M252" s="5">
        <v>0</v>
      </c>
      <c r="N252" s="9">
        <v>0</v>
      </c>
      <c r="O252" s="8">
        <v>4</v>
      </c>
      <c r="P252" s="5">
        <v>39</v>
      </c>
      <c r="Q252" s="5">
        <v>0</v>
      </c>
      <c r="R252" s="9">
        <v>0</v>
      </c>
      <c r="S252" s="5">
        <v>0</v>
      </c>
      <c r="T252" s="5">
        <v>0</v>
      </c>
    </row>
    <row r="253" spans="1:20" x14ac:dyDescent="0.2">
      <c r="A253" s="5" t="s">
        <v>297</v>
      </c>
      <c r="B253" s="5" t="s">
        <v>69</v>
      </c>
      <c r="C253" s="10" t="s">
        <v>804</v>
      </c>
      <c r="D253" s="7">
        <f t="shared" si="0"/>
        <v>7.6999999999999993</v>
      </c>
      <c r="E253" s="5">
        <v>0</v>
      </c>
      <c r="F253" s="5">
        <v>0</v>
      </c>
      <c r="G253" s="5">
        <v>0</v>
      </c>
      <c r="H253" s="5">
        <v>0</v>
      </c>
      <c r="I253" s="5">
        <v>0</v>
      </c>
      <c r="J253" s="9">
        <v>0</v>
      </c>
      <c r="K253" s="8">
        <v>1</v>
      </c>
      <c r="L253" s="5">
        <v>6</v>
      </c>
      <c r="M253" s="5">
        <v>0</v>
      </c>
      <c r="N253" s="9">
        <v>0</v>
      </c>
      <c r="O253" s="8">
        <v>4</v>
      </c>
      <c r="P253" s="5">
        <v>31</v>
      </c>
      <c r="Q253" s="5">
        <v>0</v>
      </c>
      <c r="R253" s="9">
        <v>0</v>
      </c>
      <c r="S253" s="5">
        <v>0</v>
      </c>
      <c r="T253" s="5">
        <v>0</v>
      </c>
    </row>
    <row r="254" spans="1:20" x14ac:dyDescent="0.2">
      <c r="A254" s="5" t="s">
        <v>304</v>
      </c>
      <c r="B254" s="5" t="s">
        <v>69</v>
      </c>
      <c r="C254" s="10" t="s">
        <v>796</v>
      </c>
      <c r="D254" s="7">
        <f t="shared" si="0"/>
        <v>7.3000000000000007</v>
      </c>
      <c r="E254" s="5">
        <v>0</v>
      </c>
      <c r="F254" s="5">
        <v>0</v>
      </c>
      <c r="G254" s="5">
        <v>0</v>
      </c>
      <c r="H254" s="5">
        <v>0</v>
      </c>
      <c r="I254" s="5">
        <v>0</v>
      </c>
      <c r="J254" s="9">
        <v>0</v>
      </c>
      <c r="K254" s="8">
        <v>0</v>
      </c>
      <c r="L254" s="5">
        <v>0</v>
      </c>
      <c r="M254" s="5">
        <v>0</v>
      </c>
      <c r="N254" s="9">
        <v>0</v>
      </c>
      <c r="O254" s="8">
        <v>4</v>
      </c>
      <c r="P254" s="5">
        <v>33</v>
      </c>
      <c r="Q254" s="5">
        <v>0</v>
      </c>
      <c r="R254" s="9">
        <v>0</v>
      </c>
      <c r="S254" s="5">
        <v>0</v>
      </c>
      <c r="T254" s="5">
        <v>0</v>
      </c>
    </row>
    <row r="255" spans="1:20" x14ac:dyDescent="0.2">
      <c r="A255" s="5" t="s">
        <v>284</v>
      </c>
      <c r="B255" s="5" t="s">
        <v>69</v>
      </c>
      <c r="C255" s="10" t="s">
        <v>802</v>
      </c>
      <c r="D255" s="7">
        <f t="shared" si="0"/>
        <v>7.4</v>
      </c>
      <c r="E255" s="5">
        <v>0</v>
      </c>
      <c r="F255" s="5">
        <v>0</v>
      </c>
      <c r="G255" s="5">
        <v>0</v>
      </c>
      <c r="H255" s="5">
        <v>0</v>
      </c>
      <c r="I255" s="5">
        <v>0</v>
      </c>
      <c r="J255" s="9">
        <v>0</v>
      </c>
      <c r="K255" s="8">
        <v>0</v>
      </c>
      <c r="L255" s="5">
        <v>0</v>
      </c>
      <c r="M255" s="5">
        <v>0</v>
      </c>
      <c r="N255" s="9">
        <v>0</v>
      </c>
      <c r="O255" s="8">
        <v>3</v>
      </c>
      <c r="P255" s="5">
        <v>44</v>
      </c>
      <c r="Q255" s="5">
        <v>0</v>
      </c>
      <c r="R255" s="9">
        <v>0</v>
      </c>
      <c r="S255" s="5">
        <v>0</v>
      </c>
      <c r="T255" s="5">
        <v>0</v>
      </c>
    </row>
    <row r="256" spans="1:20" x14ac:dyDescent="0.2">
      <c r="A256" s="5" t="s">
        <v>288</v>
      </c>
      <c r="B256" s="5" t="s">
        <v>69</v>
      </c>
      <c r="C256" s="10" t="s">
        <v>799</v>
      </c>
      <c r="D256" s="7">
        <f t="shared" si="0"/>
        <v>7.5</v>
      </c>
      <c r="E256" s="5">
        <v>0</v>
      </c>
      <c r="F256" s="5">
        <v>0</v>
      </c>
      <c r="G256" s="5">
        <v>0</v>
      </c>
      <c r="H256" s="5">
        <v>0</v>
      </c>
      <c r="I256" s="5">
        <v>0</v>
      </c>
      <c r="J256" s="9">
        <v>0</v>
      </c>
      <c r="K256" s="8">
        <v>0</v>
      </c>
      <c r="L256" s="5">
        <v>0</v>
      </c>
      <c r="M256" s="5">
        <v>0</v>
      </c>
      <c r="N256" s="9">
        <v>0</v>
      </c>
      <c r="O256" s="8">
        <v>4</v>
      </c>
      <c r="P256" s="5">
        <v>35</v>
      </c>
      <c r="Q256" s="5">
        <v>0</v>
      </c>
      <c r="R256" s="9">
        <v>0</v>
      </c>
      <c r="S256" s="5">
        <v>0</v>
      </c>
      <c r="T256" s="5">
        <v>0</v>
      </c>
    </row>
    <row r="257" spans="1:20" x14ac:dyDescent="0.2">
      <c r="A257" s="5" t="s">
        <v>479</v>
      </c>
      <c r="B257" s="5" t="s">
        <v>69</v>
      </c>
      <c r="C257" s="10" t="s">
        <v>794</v>
      </c>
      <c r="D257" s="7">
        <f t="shared" si="0"/>
        <v>7</v>
      </c>
      <c r="E257" s="5">
        <v>0</v>
      </c>
      <c r="F257" s="5">
        <v>0</v>
      </c>
      <c r="G257" s="5">
        <v>0</v>
      </c>
      <c r="H257" s="5">
        <v>0</v>
      </c>
      <c r="I257" s="5">
        <v>0</v>
      </c>
      <c r="J257" s="9">
        <v>0</v>
      </c>
      <c r="K257" s="8">
        <v>0</v>
      </c>
      <c r="L257" s="5">
        <v>0</v>
      </c>
      <c r="M257" s="5">
        <v>0</v>
      </c>
      <c r="N257" s="9">
        <v>0</v>
      </c>
      <c r="O257" s="8">
        <v>3</v>
      </c>
      <c r="P257" s="5">
        <v>40</v>
      </c>
      <c r="Q257" s="5">
        <v>0</v>
      </c>
      <c r="R257" s="9">
        <v>0</v>
      </c>
      <c r="S257" s="5">
        <v>0</v>
      </c>
      <c r="T257" s="5">
        <v>0</v>
      </c>
    </row>
    <row r="258" spans="1:20" x14ac:dyDescent="0.2">
      <c r="A258" s="5" t="s">
        <v>429</v>
      </c>
      <c r="B258" s="5" t="s">
        <v>69</v>
      </c>
      <c r="C258" s="10" t="s">
        <v>797</v>
      </c>
      <c r="D258" s="7">
        <f t="shared" ref="D258:D293" si="1">0.04*G258+4*H258-2*I258+2*J258+0.1*L258+6*M258+2*N258+1*O258+0.1*P258+6*Q258+2*R258-2*S258</f>
        <v>6.8000000000000007</v>
      </c>
      <c r="E258" s="5">
        <v>0</v>
      </c>
      <c r="F258" s="5">
        <v>0</v>
      </c>
      <c r="G258" s="5">
        <v>0</v>
      </c>
      <c r="H258" s="5">
        <v>0</v>
      </c>
      <c r="I258" s="5">
        <v>0</v>
      </c>
      <c r="J258" s="9">
        <v>0</v>
      </c>
      <c r="K258" s="8">
        <v>0</v>
      </c>
      <c r="L258" s="5">
        <v>0</v>
      </c>
      <c r="M258" s="5">
        <v>0</v>
      </c>
      <c r="N258" s="9">
        <v>0</v>
      </c>
      <c r="O258" s="8">
        <v>3</v>
      </c>
      <c r="P258" s="5">
        <v>38</v>
      </c>
      <c r="Q258" s="5">
        <v>0</v>
      </c>
      <c r="R258" s="9">
        <v>0</v>
      </c>
      <c r="S258" s="5">
        <v>0</v>
      </c>
      <c r="T258" s="5">
        <v>0</v>
      </c>
    </row>
    <row r="259" spans="1:20" x14ac:dyDescent="0.2">
      <c r="A259" s="5" t="s">
        <v>352</v>
      </c>
      <c r="B259" s="5" t="s">
        <v>69</v>
      </c>
      <c r="C259" s="10" t="s">
        <v>805</v>
      </c>
      <c r="D259" s="7">
        <f t="shared" si="1"/>
        <v>6.4</v>
      </c>
      <c r="E259" s="5">
        <v>0</v>
      </c>
      <c r="F259" s="5">
        <v>0</v>
      </c>
      <c r="G259" s="5">
        <v>0</v>
      </c>
      <c r="H259" s="5">
        <v>0</v>
      </c>
      <c r="I259" s="5">
        <v>0</v>
      </c>
      <c r="J259" s="9">
        <v>0</v>
      </c>
      <c r="K259" s="8">
        <v>0</v>
      </c>
      <c r="L259" s="5">
        <v>0</v>
      </c>
      <c r="M259" s="5">
        <v>0</v>
      </c>
      <c r="N259" s="9">
        <v>0</v>
      </c>
      <c r="O259" s="8">
        <v>3</v>
      </c>
      <c r="P259" s="5">
        <v>34</v>
      </c>
      <c r="Q259" s="5">
        <v>0</v>
      </c>
      <c r="R259" s="9">
        <v>0</v>
      </c>
      <c r="S259" s="5">
        <v>0</v>
      </c>
      <c r="T259" s="5">
        <v>0</v>
      </c>
    </row>
    <row r="260" spans="1:20" x14ac:dyDescent="0.2">
      <c r="A260" s="5" t="s">
        <v>306</v>
      </c>
      <c r="B260" s="5" t="s">
        <v>69</v>
      </c>
      <c r="C260" s="10" t="s">
        <v>795</v>
      </c>
      <c r="D260" s="7">
        <f t="shared" si="1"/>
        <v>5.8000000000000007</v>
      </c>
      <c r="E260" s="5">
        <v>0</v>
      </c>
      <c r="F260" s="5">
        <v>0</v>
      </c>
      <c r="G260" s="5">
        <v>0</v>
      </c>
      <c r="H260" s="5">
        <v>0</v>
      </c>
      <c r="I260" s="5">
        <v>0</v>
      </c>
      <c r="J260" s="9">
        <v>0</v>
      </c>
      <c r="K260" s="8">
        <v>0</v>
      </c>
      <c r="L260" s="5">
        <v>0</v>
      </c>
      <c r="M260" s="5">
        <v>0</v>
      </c>
      <c r="N260" s="9">
        <v>0</v>
      </c>
      <c r="O260" s="8">
        <v>3</v>
      </c>
      <c r="P260" s="5">
        <v>28</v>
      </c>
      <c r="Q260" s="5">
        <v>0</v>
      </c>
      <c r="R260" s="9">
        <v>0</v>
      </c>
      <c r="S260" s="5">
        <v>0</v>
      </c>
      <c r="T260" s="5">
        <v>0</v>
      </c>
    </row>
    <row r="261" spans="1:20" x14ac:dyDescent="0.2">
      <c r="A261" s="5" t="s">
        <v>298</v>
      </c>
      <c r="B261" s="5" t="s">
        <v>69</v>
      </c>
      <c r="C261" s="10" t="s">
        <v>798</v>
      </c>
      <c r="D261" s="7">
        <f t="shared" si="1"/>
        <v>5.9</v>
      </c>
      <c r="E261" s="5">
        <v>0</v>
      </c>
      <c r="F261" s="5">
        <v>0</v>
      </c>
      <c r="G261" s="5">
        <v>0</v>
      </c>
      <c r="H261" s="5">
        <v>0</v>
      </c>
      <c r="I261" s="5">
        <v>0</v>
      </c>
      <c r="J261" s="9">
        <v>0</v>
      </c>
      <c r="K261" s="8">
        <v>0</v>
      </c>
      <c r="L261" s="5">
        <v>0</v>
      </c>
      <c r="M261" s="5">
        <v>0</v>
      </c>
      <c r="N261" s="9">
        <v>0</v>
      </c>
      <c r="O261" s="8">
        <v>3</v>
      </c>
      <c r="P261" s="5">
        <v>29</v>
      </c>
      <c r="Q261" s="5">
        <v>0</v>
      </c>
      <c r="R261" s="9">
        <v>0</v>
      </c>
      <c r="S261" s="5">
        <v>0</v>
      </c>
      <c r="T261" s="5">
        <v>0</v>
      </c>
    </row>
    <row r="262" spans="1:20" x14ac:dyDescent="0.2">
      <c r="A262" s="5" t="s">
        <v>318</v>
      </c>
      <c r="B262" s="5" t="s">
        <v>69</v>
      </c>
      <c r="C262" s="10" t="s">
        <v>802</v>
      </c>
      <c r="D262" s="7">
        <f t="shared" si="1"/>
        <v>5.8000000000000007</v>
      </c>
      <c r="E262" s="5">
        <v>0</v>
      </c>
      <c r="F262" s="5">
        <v>0</v>
      </c>
      <c r="G262" s="5">
        <v>0</v>
      </c>
      <c r="H262" s="5">
        <v>0</v>
      </c>
      <c r="I262" s="5">
        <v>0</v>
      </c>
      <c r="J262" s="9">
        <v>0</v>
      </c>
      <c r="K262" s="8">
        <v>0</v>
      </c>
      <c r="L262" s="5">
        <v>0</v>
      </c>
      <c r="M262" s="5">
        <v>0</v>
      </c>
      <c r="N262" s="9">
        <v>0</v>
      </c>
      <c r="O262" s="8">
        <v>2</v>
      </c>
      <c r="P262" s="5">
        <v>38</v>
      </c>
      <c r="Q262" s="5">
        <v>0</v>
      </c>
      <c r="R262" s="9">
        <v>0</v>
      </c>
      <c r="S262" s="5">
        <v>0</v>
      </c>
      <c r="T262" s="5">
        <v>0</v>
      </c>
    </row>
    <row r="263" spans="1:20" x14ac:dyDescent="0.2">
      <c r="A263" s="5" t="s">
        <v>446</v>
      </c>
      <c r="B263" s="5" t="s">
        <v>69</v>
      </c>
      <c r="C263" s="10" t="s">
        <v>797</v>
      </c>
      <c r="D263" s="7">
        <f t="shared" si="1"/>
        <v>5.0999999999999996</v>
      </c>
      <c r="E263" s="5">
        <v>0</v>
      </c>
      <c r="F263" s="5">
        <v>0</v>
      </c>
      <c r="G263" s="5">
        <v>0</v>
      </c>
      <c r="H263" s="5">
        <v>0</v>
      </c>
      <c r="I263" s="5">
        <v>0</v>
      </c>
      <c r="J263" s="9">
        <v>0</v>
      </c>
      <c r="K263" s="8">
        <v>0</v>
      </c>
      <c r="L263" s="5">
        <v>0</v>
      </c>
      <c r="M263" s="5">
        <v>0</v>
      </c>
      <c r="N263" s="9">
        <v>0</v>
      </c>
      <c r="O263" s="8">
        <v>3</v>
      </c>
      <c r="P263" s="5">
        <v>21</v>
      </c>
      <c r="Q263" s="5">
        <v>0</v>
      </c>
      <c r="R263" s="9">
        <v>0</v>
      </c>
      <c r="S263" s="5">
        <v>0</v>
      </c>
      <c r="T263" s="5">
        <v>0</v>
      </c>
    </row>
    <row r="264" spans="1:20" x14ac:dyDescent="0.2">
      <c r="A264" s="5" t="s">
        <v>282</v>
      </c>
      <c r="B264" s="5" t="s">
        <v>69</v>
      </c>
      <c r="C264" s="10" t="s">
        <v>798</v>
      </c>
      <c r="D264" s="7">
        <f t="shared" si="1"/>
        <v>5</v>
      </c>
      <c r="E264" s="5">
        <v>0</v>
      </c>
      <c r="F264" s="5">
        <v>0</v>
      </c>
      <c r="G264" s="5">
        <v>0</v>
      </c>
      <c r="H264" s="5">
        <v>0</v>
      </c>
      <c r="I264" s="5">
        <v>0</v>
      </c>
      <c r="J264" s="9">
        <v>0</v>
      </c>
      <c r="K264" s="8">
        <v>0</v>
      </c>
      <c r="L264" s="5">
        <v>0</v>
      </c>
      <c r="M264" s="5">
        <v>0</v>
      </c>
      <c r="N264" s="9">
        <v>0</v>
      </c>
      <c r="O264" s="8">
        <v>3</v>
      </c>
      <c r="P264" s="5">
        <v>20</v>
      </c>
      <c r="Q264" s="5">
        <v>0</v>
      </c>
      <c r="R264" s="9">
        <v>0</v>
      </c>
      <c r="S264" s="5">
        <v>0</v>
      </c>
      <c r="T264" s="5">
        <v>0</v>
      </c>
    </row>
    <row r="265" spans="1:20" x14ac:dyDescent="0.2">
      <c r="A265" s="5" t="s">
        <v>289</v>
      </c>
      <c r="B265" s="5" t="s">
        <v>69</v>
      </c>
      <c r="C265" s="10" t="s">
        <v>797</v>
      </c>
      <c r="D265" s="7">
        <f t="shared" si="1"/>
        <v>4.7</v>
      </c>
      <c r="E265" s="5">
        <v>0</v>
      </c>
      <c r="F265" s="5">
        <v>0</v>
      </c>
      <c r="G265" s="5">
        <v>0</v>
      </c>
      <c r="H265" s="5">
        <v>0</v>
      </c>
      <c r="I265" s="5">
        <v>0</v>
      </c>
      <c r="J265" s="9">
        <v>0</v>
      </c>
      <c r="K265" s="8">
        <v>0</v>
      </c>
      <c r="L265" s="5">
        <v>0</v>
      </c>
      <c r="M265" s="5">
        <v>0</v>
      </c>
      <c r="N265" s="9">
        <v>0</v>
      </c>
      <c r="O265" s="8">
        <v>3</v>
      </c>
      <c r="P265" s="5">
        <v>17</v>
      </c>
      <c r="Q265" s="5">
        <v>0</v>
      </c>
      <c r="R265" s="9">
        <v>0</v>
      </c>
      <c r="S265" s="5">
        <v>0</v>
      </c>
      <c r="T265" s="5">
        <v>0</v>
      </c>
    </row>
    <row r="266" spans="1:20" x14ac:dyDescent="0.2">
      <c r="A266" s="5" t="s">
        <v>583</v>
      </c>
      <c r="B266" s="5" t="s">
        <v>69</v>
      </c>
      <c r="C266" s="10" t="s">
        <v>792</v>
      </c>
      <c r="D266" s="7">
        <f t="shared" si="1"/>
        <v>4.0999999999999996</v>
      </c>
      <c r="E266" s="5">
        <v>0</v>
      </c>
      <c r="F266" s="5">
        <v>0</v>
      </c>
      <c r="G266" s="5">
        <v>0</v>
      </c>
      <c r="H266" s="5">
        <v>0</v>
      </c>
      <c r="I266" s="5">
        <v>0</v>
      </c>
      <c r="J266" s="9">
        <v>0</v>
      </c>
      <c r="K266" s="8">
        <v>0</v>
      </c>
      <c r="L266" s="5">
        <v>0</v>
      </c>
      <c r="M266" s="5">
        <v>0</v>
      </c>
      <c r="N266" s="9">
        <v>0</v>
      </c>
      <c r="O266" s="8">
        <v>2</v>
      </c>
      <c r="P266" s="5">
        <v>21</v>
      </c>
      <c r="Q266" s="5">
        <v>0</v>
      </c>
      <c r="R266" s="9">
        <v>0</v>
      </c>
      <c r="S266" s="5">
        <v>0</v>
      </c>
      <c r="T266" s="5">
        <v>0</v>
      </c>
    </row>
    <row r="267" spans="1:20" x14ac:dyDescent="0.2">
      <c r="A267" s="5" t="s">
        <v>343</v>
      </c>
      <c r="B267" s="5" t="s">
        <v>69</v>
      </c>
      <c r="C267" s="10" t="s">
        <v>797</v>
      </c>
      <c r="D267" s="7">
        <f t="shared" si="1"/>
        <v>4.5999999999999996</v>
      </c>
      <c r="E267" s="5">
        <v>0</v>
      </c>
      <c r="F267" s="5">
        <v>0</v>
      </c>
      <c r="G267" s="5">
        <v>0</v>
      </c>
      <c r="H267" s="5">
        <v>0</v>
      </c>
      <c r="I267" s="5">
        <v>0</v>
      </c>
      <c r="J267" s="9">
        <v>0</v>
      </c>
      <c r="K267" s="8">
        <v>0</v>
      </c>
      <c r="L267" s="5">
        <v>0</v>
      </c>
      <c r="M267" s="5">
        <v>0</v>
      </c>
      <c r="N267" s="9">
        <v>0</v>
      </c>
      <c r="O267" s="8">
        <v>3</v>
      </c>
      <c r="P267" s="5">
        <v>16</v>
      </c>
      <c r="Q267" s="5">
        <v>0</v>
      </c>
      <c r="R267" s="9">
        <v>0</v>
      </c>
      <c r="S267" s="5">
        <v>0</v>
      </c>
      <c r="T267" s="5">
        <v>0</v>
      </c>
    </row>
    <row r="268" spans="1:20" x14ac:dyDescent="0.2">
      <c r="A268" s="5" t="s">
        <v>366</v>
      </c>
      <c r="B268" s="5" t="s">
        <v>69</v>
      </c>
      <c r="C268" s="10" t="s">
        <v>804</v>
      </c>
      <c r="D268" s="7">
        <f t="shared" si="1"/>
        <v>4.3000000000000007</v>
      </c>
      <c r="E268" s="5">
        <v>0</v>
      </c>
      <c r="F268" s="5">
        <v>0</v>
      </c>
      <c r="G268" s="5">
        <v>0</v>
      </c>
      <c r="H268" s="5">
        <v>0</v>
      </c>
      <c r="I268" s="5">
        <v>0</v>
      </c>
      <c r="J268" s="9">
        <v>0</v>
      </c>
      <c r="K268" s="8">
        <v>0</v>
      </c>
      <c r="L268" s="5">
        <v>0</v>
      </c>
      <c r="M268" s="5">
        <v>0</v>
      </c>
      <c r="N268" s="9">
        <v>0</v>
      </c>
      <c r="O268" s="8">
        <v>2</v>
      </c>
      <c r="P268" s="5">
        <v>23</v>
      </c>
      <c r="Q268" s="5">
        <v>0</v>
      </c>
      <c r="R268" s="9">
        <v>0</v>
      </c>
      <c r="S268" s="5">
        <v>0</v>
      </c>
      <c r="T268" s="5">
        <v>0</v>
      </c>
    </row>
    <row r="269" spans="1:20" x14ac:dyDescent="0.2">
      <c r="A269" s="5" t="s">
        <v>811</v>
      </c>
      <c r="B269" s="5" t="s">
        <v>69</v>
      </c>
      <c r="C269" s="10" t="s">
        <v>793</v>
      </c>
      <c r="D269" s="7">
        <f t="shared" si="1"/>
        <v>4.8000000000000007</v>
      </c>
      <c r="E269" s="5">
        <v>0</v>
      </c>
      <c r="F269" s="5">
        <v>0</v>
      </c>
      <c r="G269" s="5">
        <v>0</v>
      </c>
      <c r="H269" s="5">
        <v>0</v>
      </c>
      <c r="I269" s="5">
        <v>0</v>
      </c>
      <c r="J269" s="9">
        <v>0</v>
      </c>
      <c r="K269" s="8">
        <v>0</v>
      </c>
      <c r="L269" s="5">
        <v>0</v>
      </c>
      <c r="M269" s="5">
        <v>0</v>
      </c>
      <c r="N269" s="9">
        <v>0</v>
      </c>
      <c r="O269" s="8">
        <v>2</v>
      </c>
      <c r="P269" s="5">
        <v>28</v>
      </c>
      <c r="Q269" s="5">
        <v>0</v>
      </c>
      <c r="R269" s="9">
        <v>0</v>
      </c>
      <c r="S269" s="5">
        <v>0</v>
      </c>
      <c r="T269" s="5">
        <v>0</v>
      </c>
    </row>
    <row r="270" spans="1:20" x14ac:dyDescent="0.2">
      <c r="A270" s="5" t="s">
        <v>311</v>
      </c>
      <c r="B270" s="5" t="s">
        <v>69</v>
      </c>
      <c r="C270" s="10" t="s">
        <v>793</v>
      </c>
      <c r="D270" s="7">
        <f t="shared" si="1"/>
        <v>3.8000000000000003</v>
      </c>
      <c r="E270" s="5">
        <v>0</v>
      </c>
      <c r="F270" s="5">
        <v>0</v>
      </c>
      <c r="G270" s="5">
        <v>0</v>
      </c>
      <c r="H270" s="5">
        <v>0</v>
      </c>
      <c r="I270" s="5">
        <v>0</v>
      </c>
      <c r="J270" s="9">
        <v>0</v>
      </c>
      <c r="K270" s="8">
        <v>0</v>
      </c>
      <c r="L270" s="5">
        <v>0</v>
      </c>
      <c r="M270" s="5">
        <v>0</v>
      </c>
      <c r="N270" s="9">
        <v>0</v>
      </c>
      <c r="O270" s="8">
        <v>1</v>
      </c>
      <c r="P270" s="5">
        <v>28</v>
      </c>
      <c r="Q270" s="5">
        <v>0</v>
      </c>
      <c r="R270" s="9">
        <v>0</v>
      </c>
      <c r="S270" s="5">
        <v>0</v>
      </c>
      <c r="T270" s="5">
        <v>0</v>
      </c>
    </row>
    <row r="271" spans="1:20" x14ac:dyDescent="0.2">
      <c r="A271" s="5" t="s">
        <v>372</v>
      </c>
      <c r="B271" s="5" t="s">
        <v>69</v>
      </c>
      <c r="C271" s="10" t="s">
        <v>795</v>
      </c>
      <c r="D271" s="7">
        <f t="shared" si="1"/>
        <v>3.8</v>
      </c>
      <c r="E271" s="5">
        <v>0</v>
      </c>
      <c r="F271" s="5">
        <v>0</v>
      </c>
      <c r="G271" s="5">
        <v>0</v>
      </c>
      <c r="H271" s="5">
        <v>0</v>
      </c>
      <c r="I271" s="5">
        <v>0</v>
      </c>
      <c r="J271" s="9">
        <v>0</v>
      </c>
      <c r="K271" s="8">
        <v>0</v>
      </c>
      <c r="L271" s="5">
        <v>0</v>
      </c>
      <c r="M271" s="5">
        <v>0</v>
      </c>
      <c r="N271" s="9">
        <v>0</v>
      </c>
      <c r="O271" s="8">
        <v>2</v>
      </c>
      <c r="P271" s="5">
        <v>18</v>
      </c>
      <c r="Q271" s="5">
        <v>0</v>
      </c>
      <c r="R271" s="9">
        <v>0</v>
      </c>
      <c r="S271" s="5">
        <v>0</v>
      </c>
      <c r="T271" s="5">
        <v>0</v>
      </c>
    </row>
    <row r="272" spans="1:20" x14ac:dyDescent="0.2">
      <c r="A272" s="5" t="s">
        <v>278</v>
      </c>
      <c r="B272" s="5" t="s">
        <v>69</v>
      </c>
      <c r="C272" s="10" t="s">
        <v>793</v>
      </c>
      <c r="D272" s="7">
        <f t="shared" si="1"/>
        <v>3.4000000000000004</v>
      </c>
      <c r="E272" s="5">
        <v>0</v>
      </c>
      <c r="F272" s="5">
        <v>0</v>
      </c>
      <c r="G272" s="5">
        <v>0</v>
      </c>
      <c r="H272" s="5">
        <v>0</v>
      </c>
      <c r="I272" s="5">
        <v>0</v>
      </c>
      <c r="J272" s="9">
        <v>0</v>
      </c>
      <c r="K272" s="8">
        <v>0</v>
      </c>
      <c r="L272" s="5">
        <v>0</v>
      </c>
      <c r="M272" s="5">
        <v>0</v>
      </c>
      <c r="N272" s="9">
        <v>0</v>
      </c>
      <c r="O272" s="8">
        <v>2</v>
      </c>
      <c r="P272" s="5">
        <v>14</v>
      </c>
      <c r="Q272" s="5">
        <v>0</v>
      </c>
      <c r="R272" s="9">
        <v>0</v>
      </c>
      <c r="S272" s="5">
        <v>0</v>
      </c>
      <c r="T272" s="5">
        <v>0</v>
      </c>
    </row>
    <row r="273" spans="1:20" x14ac:dyDescent="0.2">
      <c r="A273" s="5" t="s">
        <v>737</v>
      </c>
      <c r="B273" s="5" t="s">
        <v>69</v>
      </c>
      <c r="C273" s="10" t="s">
        <v>804</v>
      </c>
      <c r="D273" s="7">
        <f t="shared" si="1"/>
        <v>3.4000000000000004</v>
      </c>
      <c r="E273" s="5">
        <v>0</v>
      </c>
      <c r="F273" s="5">
        <v>0</v>
      </c>
      <c r="G273" s="5">
        <v>0</v>
      </c>
      <c r="H273" s="5">
        <v>0</v>
      </c>
      <c r="I273" s="5">
        <v>0</v>
      </c>
      <c r="J273" s="9">
        <v>0</v>
      </c>
      <c r="K273" s="8">
        <v>0</v>
      </c>
      <c r="L273" s="5">
        <v>0</v>
      </c>
      <c r="M273" s="5">
        <v>0</v>
      </c>
      <c r="N273" s="9">
        <v>0</v>
      </c>
      <c r="O273" s="8">
        <v>2</v>
      </c>
      <c r="P273" s="5">
        <v>14</v>
      </c>
      <c r="Q273" s="5">
        <v>0</v>
      </c>
      <c r="R273" s="9">
        <v>0</v>
      </c>
      <c r="S273" s="5">
        <v>0</v>
      </c>
      <c r="T273" s="5">
        <v>0</v>
      </c>
    </row>
    <row r="274" spans="1:20" x14ac:dyDescent="0.2">
      <c r="A274" s="5" t="s">
        <v>309</v>
      </c>
      <c r="B274" s="5" t="s">
        <v>69</v>
      </c>
      <c r="C274" s="10" t="s">
        <v>800</v>
      </c>
      <c r="D274" s="7">
        <f t="shared" si="1"/>
        <v>3</v>
      </c>
      <c r="E274" s="5">
        <v>0</v>
      </c>
      <c r="F274" s="5">
        <v>0</v>
      </c>
      <c r="G274" s="5">
        <v>0</v>
      </c>
      <c r="H274" s="5">
        <v>0</v>
      </c>
      <c r="I274" s="5">
        <v>0</v>
      </c>
      <c r="J274" s="9">
        <v>0</v>
      </c>
      <c r="K274" s="8">
        <v>0</v>
      </c>
      <c r="L274" s="5">
        <v>0</v>
      </c>
      <c r="M274" s="5">
        <v>0</v>
      </c>
      <c r="N274" s="9">
        <v>0</v>
      </c>
      <c r="O274" s="8">
        <v>2</v>
      </c>
      <c r="P274" s="5">
        <v>10</v>
      </c>
      <c r="Q274" s="5">
        <v>0</v>
      </c>
      <c r="R274" s="9">
        <v>0</v>
      </c>
      <c r="S274" s="5">
        <v>0</v>
      </c>
      <c r="T274" s="5">
        <v>0</v>
      </c>
    </row>
    <row r="275" spans="1:20" x14ac:dyDescent="0.2">
      <c r="A275" s="5" t="s">
        <v>313</v>
      </c>
      <c r="B275" s="5" t="s">
        <v>69</v>
      </c>
      <c r="C275" s="10" t="s">
        <v>805</v>
      </c>
      <c r="D275" s="7">
        <f t="shared" si="1"/>
        <v>3.9000000000000004</v>
      </c>
      <c r="E275" s="5">
        <v>0</v>
      </c>
      <c r="F275" s="5">
        <v>0</v>
      </c>
      <c r="G275" s="5">
        <v>0</v>
      </c>
      <c r="H275" s="5">
        <v>0</v>
      </c>
      <c r="I275" s="5">
        <v>0</v>
      </c>
      <c r="J275" s="9">
        <v>0</v>
      </c>
      <c r="K275" s="8">
        <v>0</v>
      </c>
      <c r="L275" s="5">
        <v>0</v>
      </c>
      <c r="M275" s="5">
        <v>0</v>
      </c>
      <c r="N275" s="9">
        <v>0</v>
      </c>
      <c r="O275" s="8">
        <v>2</v>
      </c>
      <c r="P275" s="5">
        <v>19</v>
      </c>
      <c r="Q275" s="5">
        <v>0</v>
      </c>
      <c r="R275" s="9">
        <v>0</v>
      </c>
      <c r="S275" s="5">
        <v>0</v>
      </c>
      <c r="T275" s="5">
        <v>0</v>
      </c>
    </row>
    <row r="276" spans="1:20" x14ac:dyDescent="0.2">
      <c r="A276" s="5" t="s">
        <v>285</v>
      </c>
      <c r="B276" s="5" t="s">
        <v>69</v>
      </c>
      <c r="C276" s="10" t="s">
        <v>795</v>
      </c>
      <c r="D276" s="7">
        <f t="shared" si="1"/>
        <v>2.2999999999999998</v>
      </c>
      <c r="E276" s="5">
        <v>0</v>
      </c>
      <c r="F276" s="5">
        <v>0</v>
      </c>
      <c r="G276" s="5">
        <v>0</v>
      </c>
      <c r="H276" s="5">
        <v>0</v>
      </c>
      <c r="I276" s="5">
        <v>0</v>
      </c>
      <c r="J276" s="9">
        <v>0</v>
      </c>
      <c r="K276" s="8">
        <v>0</v>
      </c>
      <c r="L276" s="5">
        <v>0</v>
      </c>
      <c r="M276" s="5">
        <v>0</v>
      </c>
      <c r="N276" s="9">
        <v>0</v>
      </c>
      <c r="O276" s="8">
        <v>1</v>
      </c>
      <c r="P276" s="5">
        <v>13</v>
      </c>
      <c r="Q276" s="5">
        <v>0</v>
      </c>
      <c r="R276" s="9">
        <v>0</v>
      </c>
      <c r="S276" s="5">
        <v>0</v>
      </c>
      <c r="T276" s="5">
        <v>0</v>
      </c>
    </row>
    <row r="277" spans="1:20" x14ac:dyDescent="0.2">
      <c r="A277" s="5" t="s">
        <v>355</v>
      </c>
      <c r="B277" s="5" t="s">
        <v>69</v>
      </c>
      <c r="C277" s="10" t="s">
        <v>795</v>
      </c>
      <c r="D277" s="7">
        <f t="shared" si="1"/>
        <v>2.9000000000000004</v>
      </c>
      <c r="E277" s="5">
        <v>0</v>
      </c>
      <c r="F277" s="5">
        <v>0</v>
      </c>
      <c r="G277" s="5">
        <v>0</v>
      </c>
      <c r="H277" s="5">
        <v>0</v>
      </c>
      <c r="I277" s="5">
        <v>0</v>
      </c>
      <c r="J277" s="9">
        <v>0</v>
      </c>
      <c r="K277" s="8">
        <v>0</v>
      </c>
      <c r="L277" s="5">
        <v>0</v>
      </c>
      <c r="M277" s="5">
        <v>0</v>
      </c>
      <c r="N277" s="9">
        <v>0</v>
      </c>
      <c r="O277" s="8">
        <v>1</v>
      </c>
      <c r="P277" s="5">
        <v>19</v>
      </c>
      <c r="Q277" s="5">
        <v>0</v>
      </c>
      <c r="R277" s="9">
        <v>0</v>
      </c>
      <c r="S277" s="5">
        <v>0</v>
      </c>
      <c r="T277" s="5">
        <v>0</v>
      </c>
    </row>
    <row r="278" spans="1:20" x14ac:dyDescent="0.2">
      <c r="A278" s="5" t="s">
        <v>363</v>
      </c>
      <c r="B278" s="5" t="s">
        <v>69</v>
      </c>
      <c r="C278" s="10" t="s">
        <v>800</v>
      </c>
      <c r="D278" s="7">
        <f t="shared" si="1"/>
        <v>2.2999999999999998</v>
      </c>
      <c r="E278" s="5">
        <v>0</v>
      </c>
      <c r="F278" s="5">
        <v>0</v>
      </c>
      <c r="G278" s="5">
        <v>0</v>
      </c>
      <c r="H278" s="5">
        <v>0</v>
      </c>
      <c r="I278" s="5">
        <v>0</v>
      </c>
      <c r="J278" s="9">
        <v>0</v>
      </c>
      <c r="K278" s="8">
        <v>0</v>
      </c>
      <c r="L278" s="5">
        <v>0</v>
      </c>
      <c r="M278" s="5">
        <v>0</v>
      </c>
      <c r="N278" s="9">
        <v>0</v>
      </c>
      <c r="O278" s="8">
        <v>1</v>
      </c>
      <c r="P278" s="5">
        <v>13</v>
      </c>
      <c r="Q278" s="5">
        <v>0</v>
      </c>
      <c r="R278" s="9">
        <v>0</v>
      </c>
      <c r="S278" s="5">
        <v>0</v>
      </c>
      <c r="T278" s="5">
        <v>0</v>
      </c>
    </row>
    <row r="279" spans="1:20" x14ac:dyDescent="0.2">
      <c r="A279" s="5" t="s">
        <v>292</v>
      </c>
      <c r="B279" s="5" t="s">
        <v>69</v>
      </c>
      <c r="C279" s="10" t="s">
        <v>791</v>
      </c>
      <c r="D279" s="7">
        <f t="shared" si="1"/>
        <v>2.7</v>
      </c>
      <c r="E279" s="5">
        <v>0</v>
      </c>
      <c r="F279" s="5">
        <v>0</v>
      </c>
      <c r="G279" s="5">
        <v>0</v>
      </c>
      <c r="H279" s="5">
        <v>0</v>
      </c>
      <c r="I279" s="5">
        <v>0</v>
      </c>
      <c r="J279" s="9">
        <v>0</v>
      </c>
      <c r="K279" s="8">
        <v>0</v>
      </c>
      <c r="L279" s="5">
        <v>0</v>
      </c>
      <c r="M279" s="5">
        <v>0</v>
      </c>
      <c r="N279" s="9">
        <v>0</v>
      </c>
      <c r="O279" s="8">
        <v>1</v>
      </c>
      <c r="P279" s="5">
        <v>17</v>
      </c>
      <c r="Q279" s="5">
        <v>0</v>
      </c>
      <c r="R279" s="9">
        <v>0</v>
      </c>
      <c r="S279" s="5">
        <v>0</v>
      </c>
      <c r="T279" s="5">
        <v>0</v>
      </c>
    </row>
    <row r="280" spans="1:20" x14ac:dyDescent="0.2">
      <c r="A280" s="5" t="s">
        <v>443</v>
      </c>
      <c r="B280" s="5" t="s">
        <v>69</v>
      </c>
      <c r="C280" s="10" t="s">
        <v>794</v>
      </c>
      <c r="D280" s="7">
        <f t="shared" si="1"/>
        <v>2.4000000000000004</v>
      </c>
      <c r="E280" s="5">
        <v>0</v>
      </c>
      <c r="F280" s="5">
        <v>0</v>
      </c>
      <c r="G280" s="5">
        <v>0</v>
      </c>
      <c r="H280" s="5">
        <v>0</v>
      </c>
      <c r="I280" s="5">
        <v>0</v>
      </c>
      <c r="J280" s="9">
        <v>0</v>
      </c>
      <c r="K280" s="8">
        <v>0</v>
      </c>
      <c r="L280" s="5">
        <v>0</v>
      </c>
      <c r="M280" s="5">
        <v>0</v>
      </c>
      <c r="N280" s="9">
        <v>0</v>
      </c>
      <c r="O280" s="8">
        <v>1</v>
      </c>
      <c r="P280" s="5">
        <v>14</v>
      </c>
      <c r="Q280" s="5">
        <v>0</v>
      </c>
      <c r="R280" s="9">
        <v>0</v>
      </c>
      <c r="S280" s="5">
        <v>0</v>
      </c>
      <c r="T280" s="5">
        <v>0</v>
      </c>
    </row>
    <row r="281" spans="1:20" x14ac:dyDescent="0.2">
      <c r="A281" s="5" t="s">
        <v>351</v>
      </c>
      <c r="B281" s="5" t="s">
        <v>69</v>
      </c>
      <c r="C281" s="10" t="s">
        <v>798</v>
      </c>
      <c r="D281" s="7">
        <f t="shared" si="1"/>
        <v>1.6</v>
      </c>
      <c r="E281" s="5">
        <v>0</v>
      </c>
      <c r="F281" s="5">
        <v>0</v>
      </c>
      <c r="G281" s="5">
        <v>0</v>
      </c>
      <c r="H281" s="5">
        <v>0</v>
      </c>
      <c r="I281" s="5">
        <v>0</v>
      </c>
      <c r="J281" s="9">
        <v>0</v>
      </c>
      <c r="K281" s="8">
        <v>0</v>
      </c>
      <c r="L281" s="5">
        <v>0</v>
      </c>
      <c r="M281" s="5">
        <v>0</v>
      </c>
      <c r="N281" s="9">
        <v>0</v>
      </c>
      <c r="O281" s="8">
        <v>1</v>
      </c>
      <c r="P281" s="5">
        <v>6</v>
      </c>
      <c r="Q281" s="5">
        <v>0</v>
      </c>
      <c r="R281" s="9">
        <v>0</v>
      </c>
      <c r="S281" s="5">
        <v>0</v>
      </c>
      <c r="T281" s="5">
        <v>0</v>
      </c>
    </row>
    <row r="282" spans="1:20" x14ac:dyDescent="0.2">
      <c r="A282" s="5" t="s">
        <v>449</v>
      </c>
      <c r="B282" s="5" t="s">
        <v>69</v>
      </c>
      <c r="C282" s="10" t="s">
        <v>806</v>
      </c>
      <c r="D282" s="7">
        <f t="shared" si="1"/>
        <v>1.7000000000000002</v>
      </c>
      <c r="E282" s="5">
        <v>0</v>
      </c>
      <c r="F282" s="5">
        <v>0</v>
      </c>
      <c r="G282" s="5">
        <v>0</v>
      </c>
      <c r="H282" s="5">
        <v>0</v>
      </c>
      <c r="I282" s="5">
        <v>0</v>
      </c>
      <c r="J282" s="9">
        <v>0</v>
      </c>
      <c r="K282" s="8">
        <v>0</v>
      </c>
      <c r="L282" s="5">
        <v>0</v>
      </c>
      <c r="M282" s="5">
        <v>0</v>
      </c>
      <c r="N282" s="9">
        <v>0</v>
      </c>
      <c r="O282" s="8">
        <v>1</v>
      </c>
      <c r="P282" s="5">
        <v>7</v>
      </c>
      <c r="Q282" s="5">
        <v>0</v>
      </c>
      <c r="R282" s="9">
        <v>0</v>
      </c>
      <c r="S282" s="5">
        <v>0</v>
      </c>
      <c r="T282" s="5">
        <v>0</v>
      </c>
    </row>
    <row r="283" spans="1:20" x14ac:dyDescent="0.2">
      <c r="A283" s="5" t="s">
        <v>396</v>
      </c>
      <c r="B283" s="5" t="s">
        <v>69</v>
      </c>
      <c r="C283" s="10" t="s">
        <v>796</v>
      </c>
      <c r="D283" s="7">
        <f t="shared" si="1"/>
        <v>1.6</v>
      </c>
      <c r="E283" s="5">
        <v>0</v>
      </c>
      <c r="F283" s="5">
        <v>0</v>
      </c>
      <c r="G283" s="5">
        <v>0</v>
      </c>
      <c r="H283" s="5">
        <v>0</v>
      </c>
      <c r="I283" s="5">
        <v>0</v>
      </c>
      <c r="J283" s="9">
        <v>0</v>
      </c>
      <c r="K283" s="8">
        <v>0</v>
      </c>
      <c r="L283" s="5">
        <v>0</v>
      </c>
      <c r="M283" s="5">
        <v>0</v>
      </c>
      <c r="N283" s="9">
        <v>0</v>
      </c>
      <c r="O283" s="8">
        <v>1</v>
      </c>
      <c r="P283" s="5">
        <v>6</v>
      </c>
      <c r="Q283" s="5">
        <v>0</v>
      </c>
      <c r="R283" s="9">
        <v>0</v>
      </c>
      <c r="S283" s="5">
        <v>0</v>
      </c>
      <c r="T283" s="5">
        <v>0</v>
      </c>
    </row>
    <row r="284" spans="1:20" x14ac:dyDescent="0.2">
      <c r="A284" s="5" t="s">
        <v>608</v>
      </c>
      <c r="B284" s="5" t="s">
        <v>69</v>
      </c>
      <c r="C284" s="10" t="s">
        <v>790</v>
      </c>
      <c r="D284" s="7">
        <f t="shared" si="1"/>
        <v>1.9</v>
      </c>
      <c r="E284" s="5">
        <v>0</v>
      </c>
      <c r="F284" s="5">
        <v>0</v>
      </c>
      <c r="G284" s="5">
        <v>0</v>
      </c>
      <c r="H284" s="5">
        <v>0</v>
      </c>
      <c r="I284" s="5">
        <v>0</v>
      </c>
      <c r="J284" s="9">
        <v>0</v>
      </c>
      <c r="K284" s="8">
        <v>0</v>
      </c>
      <c r="L284" s="5">
        <v>0</v>
      </c>
      <c r="M284" s="5">
        <v>0</v>
      </c>
      <c r="N284" s="9">
        <v>0</v>
      </c>
      <c r="O284" s="8">
        <v>1</v>
      </c>
      <c r="P284" s="5">
        <v>9</v>
      </c>
      <c r="Q284" s="5">
        <v>0</v>
      </c>
      <c r="R284" s="9">
        <v>0</v>
      </c>
      <c r="S284" s="5">
        <v>0</v>
      </c>
      <c r="T284" s="5">
        <v>0</v>
      </c>
    </row>
    <row r="285" spans="1:20" x14ac:dyDescent="0.2">
      <c r="A285" s="5" t="s">
        <v>812</v>
      </c>
      <c r="B285" s="5" t="s">
        <v>69</v>
      </c>
      <c r="C285" s="10" t="s">
        <v>796</v>
      </c>
      <c r="D285" s="7">
        <f t="shared" si="1"/>
        <v>1.4</v>
      </c>
      <c r="E285" s="5">
        <v>0</v>
      </c>
      <c r="F285" s="5">
        <v>0</v>
      </c>
      <c r="G285" s="5">
        <v>0</v>
      </c>
      <c r="H285" s="5">
        <v>0</v>
      </c>
      <c r="I285" s="5">
        <v>0</v>
      </c>
      <c r="J285" s="9">
        <v>0</v>
      </c>
      <c r="K285" s="8">
        <v>0</v>
      </c>
      <c r="L285" s="5">
        <v>0</v>
      </c>
      <c r="M285" s="5">
        <v>0</v>
      </c>
      <c r="N285" s="9">
        <v>0</v>
      </c>
      <c r="O285" s="8">
        <v>1</v>
      </c>
      <c r="P285" s="5">
        <v>4</v>
      </c>
      <c r="Q285" s="5">
        <v>0</v>
      </c>
      <c r="R285" s="9">
        <v>0</v>
      </c>
      <c r="S285" s="5">
        <v>0</v>
      </c>
      <c r="T285" s="5">
        <v>0</v>
      </c>
    </row>
    <row r="286" spans="1:20" x14ac:dyDescent="0.2">
      <c r="A286" s="5" t="s">
        <v>293</v>
      </c>
      <c r="B286" s="5" t="s">
        <v>69</v>
      </c>
      <c r="C286" s="10" t="s">
        <v>794</v>
      </c>
      <c r="D286" s="7">
        <f t="shared" si="1"/>
        <v>1.5</v>
      </c>
      <c r="E286" s="5">
        <v>0</v>
      </c>
      <c r="F286" s="5">
        <v>0</v>
      </c>
      <c r="G286" s="5">
        <v>0</v>
      </c>
      <c r="H286" s="5">
        <v>0</v>
      </c>
      <c r="I286" s="5">
        <v>0</v>
      </c>
      <c r="J286" s="9">
        <v>0</v>
      </c>
      <c r="K286" s="8">
        <v>0</v>
      </c>
      <c r="L286" s="5">
        <v>0</v>
      </c>
      <c r="M286" s="5">
        <v>0</v>
      </c>
      <c r="N286" s="9">
        <v>0</v>
      </c>
      <c r="O286" s="8">
        <v>1</v>
      </c>
      <c r="P286" s="5">
        <v>5</v>
      </c>
      <c r="Q286" s="5">
        <v>0</v>
      </c>
      <c r="R286" s="9">
        <v>0</v>
      </c>
      <c r="S286" s="5">
        <v>0</v>
      </c>
      <c r="T286" s="5">
        <v>0</v>
      </c>
    </row>
    <row r="287" spans="1:20" x14ac:dyDescent="0.2">
      <c r="A287" s="5" t="s">
        <v>813</v>
      </c>
      <c r="B287" s="5" t="s">
        <v>69</v>
      </c>
      <c r="C287" s="10" t="s">
        <v>805</v>
      </c>
      <c r="D287" s="7">
        <f t="shared" si="1"/>
        <v>1.6</v>
      </c>
      <c r="E287" s="5">
        <v>0</v>
      </c>
      <c r="F287" s="5">
        <v>0</v>
      </c>
      <c r="G287" s="5">
        <v>0</v>
      </c>
      <c r="H287" s="5">
        <v>0</v>
      </c>
      <c r="I287" s="5">
        <v>0</v>
      </c>
      <c r="J287" s="9">
        <v>0</v>
      </c>
      <c r="K287" s="8">
        <v>0</v>
      </c>
      <c r="L287" s="5">
        <v>0</v>
      </c>
      <c r="M287" s="5">
        <v>0</v>
      </c>
      <c r="N287" s="9">
        <v>0</v>
      </c>
      <c r="O287" s="8">
        <v>1</v>
      </c>
      <c r="P287" s="5">
        <v>6</v>
      </c>
      <c r="Q287" s="5">
        <v>0</v>
      </c>
      <c r="R287" s="9">
        <v>0</v>
      </c>
      <c r="S287" s="5">
        <v>0</v>
      </c>
      <c r="T287" s="5">
        <v>0</v>
      </c>
    </row>
    <row r="288" spans="1:20" x14ac:dyDescent="0.2">
      <c r="A288" s="5" t="s">
        <v>717</v>
      </c>
      <c r="B288" s="5" t="s">
        <v>69</v>
      </c>
      <c r="C288" s="10" t="s">
        <v>805</v>
      </c>
      <c r="D288" s="7">
        <f t="shared" si="1"/>
        <v>1.2</v>
      </c>
      <c r="E288" s="5">
        <v>0</v>
      </c>
      <c r="F288" s="5">
        <v>0</v>
      </c>
      <c r="G288" s="5">
        <v>0</v>
      </c>
      <c r="H288" s="5">
        <v>0</v>
      </c>
      <c r="I288" s="5">
        <v>0</v>
      </c>
      <c r="J288" s="9">
        <v>0</v>
      </c>
      <c r="K288" s="8">
        <v>0</v>
      </c>
      <c r="L288" s="5">
        <v>0</v>
      </c>
      <c r="M288" s="5">
        <v>0</v>
      </c>
      <c r="N288" s="9">
        <v>0</v>
      </c>
      <c r="O288" s="8">
        <v>1</v>
      </c>
      <c r="P288" s="5">
        <v>2</v>
      </c>
      <c r="Q288" s="5">
        <v>0</v>
      </c>
      <c r="R288" s="9">
        <v>0</v>
      </c>
      <c r="S288" s="5">
        <v>0</v>
      </c>
      <c r="T288" s="5">
        <v>0</v>
      </c>
    </row>
    <row r="289" spans="1:20" x14ac:dyDescent="0.2">
      <c r="A289" s="5" t="s">
        <v>524</v>
      </c>
      <c r="B289" s="5" t="s">
        <v>69</v>
      </c>
      <c r="C289" s="10" t="s">
        <v>791</v>
      </c>
      <c r="D289" s="7">
        <f t="shared" si="1"/>
        <v>1.6</v>
      </c>
      <c r="E289" s="5">
        <v>0</v>
      </c>
      <c r="F289" s="5">
        <v>0</v>
      </c>
      <c r="G289" s="5">
        <v>0</v>
      </c>
      <c r="H289" s="5">
        <v>0</v>
      </c>
      <c r="I289" s="5">
        <v>0</v>
      </c>
      <c r="J289" s="9">
        <v>0</v>
      </c>
      <c r="K289" s="8">
        <v>0</v>
      </c>
      <c r="L289" s="5">
        <v>0</v>
      </c>
      <c r="M289" s="5">
        <v>0</v>
      </c>
      <c r="N289" s="9">
        <v>0</v>
      </c>
      <c r="O289" s="8">
        <v>1</v>
      </c>
      <c r="P289" s="5">
        <v>6</v>
      </c>
      <c r="Q289" s="5">
        <v>0</v>
      </c>
      <c r="R289" s="9">
        <v>0</v>
      </c>
      <c r="S289" s="5">
        <v>0</v>
      </c>
      <c r="T289" s="5">
        <v>0</v>
      </c>
    </row>
    <row r="290" spans="1:20" x14ac:dyDescent="0.2">
      <c r="A290" s="5" t="s">
        <v>438</v>
      </c>
      <c r="B290" s="5" t="s">
        <v>69</v>
      </c>
      <c r="C290" s="10" t="s">
        <v>806</v>
      </c>
      <c r="D290" s="7">
        <f t="shared" si="1"/>
        <v>1.1000000000000001</v>
      </c>
      <c r="E290" s="5">
        <v>0</v>
      </c>
      <c r="F290" s="5">
        <v>0</v>
      </c>
      <c r="G290" s="5">
        <v>0</v>
      </c>
      <c r="H290" s="5">
        <v>0</v>
      </c>
      <c r="I290" s="5">
        <v>0</v>
      </c>
      <c r="J290" s="9">
        <v>0</v>
      </c>
      <c r="K290" s="8">
        <v>0</v>
      </c>
      <c r="L290" s="5">
        <v>0</v>
      </c>
      <c r="M290" s="5">
        <v>0</v>
      </c>
      <c r="N290" s="9">
        <v>0</v>
      </c>
      <c r="O290" s="8">
        <v>1</v>
      </c>
      <c r="P290" s="5">
        <v>1</v>
      </c>
      <c r="Q290" s="5">
        <v>0</v>
      </c>
      <c r="R290" s="9">
        <v>0</v>
      </c>
      <c r="S290" s="5">
        <v>0</v>
      </c>
      <c r="T290" s="5">
        <v>0</v>
      </c>
    </row>
    <row r="291" spans="1:20" x14ac:dyDescent="0.2">
      <c r="A291" s="5" t="s">
        <v>283</v>
      </c>
      <c r="B291" s="5" t="s">
        <v>69</v>
      </c>
      <c r="C291" s="10" t="s">
        <v>804</v>
      </c>
      <c r="D291" s="7">
        <f t="shared" si="1"/>
        <v>1.9</v>
      </c>
      <c r="E291" s="5">
        <v>0</v>
      </c>
      <c r="F291" s="5">
        <v>0</v>
      </c>
      <c r="G291" s="5">
        <v>0</v>
      </c>
      <c r="H291" s="5">
        <v>0</v>
      </c>
      <c r="I291" s="5">
        <v>0</v>
      </c>
      <c r="J291" s="9">
        <v>0</v>
      </c>
      <c r="K291" s="8">
        <v>0</v>
      </c>
      <c r="L291" s="5">
        <v>0</v>
      </c>
      <c r="M291" s="5">
        <v>0</v>
      </c>
      <c r="N291" s="9">
        <v>0</v>
      </c>
      <c r="O291" s="8">
        <v>1</v>
      </c>
      <c r="P291" s="5">
        <v>9</v>
      </c>
      <c r="Q291" s="5">
        <v>0</v>
      </c>
      <c r="R291" s="9">
        <v>0</v>
      </c>
      <c r="S291" s="5">
        <v>0</v>
      </c>
      <c r="T291" s="5">
        <v>0</v>
      </c>
    </row>
    <row r="292" spans="1:20" x14ac:dyDescent="0.2">
      <c r="A292" s="5" t="s">
        <v>440</v>
      </c>
      <c r="B292" s="5" t="s">
        <v>69</v>
      </c>
      <c r="C292" s="10" t="s">
        <v>806</v>
      </c>
      <c r="D292" s="7">
        <f t="shared" si="1"/>
        <v>1.6</v>
      </c>
      <c r="E292" s="5">
        <v>0</v>
      </c>
      <c r="F292" s="5">
        <v>0</v>
      </c>
      <c r="G292" s="5">
        <v>0</v>
      </c>
      <c r="H292" s="5">
        <v>0</v>
      </c>
      <c r="I292" s="5">
        <v>0</v>
      </c>
      <c r="J292" s="9">
        <v>0</v>
      </c>
      <c r="K292" s="8">
        <v>0</v>
      </c>
      <c r="L292" s="5">
        <v>0</v>
      </c>
      <c r="M292" s="5">
        <v>0</v>
      </c>
      <c r="N292" s="9">
        <v>0</v>
      </c>
      <c r="O292" s="8">
        <v>1</v>
      </c>
      <c r="P292" s="5">
        <v>6</v>
      </c>
      <c r="Q292" s="5">
        <v>0</v>
      </c>
      <c r="R292" s="9">
        <v>0</v>
      </c>
      <c r="S292" s="5">
        <v>0</v>
      </c>
      <c r="T292" s="5">
        <v>0</v>
      </c>
    </row>
    <row r="293" spans="1:20" x14ac:dyDescent="0.2">
      <c r="A293" s="5" t="s">
        <v>417</v>
      </c>
      <c r="B293" s="5" t="s">
        <v>69</v>
      </c>
      <c r="C293" s="10" t="s">
        <v>799</v>
      </c>
      <c r="D293" s="7">
        <f t="shared" si="1"/>
        <v>-0.5</v>
      </c>
      <c r="E293" s="5">
        <v>0</v>
      </c>
      <c r="F293" s="5">
        <v>0</v>
      </c>
      <c r="G293" s="5">
        <v>0</v>
      </c>
      <c r="H293" s="5">
        <v>0</v>
      </c>
      <c r="I293" s="5">
        <v>0</v>
      </c>
      <c r="J293" s="9">
        <v>0</v>
      </c>
      <c r="K293" s="8">
        <v>0</v>
      </c>
      <c r="L293" s="5">
        <v>0</v>
      </c>
      <c r="M293" s="5">
        <v>0</v>
      </c>
      <c r="N293" s="9">
        <v>0</v>
      </c>
      <c r="O293" s="8">
        <v>1</v>
      </c>
      <c r="P293" s="5">
        <v>5</v>
      </c>
      <c r="Q293" s="5">
        <v>0</v>
      </c>
      <c r="R293" s="9">
        <v>0</v>
      </c>
      <c r="S293" s="5">
        <v>1</v>
      </c>
      <c r="T293" s="5">
        <v>0</v>
      </c>
    </row>
    <row r="294" spans="1:20" x14ac:dyDescent="0.2">
      <c r="C294" s="10"/>
      <c r="D294" s="9"/>
      <c r="J294" s="9"/>
      <c r="K294" s="8"/>
      <c r="N294" s="9"/>
      <c r="O294" s="8"/>
      <c r="R294" s="9"/>
    </row>
    <row r="295" spans="1:20" x14ac:dyDescent="0.2">
      <c r="C295" s="10"/>
      <c r="D295" s="9"/>
      <c r="J295" s="9"/>
      <c r="K295" s="8"/>
      <c r="N295" s="9"/>
      <c r="O295" s="8"/>
      <c r="R295" s="9"/>
    </row>
    <row r="296" spans="1:20" x14ac:dyDescent="0.2">
      <c r="C296" s="10"/>
      <c r="D296" s="9"/>
      <c r="J296" s="9"/>
      <c r="K296" s="8"/>
      <c r="N296" s="9"/>
      <c r="O296" s="8"/>
      <c r="R296" s="9"/>
    </row>
    <row r="297" spans="1:20" x14ac:dyDescent="0.2">
      <c r="C297" s="10"/>
      <c r="D297" s="9"/>
      <c r="J297" s="9"/>
      <c r="K297" s="8"/>
      <c r="N297" s="9"/>
      <c r="O297" s="8"/>
      <c r="R297" s="9"/>
    </row>
    <row r="298" spans="1:20" x14ac:dyDescent="0.2">
      <c r="C298" s="10"/>
      <c r="D298" s="9"/>
      <c r="J298" s="9"/>
      <c r="K298" s="8"/>
      <c r="N298" s="9"/>
      <c r="O298" s="8"/>
      <c r="R298" s="9"/>
    </row>
    <row r="299" spans="1:20" x14ac:dyDescent="0.2">
      <c r="C299" s="10"/>
      <c r="D299" s="9"/>
      <c r="J299" s="9"/>
      <c r="K299" s="8"/>
      <c r="N299" s="9"/>
      <c r="O299" s="8"/>
      <c r="R299" s="9"/>
    </row>
    <row r="300" spans="1:20" x14ac:dyDescent="0.2">
      <c r="C300" s="10"/>
      <c r="D300" s="9"/>
      <c r="J300" s="9"/>
      <c r="K300" s="8"/>
      <c r="N300" s="9"/>
      <c r="O300" s="8"/>
      <c r="R300" s="9"/>
    </row>
  </sheetData>
  <autoFilter ref="A2:T293" xr:uid="{00000000-0009-0000-0000-000010000000}"/>
  <mergeCells count="4">
    <mergeCell ref="E1:J1"/>
    <mergeCell ref="K1:N1"/>
    <mergeCell ref="O1:R1"/>
    <mergeCell ref="S1:T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T300"/>
  <sheetViews>
    <sheetView workbookViewId="0"/>
  </sheetViews>
  <sheetFormatPr defaultColWidth="12.5703125" defaultRowHeight="15.75" customHeight="1" x14ac:dyDescent="0.2"/>
  <cols>
    <col min="1" max="1" width="18.42578125" customWidth="1"/>
    <col min="2" max="2" width="9.85546875" customWidth="1"/>
    <col min="3" max="3" width="9.5703125" customWidth="1"/>
    <col min="4" max="4" width="6.42578125" customWidth="1"/>
    <col min="5" max="5" width="6.85546875" customWidth="1"/>
    <col min="6" max="6" width="7.140625" customWidth="1"/>
    <col min="7" max="7" width="6.28515625" customWidth="1"/>
    <col min="8" max="8" width="5.5703125" customWidth="1"/>
    <col min="9" max="9" width="5.42578125" customWidth="1"/>
    <col min="10" max="10" width="6" customWidth="1"/>
    <col min="11" max="11" width="6.85546875" customWidth="1"/>
    <col min="12" max="12" width="6.28515625" customWidth="1"/>
    <col min="13" max="13" width="5.5703125" customWidth="1"/>
    <col min="14" max="14" width="6" customWidth="1"/>
    <col min="15" max="15" width="7.85546875" customWidth="1"/>
    <col min="16" max="16" width="6.28515625" customWidth="1"/>
    <col min="17" max="17" width="5.5703125" customWidth="1"/>
    <col min="18" max="18" width="6" customWidth="1"/>
    <col min="19" max="19" width="7.28515625" customWidth="1"/>
    <col min="20" max="20" width="5.5703125" customWidth="1"/>
  </cols>
  <sheetData>
    <row r="1" spans="1:20" x14ac:dyDescent="0.2">
      <c r="A1" s="2"/>
      <c r="B1" s="21"/>
      <c r="C1" s="2"/>
      <c r="D1" s="25"/>
      <c r="E1" s="61" t="s">
        <v>0</v>
      </c>
      <c r="F1" s="62"/>
      <c r="G1" s="62"/>
      <c r="H1" s="62"/>
      <c r="I1" s="62"/>
      <c r="J1" s="63"/>
      <c r="K1" s="60" t="s">
        <v>1</v>
      </c>
      <c r="L1" s="55"/>
      <c r="M1" s="55"/>
      <c r="N1" s="55"/>
      <c r="O1" s="61" t="s">
        <v>2</v>
      </c>
      <c r="P1" s="62"/>
      <c r="Q1" s="62"/>
      <c r="R1" s="63"/>
      <c r="S1" s="60" t="s">
        <v>3</v>
      </c>
      <c r="T1" s="55"/>
    </row>
    <row r="2" spans="1:20" x14ac:dyDescent="0.2">
      <c r="A2" s="13" t="s">
        <v>4</v>
      </c>
      <c r="B2" s="22" t="s">
        <v>5</v>
      </c>
      <c r="C2" s="13" t="s">
        <v>6</v>
      </c>
      <c r="D2" s="26" t="s">
        <v>7</v>
      </c>
      <c r="E2" s="13" t="s">
        <v>8</v>
      </c>
      <c r="F2" s="13" t="s">
        <v>9</v>
      </c>
      <c r="G2" s="13" t="s">
        <v>10</v>
      </c>
      <c r="H2" s="13" t="s">
        <v>11</v>
      </c>
      <c r="I2" s="13" t="s">
        <v>12</v>
      </c>
      <c r="J2" s="22" t="s">
        <v>13</v>
      </c>
      <c r="K2" s="13" t="s">
        <v>8</v>
      </c>
      <c r="L2" s="13" t="s">
        <v>10</v>
      </c>
      <c r="M2" s="13" t="s">
        <v>11</v>
      </c>
      <c r="N2" s="22" t="s">
        <v>13</v>
      </c>
      <c r="O2" s="13" t="s">
        <v>14</v>
      </c>
      <c r="P2" s="13" t="s">
        <v>10</v>
      </c>
      <c r="Q2" s="13" t="s">
        <v>11</v>
      </c>
      <c r="R2" s="22" t="s">
        <v>13</v>
      </c>
      <c r="S2" s="13" t="s">
        <v>15</v>
      </c>
      <c r="T2" s="13" t="s">
        <v>11</v>
      </c>
    </row>
    <row r="3" spans="1:20" x14ac:dyDescent="0.2">
      <c r="A3" s="5" t="s">
        <v>41</v>
      </c>
      <c r="B3" s="9" t="s">
        <v>17</v>
      </c>
      <c r="C3" s="5" t="s">
        <v>814</v>
      </c>
      <c r="D3" s="7">
        <f t="shared" ref="D3:D257" si="0">0.04*G3+4*H3-2*I3+2*J3+0.1*L3+6*M3+2*N3+1*O3+0.1*P3+6*Q3+2*R3-2*S3</f>
        <v>27.160000000000004</v>
      </c>
      <c r="E3" s="5">
        <v>28</v>
      </c>
      <c r="F3" s="5">
        <v>22</v>
      </c>
      <c r="G3" s="5">
        <v>264</v>
      </c>
      <c r="H3" s="5">
        <v>4</v>
      </c>
      <c r="I3" s="5">
        <v>0</v>
      </c>
      <c r="J3" s="9">
        <v>0</v>
      </c>
      <c r="K3" s="5">
        <v>1</v>
      </c>
      <c r="L3" s="5">
        <v>6</v>
      </c>
      <c r="M3" s="5">
        <v>0</v>
      </c>
      <c r="N3" s="9">
        <v>0</v>
      </c>
      <c r="O3" s="5">
        <v>0</v>
      </c>
      <c r="P3" s="5">
        <v>0</v>
      </c>
      <c r="Q3" s="5">
        <v>0</v>
      </c>
      <c r="R3" s="9">
        <v>0</v>
      </c>
      <c r="S3" s="5">
        <v>0</v>
      </c>
      <c r="T3" s="5">
        <v>0</v>
      </c>
    </row>
    <row r="4" spans="1:20" x14ac:dyDescent="0.2">
      <c r="A4" s="5" t="s">
        <v>59</v>
      </c>
      <c r="B4" s="9" t="s">
        <v>17</v>
      </c>
      <c r="C4" s="5" t="s">
        <v>815</v>
      </c>
      <c r="D4" s="7">
        <f t="shared" si="0"/>
        <v>25.16</v>
      </c>
      <c r="E4" s="5">
        <v>36</v>
      </c>
      <c r="F4" s="5">
        <v>31</v>
      </c>
      <c r="G4" s="5">
        <v>279</v>
      </c>
      <c r="H4" s="5">
        <v>4</v>
      </c>
      <c r="I4" s="5">
        <v>1</v>
      </c>
      <c r="J4" s="9">
        <v>0</v>
      </c>
      <c r="K4" s="5">
        <v>0</v>
      </c>
      <c r="L4" s="5">
        <v>0</v>
      </c>
      <c r="M4" s="5">
        <v>0</v>
      </c>
      <c r="N4" s="9">
        <v>0</v>
      </c>
      <c r="O4" s="5">
        <v>0</v>
      </c>
      <c r="P4" s="5">
        <v>0</v>
      </c>
      <c r="Q4" s="5">
        <v>0</v>
      </c>
      <c r="R4" s="9">
        <v>0</v>
      </c>
      <c r="S4" s="5">
        <v>0</v>
      </c>
      <c r="T4" s="5">
        <v>0</v>
      </c>
    </row>
    <row r="5" spans="1:20" x14ac:dyDescent="0.2">
      <c r="A5" s="5" t="s">
        <v>816</v>
      </c>
      <c r="B5" s="9" t="s">
        <v>17</v>
      </c>
      <c r="C5" s="5" t="s">
        <v>817</v>
      </c>
      <c r="D5" s="7">
        <f t="shared" si="0"/>
        <v>26.12</v>
      </c>
      <c r="E5" s="5">
        <v>24</v>
      </c>
      <c r="F5" s="5">
        <v>17</v>
      </c>
      <c r="G5" s="5">
        <v>163</v>
      </c>
      <c r="H5" s="5">
        <v>2</v>
      </c>
      <c r="I5" s="5">
        <v>1</v>
      </c>
      <c r="J5" s="9">
        <v>1</v>
      </c>
      <c r="K5" s="5">
        <v>17</v>
      </c>
      <c r="L5" s="5">
        <v>56</v>
      </c>
      <c r="M5" s="5">
        <v>1</v>
      </c>
      <c r="N5" s="9">
        <v>0</v>
      </c>
      <c r="O5" s="5">
        <v>0</v>
      </c>
      <c r="P5" s="5">
        <v>0</v>
      </c>
      <c r="Q5" s="5">
        <v>0</v>
      </c>
      <c r="R5" s="9">
        <v>0</v>
      </c>
      <c r="S5" s="5">
        <v>0</v>
      </c>
      <c r="T5" s="5">
        <v>0</v>
      </c>
    </row>
    <row r="6" spans="1:20" x14ac:dyDescent="0.2">
      <c r="A6" s="5" t="s">
        <v>48</v>
      </c>
      <c r="B6" s="9" t="s">
        <v>17</v>
      </c>
      <c r="C6" s="5" t="s">
        <v>818</v>
      </c>
      <c r="D6" s="7">
        <f t="shared" si="0"/>
        <v>23.06</v>
      </c>
      <c r="E6" s="5">
        <v>38</v>
      </c>
      <c r="F6" s="5">
        <v>30</v>
      </c>
      <c r="G6" s="5">
        <v>359</v>
      </c>
      <c r="H6" s="5">
        <v>2</v>
      </c>
      <c r="I6" s="5">
        <v>2</v>
      </c>
      <c r="J6" s="9">
        <v>0</v>
      </c>
      <c r="K6" s="5">
        <v>15</v>
      </c>
      <c r="L6" s="5">
        <v>67</v>
      </c>
      <c r="M6" s="5">
        <v>0</v>
      </c>
      <c r="N6" s="9">
        <v>0</v>
      </c>
      <c r="O6" s="5">
        <v>0</v>
      </c>
      <c r="P6" s="5">
        <v>0</v>
      </c>
      <c r="Q6" s="5">
        <v>0</v>
      </c>
      <c r="R6" s="9">
        <v>0</v>
      </c>
      <c r="S6" s="5">
        <v>1</v>
      </c>
      <c r="T6" s="5">
        <v>0</v>
      </c>
    </row>
    <row r="7" spans="1:20" x14ac:dyDescent="0.2">
      <c r="A7" s="5" t="s">
        <v>44</v>
      </c>
      <c r="B7" s="9" t="s">
        <v>17</v>
      </c>
      <c r="C7" s="5" t="s">
        <v>819</v>
      </c>
      <c r="D7" s="7">
        <f t="shared" si="0"/>
        <v>20.8</v>
      </c>
      <c r="E7" s="5">
        <v>32</v>
      </c>
      <c r="F7" s="5">
        <v>23</v>
      </c>
      <c r="G7" s="5">
        <v>320</v>
      </c>
      <c r="H7" s="5">
        <v>2</v>
      </c>
      <c r="I7" s="5">
        <v>0</v>
      </c>
      <c r="J7" s="9">
        <v>0</v>
      </c>
      <c r="K7" s="5">
        <v>0</v>
      </c>
      <c r="L7" s="5">
        <v>0</v>
      </c>
      <c r="M7" s="5">
        <v>0</v>
      </c>
      <c r="N7" s="9">
        <v>0</v>
      </c>
      <c r="O7" s="5">
        <v>0</v>
      </c>
      <c r="P7" s="5">
        <v>0</v>
      </c>
      <c r="Q7" s="5">
        <v>0</v>
      </c>
      <c r="R7" s="9">
        <v>0</v>
      </c>
      <c r="S7" s="5">
        <v>0</v>
      </c>
      <c r="T7" s="5">
        <v>0</v>
      </c>
    </row>
    <row r="8" spans="1:20" x14ac:dyDescent="0.2">
      <c r="A8" s="5" t="s">
        <v>53</v>
      </c>
      <c r="B8" s="9" t="s">
        <v>17</v>
      </c>
      <c r="C8" s="5" t="s">
        <v>820</v>
      </c>
      <c r="D8" s="7">
        <f t="shared" si="0"/>
        <v>20.560000000000002</v>
      </c>
      <c r="E8" s="5">
        <v>26</v>
      </c>
      <c r="F8" s="5">
        <v>20</v>
      </c>
      <c r="G8" s="5">
        <v>264</v>
      </c>
      <c r="H8" s="5">
        <v>2</v>
      </c>
      <c r="I8" s="5">
        <v>0</v>
      </c>
      <c r="J8" s="9">
        <v>0</v>
      </c>
      <c r="K8" s="5">
        <v>3</v>
      </c>
      <c r="L8" s="5">
        <v>20</v>
      </c>
      <c r="M8" s="5">
        <v>0</v>
      </c>
      <c r="N8" s="9">
        <v>0</v>
      </c>
      <c r="O8" s="5">
        <v>0</v>
      </c>
      <c r="P8" s="5">
        <v>0</v>
      </c>
      <c r="Q8" s="5">
        <v>0</v>
      </c>
      <c r="R8" s="9">
        <v>0</v>
      </c>
      <c r="S8" s="5">
        <v>0</v>
      </c>
      <c r="T8" s="5">
        <v>0</v>
      </c>
    </row>
    <row r="9" spans="1:20" x14ac:dyDescent="0.2">
      <c r="A9" s="5" t="s">
        <v>65</v>
      </c>
      <c r="B9" s="9" t="s">
        <v>17</v>
      </c>
      <c r="C9" s="5" t="s">
        <v>821</v>
      </c>
      <c r="D9" s="7">
        <f t="shared" si="0"/>
        <v>18.040000000000003</v>
      </c>
      <c r="E9" s="5">
        <v>24</v>
      </c>
      <c r="F9" s="5">
        <v>18</v>
      </c>
      <c r="G9" s="5">
        <v>156</v>
      </c>
      <c r="H9" s="5">
        <v>3</v>
      </c>
      <c r="I9" s="5">
        <v>1</v>
      </c>
      <c r="J9" s="9">
        <v>0</v>
      </c>
      <c r="K9" s="5">
        <v>2</v>
      </c>
      <c r="L9" s="5">
        <v>18</v>
      </c>
      <c r="M9" s="5">
        <v>0</v>
      </c>
      <c r="N9" s="9">
        <v>0</v>
      </c>
      <c r="O9" s="5">
        <v>0</v>
      </c>
      <c r="P9" s="5">
        <v>0</v>
      </c>
      <c r="Q9" s="5">
        <v>0</v>
      </c>
      <c r="R9" s="9">
        <v>0</v>
      </c>
      <c r="S9" s="5">
        <v>0</v>
      </c>
      <c r="T9" s="5">
        <v>0</v>
      </c>
    </row>
    <row r="10" spans="1:20" x14ac:dyDescent="0.2">
      <c r="A10" s="5" t="s">
        <v>21</v>
      </c>
      <c r="B10" s="9" t="s">
        <v>17</v>
      </c>
      <c r="C10" s="5" t="s">
        <v>822</v>
      </c>
      <c r="D10" s="7">
        <f t="shared" si="0"/>
        <v>18.54</v>
      </c>
      <c r="E10" s="5">
        <v>32</v>
      </c>
      <c r="F10" s="5">
        <v>27</v>
      </c>
      <c r="G10" s="5">
        <v>316</v>
      </c>
      <c r="H10" s="5">
        <v>2</v>
      </c>
      <c r="I10" s="5">
        <v>0</v>
      </c>
      <c r="J10" s="9">
        <v>0</v>
      </c>
      <c r="K10" s="5">
        <v>3</v>
      </c>
      <c r="L10" s="5">
        <v>-1</v>
      </c>
      <c r="M10" s="5">
        <v>0</v>
      </c>
      <c r="N10" s="9">
        <v>0</v>
      </c>
      <c r="O10" s="5">
        <v>0</v>
      </c>
      <c r="P10" s="5">
        <v>0</v>
      </c>
      <c r="Q10" s="5">
        <v>0</v>
      </c>
      <c r="R10" s="9">
        <v>0</v>
      </c>
      <c r="S10" s="5">
        <v>1</v>
      </c>
      <c r="T10" s="5">
        <v>0</v>
      </c>
    </row>
    <row r="11" spans="1:20" x14ac:dyDescent="0.2">
      <c r="A11" s="5" t="s">
        <v>738</v>
      </c>
      <c r="B11" s="9" t="s">
        <v>17</v>
      </c>
      <c r="C11" s="5" t="s">
        <v>819</v>
      </c>
      <c r="D11" s="7">
        <f t="shared" si="0"/>
        <v>20.64</v>
      </c>
      <c r="E11" s="5">
        <v>44</v>
      </c>
      <c r="F11" s="5">
        <v>30</v>
      </c>
      <c r="G11" s="5">
        <v>396</v>
      </c>
      <c r="H11" s="5">
        <v>2</v>
      </c>
      <c r="I11" s="5">
        <v>2</v>
      </c>
      <c r="J11" s="9">
        <v>0</v>
      </c>
      <c r="K11" s="5">
        <v>2</v>
      </c>
      <c r="L11" s="5">
        <v>8</v>
      </c>
      <c r="M11" s="5">
        <v>0</v>
      </c>
      <c r="N11" s="9">
        <v>0</v>
      </c>
      <c r="O11" s="5">
        <v>0</v>
      </c>
      <c r="P11" s="5">
        <v>0</v>
      </c>
      <c r="Q11" s="5">
        <v>0</v>
      </c>
      <c r="R11" s="9">
        <v>0</v>
      </c>
      <c r="S11" s="5">
        <v>0</v>
      </c>
      <c r="T11" s="5">
        <v>0</v>
      </c>
    </row>
    <row r="12" spans="1:20" x14ac:dyDescent="0.2">
      <c r="A12" s="5" t="s">
        <v>55</v>
      </c>
      <c r="B12" s="9" t="s">
        <v>17</v>
      </c>
      <c r="C12" s="5" t="s">
        <v>823</v>
      </c>
      <c r="D12" s="7">
        <f t="shared" si="0"/>
        <v>20.360000000000003</v>
      </c>
      <c r="E12" s="5">
        <v>28</v>
      </c>
      <c r="F12" s="5">
        <v>16</v>
      </c>
      <c r="G12" s="5">
        <v>189</v>
      </c>
      <c r="H12" s="5">
        <v>2</v>
      </c>
      <c r="I12" s="5">
        <v>0</v>
      </c>
      <c r="J12" s="9">
        <v>1</v>
      </c>
      <c r="K12" s="5">
        <v>3</v>
      </c>
      <c r="L12" s="5">
        <v>28</v>
      </c>
      <c r="M12" s="5">
        <v>0</v>
      </c>
      <c r="N12" s="9">
        <v>0</v>
      </c>
      <c r="O12" s="5">
        <v>0</v>
      </c>
      <c r="P12" s="5">
        <v>0</v>
      </c>
      <c r="Q12" s="5">
        <v>0</v>
      </c>
      <c r="R12" s="9">
        <v>0</v>
      </c>
      <c r="S12" s="5">
        <v>0</v>
      </c>
      <c r="T12" s="5">
        <v>0</v>
      </c>
    </row>
    <row r="13" spans="1:20" x14ac:dyDescent="0.2">
      <c r="A13" s="5" t="s">
        <v>476</v>
      </c>
      <c r="B13" s="9" t="s">
        <v>17</v>
      </c>
      <c r="C13" s="5" t="s">
        <v>824</v>
      </c>
      <c r="D13" s="7">
        <f t="shared" si="0"/>
        <v>17.86</v>
      </c>
      <c r="E13" s="5">
        <v>31</v>
      </c>
      <c r="F13" s="5">
        <v>20</v>
      </c>
      <c r="G13" s="5">
        <v>244</v>
      </c>
      <c r="H13" s="5">
        <v>2</v>
      </c>
      <c r="I13" s="5">
        <v>0</v>
      </c>
      <c r="J13" s="9">
        <v>0</v>
      </c>
      <c r="K13" s="5">
        <v>4</v>
      </c>
      <c r="L13" s="5">
        <v>1</v>
      </c>
      <c r="M13" s="5">
        <v>0</v>
      </c>
      <c r="N13" s="9">
        <v>0</v>
      </c>
      <c r="O13" s="5">
        <v>0</v>
      </c>
      <c r="P13" s="5">
        <v>0</v>
      </c>
      <c r="Q13" s="5">
        <v>0</v>
      </c>
      <c r="R13" s="9">
        <v>0</v>
      </c>
      <c r="S13" s="5">
        <v>0</v>
      </c>
      <c r="T13" s="5">
        <v>0</v>
      </c>
    </row>
    <row r="14" spans="1:20" x14ac:dyDescent="0.2">
      <c r="A14" s="5" t="s">
        <v>32</v>
      </c>
      <c r="B14" s="9" t="s">
        <v>17</v>
      </c>
      <c r="C14" s="5" t="s">
        <v>825</v>
      </c>
      <c r="D14" s="7">
        <f t="shared" si="0"/>
        <v>16.200000000000003</v>
      </c>
      <c r="E14" s="5">
        <v>43</v>
      </c>
      <c r="F14" s="5">
        <v>29</v>
      </c>
      <c r="G14" s="5">
        <v>280</v>
      </c>
      <c r="H14" s="5">
        <v>2</v>
      </c>
      <c r="I14" s="5">
        <v>2</v>
      </c>
      <c r="J14" s="9">
        <v>0</v>
      </c>
      <c r="K14" s="5">
        <v>3</v>
      </c>
      <c r="L14" s="5">
        <v>10</v>
      </c>
      <c r="M14" s="5">
        <v>0</v>
      </c>
      <c r="N14" s="9">
        <v>0</v>
      </c>
      <c r="O14" s="5">
        <v>0</v>
      </c>
      <c r="P14" s="5">
        <v>0</v>
      </c>
      <c r="Q14" s="5">
        <v>0</v>
      </c>
      <c r="R14" s="9">
        <v>0</v>
      </c>
      <c r="S14" s="5">
        <v>0</v>
      </c>
      <c r="T14" s="5">
        <v>0</v>
      </c>
    </row>
    <row r="15" spans="1:20" x14ac:dyDescent="0.2">
      <c r="A15" s="5" t="s">
        <v>51</v>
      </c>
      <c r="B15" s="9" t="s">
        <v>17</v>
      </c>
      <c r="C15" s="5" t="s">
        <v>814</v>
      </c>
      <c r="D15" s="7">
        <f t="shared" si="0"/>
        <v>15.64</v>
      </c>
      <c r="E15" s="5">
        <v>30</v>
      </c>
      <c r="F15" s="5">
        <v>22</v>
      </c>
      <c r="G15" s="5">
        <v>291</v>
      </c>
      <c r="H15" s="5">
        <v>2</v>
      </c>
      <c r="I15" s="5">
        <v>1</v>
      </c>
      <c r="J15" s="9">
        <v>0</v>
      </c>
      <c r="K15" s="5">
        <v>2</v>
      </c>
      <c r="L15" s="5">
        <v>0</v>
      </c>
      <c r="M15" s="5">
        <v>0</v>
      </c>
      <c r="N15" s="9">
        <v>0</v>
      </c>
      <c r="O15" s="5">
        <v>0</v>
      </c>
      <c r="P15" s="5">
        <v>0</v>
      </c>
      <c r="Q15" s="5">
        <v>0</v>
      </c>
      <c r="R15" s="9">
        <v>0</v>
      </c>
      <c r="S15" s="5">
        <v>1</v>
      </c>
      <c r="T15" s="5">
        <v>0</v>
      </c>
    </row>
    <row r="16" spans="1:20" x14ac:dyDescent="0.2">
      <c r="A16" s="5" t="s">
        <v>67</v>
      </c>
      <c r="B16" s="9" t="s">
        <v>17</v>
      </c>
      <c r="C16" s="5" t="s">
        <v>817</v>
      </c>
      <c r="D16" s="7">
        <f t="shared" si="0"/>
        <v>17.46</v>
      </c>
      <c r="E16" s="5">
        <v>26</v>
      </c>
      <c r="F16" s="5">
        <v>16</v>
      </c>
      <c r="G16" s="5">
        <v>189</v>
      </c>
      <c r="H16" s="5">
        <v>1</v>
      </c>
      <c r="I16" s="5">
        <v>0</v>
      </c>
      <c r="J16" s="9">
        <v>0</v>
      </c>
      <c r="K16" s="5">
        <v>7</v>
      </c>
      <c r="L16" s="5">
        <v>19</v>
      </c>
      <c r="M16" s="5">
        <v>1</v>
      </c>
      <c r="N16" s="9">
        <v>0</v>
      </c>
      <c r="O16" s="5">
        <v>0</v>
      </c>
      <c r="P16" s="5">
        <v>0</v>
      </c>
      <c r="Q16" s="5">
        <v>0</v>
      </c>
      <c r="R16" s="9">
        <v>0</v>
      </c>
      <c r="S16" s="5">
        <v>1</v>
      </c>
      <c r="T16" s="5">
        <v>0</v>
      </c>
    </row>
    <row r="17" spans="1:20" x14ac:dyDescent="0.2">
      <c r="A17" s="5" t="s">
        <v>642</v>
      </c>
      <c r="B17" s="9" t="s">
        <v>17</v>
      </c>
      <c r="C17" s="5" t="s">
        <v>823</v>
      </c>
      <c r="D17" s="7">
        <f t="shared" si="0"/>
        <v>17.78</v>
      </c>
      <c r="E17" s="5">
        <v>30</v>
      </c>
      <c r="F17" s="5">
        <v>22</v>
      </c>
      <c r="G17" s="5">
        <v>262</v>
      </c>
      <c r="H17" s="5">
        <v>1</v>
      </c>
      <c r="I17" s="5">
        <v>0</v>
      </c>
      <c r="J17" s="9">
        <v>0</v>
      </c>
      <c r="K17" s="5">
        <v>5</v>
      </c>
      <c r="L17" s="5">
        <v>33</v>
      </c>
      <c r="M17" s="5">
        <v>0</v>
      </c>
      <c r="N17" s="9">
        <v>0</v>
      </c>
      <c r="O17" s="5">
        <v>0</v>
      </c>
      <c r="P17" s="5">
        <v>0</v>
      </c>
      <c r="Q17" s="5">
        <v>0</v>
      </c>
      <c r="R17" s="9">
        <v>0</v>
      </c>
      <c r="S17" s="5">
        <v>0</v>
      </c>
      <c r="T17" s="5">
        <v>0</v>
      </c>
    </row>
    <row r="18" spans="1:20" x14ac:dyDescent="0.2">
      <c r="A18" s="5" t="s">
        <v>73</v>
      </c>
      <c r="B18" s="9" t="s">
        <v>17</v>
      </c>
      <c r="C18" s="5" t="s">
        <v>826</v>
      </c>
      <c r="D18" s="7">
        <f t="shared" si="0"/>
        <v>17.68</v>
      </c>
      <c r="E18" s="5">
        <v>32</v>
      </c>
      <c r="F18" s="5">
        <v>23</v>
      </c>
      <c r="G18" s="5">
        <v>297</v>
      </c>
      <c r="H18" s="5">
        <v>1</v>
      </c>
      <c r="I18" s="5">
        <v>1</v>
      </c>
      <c r="J18" s="9">
        <v>0</v>
      </c>
      <c r="K18" s="5">
        <v>8</v>
      </c>
      <c r="L18" s="5">
        <v>38</v>
      </c>
      <c r="M18" s="5">
        <v>0</v>
      </c>
      <c r="N18" s="9">
        <v>0</v>
      </c>
      <c r="O18" s="5">
        <v>0</v>
      </c>
      <c r="P18" s="5">
        <v>0</v>
      </c>
      <c r="Q18" s="5">
        <v>0</v>
      </c>
      <c r="R18" s="9">
        <v>0</v>
      </c>
      <c r="S18" s="5">
        <v>0</v>
      </c>
      <c r="T18" s="5">
        <v>0</v>
      </c>
    </row>
    <row r="19" spans="1:20" x14ac:dyDescent="0.2">
      <c r="A19" s="5" t="s">
        <v>827</v>
      </c>
      <c r="B19" s="9" t="s">
        <v>17</v>
      </c>
      <c r="C19" s="5" t="s">
        <v>821</v>
      </c>
      <c r="D19" s="7">
        <f t="shared" si="0"/>
        <v>13.940000000000001</v>
      </c>
      <c r="E19" s="5">
        <v>26</v>
      </c>
      <c r="F19" s="5">
        <v>13</v>
      </c>
      <c r="G19" s="5">
        <v>166</v>
      </c>
      <c r="H19" s="5">
        <v>2</v>
      </c>
      <c r="I19" s="5">
        <v>2</v>
      </c>
      <c r="J19" s="9">
        <v>0</v>
      </c>
      <c r="K19" s="5">
        <v>7</v>
      </c>
      <c r="L19" s="5">
        <v>33</v>
      </c>
      <c r="M19" s="5">
        <v>0</v>
      </c>
      <c r="N19" s="9">
        <v>0</v>
      </c>
      <c r="O19" s="5">
        <v>0</v>
      </c>
      <c r="P19" s="5">
        <v>0</v>
      </c>
      <c r="Q19" s="5">
        <v>0</v>
      </c>
      <c r="R19" s="9">
        <v>0</v>
      </c>
      <c r="S19" s="5">
        <v>0</v>
      </c>
      <c r="T19" s="5">
        <v>0</v>
      </c>
    </row>
    <row r="20" spans="1:20" x14ac:dyDescent="0.2">
      <c r="A20" s="5" t="s">
        <v>736</v>
      </c>
      <c r="B20" s="9" t="s">
        <v>17</v>
      </c>
      <c r="C20" s="5" t="s">
        <v>828</v>
      </c>
      <c r="D20" s="7">
        <f t="shared" si="0"/>
        <v>16.02</v>
      </c>
      <c r="E20" s="5">
        <v>47</v>
      </c>
      <c r="F20" s="5">
        <v>28</v>
      </c>
      <c r="G20" s="5">
        <v>258</v>
      </c>
      <c r="H20" s="5">
        <v>0</v>
      </c>
      <c r="I20" s="5">
        <v>0</v>
      </c>
      <c r="J20" s="9">
        <v>0</v>
      </c>
      <c r="K20" s="5">
        <v>13</v>
      </c>
      <c r="L20" s="5">
        <v>77</v>
      </c>
      <c r="M20" s="5">
        <v>0</v>
      </c>
      <c r="N20" s="9">
        <v>0</v>
      </c>
      <c r="O20" s="5">
        <v>0</v>
      </c>
      <c r="P20" s="5">
        <v>0</v>
      </c>
      <c r="Q20" s="5">
        <v>0</v>
      </c>
      <c r="R20" s="9">
        <v>0</v>
      </c>
      <c r="S20" s="5">
        <v>1</v>
      </c>
      <c r="T20" s="5">
        <v>0</v>
      </c>
    </row>
    <row r="21" spans="1:20" x14ac:dyDescent="0.2">
      <c r="A21" s="5" t="s">
        <v>64</v>
      </c>
      <c r="B21" s="9" t="s">
        <v>17</v>
      </c>
      <c r="C21" s="5" t="s">
        <v>825</v>
      </c>
      <c r="D21" s="7">
        <f t="shared" si="0"/>
        <v>12.419999999999998</v>
      </c>
      <c r="E21" s="5">
        <v>26</v>
      </c>
      <c r="F21" s="5">
        <v>17</v>
      </c>
      <c r="G21" s="5">
        <v>168</v>
      </c>
      <c r="H21" s="5">
        <v>2</v>
      </c>
      <c r="I21" s="5">
        <v>1</v>
      </c>
      <c r="J21" s="9">
        <v>0</v>
      </c>
      <c r="K21" s="5">
        <v>3</v>
      </c>
      <c r="L21" s="5">
        <v>-3</v>
      </c>
      <c r="M21" s="5">
        <v>0</v>
      </c>
      <c r="N21" s="9">
        <v>0</v>
      </c>
      <c r="O21" s="5">
        <v>0</v>
      </c>
      <c r="P21" s="5">
        <v>0</v>
      </c>
      <c r="Q21" s="5">
        <v>0</v>
      </c>
      <c r="R21" s="9">
        <v>0</v>
      </c>
      <c r="S21" s="5">
        <v>0</v>
      </c>
      <c r="T21" s="5">
        <v>0</v>
      </c>
    </row>
    <row r="22" spans="1:20" x14ac:dyDescent="0.2">
      <c r="A22" s="5" t="s">
        <v>497</v>
      </c>
      <c r="B22" s="9" t="s">
        <v>17</v>
      </c>
      <c r="C22" s="5" t="s">
        <v>829</v>
      </c>
      <c r="D22" s="7">
        <f t="shared" si="0"/>
        <v>13.84</v>
      </c>
      <c r="E22" s="5">
        <v>28</v>
      </c>
      <c r="F22" s="5">
        <v>15</v>
      </c>
      <c r="G22" s="5">
        <v>146</v>
      </c>
      <c r="H22" s="5">
        <v>1</v>
      </c>
      <c r="I22" s="5">
        <v>0</v>
      </c>
      <c r="J22" s="9">
        <v>0</v>
      </c>
      <c r="K22" s="5">
        <v>8</v>
      </c>
      <c r="L22" s="5">
        <v>40</v>
      </c>
      <c r="M22" s="5">
        <v>0</v>
      </c>
      <c r="N22" s="9">
        <v>0</v>
      </c>
      <c r="O22" s="5">
        <v>0</v>
      </c>
      <c r="P22" s="5">
        <v>0</v>
      </c>
      <c r="Q22" s="5">
        <v>0</v>
      </c>
      <c r="R22" s="9">
        <v>0</v>
      </c>
      <c r="S22" s="5">
        <v>0</v>
      </c>
      <c r="T22" s="5">
        <v>0</v>
      </c>
    </row>
    <row r="23" spans="1:20" x14ac:dyDescent="0.2">
      <c r="A23" s="5" t="s">
        <v>803</v>
      </c>
      <c r="B23" s="9" t="s">
        <v>17</v>
      </c>
      <c r="C23" s="5" t="s">
        <v>824</v>
      </c>
      <c r="D23" s="7">
        <f t="shared" si="0"/>
        <v>13.08</v>
      </c>
      <c r="E23" s="5">
        <v>34</v>
      </c>
      <c r="F23" s="5">
        <v>20</v>
      </c>
      <c r="G23" s="5">
        <v>272</v>
      </c>
      <c r="H23" s="5">
        <v>1</v>
      </c>
      <c r="I23" s="5">
        <v>1</v>
      </c>
      <c r="J23" s="9">
        <v>0</v>
      </c>
      <c r="K23" s="5">
        <v>3</v>
      </c>
      <c r="L23" s="5">
        <v>2</v>
      </c>
      <c r="M23" s="5">
        <v>0</v>
      </c>
      <c r="N23" s="9">
        <v>0</v>
      </c>
      <c r="O23" s="5">
        <v>0</v>
      </c>
      <c r="P23" s="5">
        <v>0</v>
      </c>
      <c r="Q23" s="5">
        <v>0</v>
      </c>
      <c r="R23" s="9">
        <v>0</v>
      </c>
      <c r="S23" s="5">
        <v>0</v>
      </c>
      <c r="T23" s="5">
        <v>0</v>
      </c>
    </row>
    <row r="24" spans="1:20" x14ac:dyDescent="0.2">
      <c r="A24" s="5" t="s">
        <v>719</v>
      </c>
      <c r="B24" s="9" t="s">
        <v>17</v>
      </c>
      <c r="C24" s="5" t="s">
        <v>826</v>
      </c>
      <c r="D24" s="7">
        <f t="shared" si="0"/>
        <v>10.52</v>
      </c>
      <c r="E24" s="5">
        <v>20</v>
      </c>
      <c r="F24" s="5">
        <v>13</v>
      </c>
      <c r="G24" s="5">
        <v>148</v>
      </c>
      <c r="H24" s="5">
        <v>1</v>
      </c>
      <c r="I24" s="5">
        <v>1</v>
      </c>
      <c r="J24" s="9">
        <v>0</v>
      </c>
      <c r="K24" s="5">
        <v>6</v>
      </c>
      <c r="L24" s="5">
        <v>46</v>
      </c>
      <c r="M24" s="5">
        <v>0</v>
      </c>
      <c r="N24" s="9">
        <v>0</v>
      </c>
      <c r="O24" s="5">
        <v>0</v>
      </c>
      <c r="P24" s="5">
        <v>0</v>
      </c>
      <c r="Q24" s="5">
        <v>0</v>
      </c>
      <c r="R24" s="9">
        <v>0</v>
      </c>
      <c r="S24" s="5">
        <v>1</v>
      </c>
      <c r="T24" s="5">
        <v>0</v>
      </c>
    </row>
    <row r="25" spans="1:20" x14ac:dyDescent="0.2">
      <c r="A25" s="5" t="s">
        <v>68</v>
      </c>
      <c r="B25" s="9" t="s">
        <v>69</v>
      </c>
      <c r="C25" s="5" t="s">
        <v>814</v>
      </c>
      <c r="D25" s="7">
        <f t="shared" si="0"/>
        <v>11.900000000000002</v>
      </c>
      <c r="E25" s="5">
        <v>0</v>
      </c>
      <c r="F25" s="5">
        <v>0</v>
      </c>
      <c r="G25" s="5">
        <v>0</v>
      </c>
      <c r="H25" s="5">
        <v>0</v>
      </c>
      <c r="I25" s="5">
        <v>0</v>
      </c>
      <c r="J25" s="9">
        <v>0</v>
      </c>
      <c r="K25" s="5">
        <v>6</v>
      </c>
      <c r="L25" s="5">
        <v>51</v>
      </c>
      <c r="M25" s="5">
        <v>0</v>
      </c>
      <c r="N25" s="9">
        <v>0</v>
      </c>
      <c r="O25" s="5">
        <v>4</v>
      </c>
      <c r="P25" s="5">
        <v>28</v>
      </c>
      <c r="Q25" s="5">
        <v>0</v>
      </c>
      <c r="R25" s="9">
        <v>0</v>
      </c>
      <c r="S25" s="5">
        <v>0</v>
      </c>
      <c r="T25" s="5">
        <v>0</v>
      </c>
    </row>
    <row r="26" spans="1:20" x14ac:dyDescent="0.2">
      <c r="A26" s="5" t="s">
        <v>759</v>
      </c>
      <c r="B26" s="9" t="s">
        <v>17</v>
      </c>
      <c r="C26" s="5" t="s">
        <v>829</v>
      </c>
      <c r="D26" s="7">
        <f t="shared" si="0"/>
        <v>7.98</v>
      </c>
      <c r="E26" s="5">
        <v>20</v>
      </c>
      <c r="F26" s="5">
        <v>18</v>
      </c>
      <c r="G26" s="5">
        <v>152</v>
      </c>
      <c r="H26" s="5">
        <v>1</v>
      </c>
      <c r="I26" s="5">
        <v>0</v>
      </c>
      <c r="J26" s="9">
        <v>0</v>
      </c>
      <c r="K26" s="5">
        <v>2</v>
      </c>
      <c r="L26" s="5">
        <v>-1</v>
      </c>
      <c r="M26" s="5">
        <v>0</v>
      </c>
      <c r="N26" s="9">
        <v>0</v>
      </c>
      <c r="O26" s="5">
        <v>0</v>
      </c>
      <c r="P26" s="5">
        <v>0</v>
      </c>
      <c r="Q26" s="5">
        <v>0</v>
      </c>
      <c r="R26" s="9">
        <v>0</v>
      </c>
      <c r="S26" s="5">
        <v>1</v>
      </c>
      <c r="T26" s="5">
        <v>0</v>
      </c>
    </row>
    <row r="27" spans="1:20" x14ac:dyDescent="0.2">
      <c r="A27" s="5" t="s">
        <v>39</v>
      </c>
      <c r="B27" s="9" t="s">
        <v>17</v>
      </c>
      <c r="C27" s="5" t="s">
        <v>815</v>
      </c>
      <c r="D27" s="7">
        <f t="shared" si="0"/>
        <v>7.4200000000000017</v>
      </c>
      <c r="E27" s="5">
        <v>27</v>
      </c>
      <c r="F27" s="5">
        <v>19</v>
      </c>
      <c r="G27" s="5">
        <v>153</v>
      </c>
      <c r="H27" s="5">
        <v>1</v>
      </c>
      <c r="I27" s="5">
        <v>2</v>
      </c>
      <c r="J27" s="9">
        <v>0</v>
      </c>
      <c r="K27" s="5">
        <v>4</v>
      </c>
      <c r="L27" s="5">
        <v>-1</v>
      </c>
      <c r="M27" s="5">
        <v>0</v>
      </c>
      <c r="N27" s="9">
        <v>0</v>
      </c>
      <c r="O27" s="5">
        <v>1</v>
      </c>
      <c r="P27" s="5">
        <v>4</v>
      </c>
      <c r="Q27" s="5">
        <v>0</v>
      </c>
      <c r="R27" s="9">
        <v>0</v>
      </c>
      <c r="S27" s="5">
        <v>0</v>
      </c>
      <c r="T27" s="5">
        <v>0</v>
      </c>
    </row>
    <row r="28" spans="1:20" x14ac:dyDescent="0.2">
      <c r="A28" s="5" t="s">
        <v>456</v>
      </c>
      <c r="B28" s="9" t="s">
        <v>17</v>
      </c>
      <c r="C28" s="5" t="s">
        <v>828</v>
      </c>
      <c r="D28" s="7">
        <f t="shared" si="0"/>
        <v>8.7600000000000016</v>
      </c>
      <c r="E28" s="5">
        <v>30</v>
      </c>
      <c r="F28" s="5">
        <v>15</v>
      </c>
      <c r="G28" s="5">
        <v>154</v>
      </c>
      <c r="H28" s="5">
        <v>0</v>
      </c>
      <c r="I28" s="5">
        <v>1</v>
      </c>
      <c r="J28" s="9">
        <v>0</v>
      </c>
      <c r="K28" s="5">
        <v>5</v>
      </c>
      <c r="L28" s="5">
        <v>46</v>
      </c>
      <c r="M28" s="5">
        <v>0</v>
      </c>
      <c r="N28" s="9">
        <v>0</v>
      </c>
      <c r="O28" s="5">
        <v>0</v>
      </c>
      <c r="P28" s="5">
        <v>0</v>
      </c>
      <c r="Q28" s="5">
        <v>0</v>
      </c>
      <c r="R28" s="9">
        <v>0</v>
      </c>
      <c r="S28" s="5">
        <v>0</v>
      </c>
      <c r="T28" s="5">
        <v>0</v>
      </c>
    </row>
    <row r="29" spans="1:20" x14ac:dyDescent="0.2">
      <c r="A29" s="5" t="s">
        <v>16</v>
      </c>
      <c r="B29" s="9" t="s">
        <v>17</v>
      </c>
      <c r="C29" s="5" t="s">
        <v>818</v>
      </c>
      <c r="D29" s="7">
        <f t="shared" si="0"/>
        <v>7.62</v>
      </c>
      <c r="E29" s="5">
        <v>27</v>
      </c>
      <c r="F29" s="5">
        <v>17</v>
      </c>
      <c r="G29" s="5">
        <v>173</v>
      </c>
      <c r="H29" s="5">
        <v>1</v>
      </c>
      <c r="I29" s="5">
        <v>2</v>
      </c>
      <c r="J29" s="9">
        <v>0</v>
      </c>
      <c r="K29" s="5">
        <v>1</v>
      </c>
      <c r="L29" s="5">
        <v>7</v>
      </c>
      <c r="M29" s="5">
        <v>0</v>
      </c>
      <c r="N29" s="9">
        <v>0</v>
      </c>
      <c r="O29" s="5">
        <v>0</v>
      </c>
      <c r="P29" s="5">
        <v>0</v>
      </c>
      <c r="Q29" s="5">
        <v>0</v>
      </c>
      <c r="R29" s="9">
        <v>0</v>
      </c>
      <c r="S29" s="5">
        <v>0</v>
      </c>
      <c r="T29" s="5">
        <v>0</v>
      </c>
    </row>
    <row r="30" spans="1:20" x14ac:dyDescent="0.2">
      <c r="A30" s="5" t="s">
        <v>43</v>
      </c>
      <c r="B30" s="9" t="s">
        <v>17</v>
      </c>
      <c r="C30" s="5" t="s">
        <v>822</v>
      </c>
      <c r="D30" s="7">
        <f t="shared" si="0"/>
        <v>8.620000000000001</v>
      </c>
      <c r="E30" s="5">
        <v>16</v>
      </c>
      <c r="F30" s="5">
        <v>11</v>
      </c>
      <c r="G30" s="5">
        <v>148</v>
      </c>
      <c r="H30" s="5">
        <v>0</v>
      </c>
      <c r="I30" s="5">
        <v>0</v>
      </c>
      <c r="J30" s="9">
        <v>0</v>
      </c>
      <c r="K30" s="5">
        <v>8</v>
      </c>
      <c r="L30" s="5">
        <v>27</v>
      </c>
      <c r="M30" s="5">
        <v>0</v>
      </c>
      <c r="N30" s="9">
        <v>0</v>
      </c>
      <c r="O30" s="5">
        <v>0</v>
      </c>
      <c r="P30" s="5">
        <v>0</v>
      </c>
      <c r="Q30" s="5">
        <v>0</v>
      </c>
      <c r="R30" s="9">
        <v>0</v>
      </c>
      <c r="S30" s="5">
        <v>0</v>
      </c>
      <c r="T30" s="5">
        <v>0</v>
      </c>
    </row>
    <row r="31" spans="1:20" x14ac:dyDescent="0.2">
      <c r="A31" s="5" t="s">
        <v>70</v>
      </c>
      <c r="B31" s="9" t="s">
        <v>17</v>
      </c>
      <c r="C31" s="5" t="s">
        <v>820</v>
      </c>
      <c r="D31" s="7">
        <f t="shared" si="0"/>
        <v>8.5399999999999991</v>
      </c>
      <c r="E31" s="5">
        <v>24</v>
      </c>
      <c r="F31" s="5">
        <v>13</v>
      </c>
      <c r="G31" s="5">
        <v>141</v>
      </c>
      <c r="H31" s="5">
        <v>0</v>
      </c>
      <c r="I31" s="5">
        <v>0</v>
      </c>
      <c r="J31" s="9">
        <v>1</v>
      </c>
      <c r="K31" s="5">
        <v>1</v>
      </c>
      <c r="L31" s="5">
        <v>9</v>
      </c>
      <c r="M31" s="5">
        <v>0</v>
      </c>
      <c r="N31" s="9">
        <v>0</v>
      </c>
      <c r="O31" s="5">
        <v>0</v>
      </c>
      <c r="P31" s="5">
        <v>0</v>
      </c>
      <c r="Q31" s="5">
        <v>0</v>
      </c>
      <c r="R31" s="9">
        <v>0</v>
      </c>
      <c r="S31" s="5">
        <v>0</v>
      </c>
      <c r="T31" s="5">
        <v>0</v>
      </c>
    </row>
    <row r="32" spans="1:20" x14ac:dyDescent="0.2">
      <c r="A32" s="5" t="s">
        <v>37</v>
      </c>
      <c r="B32" s="9" t="s">
        <v>17</v>
      </c>
      <c r="C32" s="5" t="s">
        <v>830</v>
      </c>
      <c r="D32" s="7">
        <f t="shared" si="0"/>
        <v>6.1800000000000006</v>
      </c>
      <c r="E32" s="5">
        <v>32</v>
      </c>
      <c r="F32" s="5">
        <v>20</v>
      </c>
      <c r="G32" s="5">
        <v>137</v>
      </c>
      <c r="H32" s="5">
        <v>0</v>
      </c>
      <c r="I32" s="5">
        <v>0</v>
      </c>
      <c r="J32" s="9">
        <v>0</v>
      </c>
      <c r="K32" s="5">
        <v>5</v>
      </c>
      <c r="L32" s="5">
        <v>7</v>
      </c>
      <c r="M32" s="5">
        <v>0</v>
      </c>
      <c r="N32" s="9">
        <v>0</v>
      </c>
      <c r="O32" s="5">
        <v>0</v>
      </c>
      <c r="P32" s="5">
        <v>0</v>
      </c>
      <c r="Q32" s="5">
        <v>0</v>
      </c>
      <c r="R32" s="9">
        <v>0</v>
      </c>
      <c r="S32" s="5">
        <v>0</v>
      </c>
      <c r="T32" s="5">
        <v>0</v>
      </c>
    </row>
    <row r="33" spans="1:20" x14ac:dyDescent="0.2">
      <c r="A33" s="5" t="s">
        <v>57</v>
      </c>
      <c r="B33" s="9" t="s">
        <v>17</v>
      </c>
      <c r="C33" s="5" t="s">
        <v>830</v>
      </c>
      <c r="D33" s="7">
        <f t="shared" si="0"/>
        <v>4.16</v>
      </c>
      <c r="E33" s="5">
        <v>18</v>
      </c>
      <c r="F33" s="5">
        <v>11</v>
      </c>
      <c r="G33" s="5">
        <v>94</v>
      </c>
      <c r="H33" s="5">
        <v>0</v>
      </c>
      <c r="I33" s="5">
        <v>0</v>
      </c>
      <c r="J33" s="9">
        <v>0</v>
      </c>
      <c r="K33" s="5">
        <v>2</v>
      </c>
      <c r="L33" s="5">
        <v>24</v>
      </c>
      <c r="M33" s="5">
        <v>0</v>
      </c>
      <c r="N33" s="9">
        <v>0</v>
      </c>
      <c r="O33" s="5">
        <v>0</v>
      </c>
      <c r="P33" s="5">
        <v>0</v>
      </c>
      <c r="Q33" s="5">
        <v>0</v>
      </c>
      <c r="R33" s="9">
        <v>0</v>
      </c>
      <c r="S33" s="5">
        <v>1</v>
      </c>
      <c r="T33" s="5">
        <v>0</v>
      </c>
    </row>
    <row r="34" spans="1:20" x14ac:dyDescent="0.2">
      <c r="A34" s="5" t="s">
        <v>718</v>
      </c>
      <c r="B34" s="9" t="s">
        <v>17</v>
      </c>
      <c r="C34" s="5" t="s">
        <v>831</v>
      </c>
      <c r="D34" s="7">
        <f t="shared" si="0"/>
        <v>2.9000000000000004</v>
      </c>
      <c r="E34" s="5">
        <v>20</v>
      </c>
      <c r="F34" s="5">
        <v>8</v>
      </c>
      <c r="G34" s="5">
        <v>70</v>
      </c>
      <c r="H34" s="5">
        <v>0</v>
      </c>
      <c r="I34" s="5">
        <v>0</v>
      </c>
      <c r="J34" s="9">
        <v>0</v>
      </c>
      <c r="K34" s="5">
        <v>2</v>
      </c>
      <c r="L34" s="5">
        <v>1</v>
      </c>
      <c r="M34" s="5">
        <v>0</v>
      </c>
      <c r="N34" s="9">
        <v>0</v>
      </c>
      <c r="O34" s="5">
        <v>0</v>
      </c>
      <c r="P34" s="5">
        <v>0</v>
      </c>
      <c r="Q34" s="5">
        <v>0</v>
      </c>
      <c r="R34" s="9">
        <v>0</v>
      </c>
      <c r="S34" s="5">
        <v>0</v>
      </c>
      <c r="T34" s="5">
        <v>0</v>
      </c>
    </row>
    <row r="35" spans="1:20" x14ac:dyDescent="0.2">
      <c r="A35" s="5" t="s">
        <v>72</v>
      </c>
      <c r="B35" s="9" t="s">
        <v>17</v>
      </c>
      <c r="C35" s="5" t="s">
        <v>815</v>
      </c>
      <c r="D35" s="7">
        <f t="shared" si="0"/>
        <v>1.2</v>
      </c>
      <c r="E35" s="5">
        <v>4</v>
      </c>
      <c r="F35" s="5">
        <v>3</v>
      </c>
      <c r="G35" s="5">
        <v>30</v>
      </c>
      <c r="H35" s="5">
        <v>0</v>
      </c>
      <c r="I35" s="5">
        <v>0</v>
      </c>
      <c r="J35" s="9">
        <v>0</v>
      </c>
      <c r="K35" s="5">
        <v>0</v>
      </c>
      <c r="L35" s="5">
        <v>0</v>
      </c>
      <c r="M35" s="5">
        <v>0</v>
      </c>
      <c r="N35" s="9">
        <v>0</v>
      </c>
      <c r="O35" s="5">
        <v>0</v>
      </c>
      <c r="P35" s="5">
        <v>0</v>
      </c>
      <c r="Q35" s="5">
        <v>0</v>
      </c>
      <c r="R35" s="9">
        <v>0</v>
      </c>
      <c r="S35" s="5">
        <v>0</v>
      </c>
      <c r="T35" s="5">
        <v>0</v>
      </c>
    </row>
    <row r="36" spans="1:20" x14ac:dyDescent="0.2">
      <c r="A36" s="5" t="s">
        <v>605</v>
      </c>
      <c r="B36" s="9" t="s">
        <v>17</v>
      </c>
      <c r="C36" s="5" t="s">
        <v>826</v>
      </c>
      <c r="D36" s="7">
        <f t="shared" si="0"/>
        <v>0.56000000000000005</v>
      </c>
      <c r="E36" s="5">
        <v>2</v>
      </c>
      <c r="F36" s="5">
        <v>2</v>
      </c>
      <c r="G36" s="5">
        <v>14</v>
      </c>
      <c r="H36" s="5">
        <v>0</v>
      </c>
      <c r="I36" s="5">
        <v>0</v>
      </c>
      <c r="J36" s="9">
        <v>0</v>
      </c>
      <c r="K36" s="5">
        <v>0</v>
      </c>
      <c r="L36" s="5">
        <v>0</v>
      </c>
      <c r="M36" s="5">
        <v>0</v>
      </c>
      <c r="N36" s="9">
        <v>0</v>
      </c>
      <c r="O36" s="5">
        <v>0</v>
      </c>
      <c r="P36" s="5">
        <v>0</v>
      </c>
      <c r="Q36" s="5">
        <v>0</v>
      </c>
      <c r="R36" s="9">
        <v>0</v>
      </c>
      <c r="S36" s="5">
        <v>0</v>
      </c>
      <c r="T36" s="5">
        <v>0</v>
      </c>
    </row>
    <row r="37" spans="1:20" x14ac:dyDescent="0.2">
      <c r="A37" s="5" t="s">
        <v>35</v>
      </c>
      <c r="B37" s="9" t="s">
        <v>17</v>
      </c>
      <c r="C37" s="5" t="s">
        <v>824</v>
      </c>
      <c r="D37" s="7">
        <f t="shared" si="0"/>
        <v>0</v>
      </c>
      <c r="E37" s="5">
        <v>1</v>
      </c>
      <c r="F37" s="5">
        <v>0</v>
      </c>
      <c r="G37" s="5">
        <v>0</v>
      </c>
      <c r="H37" s="5">
        <v>0</v>
      </c>
      <c r="I37" s="5">
        <v>0</v>
      </c>
      <c r="J37" s="9">
        <v>0</v>
      </c>
      <c r="K37" s="5">
        <v>0</v>
      </c>
      <c r="L37" s="5">
        <v>0</v>
      </c>
      <c r="M37" s="5">
        <v>0</v>
      </c>
      <c r="N37" s="9">
        <v>0</v>
      </c>
      <c r="O37" s="5">
        <v>0</v>
      </c>
      <c r="P37" s="5">
        <v>0</v>
      </c>
      <c r="Q37" s="5">
        <v>0</v>
      </c>
      <c r="R37" s="9">
        <v>0</v>
      </c>
      <c r="S37" s="5">
        <v>0</v>
      </c>
      <c r="T37" s="5">
        <v>0</v>
      </c>
    </row>
    <row r="38" spans="1:20" x14ac:dyDescent="0.2">
      <c r="A38" s="5" t="s">
        <v>45</v>
      </c>
      <c r="B38" s="9" t="s">
        <v>17</v>
      </c>
      <c r="C38" s="5" t="s">
        <v>826</v>
      </c>
      <c r="D38" s="7">
        <f t="shared" si="0"/>
        <v>0.6000000000000002</v>
      </c>
      <c r="E38" s="5">
        <v>16</v>
      </c>
      <c r="F38" s="5">
        <v>7</v>
      </c>
      <c r="G38" s="5">
        <v>55</v>
      </c>
      <c r="H38" s="5">
        <v>0</v>
      </c>
      <c r="I38" s="5">
        <v>1</v>
      </c>
      <c r="J38" s="9">
        <v>0</v>
      </c>
      <c r="K38" s="5">
        <v>2</v>
      </c>
      <c r="L38" s="5">
        <v>4</v>
      </c>
      <c r="M38" s="5">
        <v>0</v>
      </c>
      <c r="N38" s="9">
        <v>0</v>
      </c>
      <c r="O38" s="5">
        <v>0</v>
      </c>
      <c r="P38" s="5">
        <v>0</v>
      </c>
      <c r="Q38" s="5">
        <v>0</v>
      </c>
      <c r="R38" s="9">
        <v>0</v>
      </c>
      <c r="S38" s="5">
        <v>0</v>
      </c>
      <c r="T38" s="5">
        <v>0</v>
      </c>
    </row>
    <row r="39" spans="1:20" x14ac:dyDescent="0.2">
      <c r="A39" s="5" t="s">
        <v>740</v>
      </c>
      <c r="B39" s="9" t="s">
        <v>17</v>
      </c>
      <c r="C39" s="5" t="s">
        <v>821</v>
      </c>
      <c r="D39" s="7">
        <f t="shared" si="0"/>
        <v>0.8</v>
      </c>
      <c r="E39" s="5">
        <v>4</v>
      </c>
      <c r="F39" s="5">
        <v>3</v>
      </c>
      <c r="G39" s="5">
        <v>20</v>
      </c>
      <c r="H39" s="5">
        <v>0</v>
      </c>
      <c r="I39" s="5">
        <v>0</v>
      </c>
      <c r="J39" s="9">
        <v>0</v>
      </c>
      <c r="K39" s="5">
        <v>0</v>
      </c>
      <c r="L39" s="5">
        <v>0</v>
      </c>
      <c r="M39" s="5">
        <v>0</v>
      </c>
      <c r="N39" s="9">
        <v>0</v>
      </c>
      <c r="O39" s="5">
        <v>0</v>
      </c>
      <c r="P39" s="5">
        <v>0</v>
      </c>
      <c r="Q39" s="5">
        <v>0</v>
      </c>
      <c r="R39" s="9">
        <v>0</v>
      </c>
      <c r="S39" s="5">
        <v>0</v>
      </c>
      <c r="T39" s="5">
        <v>0</v>
      </c>
    </row>
    <row r="40" spans="1:20" x14ac:dyDescent="0.2">
      <c r="A40" s="5" t="s">
        <v>584</v>
      </c>
      <c r="B40" s="9" t="s">
        <v>17</v>
      </c>
      <c r="C40" s="5" t="s">
        <v>823</v>
      </c>
      <c r="D40" s="7">
        <f t="shared" si="0"/>
        <v>0.1</v>
      </c>
      <c r="E40" s="5">
        <v>0</v>
      </c>
      <c r="F40" s="5">
        <v>0</v>
      </c>
      <c r="G40" s="5">
        <v>0</v>
      </c>
      <c r="H40" s="5">
        <v>0</v>
      </c>
      <c r="I40" s="5">
        <v>0</v>
      </c>
      <c r="J40" s="9">
        <v>0</v>
      </c>
      <c r="K40" s="5">
        <v>1</v>
      </c>
      <c r="L40" s="5">
        <v>1</v>
      </c>
      <c r="M40" s="5">
        <v>0</v>
      </c>
      <c r="N40" s="9">
        <v>0</v>
      </c>
      <c r="O40" s="5">
        <v>0</v>
      </c>
      <c r="P40" s="5">
        <v>0</v>
      </c>
      <c r="Q40" s="5">
        <v>0</v>
      </c>
      <c r="R40" s="9">
        <v>0</v>
      </c>
      <c r="S40" s="5">
        <v>0</v>
      </c>
      <c r="T40" s="5">
        <v>0</v>
      </c>
    </row>
    <row r="41" spans="1:20" x14ac:dyDescent="0.2">
      <c r="A41" s="5" t="s">
        <v>488</v>
      </c>
      <c r="B41" s="9" t="s">
        <v>17</v>
      </c>
      <c r="C41" s="5" t="s">
        <v>831</v>
      </c>
      <c r="D41" s="7">
        <f t="shared" si="0"/>
        <v>0.82000000000000006</v>
      </c>
      <c r="E41" s="5">
        <v>30</v>
      </c>
      <c r="F41" s="5">
        <v>12</v>
      </c>
      <c r="G41" s="5">
        <v>88</v>
      </c>
      <c r="H41" s="5">
        <v>0</v>
      </c>
      <c r="I41" s="5">
        <v>2</v>
      </c>
      <c r="J41" s="9">
        <v>0</v>
      </c>
      <c r="K41" s="5">
        <v>3</v>
      </c>
      <c r="L41" s="5">
        <v>13</v>
      </c>
      <c r="M41" s="5">
        <v>0</v>
      </c>
      <c r="N41" s="9">
        <v>0</v>
      </c>
      <c r="O41" s="5">
        <v>0</v>
      </c>
      <c r="P41" s="5">
        <v>0</v>
      </c>
      <c r="Q41" s="5">
        <v>0</v>
      </c>
      <c r="R41" s="9">
        <v>0</v>
      </c>
      <c r="S41" s="5">
        <v>0</v>
      </c>
      <c r="T41" s="5">
        <v>0</v>
      </c>
    </row>
    <row r="42" spans="1:20" x14ac:dyDescent="0.2">
      <c r="A42" s="5" t="s">
        <v>832</v>
      </c>
      <c r="B42" s="9" t="s">
        <v>17</v>
      </c>
      <c r="C42" s="5" t="s">
        <v>814</v>
      </c>
      <c r="D42" s="7">
        <f t="shared" si="0"/>
        <v>-0.31999999999999984</v>
      </c>
      <c r="E42" s="5">
        <v>4</v>
      </c>
      <c r="F42" s="5">
        <v>3</v>
      </c>
      <c r="G42" s="5">
        <v>27</v>
      </c>
      <c r="H42" s="5">
        <v>0</v>
      </c>
      <c r="I42" s="5">
        <v>1</v>
      </c>
      <c r="J42" s="9">
        <v>0</v>
      </c>
      <c r="K42" s="5">
        <v>1</v>
      </c>
      <c r="L42" s="5">
        <v>6</v>
      </c>
      <c r="M42" s="5">
        <v>0</v>
      </c>
      <c r="N42" s="9">
        <v>0</v>
      </c>
      <c r="O42" s="5">
        <v>0</v>
      </c>
      <c r="P42" s="5">
        <v>0</v>
      </c>
      <c r="Q42" s="5">
        <v>0</v>
      </c>
      <c r="R42" s="9">
        <v>0</v>
      </c>
      <c r="S42" s="5">
        <v>0</v>
      </c>
      <c r="T42" s="5">
        <v>0</v>
      </c>
    </row>
    <row r="43" spans="1:20" x14ac:dyDescent="0.2">
      <c r="A43" s="5" t="s">
        <v>95</v>
      </c>
      <c r="B43" s="9" t="s">
        <v>75</v>
      </c>
      <c r="C43" s="5" t="s">
        <v>823</v>
      </c>
      <c r="D43" s="7">
        <f t="shared" si="0"/>
        <v>30.4</v>
      </c>
      <c r="E43" s="5">
        <v>0</v>
      </c>
      <c r="F43" s="5">
        <v>0</v>
      </c>
      <c r="G43" s="5">
        <v>0</v>
      </c>
      <c r="H43" s="5">
        <v>0</v>
      </c>
      <c r="I43" s="5">
        <v>0</v>
      </c>
      <c r="J43" s="9">
        <v>0</v>
      </c>
      <c r="K43" s="5">
        <v>27</v>
      </c>
      <c r="L43" s="5">
        <v>150</v>
      </c>
      <c r="M43" s="5">
        <v>1</v>
      </c>
      <c r="N43" s="9">
        <v>0</v>
      </c>
      <c r="O43" s="5">
        <v>4</v>
      </c>
      <c r="P43" s="5">
        <v>54</v>
      </c>
      <c r="Q43" s="5">
        <v>0</v>
      </c>
      <c r="R43" s="9">
        <v>0</v>
      </c>
      <c r="S43" s="5">
        <v>0</v>
      </c>
      <c r="T43" s="5">
        <v>0</v>
      </c>
    </row>
    <row r="44" spans="1:20" x14ac:dyDescent="0.2">
      <c r="A44" s="5" t="s">
        <v>85</v>
      </c>
      <c r="B44" s="9" t="s">
        <v>75</v>
      </c>
      <c r="C44" s="5" t="s">
        <v>831</v>
      </c>
      <c r="D44" s="7">
        <f t="shared" si="0"/>
        <v>29</v>
      </c>
      <c r="E44" s="5">
        <v>0</v>
      </c>
      <c r="F44" s="5">
        <v>0</v>
      </c>
      <c r="G44" s="5">
        <v>0</v>
      </c>
      <c r="H44" s="5">
        <v>0</v>
      </c>
      <c r="I44" s="5">
        <v>0</v>
      </c>
      <c r="J44" s="9">
        <v>0</v>
      </c>
      <c r="K44" s="5">
        <v>37</v>
      </c>
      <c r="L44" s="5">
        <v>178</v>
      </c>
      <c r="M44" s="5">
        <v>1</v>
      </c>
      <c r="N44" s="9">
        <v>1</v>
      </c>
      <c r="O44" s="5">
        <v>2</v>
      </c>
      <c r="P44" s="5">
        <v>12</v>
      </c>
      <c r="Q44" s="5">
        <v>0</v>
      </c>
      <c r="R44" s="9">
        <v>0</v>
      </c>
      <c r="S44" s="5">
        <v>0</v>
      </c>
      <c r="T44" s="5">
        <v>0</v>
      </c>
    </row>
    <row r="45" spans="1:20" x14ac:dyDescent="0.2">
      <c r="A45" s="5" t="s">
        <v>515</v>
      </c>
      <c r="B45" s="9" t="s">
        <v>75</v>
      </c>
      <c r="C45" s="5" t="s">
        <v>820</v>
      </c>
      <c r="D45" s="7">
        <f t="shared" si="0"/>
        <v>27.6</v>
      </c>
      <c r="E45" s="5">
        <v>0</v>
      </c>
      <c r="F45" s="5">
        <v>0</v>
      </c>
      <c r="G45" s="5">
        <v>0</v>
      </c>
      <c r="H45" s="5">
        <v>0</v>
      </c>
      <c r="I45" s="5">
        <v>0</v>
      </c>
      <c r="J45" s="9">
        <v>0</v>
      </c>
      <c r="K45" s="5">
        <v>30</v>
      </c>
      <c r="L45" s="5">
        <v>188</v>
      </c>
      <c r="M45" s="5">
        <v>1</v>
      </c>
      <c r="N45" s="9">
        <v>0</v>
      </c>
      <c r="O45" s="5">
        <v>2</v>
      </c>
      <c r="P45" s="5">
        <v>8</v>
      </c>
      <c r="Q45" s="5">
        <v>0</v>
      </c>
      <c r="R45" s="9">
        <v>0</v>
      </c>
      <c r="S45" s="5">
        <v>0</v>
      </c>
      <c r="T45" s="5">
        <v>0</v>
      </c>
    </row>
    <row r="46" spans="1:20" x14ac:dyDescent="0.2">
      <c r="A46" s="5" t="s">
        <v>81</v>
      </c>
      <c r="B46" s="9" t="s">
        <v>75</v>
      </c>
      <c r="C46" s="5" t="s">
        <v>814</v>
      </c>
      <c r="D46" s="7">
        <f t="shared" si="0"/>
        <v>26.1</v>
      </c>
      <c r="E46" s="5">
        <v>0</v>
      </c>
      <c r="F46" s="5">
        <v>0</v>
      </c>
      <c r="G46" s="5">
        <v>0</v>
      </c>
      <c r="H46" s="5">
        <v>0</v>
      </c>
      <c r="I46" s="5">
        <v>0</v>
      </c>
      <c r="J46" s="9">
        <v>0</v>
      </c>
      <c r="K46" s="5">
        <v>11</v>
      </c>
      <c r="L46" s="5">
        <v>28</v>
      </c>
      <c r="M46" s="5">
        <v>0</v>
      </c>
      <c r="N46" s="9">
        <v>0</v>
      </c>
      <c r="O46" s="5">
        <v>7</v>
      </c>
      <c r="P46" s="5">
        <v>103</v>
      </c>
      <c r="Q46" s="5">
        <v>1</v>
      </c>
      <c r="R46" s="9">
        <v>0</v>
      </c>
      <c r="S46" s="5">
        <v>0</v>
      </c>
      <c r="T46" s="5">
        <v>0</v>
      </c>
    </row>
    <row r="47" spans="1:20" x14ac:dyDescent="0.2">
      <c r="A47" s="5" t="s">
        <v>117</v>
      </c>
      <c r="B47" s="9" t="s">
        <v>75</v>
      </c>
      <c r="C47" s="5" t="s">
        <v>829</v>
      </c>
      <c r="D47" s="7">
        <f t="shared" si="0"/>
        <v>24.300000000000004</v>
      </c>
      <c r="E47" s="5">
        <v>0</v>
      </c>
      <c r="F47" s="5">
        <v>0</v>
      </c>
      <c r="G47" s="5">
        <v>0</v>
      </c>
      <c r="H47" s="5">
        <v>0</v>
      </c>
      <c r="I47" s="5">
        <v>0</v>
      </c>
      <c r="J47" s="9">
        <v>0</v>
      </c>
      <c r="K47" s="5">
        <v>26</v>
      </c>
      <c r="L47" s="5">
        <v>112</v>
      </c>
      <c r="M47" s="5">
        <v>1</v>
      </c>
      <c r="N47" s="9">
        <v>0</v>
      </c>
      <c r="O47" s="5">
        <v>5</v>
      </c>
      <c r="P47" s="5">
        <v>21</v>
      </c>
      <c r="Q47" s="5">
        <v>0</v>
      </c>
      <c r="R47" s="9">
        <v>0</v>
      </c>
      <c r="S47" s="5">
        <v>0</v>
      </c>
      <c r="T47" s="5">
        <v>0</v>
      </c>
    </row>
    <row r="48" spans="1:20" x14ac:dyDescent="0.2">
      <c r="A48" s="5" t="s">
        <v>103</v>
      </c>
      <c r="B48" s="9" t="s">
        <v>75</v>
      </c>
      <c r="C48" s="5" t="s">
        <v>821</v>
      </c>
      <c r="D48" s="7">
        <f t="shared" si="0"/>
        <v>24.700000000000003</v>
      </c>
      <c r="E48" s="5">
        <v>0</v>
      </c>
      <c r="F48" s="5">
        <v>0</v>
      </c>
      <c r="G48" s="5">
        <v>0</v>
      </c>
      <c r="H48" s="5">
        <v>0</v>
      </c>
      <c r="I48" s="5">
        <v>0</v>
      </c>
      <c r="J48" s="9">
        <v>0</v>
      </c>
      <c r="K48" s="5">
        <v>14</v>
      </c>
      <c r="L48" s="5">
        <v>111</v>
      </c>
      <c r="M48" s="5">
        <v>1</v>
      </c>
      <c r="N48" s="9">
        <v>0</v>
      </c>
      <c r="O48" s="5">
        <v>1</v>
      </c>
      <c r="P48" s="5">
        <v>6</v>
      </c>
      <c r="Q48" s="5">
        <v>1</v>
      </c>
      <c r="R48" s="9">
        <v>0</v>
      </c>
      <c r="S48" s="5">
        <v>0</v>
      </c>
      <c r="T48" s="5">
        <v>0</v>
      </c>
    </row>
    <row r="49" spans="1:20" x14ac:dyDescent="0.2">
      <c r="A49" s="5" t="s">
        <v>101</v>
      </c>
      <c r="B49" s="9" t="s">
        <v>75</v>
      </c>
      <c r="C49" s="5" t="s">
        <v>826</v>
      </c>
      <c r="D49" s="7">
        <f t="shared" si="0"/>
        <v>23.700000000000003</v>
      </c>
      <c r="E49" s="5">
        <v>0</v>
      </c>
      <c r="F49" s="5">
        <v>0</v>
      </c>
      <c r="G49" s="5">
        <v>0</v>
      </c>
      <c r="H49" s="5">
        <v>0</v>
      </c>
      <c r="I49" s="5">
        <v>0</v>
      </c>
      <c r="J49" s="9">
        <v>0</v>
      </c>
      <c r="K49" s="5">
        <v>18</v>
      </c>
      <c r="L49" s="5">
        <v>46</v>
      </c>
      <c r="M49" s="5">
        <v>2</v>
      </c>
      <c r="N49" s="9">
        <v>0</v>
      </c>
      <c r="O49" s="5">
        <v>2</v>
      </c>
      <c r="P49" s="5">
        <v>51</v>
      </c>
      <c r="Q49" s="5">
        <v>0</v>
      </c>
      <c r="R49" s="9">
        <v>0</v>
      </c>
      <c r="S49" s="5">
        <v>0</v>
      </c>
      <c r="T49" s="5">
        <v>0</v>
      </c>
    </row>
    <row r="50" spans="1:20" x14ac:dyDescent="0.2">
      <c r="A50" s="5" t="s">
        <v>88</v>
      </c>
      <c r="B50" s="9" t="s">
        <v>75</v>
      </c>
      <c r="C50" s="5" t="s">
        <v>825</v>
      </c>
      <c r="D50" s="7">
        <f t="shared" si="0"/>
        <v>21.3</v>
      </c>
      <c r="E50" s="5">
        <v>0</v>
      </c>
      <c r="F50" s="5">
        <v>0</v>
      </c>
      <c r="G50" s="5">
        <v>0</v>
      </c>
      <c r="H50" s="5">
        <v>0</v>
      </c>
      <c r="I50" s="5">
        <v>0</v>
      </c>
      <c r="J50" s="9">
        <v>0</v>
      </c>
      <c r="K50" s="5">
        <v>19</v>
      </c>
      <c r="L50" s="5">
        <v>153</v>
      </c>
      <c r="M50" s="5">
        <v>1</v>
      </c>
      <c r="N50" s="9">
        <v>0</v>
      </c>
      <c r="O50" s="5">
        <v>0</v>
      </c>
      <c r="P50" s="5">
        <v>0</v>
      </c>
      <c r="Q50" s="5">
        <v>0</v>
      </c>
      <c r="R50" s="9">
        <v>0</v>
      </c>
      <c r="S50" s="5">
        <v>0</v>
      </c>
      <c r="T50" s="5">
        <v>0</v>
      </c>
    </row>
    <row r="51" spans="1:20" x14ac:dyDescent="0.2">
      <c r="A51" s="5" t="s">
        <v>129</v>
      </c>
      <c r="B51" s="9" t="s">
        <v>75</v>
      </c>
      <c r="C51" s="5" t="s">
        <v>825</v>
      </c>
      <c r="D51" s="7">
        <f t="shared" si="0"/>
        <v>21.6</v>
      </c>
      <c r="E51" s="5">
        <v>0</v>
      </c>
      <c r="F51" s="5">
        <v>0</v>
      </c>
      <c r="G51" s="5">
        <v>0</v>
      </c>
      <c r="H51" s="5">
        <v>0</v>
      </c>
      <c r="I51" s="5">
        <v>0</v>
      </c>
      <c r="J51" s="9">
        <v>0</v>
      </c>
      <c r="K51" s="5">
        <v>3</v>
      </c>
      <c r="L51" s="5">
        <v>25</v>
      </c>
      <c r="M51" s="5">
        <v>1</v>
      </c>
      <c r="N51" s="9">
        <v>0</v>
      </c>
      <c r="O51" s="5">
        <v>3</v>
      </c>
      <c r="P51" s="5">
        <v>41</v>
      </c>
      <c r="Q51" s="5">
        <v>1</v>
      </c>
      <c r="R51" s="9">
        <v>0</v>
      </c>
      <c r="S51" s="5">
        <v>0</v>
      </c>
      <c r="T51" s="5">
        <v>0</v>
      </c>
    </row>
    <row r="52" spans="1:20" x14ac:dyDescent="0.2">
      <c r="A52" s="5" t="s">
        <v>105</v>
      </c>
      <c r="B52" s="9" t="s">
        <v>75</v>
      </c>
      <c r="C52" s="5" t="s">
        <v>824</v>
      </c>
      <c r="D52" s="7">
        <f t="shared" si="0"/>
        <v>20.5</v>
      </c>
      <c r="E52" s="5">
        <v>0</v>
      </c>
      <c r="F52" s="5">
        <v>0</v>
      </c>
      <c r="G52" s="5">
        <v>0</v>
      </c>
      <c r="H52" s="5">
        <v>0</v>
      </c>
      <c r="I52" s="5">
        <v>0</v>
      </c>
      <c r="J52" s="9">
        <v>0</v>
      </c>
      <c r="K52" s="5">
        <v>9</v>
      </c>
      <c r="L52" s="5">
        <v>32</v>
      </c>
      <c r="M52" s="5">
        <v>1</v>
      </c>
      <c r="N52" s="9">
        <v>0</v>
      </c>
      <c r="O52" s="5">
        <v>7</v>
      </c>
      <c r="P52" s="5">
        <v>43</v>
      </c>
      <c r="Q52" s="5">
        <v>0</v>
      </c>
      <c r="R52" s="9">
        <v>0</v>
      </c>
      <c r="S52" s="5">
        <v>0</v>
      </c>
      <c r="T52" s="5">
        <v>0</v>
      </c>
    </row>
    <row r="53" spans="1:20" x14ac:dyDescent="0.2">
      <c r="A53" s="5" t="s">
        <v>74</v>
      </c>
      <c r="B53" s="9" t="s">
        <v>75</v>
      </c>
      <c r="C53" s="5" t="s">
        <v>822</v>
      </c>
      <c r="D53" s="7">
        <f t="shared" si="0"/>
        <v>19.100000000000001</v>
      </c>
      <c r="E53" s="5">
        <v>0</v>
      </c>
      <c r="F53" s="5">
        <v>0</v>
      </c>
      <c r="G53" s="5">
        <v>0</v>
      </c>
      <c r="H53" s="5">
        <v>0</v>
      </c>
      <c r="I53" s="5">
        <v>0</v>
      </c>
      <c r="J53" s="9">
        <v>0</v>
      </c>
      <c r="K53" s="5">
        <v>22</v>
      </c>
      <c r="L53" s="5">
        <v>111</v>
      </c>
      <c r="M53" s="5">
        <v>0</v>
      </c>
      <c r="N53" s="9">
        <v>0</v>
      </c>
      <c r="O53" s="5">
        <v>5</v>
      </c>
      <c r="P53" s="5">
        <v>30</v>
      </c>
      <c r="Q53" s="5">
        <v>0</v>
      </c>
      <c r="R53" s="9">
        <v>0</v>
      </c>
      <c r="S53" s="5">
        <v>0</v>
      </c>
      <c r="T53" s="5">
        <v>0</v>
      </c>
    </row>
    <row r="54" spans="1:20" x14ac:dyDescent="0.2">
      <c r="A54" s="5" t="s">
        <v>79</v>
      </c>
      <c r="B54" s="9" t="s">
        <v>75</v>
      </c>
      <c r="C54" s="5" t="s">
        <v>815</v>
      </c>
      <c r="D54" s="7">
        <f t="shared" si="0"/>
        <v>16.600000000000001</v>
      </c>
      <c r="E54" s="5">
        <v>0</v>
      </c>
      <c r="F54" s="5">
        <v>0</v>
      </c>
      <c r="G54" s="5">
        <v>0</v>
      </c>
      <c r="H54" s="5">
        <v>0</v>
      </c>
      <c r="I54" s="5">
        <v>0</v>
      </c>
      <c r="J54" s="9">
        <v>0</v>
      </c>
      <c r="K54" s="5">
        <v>17</v>
      </c>
      <c r="L54" s="5">
        <v>70</v>
      </c>
      <c r="M54" s="5">
        <v>1</v>
      </c>
      <c r="N54" s="9">
        <v>0</v>
      </c>
      <c r="O54" s="5">
        <v>2</v>
      </c>
      <c r="P54" s="5">
        <v>16</v>
      </c>
      <c r="Q54" s="5">
        <v>0</v>
      </c>
      <c r="R54" s="9">
        <v>0</v>
      </c>
      <c r="S54" s="5">
        <v>0</v>
      </c>
      <c r="T54" s="5">
        <v>0</v>
      </c>
    </row>
    <row r="55" spans="1:20" x14ac:dyDescent="0.2">
      <c r="A55" s="5" t="s">
        <v>430</v>
      </c>
      <c r="B55" s="9" t="s">
        <v>75</v>
      </c>
      <c r="C55" s="5" t="s">
        <v>814</v>
      </c>
      <c r="D55" s="7">
        <f t="shared" si="0"/>
        <v>14.9</v>
      </c>
      <c r="E55" s="5">
        <v>0</v>
      </c>
      <c r="F55" s="5">
        <v>0</v>
      </c>
      <c r="G55" s="5">
        <v>0</v>
      </c>
      <c r="H55" s="5">
        <v>0</v>
      </c>
      <c r="I55" s="5">
        <v>0</v>
      </c>
      <c r="J55" s="9">
        <v>0</v>
      </c>
      <c r="K55" s="5">
        <v>13</v>
      </c>
      <c r="L55" s="5">
        <v>73</v>
      </c>
      <c r="M55" s="5">
        <v>1</v>
      </c>
      <c r="N55" s="9">
        <v>0</v>
      </c>
      <c r="O55" s="5">
        <v>1</v>
      </c>
      <c r="P55" s="5">
        <v>6</v>
      </c>
      <c r="Q55" s="5">
        <v>0</v>
      </c>
      <c r="R55" s="9">
        <v>0</v>
      </c>
      <c r="S55" s="5">
        <v>0</v>
      </c>
      <c r="T55" s="5">
        <v>0</v>
      </c>
    </row>
    <row r="56" spans="1:20" x14ac:dyDescent="0.2">
      <c r="A56" s="5" t="s">
        <v>148</v>
      </c>
      <c r="B56" s="9" t="s">
        <v>75</v>
      </c>
      <c r="C56" s="5" t="s">
        <v>817</v>
      </c>
      <c r="D56" s="7">
        <f t="shared" si="0"/>
        <v>14.7</v>
      </c>
      <c r="E56" s="5">
        <v>0</v>
      </c>
      <c r="F56" s="5">
        <v>0</v>
      </c>
      <c r="G56" s="5">
        <v>0</v>
      </c>
      <c r="H56" s="5">
        <v>0</v>
      </c>
      <c r="I56" s="5">
        <v>0</v>
      </c>
      <c r="J56" s="9">
        <v>0</v>
      </c>
      <c r="K56" s="5">
        <v>14</v>
      </c>
      <c r="L56" s="5">
        <v>52</v>
      </c>
      <c r="M56" s="5">
        <v>1</v>
      </c>
      <c r="N56" s="9">
        <v>0</v>
      </c>
      <c r="O56" s="5">
        <v>2</v>
      </c>
      <c r="P56" s="5">
        <v>15</v>
      </c>
      <c r="Q56" s="5">
        <v>0</v>
      </c>
      <c r="R56" s="9">
        <v>0</v>
      </c>
      <c r="S56" s="5">
        <v>0</v>
      </c>
      <c r="T56" s="5">
        <v>0</v>
      </c>
    </row>
    <row r="57" spans="1:20" x14ac:dyDescent="0.2">
      <c r="A57" s="5" t="s">
        <v>80</v>
      </c>
      <c r="B57" s="9" t="s">
        <v>75</v>
      </c>
      <c r="C57" s="5" t="s">
        <v>825</v>
      </c>
      <c r="D57" s="7">
        <f t="shared" si="0"/>
        <v>13.7</v>
      </c>
      <c r="E57" s="5">
        <v>0</v>
      </c>
      <c r="F57" s="5">
        <v>0</v>
      </c>
      <c r="G57" s="5">
        <v>0</v>
      </c>
      <c r="H57" s="5">
        <v>0</v>
      </c>
      <c r="I57" s="5">
        <v>0</v>
      </c>
      <c r="J57" s="9">
        <v>0</v>
      </c>
      <c r="K57" s="5">
        <v>16</v>
      </c>
      <c r="L57" s="5">
        <v>57</v>
      </c>
      <c r="M57" s="5">
        <v>0</v>
      </c>
      <c r="N57" s="9">
        <v>0</v>
      </c>
      <c r="O57" s="5">
        <v>5</v>
      </c>
      <c r="P57" s="5">
        <v>30</v>
      </c>
      <c r="Q57" s="5">
        <v>0</v>
      </c>
      <c r="R57" s="9">
        <v>0</v>
      </c>
      <c r="S57" s="5">
        <v>0</v>
      </c>
      <c r="T57" s="5">
        <v>0</v>
      </c>
    </row>
    <row r="58" spans="1:20" x14ac:dyDescent="0.2">
      <c r="A58" s="5" t="s">
        <v>630</v>
      </c>
      <c r="B58" s="9" t="s">
        <v>75</v>
      </c>
      <c r="C58" s="5" t="s">
        <v>828</v>
      </c>
      <c r="D58" s="7">
        <f t="shared" si="0"/>
        <v>13.900000000000002</v>
      </c>
      <c r="E58" s="5">
        <v>0</v>
      </c>
      <c r="F58" s="5">
        <v>0</v>
      </c>
      <c r="G58" s="5">
        <v>0</v>
      </c>
      <c r="H58" s="5">
        <v>0</v>
      </c>
      <c r="I58" s="5">
        <v>0</v>
      </c>
      <c r="J58" s="9">
        <v>0</v>
      </c>
      <c r="K58" s="5">
        <v>21</v>
      </c>
      <c r="L58" s="5">
        <v>76</v>
      </c>
      <c r="M58" s="5">
        <v>0</v>
      </c>
      <c r="N58" s="9">
        <v>0</v>
      </c>
      <c r="O58" s="5">
        <v>3</v>
      </c>
      <c r="P58" s="5">
        <v>33</v>
      </c>
      <c r="Q58" s="5">
        <v>0</v>
      </c>
      <c r="R58" s="9">
        <v>0</v>
      </c>
      <c r="S58" s="5">
        <v>0</v>
      </c>
      <c r="T58" s="5">
        <v>0</v>
      </c>
    </row>
    <row r="59" spans="1:20" x14ac:dyDescent="0.2">
      <c r="A59" s="5" t="s">
        <v>151</v>
      </c>
      <c r="B59" s="9" t="s">
        <v>75</v>
      </c>
      <c r="C59" s="5" t="s">
        <v>820</v>
      </c>
      <c r="D59" s="7">
        <f t="shared" si="0"/>
        <v>13.5</v>
      </c>
      <c r="E59" s="5">
        <v>0</v>
      </c>
      <c r="F59" s="5">
        <v>0</v>
      </c>
      <c r="G59" s="5">
        <v>0</v>
      </c>
      <c r="H59" s="5">
        <v>0</v>
      </c>
      <c r="I59" s="5">
        <v>0</v>
      </c>
      <c r="J59" s="9">
        <v>0</v>
      </c>
      <c r="K59" s="5">
        <v>24</v>
      </c>
      <c r="L59" s="5">
        <v>63</v>
      </c>
      <c r="M59" s="5">
        <v>1</v>
      </c>
      <c r="N59" s="9">
        <v>0</v>
      </c>
      <c r="O59" s="5">
        <v>1</v>
      </c>
      <c r="P59" s="5">
        <v>2</v>
      </c>
      <c r="Q59" s="5">
        <v>0</v>
      </c>
      <c r="R59" s="9">
        <v>0</v>
      </c>
      <c r="S59" s="5">
        <v>0</v>
      </c>
      <c r="T59" s="5">
        <v>0</v>
      </c>
    </row>
    <row r="60" spans="1:20" x14ac:dyDescent="0.2">
      <c r="A60" s="5" t="s">
        <v>375</v>
      </c>
      <c r="B60" s="9" t="s">
        <v>75</v>
      </c>
      <c r="C60" s="5" t="s">
        <v>818</v>
      </c>
      <c r="D60" s="7">
        <f t="shared" si="0"/>
        <v>13.100000000000001</v>
      </c>
      <c r="E60" s="5">
        <v>0</v>
      </c>
      <c r="F60" s="5">
        <v>0</v>
      </c>
      <c r="G60" s="5">
        <v>0</v>
      </c>
      <c r="H60" s="5">
        <v>0</v>
      </c>
      <c r="I60" s="5">
        <v>0</v>
      </c>
      <c r="J60" s="9">
        <v>0</v>
      </c>
      <c r="K60" s="5">
        <v>10</v>
      </c>
      <c r="L60" s="5">
        <v>56</v>
      </c>
      <c r="M60" s="5">
        <v>1</v>
      </c>
      <c r="N60" s="9">
        <v>0</v>
      </c>
      <c r="O60" s="5">
        <v>1</v>
      </c>
      <c r="P60" s="5">
        <v>5</v>
      </c>
      <c r="Q60" s="5">
        <v>0</v>
      </c>
      <c r="R60" s="9">
        <v>0</v>
      </c>
      <c r="S60" s="5">
        <v>0</v>
      </c>
      <c r="T60" s="5">
        <v>0</v>
      </c>
    </row>
    <row r="61" spans="1:20" x14ac:dyDescent="0.2">
      <c r="A61" s="5" t="s">
        <v>134</v>
      </c>
      <c r="B61" s="9" t="s">
        <v>75</v>
      </c>
      <c r="C61" s="5" t="s">
        <v>815</v>
      </c>
      <c r="D61" s="7">
        <f t="shared" si="0"/>
        <v>13</v>
      </c>
      <c r="E61" s="5">
        <v>0</v>
      </c>
      <c r="F61" s="5">
        <v>0</v>
      </c>
      <c r="G61" s="5">
        <v>0</v>
      </c>
      <c r="H61" s="5">
        <v>0</v>
      </c>
      <c r="I61" s="5">
        <v>0</v>
      </c>
      <c r="J61" s="9">
        <v>0</v>
      </c>
      <c r="K61" s="5">
        <v>9</v>
      </c>
      <c r="L61" s="5">
        <v>46</v>
      </c>
      <c r="M61" s="5">
        <v>0</v>
      </c>
      <c r="N61" s="9">
        <v>0</v>
      </c>
      <c r="O61" s="5">
        <v>3</v>
      </c>
      <c r="P61" s="5">
        <v>54</v>
      </c>
      <c r="Q61" s="5">
        <v>0</v>
      </c>
      <c r="R61" s="9">
        <v>0</v>
      </c>
      <c r="S61" s="5">
        <v>0</v>
      </c>
      <c r="T61" s="5">
        <v>0</v>
      </c>
    </row>
    <row r="62" spans="1:20" x14ac:dyDescent="0.2">
      <c r="A62" s="5" t="s">
        <v>110</v>
      </c>
      <c r="B62" s="9" t="s">
        <v>75</v>
      </c>
      <c r="C62" s="5" t="s">
        <v>831</v>
      </c>
      <c r="D62" s="7">
        <f t="shared" si="0"/>
        <v>13.100000000000001</v>
      </c>
      <c r="E62" s="5">
        <v>0</v>
      </c>
      <c r="F62" s="5">
        <v>0</v>
      </c>
      <c r="G62" s="5">
        <v>0</v>
      </c>
      <c r="H62" s="5">
        <v>0</v>
      </c>
      <c r="I62" s="5">
        <v>0</v>
      </c>
      <c r="J62" s="9">
        <v>0</v>
      </c>
      <c r="K62" s="5">
        <v>13</v>
      </c>
      <c r="L62" s="5">
        <v>54</v>
      </c>
      <c r="M62" s="5">
        <v>0</v>
      </c>
      <c r="N62" s="9">
        <v>0</v>
      </c>
      <c r="O62" s="5">
        <v>5</v>
      </c>
      <c r="P62" s="5">
        <v>27</v>
      </c>
      <c r="Q62" s="5">
        <v>0</v>
      </c>
      <c r="R62" s="9">
        <v>0</v>
      </c>
      <c r="S62" s="5">
        <v>0</v>
      </c>
      <c r="T62" s="5">
        <v>0</v>
      </c>
    </row>
    <row r="63" spans="1:20" x14ac:dyDescent="0.2">
      <c r="A63" s="5" t="s">
        <v>114</v>
      </c>
      <c r="B63" s="9" t="s">
        <v>75</v>
      </c>
      <c r="C63" s="5" t="s">
        <v>830</v>
      </c>
      <c r="D63" s="7">
        <f t="shared" si="0"/>
        <v>13.3</v>
      </c>
      <c r="E63" s="5">
        <v>0</v>
      </c>
      <c r="F63" s="5">
        <v>0</v>
      </c>
      <c r="G63" s="5">
        <v>0</v>
      </c>
      <c r="H63" s="5">
        <v>0</v>
      </c>
      <c r="I63" s="5">
        <v>0</v>
      </c>
      <c r="J63" s="9">
        <v>0</v>
      </c>
      <c r="K63" s="5">
        <v>19</v>
      </c>
      <c r="L63" s="5">
        <v>75</v>
      </c>
      <c r="M63" s="5">
        <v>0</v>
      </c>
      <c r="N63" s="9">
        <v>0</v>
      </c>
      <c r="O63" s="5">
        <v>4</v>
      </c>
      <c r="P63" s="5">
        <v>18</v>
      </c>
      <c r="Q63" s="5">
        <v>0</v>
      </c>
      <c r="R63" s="9">
        <v>0</v>
      </c>
      <c r="S63" s="5">
        <v>0</v>
      </c>
      <c r="T63" s="5">
        <v>0</v>
      </c>
    </row>
    <row r="64" spans="1:20" x14ac:dyDescent="0.2">
      <c r="A64" s="5" t="s">
        <v>153</v>
      </c>
      <c r="B64" s="9" t="s">
        <v>75</v>
      </c>
      <c r="C64" s="5" t="s">
        <v>824</v>
      </c>
      <c r="D64" s="7">
        <f t="shared" si="0"/>
        <v>13.100000000000001</v>
      </c>
      <c r="E64" s="5">
        <v>0</v>
      </c>
      <c r="F64" s="5">
        <v>0</v>
      </c>
      <c r="G64" s="5">
        <v>0</v>
      </c>
      <c r="H64" s="5">
        <v>0</v>
      </c>
      <c r="I64" s="5">
        <v>0</v>
      </c>
      <c r="J64" s="9">
        <v>0</v>
      </c>
      <c r="K64" s="5">
        <v>25</v>
      </c>
      <c r="L64" s="5">
        <v>112</v>
      </c>
      <c r="M64" s="5">
        <v>0</v>
      </c>
      <c r="N64" s="9">
        <v>0</v>
      </c>
      <c r="O64" s="5">
        <v>1</v>
      </c>
      <c r="P64" s="5">
        <v>9</v>
      </c>
      <c r="Q64" s="5">
        <v>0</v>
      </c>
      <c r="R64" s="9">
        <v>0</v>
      </c>
      <c r="S64" s="5">
        <v>0</v>
      </c>
      <c r="T64" s="5">
        <v>0</v>
      </c>
    </row>
    <row r="65" spans="1:20" x14ac:dyDescent="0.2">
      <c r="A65" s="5" t="s">
        <v>76</v>
      </c>
      <c r="B65" s="9" t="s">
        <v>75</v>
      </c>
      <c r="C65" s="5" t="s">
        <v>828</v>
      </c>
      <c r="D65" s="7">
        <f t="shared" si="0"/>
        <v>11.9</v>
      </c>
      <c r="E65" s="5">
        <v>0</v>
      </c>
      <c r="F65" s="5">
        <v>0</v>
      </c>
      <c r="G65" s="5">
        <v>0</v>
      </c>
      <c r="H65" s="5">
        <v>0</v>
      </c>
      <c r="I65" s="5">
        <v>0</v>
      </c>
      <c r="J65" s="9">
        <v>0</v>
      </c>
      <c r="K65" s="5">
        <v>10</v>
      </c>
      <c r="L65" s="5">
        <v>11</v>
      </c>
      <c r="M65" s="5">
        <v>0</v>
      </c>
      <c r="N65" s="9">
        <v>0</v>
      </c>
      <c r="O65" s="5">
        <v>7</v>
      </c>
      <c r="P65" s="5">
        <v>38</v>
      </c>
      <c r="Q65" s="5">
        <v>0</v>
      </c>
      <c r="R65" s="9">
        <v>0</v>
      </c>
      <c r="S65" s="5">
        <v>0</v>
      </c>
      <c r="T65" s="5">
        <v>0</v>
      </c>
    </row>
    <row r="66" spans="1:20" x14ac:dyDescent="0.2">
      <c r="A66" s="5" t="s">
        <v>93</v>
      </c>
      <c r="B66" s="9" t="s">
        <v>75</v>
      </c>
      <c r="C66" s="5" t="s">
        <v>815</v>
      </c>
      <c r="D66" s="7">
        <f t="shared" si="0"/>
        <v>10.5</v>
      </c>
      <c r="E66" s="5">
        <v>0</v>
      </c>
      <c r="F66" s="5">
        <v>0</v>
      </c>
      <c r="G66" s="5">
        <v>0</v>
      </c>
      <c r="H66" s="5">
        <v>0</v>
      </c>
      <c r="I66" s="5">
        <v>0</v>
      </c>
      <c r="J66" s="9">
        <v>0</v>
      </c>
      <c r="K66" s="5">
        <v>9</v>
      </c>
      <c r="L66" s="5">
        <v>25</v>
      </c>
      <c r="M66" s="5">
        <v>0</v>
      </c>
      <c r="N66" s="9">
        <v>0</v>
      </c>
      <c r="O66" s="5">
        <v>3</v>
      </c>
      <c r="P66" s="5">
        <v>10</v>
      </c>
      <c r="Q66" s="5">
        <v>1</v>
      </c>
      <c r="R66" s="9">
        <v>0</v>
      </c>
      <c r="S66" s="5">
        <v>1</v>
      </c>
      <c r="T66" s="5">
        <v>0</v>
      </c>
    </row>
    <row r="67" spans="1:20" x14ac:dyDescent="0.2">
      <c r="A67" s="5" t="s">
        <v>115</v>
      </c>
      <c r="B67" s="9" t="s">
        <v>75</v>
      </c>
      <c r="C67" s="5" t="s">
        <v>814</v>
      </c>
      <c r="D67" s="7">
        <f t="shared" si="0"/>
        <v>12.4</v>
      </c>
      <c r="E67" s="5">
        <v>0</v>
      </c>
      <c r="F67" s="5">
        <v>0</v>
      </c>
      <c r="G67" s="5">
        <v>0</v>
      </c>
      <c r="H67" s="5">
        <v>0</v>
      </c>
      <c r="I67" s="5">
        <v>0</v>
      </c>
      <c r="J67" s="9">
        <v>0</v>
      </c>
      <c r="K67" s="5">
        <v>14</v>
      </c>
      <c r="L67" s="5">
        <v>26</v>
      </c>
      <c r="M67" s="5">
        <v>1</v>
      </c>
      <c r="N67" s="9">
        <v>0</v>
      </c>
      <c r="O67" s="5">
        <v>3</v>
      </c>
      <c r="P67" s="5">
        <v>8</v>
      </c>
      <c r="Q67" s="5">
        <v>0</v>
      </c>
      <c r="R67" s="9">
        <v>0</v>
      </c>
      <c r="S67" s="5">
        <v>0</v>
      </c>
      <c r="T67" s="5">
        <v>0</v>
      </c>
    </row>
    <row r="68" spans="1:20" x14ac:dyDescent="0.2">
      <c r="A68" s="5" t="s">
        <v>132</v>
      </c>
      <c r="B68" s="9" t="s">
        <v>75</v>
      </c>
      <c r="C68" s="5" t="s">
        <v>819</v>
      </c>
      <c r="D68" s="7">
        <f t="shared" si="0"/>
        <v>10.9</v>
      </c>
      <c r="E68" s="5">
        <v>0</v>
      </c>
      <c r="F68" s="5">
        <v>0</v>
      </c>
      <c r="G68" s="5">
        <v>0</v>
      </c>
      <c r="H68" s="5">
        <v>0</v>
      </c>
      <c r="I68" s="5">
        <v>0</v>
      </c>
      <c r="J68" s="9">
        <v>0</v>
      </c>
      <c r="K68" s="5">
        <v>12</v>
      </c>
      <c r="L68" s="5">
        <v>69</v>
      </c>
      <c r="M68" s="5">
        <v>0</v>
      </c>
      <c r="N68" s="9">
        <v>0</v>
      </c>
      <c r="O68" s="5">
        <v>2</v>
      </c>
      <c r="P68" s="5">
        <v>20</v>
      </c>
      <c r="Q68" s="5">
        <v>0</v>
      </c>
      <c r="R68" s="9">
        <v>0</v>
      </c>
      <c r="S68" s="5">
        <v>0</v>
      </c>
      <c r="T68" s="5">
        <v>0</v>
      </c>
    </row>
    <row r="69" spans="1:20" x14ac:dyDescent="0.2">
      <c r="A69" s="5" t="s">
        <v>108</v>
      </c>
      <c r="B69" s="9" t="s">
        <v>75</v>
      </c>
      <c r="C69" s="5" t="s">
        <v>830</v>
      </c>
      <c r="D69" s="7">
        <f t="shared" si="0"/>
        <v>11.200000000000001</v>
      </c>
      <c r="E69" s="5">
        <v>0</v>
      </c>
      <c r="F69" s="5">
        <v>0</v>
      </c>
      <c r="G69" s="5">
        <v>0</v>
      </c>
      <c r="H69" s="5">
        <v>0</v>
      </c>
      <c r="I69" s="5">
        <v>0</v>
      </c>
      <c r="J69" s="9">
        <v>0</v>
      </c>
      <c r="K69" s="5">
        <v>23</v>
      </c>
      <c r="L69" s="5">
        <v>83</v>
      </c>
      <c r="M69" s="5">
        <v>0</v>
      </c>
      <c r="N69" s="9">
        <v>0</v>
      </c>
      <c r="O69" s="5">
        <v>2</v>
      </c>
      <c r="P69" s="5">
        <v>9</v>
      </c>
      <c r="Q69" s="5">
        <v>0</v>
      </c>
      <c r="R69" s="9">
        <v>0</v>
      </c>
      <c r="S69" s="5">
        <v>0</v>
      </c>
      <c r="T69" s="5">
        <v>0</v>
      </c>
    </row>
    <row r="70" spans="1:20" x14ac:dyDescent="0.2">
      <c r="A70" s="5" t="s">
        <v>90</v>
      </c>
      <c r="B70" s="9" t="s">
        <v>75</v>
      </c>
      <c r="C70" s="5" t="s">
        <v>819</v>
      </c>
      <c r="D70" s="7">
        <f t="shared" si="0"/>
        <v>10</v>
      </c>
      <c r="E70" s="5">
        <v>0</v>
      </c>
      <c r="F70" s="5">
        <v>0</v>
      </c>
      <c r="G70" s="5">
        <v>0</v>
      </c>
      <c r="H70" s="5">
        <v>0</v>
      </c>
      <c r="I70" s="5">
        <v>0</v>
      </c>
      <c r="J70" s="9">
        <v>0</v>
      </c>
      <c r="K70" s="5">
        <v>10</v>
      </c>
      <c r="L70" s="5">
        <v>40</v>
      </c>
      <c r="M70" s="5">
        <v>1</v>
      </c>
      <c r="N70" s="9">
        <v>0</v>
      </c>
      <c r="O70" s="5">
        <v>0</v>
      </c>
      <c r="P70" s="5">
        <v>0</v>
      </c>
      <c r="Q70" s="5">
        <v>0</v>
      </c>
      <c r="R70" s="9">
        <v>0</v>
      </c>
      <c r="S70" s="5">
        <v>0</v>
      </c>
      <c r="T70" s="5">
        <v>0</v>
      </c>
    </row>
    <row r="71" spans="1:20" x14ac:dyDescent="0.2">
      <c r="A71" s="5" t="s">
        <v>111</v>
      </c>
      <c r="B71" s="9" t="s">
        <v>75</v>
      </c>
      <c r="C71" s="5" t="s">
        <v>819</v>
      </c>
      <c r="D71" s="7">
        <f t="shared" si="0"/>
        <v>9</v>
      </c>
      <c r="E71" s="5">
        <v>0</v>
      </c>
      <c r="F71" s="5">
        <v>0</v>
      </c>
      <c r="G71" s="5">
        <v>0</v>
      </c>
      <c r="H71" s="5">
        <v>0</v>
      </c>
      <c r="I71" s="5">
        <v>0</v>
      </c>
      <c r="J71" s="9">
        <v>0</v>
      </c>
      <c r="K71" s="5">
        <v>13</v>
      </c>
      <c r="L71" s="5">
        <v>30</v>
      </c>
      <c r="M71" s="5">
        <v>1</v>
      </c>
      <c r="N71" s="9">
        <v>0</v>
      </c>
      <c r="O71" s="5">
        <v>0</v>
      </c>
      <c r="P71" s="5">
        <v>0</v>
      </c>
      <c r="Q71" s="5">
        <v>0</v>
      </c>
      <c r="R71" s="9">
        <v>0</v>
      </c>
      <c r="S71" s="5">
        <v>0</v>
      </c>
      <c r="T71" s="5">
        <v>0</v>
      </c>
    </row>
    <row r="72" spans="1:20" x14ac:dyDescent="0.2">
      <c r="A72" s="5" t="s">
        <v>394</v>
      </c>
      <c r="B72" s="9" t="s">
        <v>75</v>
      </c>
      <c r="C72" s="5" t="s">
        <v>820</v>
      </c>
      <c r="D72" s="7">
        <f t="shared" si="0"/>
        <v>8.9</v>
      </c>
      <c r="E72" s="5">
        <v>0</v>
      </c>
      <c r="F72" s="5">
        <v>0</v>
      </c>
      <c r="G72" s="5">
        <v>0</v>
      </c>
      <c r="H72" s="5">
        <v>0</v>
      </c>
      <c r="I72" s="5">
        <v>0</v>
      </c>
      <c r="J72" s="9">
        <v>0</v>
      </c>
      <c r="K72" s="5">
        <v>0</v>
      </c>
      <c r="L72" s="5">
        <v>0</v>
      </c>
      <c r="M72" s="5">
        <v>0</v>
      </c>
      <c r="N72" s="9">
        <v>0</v>
      </c>
      <c r="O72" s="5">
        <v>2</v>
      </c>
      <c r="P72" s="5">
        <v>9</v>
      </c>
      <c r="Q72" s="5">
        <v>1</v>
      </c>
      <c r="R72" s="9">
        <v>0</v>
      </c>
      <c r="S72" s="5">
        <v>0</v>
      </c>
      <c r="T72" s="5">
        <v>0</v>
      </c>
    </row>
    <row r="73" spans="1:20" x14ac:dyDescent="0.2">
      <c r="A73" s="5" t="s">
        <v>100</v>
      </c>
      <c r="B73" s="9" t="s">
        <v>75</v>
      </c>
      <c r="C73" s="5" t="s">
        <v>823</v>
      </c>
      <c r="D73" s="7">
        <f t="shared" si="0"/>
        <v>9.1000000000000014</v>
      </c>
      <c r="E73" s="5">
        <v>0</v>
      </c>
      <c r="F73" s="5">
        <v>0</v>
      </c>
      <c r="G73" s="5">
        <v>0</v>
      </c>
      <c r="H73" s="5">
        <v>0</v>
      </c>
      <c r="I73" s="5">
        <v>0</v>
      </c>
      <c r="J73" s="9">
        <v>0</v>
      </c>
      <c r="K73" s="5">
        <v>17</v>
      </c>
      <c r="L73" s="5">
        <v>78</v>
      </c>
      <c r="M73" s="5">
        <v>0</v>
      </c>
      <c r="N73" s="9">
        <v>0</v>
      </c>
      <c r="O73" s="5">
        <v>1</v>
      </c>
      <c r="P73" s="5">
        <v>3</v>
      </c>
      <c r="Q73" s="5">
        <v>0</v>
      </c>
      <c r="R73" s="9">
        <v>0</v>
      </c>
      <c r="S73" s="5">
        <v>0</v>
      </c>
      <c r="T73" s="5">
        <v>0</v>
      </c>
    </row>
    <row r="74" spans="1:20" x14ac:dyDescent="0.2">
      <c r="A74" s="5" t="s">
        <v>113</v>
      </c>
      <c r="B74" s="9" t="s">
        <v>75</v>
      </c>
      <c r="C74" s="5" t="s">
        <v>829</v>
      </c>
      <c r="D74" s="7">
        <f t="shared" si="0"/>
        <v>8</v>
      </c>
      <c r="E74" s="5">
        <v>0</v>
      </c>
      <c r="F74" s="5">
        <v>0</v>
      </c>
      <c r="G74" s="5">
        <v>0</v>
      </c>
      <c r="H74" s="5">
        <v>0</v>
      </c>
      <c r="I74" s="5">
        <v>0</v>
      </c>
      <c r="J74" s="9">
        <v>0</v>
      </c>
      <c r="K74" s="5">
        <v>9</v>
      </c>
      <c r="L74" s="5">
        <v>33</v>
      </c>
      <c r="M74" s="5">
        <v>0</v>
      </c>
      <c r="N74" s="9">
        <v>0</v>
      </c>
      <c r="O74" s="5">
        <v>5</v>
      </c>
      <c r="P74" s="5">
        <v>17</v>
      </c>
      <c r="Q74" s="5">
        <v>0</v>
      </c>
      <c r="R74" s="9">
        <v>0</v>
      </c>
      <c r="S74" s="5">
        <v>1</v>
      </c>
      <c r="T74" s="5">
        <v>0</v>
      </c>
    </row>
    <row r="75" spans="1:20" x14ac:dyDescent="0.2">
      <c r="A75" s="5" t="s">
        <v>144</v>
      </c>
      <c r="B75" s="9" t="s">
        <v>75</v>
      </c>
      <c r="C75" s="5" t="s">
        <v>823</v>
      </c>
      <c r="D75" s="7">
        <f t="shared" si="0"/>
        <v>8</v>
      </c>
      <c r="E75" s="5">
        <v>0</v>
      </c>
      <c r="F75" s="5">
        <v>0</v>
      </c>
      <c r="G75" s="5">
        <v>0</v>
      </c>
      <c r="H75" s="5">
        <v>0</v>
      </c>
      <c r="I75" s="5">
        <v>0</v>
      </c>
      <c r="J75" s="9">
        <v>0</v>
      </c>
      <c r="K75" s="5">
        <v>5</v>
      </c>
      <c r="L75" s="5">
        <v>32</v>
      </c>
      <c r="M75" s="5">
        <v>0</v>
      </c>
      <c r="N75" s="9">
        <v>0</v>
      </c>
      <c r="O75" s="5">
        <v>2</v>
      </c>
      <c r="P75" s="5">
        <v>28</v>
      </c>
      <c r="Q75" s="5">
        <v>0</v>
      </c>
      <c r="R75" s="9">
        <v>0</v>
      </c>
      <c r="S75" s="5">
        <v>0</v>
      </c>
      <c r="T75" s="5">
        <v>0</v>
      </c>
    </row>
    <row r="76" spans="1:20" x14ac:dyDescent="0.2">
      <c r="A76" s="5" t="s">
        <v>102</v>
      </c>
      <c r="B76" s="9" t="s">
        <v>75</v>
      </c>
      <c r="C76" s="5" t="s">
        <v>818</v>
      </c>
      <c r="D76" s="7">
        <f t="shared" si="0"/>
        <v>8.1999999999999993</v>
      </c>
      <c r="E76" s="5">
        <v>0</v>
      </c>
      <c r="F76" s="5">
        <v>0</v>
      </c>
      <c r="G76" s="5">
        <v>0</v>
      </c>
      <c r="H76" s="5">
        <v>0</v>
      </c>
      <c r="I76" s="5">
        <v>0</v>
      </c>
      <c r="J76" s="9">
        <v>0</v>
      </c>
      <c r="K76" s="5">
        <v>13</v>
      </c>
      <c r="L76" s="5">
        <v>36</v>
      </c>
      <c r="M76" s="5">
        <v>0</v>
      </c>
      <c r="N76" s="9">
        <v>0</v>
      </c>
      <c r="O76" s="5">
        <v>3</v>
      </c>
      <c r="P76" s="5">
        <v>16</v>
      </c>
      <c r="Q76" s="5">
        <v>0</v>
      </c>
      <c r="R76" s="9">
        <v>0</v>
      </c>
      <c r="S76" s="5">
        <v>0</v>
      </c>
      <c r="T76" s="5">
        <v>0</v>
      </c>
    </row>
    <row r="77" spans="1:20" x14ac:dyDescent="0.2">
      <c r="A77" s="5" t="s">
        <v>78</v>
      </c>
      <c r="B77" s="9" t="s">
        <v>75</v>
      </c>
      <c r="C77" s="5" t="s">
        <v>814</v>
      </c>
      <c r="D77" s="7">
        <f t="shared" si="0"/>
        <v>6.4</v>
      </c>
      <c r="E77" s="5">
        <v>0</v>
      </c>
      <c r="F77" s="5">
        <v>0</v>
      </c>
      <c r="G77" s="5">
        <v>0</v>
      </c>
      <c r="H77" s="5">
        <v>0</v>
      </c>
      <c r="I77" s="5">
        <v>0</v>
      </c>
      <c r="J77" s="9">
        <v>0</v>
      </c>
      <c r="K77" s="5">
        <v>6</v>
      </c>
      <c r="L77" s="5">
        <v>24</v>
      </c>
      <c r="M77" s="5">
        <v>0</v>
      </c>
      <c r="N77" s="9">
        <v>0</v>
      </c>
      <c r="O77" s="5">
        <v>3</v>
      </c>
      <c r="P77" s="5">
        <v>10</v>
      </c>
      <c r="Q77" s="5">
        <v>0</v>
      </c>
      <c r="R77" s="9">
        <v>0</v>
      </c>
      <c r="S77" s="5">
        <v>0</v>
      </c>
      <c r="T77" s="5">
        <v>0</v>
      </c>
    </row>
    <row r="78" spans="1:20" x14ac:dyDescent="0.2">
      <c r="A78" s="5" t="s">
        <v>395</v>
      </c>
      <c r="B78" s="9" t="s">
        <v>75</v>
      </c>
      <c r="C78" s="5" t="s">
        <v>821</v>
      </c>
      <c r="D78" s="7">
        <f t="shared" si="0"/>
        <v>6.3</v>
      </c>
      <c r="E78" s="5">
        <v>0</v>
      </c>
      <c r="F78" s="5">
        <v>0</v>
      </c>
      <c r="G78" s="5">
        <v>0</v>
      </c>
      <c r="H78" s="5">
        <v>0</v>
      </c>
      <c r="I78" s="5">
        <v>0</v>
      </c>
      <c r="J78" s="9">
        <v>0</v>
      </c>
      <c r="K78" s="5">
        <v>11</v>
      </c>
      <c r="L78" s="5">
        <v>43</v>
      </c>
      <c r="M78" s="5">
        <v>0</v>
      </c>
      <c r="N78" s="9">
        <v>0</v>
      </c>
      <c r="O78" s="5">
        <v>1</v>
      </c>
      <c r="P78" s="5">
        <v>10</v>
      </c>
      <c r="Q78" s="5">
        <v>0</v>
      </c>
      <c r="R78" s="9">
        <v>0</v>
      </c>
      <c r="S78" s="5">
        <v>0</v>
      </c>
      <c r="T78" s="5">
        <v>0</v>
      </c>
    </row>
    <row r="79" spans="1:20" x14ac:dyDescent="0.2">
      <c r="A79" s="5" t="s">
        <v>97</v>
      </c>
      <c r="B79" s="9" t="s">
        <v>75</v>
      </c>
      <c r="C79" s="5" t="s">
        <v>826</v>
      </c>
      <c r="D79" s="7">
        <f t="shared" si="0"/>
        <v>6.2</v>
      </c>
      <c r="E79" s="5">
        <v>0</v>
      </c>
      <c r="F79" s="5">
        <v>0</v>
      </c>
      <c r="G79" s="5">
        <v>0</v>
      </c>
      <c r="H79" s="5">
        <v>0</v>
      </c>
      <c r="I79" s="5">
        <v>0</v>
      </c>
      <c r="J79" s="9">
        <v>0</v>
      </c>
      <c r="K79" s="5">
        <v>7</v>
      </c>
      <c r="L79" s="5">
        <v>62</v>
      </c>
      <c r="M79" s="5">
        <v>0</v>
      </c>
      <c r="N79" s="9">
        <v>0</v>
      </c>
      <c r="O79" s="5">
        <v>0</v>
      </c>
      <c r="P79" s="5">
        <v>0</v>
      </c>
      <c r="Q79" s="5">
        <v>0</v>
      </c>
      <c r="R79" s="9">
        <v>0</v>
      </c>
      <c r="S79" s="5">
        <v>0</v>
      </c>
      <c r="T79" s="5">
        <v>0</v>
      </c>
    </row>
    <row r="80" spans="1:20" x14ac:dyDescent="0.2">
      <c r="A80" s="5" t="s">
        <v>356</v>
      </c>
      <c r="B80" s="9" t="s">
        <v>75</v>
      </c>
      <c r="C80" s="5" t="s">
        <v>821</v>
      </c>
      <c r="D80" s="7">
        <f t="shared" si="0"/>
        <v>6.5</v>
      </c>
      <c r="E80" s="5">
        <v>0</v>
      </c>
      <c r="F80" s="5">
        <v>0</v>
      </c>
      <c r="G80" s="5">
        <v>0</v>
      </c>
      <c r="H80" s="5">
        <v>0</v>
      </c>
      <c r="I80" s="5">
        <v>0</v>
      </c>
      <c r="J80" s="9">
        <v>0</v>
      </c>
      <c r="K80" s="5">
        <v>14</v>
      </c>
      <c r="L80" s="5">
        <v>65</v>
      </c>
      <c r="M80" s="5">
        <v>0</v>
      </c>
      <c r="N80" s="9">
        <v>0</v>
      </c>
      <c r="O80" s="5">
        <v>0</v>
      </c>
      <c r="P80" s="5">
        <v>0</v>
      </c>
      <c r="Q80" s="5">
        <v>0</v>
      </c>
      <c r="R80" s="9">
        <v>0</v>
      </c>
      <c r="S80" s="5">
        <v>0</v>
      </c>
      <c r="T80" s="5">
        <v>0</v>
      </c>
    </row>
    <row r="81" spans="1:20" x14ac:dyDescent="0.2">
      <c r="A81" s="5" t="s">
        <v>145</v>
      </c>
      <c r="B81" s="9" t="s">
        <v>75</v>
      </c>
      <c r="C81" s="5" t="s">
        <v>815</v>
      </c>
      <c r="D81" s="7">
        <f t="shared" si="0"/>
        <v>6.6</v>
      </c>
      <c r="E81" s="5">
        <v>0</v>
      </c>
      <c r="F81" s="5">
        <v>0</v>
      </c>
      <c r="G81" s="5">
        <v>0</v>
      </c>
      <c r="H81" s="5">
        <v>0</v>
      </c>
      <c r="I81" s="5">
        <v>0</v>
      </c>
      <c r="J81" s="9">
        <v>0</v>
      </c>
      <c r="K81" s="5">
        <v>2</v>
      </c>
      <c r="L81" s="5">
        <v>8</v>
      </c>
      <c r="M81" s="5">
        <v>0</v>
      </c>
      <c r="N81" s="9">
        <v>0</v>
      </c>
      <c r="O81" s="5">
        <v>3</v>
      </c>
      <c r="P81" s="5">
        <v>28</v>
      </c>
      <c r="Q81" s="5">
        <v>0</v>
      </c>
      <c r="R81" s="9">
        <v>0</v>
      </c>
      <c r="S81" s="5">
        <v>0</v>
      </c>
      <c r="T81" s="5">
        <v>0</v>
      </c>
    </row>
    <row r="82" spans="1:20" x14ac:dyDescent="0.2">
      <c r="A82" s="5" t="s">
        <v>99</v>
      </c>
      <c r="B82" s="9" t="s">
        <v>75</v>
      </c>
      <c r="C82" s="5" t="s">
        <v>822</v>
      </c>
      <c r="D82" s="7">
        <f t="shared" si="0"/>
        <v>6.1000000000000005</v>
      </c>
      <c r="E82" s="5">
        <v>0</v>
      </c>
      <c r="F82" s="5">
        <v>0</v>
      </c>
      <c r="G82" s="5">
        <v>0</v>
      </c>
      <c r="H82" s="5">
        <v>0</v>
      </c>
      <c r="I82" s="5">
        <v>0</v>
      </c>
      <c r="J82" s="9">
        <v>0</v>
      </c>
      <c r="K82" s="5">
        <v>12</v>
      </c>
      <c r="L82" s="5">
        <v>28</v>
      </c>
      <c r="M82" s="5">
        <v>0</v>
      </c>
      <c r="N82" s="9">
        <v>0</v>
      </c>
      <c r="O82" s="5">
        <v>2</v>
      </c>
      <c r="P82" s="5">
        <v>13</v>
      </c>
      <c r="Q82" s="5">
        <v>0</v>
      </c>
      <c r="R82" s="9">
        <v>0</v>
      </c>
      <c r="S82" s="5">
        <v>0</v>
      </c>
      <c r="T82" s="5">
        <v>0</v>
      </c>
    </row>
    <row r="83" spans="1:20" x14ac:dyDescent="0.2">
      <c r="A83" s="5" t="s">
        <v>91</v>
      </c>
      <c r="B83" s="9" t="s">
        <v>75</v>
      </c>
      <c r="C83" s="5" t="s">
        <v>829</v>
      </c>
      <c r="D83" s="7">
        <f t="shared" si="0"/>
        <v>5.6</v>
      </c>
      <c r="E83" s="5">
        <v>0</v>
      </c>
      <c r="F83" s="5">
        <v>0</v>
      </c>
      <c r="G83" s="5">
        <v>0</v>
      </c>
      <c r="H83" s="5">
        <v>0</v>
      </c>
      <c r="I83" s="5">
        <v>0</v>
      </c>
      <c r="J83" s="9">
        <v>0</v>
      </c>
      <c r="K83" s="5">
        <v>0</v>
      </c>
      <c r="L83" s="5">
        <v>0</v>
      </c>
      <c r="M83" s="5">
        <v>0</v>
      </c>
      <c r="N83" s="9">
        <v>0</v>
      </c>
      <c r="O83" s="5">
        <v>3</v>
      </c>
      <c r="P83" s="5">
        <v>26</v>
      </c>
      <c r="Q83" s="5">
        <v>0</v>
      </c>
      <c r="R83" s="9">
        <v>0</v>
      </c>
      <c r="S83" s="5">
        <v>0</v>
      </c>
      <c r="T83" s="5">
        <v>0</v>
      </c>
    </row>
    <row r="84" spans="1:20" x14ac:dyDescent="0.2">
      <c r="A84" s="5" t="s">
        <v>451</v>
      </c>
      <c r="B84" s="9" t="s">
        <v>75</v>
      </c>
      <c r="C84" s="5" t="s">
        <v>817</v>
      </c>
      <c r="D84" s="7">
        <f t="shared" si="0"/>
        <v>5.8</v>
      </c>
      <c r="E84" s="5">
        <v>0</v>
      </c>
      <c r="F84" s="5">
        <v>0</v>
      </c>
      <c r="G84" s="5">
        <v>0</v>
      </c>
      <c r="H84" s="5">
        <v>0</v>
      </c>
      <c r="I84" s="5">
        <v>0</v>
      </c>
      <c r="J84" s="9">
        <v>0</v>
      </c>
      <c r="K84" s="5">
        <v>6</v>
      </c>
      <c r="L84" s="5">
        <v>36</v>
      </c>
      <c r="M84" s="5">
        <v>0</v>
      </c>
      <c r="N84" s="9">
        <v>0</v>
      </c>
      <c r="O84" s="5">
        <v>1</v>
      </c>
      <c r="P84" s="5">
        <v>12</v>
      </c>
      <c r="Q84" s="5">
        <v>0</v>
      </c>
      <c r="R84" s="9">
        <v>0</v>
      </c>
      <c r="S84" s="5">
        <v>0</v>
      </c>
      <c r="T84" s="5">
        <v>0</v>
      </c>
    </row>
    <row r="85" spans="1:20" x14ac:dyDescent="0.2">
      <c r="A85" s="5" t="s">
        <v>98</v>
      </c>
      <c r="B85" s="9" t="s">
        <v>75</v>
      </c>
      <c r="C85" s="5" t="s">
        <v>824</v>
      </c>
      <c r="D85" s="7">
        <f t="shared" si="0"/>
        <v>6</v>
      </c>
      <c r="E85" s="5">
        <v>0</v>
      </c>
      <c r="F85" s="5">
        <v>0</v>
      </c>
      <c r="G85" s="5">
        <v>0</v>
      </c>
      <c r="H85" s="5">
        <v>0</v>
      </c>
      <c r="I85" s="5">
        <v>0</v>
      </c>
      <c r="J85" s="9">
        <v>0</v>
      </c>
      <c r="K85" s="5">
        <v>3</v>
      </c>
      <c r="L85" s="5">
        <v>7</v>
      </c>
      <c r="M85" s="5">
        <v>0</v>
      </c>
      <c r="N85" s="9">
        <v>0</v>
      </c>
      <c r="O85" s="5">
        <v>3</v>
      </c>
      <c r="P85" s="5">
        <v>23</v>
      </c>
      <c r="Q85" s="5">
        <v>0</v>
      </c>
      <c r="R85" s="9">
        <v>0</v>
      </c>
      <c r="S85" s="5">
        <v>0</v>
      </c>
      <c r="T85" s="5">
        <v>0</v>
      </c>
    </row>
    <row r="86" spans="1:20" x14ac:dyDescent="0.2">
      <c r="A86" s="5" t="s">
        <v>383</v>
      </c>
      <c r="B86" s="9" t="s">
        <v>75</v>
      </c>
      <c r="C86" s="5" t="s">
        <v>817</v>
      </c>
      <c r="D86" s="7">
        <f t="shared" si="0"/>
        <v>5.2</v>
      </c>
      <c r="E86" s="5">
        <v>0</v>
      </c>
      <c r="F86" s="5">
        <v>0</v>
      </c>
      <c r="G86" s="5">
        <v>0</v>
      </c>
      <c r="H86" s="5">
        <v>0</v>
      </c>
      <c r="I86" s="5">
        <v>0</v>
      </c>
      <c r="J86" s="9">
        <v>0</v>
      </c>
      <c r="K86" s="5">
        <v>13</v>
      </c>
      <c r="L86" s="5">
        <v>52</v>
      </c>
      <c r="M86" s="5">
        <v>0</v>
      </c>
      <c r="N86" s="9">
        <v>0</v>
      </c>
      <c r="O86" s="5">
        <v>0</v>
      </c>
      <c r="P86" s="5">
        <v>0</v>
      </c>
      <c r="Q86" s="5">
        <v>0</v>
      </c>
      <c r="R86" s="9">
        <v>0</v>
      </c>
      <c r="S86" s="5">
        <v>0</v>
      </c>
      <c r="T86" s="5">
        <v>0</v>
      </c>
    </row>
    <row r="87" spans="1:20" x14ac:dyDescent="0.2">
      <c r="A87" s="5" t="s">
        <v>136</v>
      </c>
      <c r="B87" s="9" t="s">
        <v>75</v>
      </c>
      <c r="C87" s="5" t="s">
        <v>821</v>
      </c>
      <c r="D87" s="7">
        <f t="shared" si="0"/>
        <v>5.2</v>
      </c>
      <c r="E87" s="5">
        <v>0</v>
      </c>
      <c r="F87" s="5">
        <v>0</v>
      </c>
      <c r="G87" s="5">
        <v>0</v>
      </c>
      <c r="H87" s="5">
        <v>0</v>
      </c>
      <c r="I87" s="5">
        <v>0</v>
      </c>
      <c r="J87" s="9">
        <v>0</v>
      </c>
      <c r="K87" s="5">
        <v>3</v>
      </c>
      <c r="L87" s="5">
        <v>6</v>
      </c>
      <c r="M87" s="5">
        <v>0</v>
      </c>
      <c r="N87" s="9">
        <v>0</v>
      </c>
      <c r="O87" s="5">
        <v>2</v>
      </c>
      <c r="P87" s="5">
        <v>26</v>
      </c>
      <c r="Q87" s="5">
        <v>0</v>
      </c>
      <c r="R87" s="9">
        <v>0</v>
      </c>
      <c r="S87" s="5">
        <v>0</v>
      </c>
      <c r="T87" s="5">
        <v>0</v>
      </c>
    </row>
    <row r="88" spans="1:20" x14ac:dyDescent="0.2">
      <c r="A88" s="5" t="s">
        <v>580</v>
      </c>
      <c r="B88" s="9" t="s">
        <v>75</v>
      </c>
      <c r="C88" s="5" t="s">
        <v>818</v>
      </c>
      <c r="D88" s="7">
        <f t="shared" si="0"/>
        <v>4.5</v>
      </c>
      <c r="E88" s="5">
        <v>0</v>
      </c>
      <c r="F88" s="5">
        <v>0</v>
      </c>
      <c r="G88" s="5">
        <v>0</v>
      </c>
      <c r="H88" s="5">
        <v>0</v>
      </c>
      <c r="I88" s="5">
        <v>0</v>
      </c>
      <c r="J88" s="9">
        <v>0</v>
      </c>
      <c r="K88" s="5">
        <v>9</v>
      </c>
      <c r="L88" s="5">
        <v>45</v>
      </c>
      <c r="M88" s="5">
        <v>0</v>
      </c>
      <c r="N88" s="9">
        <v>0</v>
      </c>
      <c r="O88" s="5">
        <v>0</v>
      </c>
      <c r="P88" s="5">
        <v>0</v>
      </c>
      <c r="Q88" s="5">
        <v>0</v>
      </c>
      <c r="R88" s="9">
        <v>0</v>
      </c>
      <c r="S88" s="5">
        <v>0</v>
      </c>
      <c r="T88" s="5">
        <v>0</v>
      </c>
    </row>
    <row r="89" spans="1:20" x14ac:dyDescent="0.2">
      <c r="A89" s="5" t="s">
        <v>154</v>
      </c>
      <c r="B89" s="9" t="s">
        <v>75</v>
      </c>
      <c r="C89" s="5" t="s">
        <v>830</v>
      </c>
      <c r="D89" s="7">
        <f t="shared" si="0"/>
        <v>3.4000000000000004</v>
      </c>
      <c r="E89" s="5">
        <v>0</v>
      </c>
      <c r="F89" s="5">
        <v>0</v>
      </c>
      <c r="G89" s="5">
        <v>0</v>
      </c>
      <c r="H89" s="5">
        <v>0</v>
      </c>
      <c r="I89" s="5">
        <v>0</v>
      </c>
      <c r="J89" s="9">
        <v>0</v>
      </c>
      <c r="K89" s="5">
        <v>4</v>
      </c>
      <c r="L89" s="5">
        <v>27</v>
      </c>
      <c r="M89" s="5">
        <v>0</v>
      </c>
      <c r="N89" s="9">
        <v>0</v>
      </c>
      <c r="O89" s="5">
        <v>1</v>
      </c>
      <c r="P89" s="5">
        <v>-3</v>
      </c>
      <c r="Q89" s="5">
        <v>0</v>
      </c>
      <c r="R89" s="9">
        <v>0</v>
      </c>
      <c r="S89" s="5">
        <v>0</v>
      </c>
      <c r="T89" s="5">
        <v>0</v>
      </c>
    </row>
    <row r="90" spans="1:20" x14ac:dyDescent="0.2">
      <c r="A90" s="5" t="s">
        <v>116</v>
      </c>
      <c r="B90" s="9" t="s">
        <v>75</v>
      </c>
      <c r="C90" s="5" t="s">
        <v>829</v>
      </c>
      <c r="D90" s="7">
        <f t="shared" si="0"/>
        <v>2.8000000000000007</v>
      </c>
      <c r="E90" s="5">
        <v>0</v>
      </c>
      <c r="F90" s="5">
        <v>0</v>
      </c>
      <c r="G90" s="5">
        <v>0</v>
      </c>
      <c r="H90" s="5">
        <v>0</v>
      </c>
      <c r="I90" s="5">
        <v>0</v>
      </c>
      <c r="J90" s="9">
        <v>0</v>
      </c>
      <c r="K90" s="5">
        <v>10</v>
      </c>
      <c r="L90" s="5">
        <v>48</v>
      </c>
      <c r="M90" s="5">
        <v>0</v>
      </c>
      <c r="N90" s="9">
        <v>0</v>
      </c>
      <c r="O90" s="5">
        <v>0</v>
      </c>
      <c r="P90" s="5">
        <v>0</v>
      </c>
      <c r="Q90" s="5">
        <v>0</v>
      </c>
      <c r="R90" s="9">
        <v>0</v>
      </c>
      <c r="S90" s="5">
        <v>1</v>
      </c>
      <c r="T90" s="5">
        <v>0</v>
      </c>
    </row>
    <row r="91" spans="1:20" x14ac:dyDescent="0.2">
      <c r="A91" s="5" t="s">
        <v>89</v>
      </c>
      <c r="B91" s="9" t="s">
        <v>75</v>
      </c>
      <c r="C91" s="5" t="s">
        <v>819</v>
      </c>
      <c r="D91" s="7">
        <f t="shared" si="0"/>
        <v>3.9000000000000004</v>
      </c>
      <c r="E91" s="5">
        <v>0</v>
      </c>
      <c r="F91" s="5">
        <v>0</v>
      </c>
      <c r="G91" s="5">
        <v>0</v>
      </c>
      <c r="H91" s="5">
        <v>0</v>
      </c>
      <c r="I91" s="5">
        <v>0</v>
      </c>
      <c r="J91" s="9">
        <v>0</v>
      </c>
      <c r="K91" s="5">
        <v>7</v>
      </c>
      <c r="L91" s="5">
        <v>24</v>
      </c>
      <c r="M91" s="5">
        <v>0</v>
      </c>
      <c r="N91" s="9">
        <v>0</v>
      </c>
      <c r="O91" s="5">
        <v>1</v>
      </c>
      <c r="P91" s="5">
        <v>5</v>
      </c>
      <c r="Q91" s="5">
        <v>0</v>
      </c>
      <c r="R91" s="9">
        <v>0</v>
      </c>
      <c r="S91" s="5">
        <v>0</v>
      </c>
      <c r="T91" s="5">
        <v>0</v>
      </c>
    </row>
    <row r="92" spans="1:20" x14ac:dyDescent="0.2">
      <c r="A92" s="5" t="s">
        <v>337</v>
      </c>
      <c r="B92" s="9" t="s">
        <v>75</v>
      </c>
      <c r="C92" s="5" t="s">
        <v>820</v>
      </c>
      <c r="D92" s="7">
        <f t="shared" si="0"/>
        <v>3</v>
      </c>
      <c r="E92" s="5">
        <v>0</v>
      </c>
      <c r="F92" s="5">
        <v>0</v>
      </c>
      <c r="G92" s="5">
        <v>0</v>
      </c>
      <c r="H92" s="5">
        <v>0</v>
      </c>
      <c r="I92" s="5">
        <v>0</v>
      </c>
      <c r="J92" s="9">
        <v>0</v>
      </c>
      <c r="K92" s="5">
        <v>6</v>
      </c>
      <c r="L92" s="5">
        <v>30</v>
      </c>
      <c r="M92" s="5">
        <v>0</v>
      </c>
      <c r="N92" s="9">
        <v>0</v>
      </c>
      <c r="O92" s="5">
        <v>0</v>
      </c>
      <c r="P92" s="5">
        <v>0</v>
      </c>
      <c r="Q92" s="5">
        <v>0</v>
      </c>
      <c r="R92" s="9">
        <v>0</v>
      </c>
      <c r="S92" s="5">
        <v>0</v>
      </c>
      <c r="T92" s="5">
        <v>0</v>
      </c>
    </row>
    <row r="93" spans="1:20" x14ac:dyDescent="0.2">
      <c r="A93" s="5" t="s">
        <v>609</v>
      </c>
      <c r="B93" s="9" t="s">
        <v>75</v>
      </c>
      <c r="C93" s="5" t="s">
        <v>815</v>
      </c>
      <c r="D93" s="7">
        <f t="shared" si="0"/>
        <v>2</v>
      </c>
      <c r="E93" s="5">
        <v>0</v>
      </c>
      <c r="F93" s="5">
        <v>0</v>
      </c>
      <c r="G93" s="5">
        <v>0</v>
      </c>
      <c r="H93" s="5">
        <v>0</v>
      </c>
      <c r="I93" s="5">
        <v>0</v>
      </c>
      <c r="J93" s="9">
        <v>0</v>
      </c>
      <c r="K93" s="5">
        <v>0</v>
      </c>
      <c r="L93" s="5">
        <v>0</v>
      </c>
      <c r="M93" s="5">
        <v>0</v>
      </c>
      <c r="N93" s="9">
        <v>0</v>
      </c>
      <c r="O93" s="5">
        <v>1</v>
      </c>
      <c r="P93" s="5">
        <v>10</v>
      </c>
      <c r="Q93" s="5">
        <v>0</v>
      </c>
      <c r="R93" s="9">
        <v>0</v>
      </c>
      <c r="S93" s="5">
        <v>0</v>
      </c>
      <c r="T93" s="5">
        <v>0</v>
      </c>
    </row>
    <row r="94" spans="1:20" x14ac:dyDescent="0.2">
      <c r="A94" s="5" t="s">
        <v>123</v>
      </c>
      <c r="B94" s="9" t="s">
        <v>75</v>
      </c>
      <c r="C94" s="5" t="s">
        <v>823</v>
      </c>
      <c r="D94" s="7">
        <f t="shared" si="0"/>
        <v>2.9000000000000004</v>
      </c>
      <c r="E94" s="5">
        <v>0</v>
      </c>
      <c r="F94" s="5">
        <v>0</v>
      </c>
      <c r="G94" s="5">
        <v>0</v>
      </c>
      <c r="H94" s="5">
        <v>0</v>
      </c>
      <c r="I94" s="5">
        <v>0</v>
      </c>
      <c r="J94" s="9">
        <v>0</v>
      </c>
      <c r="K94" s="5">
        <v>4</v>
      </c>
      <c r="L94" s="5">
        <v>17</v>
      </c>
      <c r="M94" s="5">
        <v>0</v>
      </c>
      <c r="N94" s="9">
        <v>0</v>
      </c>
      <c r="O94" s="5">
        <v>1</v>
      </c>
      <c r="P94" s="5">
        <v>2</v>
      </c>
      <c r="Q94" s="5">
        <v>0</v>
      </c>
      <c r="R94" s="9">
        <v>0</v>
      </c>
      <c r="S94" s="5">
        <v>0</v>
      </c>
      <c r="T94" s="5">
        <v>0</v>
      </c>
    </row>
    <row r="95" spans="1:20" x14ac:dyDescent="0.2">
      <c r="A95" s="5" t="s">
        <v>783</v>
      </c>
      <c r="B95" s="9" t="s">
        <v>75</v>
      </c>
      <c r="C95" s="5" t="s">
        <v>818</v>
      </c>
      <c r="D95" s="7">
        <f t="shared" si="0"/>
        <v>2</v>
      </c>
      <c r="E95" s="5">
        <v>0</v>
      </c>
      <c r="F95" s="5">
        <v>0</v>
      </c>
      <c r="G95" s="5">
        <v>0</v>
      </c>
      <c r="H95" s="5">
        <v>0</v>
      </c>
      <c r="I95" s="5">
        <v>0</v>
      </c>
      <c r="J95" s="9">
        <v>0</v>
      </c>
      <c r="K95" s="5">
        <v>7</v>
      </c>
      <c r="L95" s="5">
        <v>20</v>
      </c>
      <c r="M95" s="5">
        <v>0</v>
      </c>
      <c r="N95" s="9">
        <v>0</v>
      </c>
      <c r="O95" s="5">
        <v>0</v>
      </c>
      <c r="P95" s="5">
        <v>0</v>
      </c>
      <c r="Q95" s="5">
        <v>0</v>
      </c>
      <c r="R95" s="9">
        <v>0</v>
      </c>
      <c r="S95" s="5">
        <v>0</v>
      </c>
      <c r="T95" s="5">
        <v>0</v>
      </c>
    </row>
    <row r="96" spans="1:20" x14ac:dyDescent="0.2">
      <c r="A96" s="5" t="s">
        <v>575</v>
      </c>
      <c r="B96" s="9" t="s">
        <v>75</v>
      </c>
      <c r="C96" s="5" t="s">
        <v>817</v>
      </c>
      <c r="D96" s="7">
        <f t="shared" si="0"/>
        <v>2.5</v>
      </c>
      <c r="E96" s="5">
        <v>0</v>
      </c>
      <c r="F96" s="5">
        <v>0</v>
      </c>
      <c r="G96" s="5">
        <v>0</v>
      </c>
      <c r="H96" s="5">
        <v>0</v>
      </c>
      <c r="I96" s="5">
        <v>0</v>
      </c>
      <c r="J96" s="9">
        <v>0</v>
      </c>
      <c r="K96" s="5">
        <v>4</v>
      </c>
      <c r="L96" s="5">
        <v>2</v>
      </c>
      <c r="M96" s="5">
        <v>0</v>
      </c>
      <c r="N96" s="9">
        <v>0</v>
      </c>
      <c r="O96" s="5">
        <v>1</v>
      </c>
      <c r="P96" s="5">
        <v>13</v>
      </c>
      <c r="Q96" s="5">
        <v>0</v>
      </c>
      <c r="R96" s="9">
        <v>0</v>
      </c>
      <c r="S96" s="5">
        <v>0</v>
      </c>
      <c r="T96" s="5">
        <v>0</v>
      </c>
    </row>
    <row r="97" spans="1:20" x14ac:dyDescent="0.2">
      <c r="A97" s="5" t="s">
        <v>519</v>
      </c>
      <c r="B97" s="9" t="s">
        <v>75</v>
      </c>
      <c r="C97" s="5" t="s">
        <v>826</v>
      </c>
      <c r="D97" s="7">
        <f t="shared" si="0"/>
        <v>3.8000000000000003</v>
      </c>
      <c r="E97" s="5">
        <v>0</v>
      </c>
      <c r="F97" s="5">
        <v>0</v>
      </c>
      <c r="G97" s="5">
        <v>0</v>
      </c>
      <c r="H97" s="5">
        <v>0</v>
      </c>
      <c r="I97" s="5">
        <v>0</v>
      </c>
      <c r="J97" s="9">
        <v>0</v>
      </c>
      <c r="K97" s="5">
        <v>3</v>
      </c>
      <c r="L97" s="5">
        <v>19</v>
      </c>
      <c r="M97" s="5">
        <v>0</v>
      </c>
      <c r="N97" s="9">
        <v>0</v>
      </c>
      <c r="O97" s="5">
        <v>1</v>
      </c>
      <c r="P97" s="5">
        <v>9</v>
      </c>
      <c r="Q97" s="5">
        <v>0</v>
      </c>
      <c r="R97" s="9">
        <v>0</v>
      </c>
      <c r="S97" s="5">
        <v>0</v>
      </c>
      <c r="T97" s="5">
        <v>0</v>
      </c>
    </row>
    <row r="98" spans="1:20" x14ac:dyDescent="0.2">
      <c r="A98" s="5" t="s">
        <v>82</v>
      </c>
      <c r="B98" s="9" t="s">
        <v>75</v>
      </c>
      <c r="C98" s="5" t="s">
        <v>822</v>
      </c>
      <c r="D98" s="7">
        <f t="shared" si="0"/>
        <v>2</v>
      </c>
      <c r="E98" s="5">
        <v>0</v>
      </c>
      <c r="F98" s="5">
        <v>0</v>
      </c>
      <c r="G98" s="5">
        <v>0</v>
      </c>
      <c r="H98" s="5">
        <v>0</v>
      </c>
      <c r="I98" s="5">
        <v>0</v>
      </c>
      <c r="J98" s="9">
        <v>0</v>
      </c>
      <c r="K98" s="5">
        <v>5</v>
      </c>
      <c r="L98" s="5">
        <v>20</v>
      </c>
      <c r="M98" s="5">
        <v>0</v>
      </c>
      <c r="N98" s="9">
        <v>0</v>
      </c>
      <c r="O98" s="5">
        <v>0</v>
      </c>
      <c r="P98" s="5">
        <v>0</v>
      </c>
      <c r="Q98" s="5">
        <v>0</v>
      </c>
      <c r="R98" s="9">
        <v>0</v>
      </c>
      <c r="S98" s="5">
        <v>0</v>
      </c>
      <c r="T98" s="5">
        <v>0</v>
      </c>
    </row>
    <row r="99" spans="1:20" x14ac:dyDescent="0.2">
      <c r="A99" s="5" t="s">
        <v>528</v>
      </c>
      <c r="B99" s="9" t="s">
        <v>75</v>
      </c>
      <c r="C99" s="5" t="s">
        <v>814</v>
      </c>
      <c r="D99" s="7">
        <f t="shared" si="0"/>
        <v>2</v>
      </c>
      <c r="E99" s="5">
        <v>0</v>
      </c>
      <c r="F99" s="5">
        <v>0</v>
      </c>
      <c r="G99" s="5">
        <v>0</v>
      </c>
      <c r="H99" s="5">
        <v>0</v>
      </c>
      <c r="I99" s="5">
        <v>0</v>
      </c>
      <c r="J99" s="9">
        <v>0</v>
      </c>
      <c r="K99" s="5">
        <v>5</v>
      </c>
      <c r="L99" s="5">
        <v>20</v>
      </c>
      <c r="M99" s="5">
        <v>0</v>
      </c>
      <c r="N99" s="9">
        <v>0</v>
      </c>
      <c r="O99" s="5">
        <v>0</v>
      </c>
      <c r="P99" s="5">
        <v>0</v>
      </c>
      <c r="Q99" s="5">
        <v>0</v>
      </c>
      <c r="R99" s="9">
        <v>0</v>
      </c>
      <c r="S99" s="5">
        <v>0</v>
      </c>
      <c r="T99" s="5">
        <v>0</v>
      </c>
    </row>
    <row r="100" spans="1:20" x14ac:dyDescent="0.2">
      <c r="A100" s="5" t="s">
        <v>380</v>
      </c>
      <c r="B100" s="9" t="s">
        <v>75</v>
      </c>
      <c r="C100" s="5" t="s">
        <v>824</v>
      </c>
      <c r="D100" s="7">
        <f t="shared" si="0"/>
        <v>1.7000000000000002</v>
      </c>
      <c r="E100" s="5">
        <v>0</v>
      </c>
      <c r="F100" s="5">
        <v>0</v>
      </c>
      <c r="G100" s="5">
        <v>0</v>
      </c>
      <c r="H100" s="5">
        <v>0</v>
      </c>
      <c r="I100" s="5">
        <v>0</v>
      </c>
      <c r="J100" s="9">
        <v>0</v>
      </c>
      <c r="K100" s="5">
        <v>0</v>
      </c>
      <c r="L100" s="5">
        <v>0</v>
      </c>
      <c r="M100" s="5">
        <v>0</v>
      </c>
      <c r="N100" s="9">
        <v>0</v>
      </c>
      <c r="O100" s="5">
        <v>1</v>
      </c>
      <c r="P100" s="5">
        <v>7</v>
      </c>
      <c r="Q100" s="5">
        <v>0</v>
      </c>
      <c r="R100" s="9">
        <v>0</v>
      </c>
      <c r="S100" s="5">
        <v>0</v>
      </c>
      <c r="T100" s="5">
        <v>0</v>
      </c>
    </row>
    <row r="101" spans="1:20" x14ac:dyDescent="0.2">
      <c r="A101" s="5" t="s">
        <v>112</v>
      </c>
      <c r="B101" s="9" t="s">
        <v>75</v>
      </c>
      <c r="C101" s="5" t="s">
        <v>825</v>
      </c>
      <c r="D101" s="7">
        <f t="shared" si="0"/>
        <v>1.6</v>
      </c>
      <c r="E101" s="5">
        <v>0</v>
      </c>
      <c r="F101" s="5">
        <v>0</v>
      </c>
      <c r="G101" s="5">
        <v>0</v>
      </c>
      <c r="H101" s="5">
        <v>0</v>
      </c>
      <c r="I101" s="5">
        <v>0</v>
      </c>
      <c r="J101" s="9">
        <v>0</v>
      </c>
      <c r="K101" s="5">
        <v>3</v>
      </c>
      <c r="L101" s="5">
        <v>16</v>
      </c>
      <c r="M101" s="5">
        <v>0</v>
      </c>
      <c r="N101" s="9">
        <v>0</v>
      </c>
      <c r="O101" s="5">
        <v>0</v>
      </c>
      <c r="P101" s="5">
        <v>0</v>
      </c>
      <c r="Q101" s="5">
        <v>0</v>
      </c>
      <c r="R101" s="9">
        <v>0</v>
      </c>
      <c r="S101" s="5">
        <v>0</v>
      </c>
      <c r="T101" s="5">
        <v>0</v>
      </c>
    </row>
    <row r="102" spans="1:20" x14ac:dyDescent="0.2">
      <c r="A102" s="5" t="s">
        <v>124</v>
      </c>
      <c r="B102" s="9" t="s">
        <v>75</v>
      </c>
      <c r="C102" s="5" t="s">
        <v>828</v>
      </c>
      <c r="D102" s="7">
        <f t="shared" si="0"/>
        <v>2</v>
      </c>
      <c r="E102" s="5">
        <v>0</v>
      </c>
      <c r="F102" s="5">
        <v>0</v>
      </c>
      <c r="G102" s="5">
        <v>0</v>
      </c>
      <c r="H102" s="5">
        <v>0</v>
      </c>
      <c r="I102" s="5">
        <v>0</v>
      </c>
      <c r="J102" s="9">
        <v>0</v>
      </c>
      <c r="K102" s="5">
        <v>2</v>
      </c>
      <c r="L102" s="5">
        <v>1</v>
      </c>
      <c r="M102" s="5">
        <v>0</v>
      </c>
      <c r="N102" s="9">
        <v>0</v>
      </c>
      <c r="O102" s="5">
        <v>1</v>
      </c>
      <c r="P102" s="5">
        <v>9</v>
      </c>
      <c r="Q102" s="5">
        <v>0</v>
      </c>
      <c r="R102" s="9">
        <v>0</v>
      </c>
      <c r="S102" s="5">
        <v>0</v>
      </c>
      <c r="T102" s="5">
        <v>0</v>
      </c>
    </row>
    <row r="103" spans="1:20" x14ac:dyDescent="0.2">
      <c r="A103" s="5" t="s">
        <v>761</v>
      </c>
      <c r="B103" s="9" t="s">
        <v>75</v>
      </c>
      <c r="C103" s="5" t="s">
        <v>831</v>
      </c>
      <c r="D103" s="7">
        <f t="shared" si="0"/>
        <v>1.7999999999999998</v>
      </c>
      <c r="E103" s="5">
        <v>0</v>
      </c>
      <c r="F103" s="5">
        <v>0</v>
      </c>
      <c r="G103" s="5">
        <v>0</v>
      </c>
      <c r="H103" s="5">
        <v>0</v>
      </c>
      <c r="I103" s="5">
        <v>0</v>
      </c>
      <c r="J103" s="9">
        <v>0</v>
      </c>
      <c r="K103" s="5">
        <v>3</v>
      </c>
      <c r="L103" s="5">
        <v>4</v>
      </c>
      <c r="M103" s="5">
        <v>0</v>
      </c>
      <c r="N103" s="9">
        <v>0</v>
      </c>
      <c r="O103" s="5">
        <v>1</v>
      </c>
      <c r="P103" s="5">
        <v>4</v>
      </c>
      <c r="Q103" s="5">
        <v>0</v>
      </c>
      <c r="R103" s="9">
        <v>0</v>
      </c>
      <c r="S103" s="5">
        <v>0</v>
      </c>
      <c r="T103" s="5">
        <v>0</v>
      </c>
    </row>
    <row r="104" spans="1:20" x14ac:dyDescent="0.2">
      <c r="A104" s="5" t="s">
        <v>428</v>
      </c>
      <c r="B104" s="9" t="s">
        <v>75</v>
      </c>
      <c r="C104" s="5" t="s">
        <v>821</v>
      </c>
      <c r="D104" s="7">
        <f t="shared" si="0"/>
        <v>1.5</v>
      </c>
      <c r="E104" s="5">
        <v>0</v>
      </c>
      <c r="F104" s="5">
        <v>0</v>
      </c>
      <c r="G104" s="5">
        <v>0</v>
      </c>
      <c r="H104" s="5">
        <v>0</v>
      </c>
      <c r="I104" s="5">
        <v>0</v>
      </c>
      <c r="J104" s="9">
        <v>0</v>
      </c>
      <c r="K104" s="5">
        <v>0</v>
      </c>
      <c r="L104" s="5">
        <v>0</v>
      </c>
      <c r="M104" s="5">
        <v>0</v>
      </c>
      <c r="N104" s="9">
        <v>0</v>
      </c>
      <c r="O104" s="5">
        <v>1</v>
      </c>
      <c r="P104" s="5">
        <v>5</v>
      </c>
      <c r="Q104" s="5">
        <v>0</v>
      </c>
      <c r="R104" s="9">
        <v>0</v>
      </c>
      <c r="S104" s="5">
        <v>0</v>
      </c>
      <c r="T104" s="5">
        <v>0</v>
      </c>
    </row>
    <row r="105" spans="1:20" x14ac:dyDescent="0.2">
      <c r="A105" s="5" t="s">
        <v>655</v>
      </c>
      <c r="B105" s="9" t="s">
        <v>75</v>
      </c>
      <c r="C105" s="5" t="s">
        <v>818</v>
      </c>
      <c r="D105" s="7">
        <f t="shared" si="0"/>
        <v>2.4</v>
      </c>
      <c r="E105" s="5">
        <v>0</v>
      </c>
      <c r="F105" s="5">
        <v>0</v>
      </c>
      <c r="G105" s="5">
        <v>0</v>
      </c>
      <c r="H105" s="5">
        <v>0</v>
      </c>
      <c r="I105" s="5">
        <v>0</v>
      </c>
      <c r="J105" s="9">
        <v>0</v>
      </c>
      <c r="K105" s="5">
        <v>1</v>
      </c>
      <c r="L105" s="5">
        <v>5</v>
      </c>
      <c r="M105" s="5">
        <v>0</v>
      </c>
      <c r="N105" s="9">
        <v>0</v>
      </c>
      <c r="O105" s="5">
        <v>1</v>
      </c>
      <c r="P105" s="5">
        <v>9</v>
      </c>
      <c r="Q105" s="5">
        <v>0</v>
      </c>
      <c r="R105" s="9">
        <v>0</v>
      </c>
      <c r="S105" s="5">
        <v>0</v>
      </c>
      <c r="T105" s="5">
        <v>0</v>
      </c>
    </row>
    <row r="106" spans="1:20" x14ac:dyDescent="0.2">
      <c r="A106" s="5" t="s">
        <v>374</v>
      </c>
      <c r="B106" s="9" t="s">
        <v>75</v>
      </c>
      <c r="C106" s="5" t="s">
        <v>826</v>
      </c>
      <c r="D106" s="7">
        <f t="shared" si="0"/>
        <v>1.6</v>
      </c>
      <c r="E106" s="5">
        <v>0</v>
      </c>
      <c r="F106" s="5">
        <v>0</v>
      </c>
      <c r="G106" s="5">
        <v>0</v>
      </c>
      <c r="H106" s="5">
        <v>0</v>
      </c>
      <c r="I106" s="5">
        <v>0</v>
      </c>
      <c r="J106" s="9">
        <v>0</v>
      </c>
      <c r="K106" s="5">
        <v>6</v>
      </c>
      <c r="L106" s="5">
        <v>16</v>
      </c>
      <c r="M106" s="5">
        <v>0</v>
      </c>
      <c r="N106" s="9">
        <v>0</v>
      </c>
      <c r="O106" s="5">
        <v>0</v>
      </c>
      <c r="P106" s="5">
        <v>0</v>
      </c>
      <c r="Q106" s="5">
        <v>0</v>
      </c>
      <c r="R106" s="9">
        <v>0</v>
      </c>
      <c r="S106" s="5">
        <v>0</v>
      </c>
      <c r="T106" s="5">
        <v>0</v>
      </c>
    </row>
    <row r="107" spans="1:20" x14ac:dyDescent="0.2">
      <c r="A107" s="5" t="s">
        <v>94</v>
      </c>
      <c r="B107" s="9" t="s">
        <v>75</v>
      </c>
      <c r="C107" s="5" t="s">
        <v>830</v>
      </c>
      <c r="D107" s="7">
        <f t="shared" si="0"/>
        <v>1.8</v>
      </c>
      <c r="E107" s="5">
        <v>0</v>
      </c>
      <c r="F107" s="5">
        <v>0</v>
      </c>
      <c r="G107" s="5">
        <v>0</v>
      </c>
      <c r="H107" s="5">
        <v>0</v>
      </c>
      <c r="I107" s="5">
        <v>0</v>
      </c>
      <c r="J107" s="9">
        <v>0</v>
      </c>
      <c r="K107" s="5">
        <v>3</v>
      </c>
      <c r="L107" s="5">
        <v>18</v>
      </c>
      <c r="M107" s="5">
        <v>0</v>
      </c>
      <c r="N107" s="9">
        <v>0</v>
      </c>
      <c r="O107" s="5">
        <v>0</v>
      </c>
      <c r="P107" s="5">
        <v>0</v>
      </c>
      <c r="Q107" s="5">
        <v>0</v>
      </c>
      <c r="R107" s="9">
        <v>0</v>
      </c>
      <c r="S107" s="5">
        <v>0</v>
      </c>
      <c r="T107" s="5">
        <v>0</v>
      </c>
    </row>
    <row r="108" spans="1:20" x14ac:dyDescent="0.2">
      <c r="A108" s="5" t="s">
        <v>676</v>
      </c>
      <c r="B108" s="9" t="s">
        <v>75</v>
      </c>
      <c r="C108" s="5" t="s">
        <v>831</v>
      </c>
      <c r="D108" s="7">
        <f t="shared" si="0"/>
        <v>0.60000000000000009</v>
      </c>
      <c r="E108" s="5">
        <v>0</v>
      </c>
      <c r="F108" s="5">
        <v>0</v>
      </c>
      <c r="G108" s="5">
        <v>0</v>
      </c>
      <c r="H108" s="5">
        <v>0</v>
      </c>
      <c r="I108" s="5">
        <v>0</v>
      </c>
      <c r="J108" s="9">
        <v>0</v>
      </c>
      <c r="K108" s="5">
        <v>3</v>
      </c>
      <c r="L108" s="5">
        <v>6</v>
      </c>
      <c r="M108" s="5">
        <v>0</v>
      </c>
      <c r="N108" s="9">
        <v>0</v>
      </c>
      <c r="O108" s="5">
        <v>0</v>
      </c>
      <c r="P108" s="5">
        <v>0</v>
      </c>
      <c r="Q108" s="5">
        <v>0</v>
      </c>
      <c r="R108" s="9">
        <v>0</v>
      </c>
      <c r="S108" s="5">
        <v>0</v>
      </c>
      <c r="T108" s="5">
        <v>0</v>
      </c>
    </row>
    <row r="109" spans="1:20" x14ac:dyDescent="0.2">
      <c r="A109" s="5" t="s">
        <v>554</v>
      </c>
      <c r="B109" s="9" t="s">
        <v>75</v>
      </c>
      <c r="C109" s="5" t="s">
        <v>830</v>
      </c>
      <c r="D109" s="7">
        <f t="shared" si="0"/>
        <v>0.60000000000000009</v>
      </c>
      <c r="E109" s="5">
        <v>0</v>
      </c>
      <c r="F109" s="5">
        <v>0</v>
      </c>
      <c r="G109" s="5">
        <v>0</v>
      </c>
      <c r="H109" s="5">
        <v>0</v>
      </c>
      <c r="I109" s="5">
        <v>0</v>
      </c>
      <c r="J109" s="9">
        <v>0</v>
      </c>
      <c r="K109" s="5">
        <v>1</v>
      </c>
      <c r="L109" s="5">
        <v>6</v>
      </c>
      <c r="M109" s="5">
        <v>0</v>
      </c>
      <c r="N109" s="9">
        <v>0</v>
      </c>
      <c r="O109" s="5">
        <v>0</v>
      </c>
      <c r="P109" s="5">
        <v>0</v>
      </c>
      <c r="Q109" s="5">
        <v>0</v>
      </c>
      <c r="R109" s="9">
        <v>0</v>
      </c>
      <c r="S109" s="5">
        <v>0</v>
      </c>
      <c r="T109" s="5">
        <v>0</v>
      </c>
    </row>
    <row r="110" spans="1:20" x14ac:dyDescent="0.2">
      <c r="A110" s="5" t="s">
        <v>558</v>
      </c>
      <c r="B110" s="9" t="s">
        <v>75</v>
      </c>
      <c r="C110" s="5" t="s">
        <v>817</v>
      </c>
      <c r="D110" s="7">
        <f t="shared" si="0"/>
        <v>0.30000000000000004</v>
      </c>
      <c r="E110" s="5">
        <v>0</v>
      </c>
      <c r="F110" s="5">
        <v>0</v>
      </c>
      <c r="G110" s="5">
        <v>0</v>
      </c>
      <c r="H110" s="5">
        <v>0</v>
      </c>
      <c r="I110" s="5">
        <v>0</v>
      </c>
      <c r="J110" s="9">
        <v>0</v>
      </c>
      <c r="K110" s="5">
        <v>1</v>
      </c>
      <c r="L110" s="5">
        <v>3</v>
      </c>
      <c r="M110" s="5">
        <v>0</v>
      </c>
      <c r="N110" s="9">
        <v>0</v>
      </c>
      <c r="O110" s="5">
        <v>0</v>
      </c>
      <c r="P110" s="5">
        <v>0</v>
      </c>
      <c r="Q110" s="5">
        <v>0</v>
      </c>
      <c r="R110" s="9">
        <v>0</v>
      </c>
      <c r="S110" s="5">
        <v>0</v>
      </c>
      <c r="T110" s="5">
        <v>0</v>
      </c>
    </row>
    <row r="111" spans="1:20" x14ac:dyDescent="0.2">
      <c r="A111" s="5" t="s">
        <v>423</v>
      </c>
      <c r="B111" s="9" t="s">
        <v>75</v>
      </c>
      <c r="C111" s="5" t="s">
        <v>829</v>
      </c>
      <c r="D111" s="7">
        <f t="shared" si="0"/>
        <v>-0.19999999999999996</v>
      </c>
      <c r="E111" s="5">
        <v>0</v>
      </c>
      <c r="F111" s="5">
        <v>0</v>
      </c>
      <c r="G111" s="5">
        <v>0</v>
      </c>
      <c r="H111" s="5">
        <v>0</v>
      </c>
      <c r="I111" s="5">
        <v>0</v>
      </c>
      <c r="J111" s="9">
        <v>0</v>
      </c>
      <c r="K111" s="5">
        <v>7</v>
      </c>
      <c r="L111" s="5">
        <v>18</v>
      </c>
      <c r="M111" s="5">
        <v>0</v>
      </c>
      <c r="N111" s="9">
        <v>0</v>
      </c>
      <c r="O111" s="5">
        <v>0</v>
      </c>
      <c r="P111" s="5">
        <v>0</v>
      </c>
      <c r="Q111" s="5">
        <v>0</v>
      </c>
      <c r="R111" s="9">
        <v>0</v>
      </c>
      <c r="S111" s="5">
        <v>1</v>
      </c>
      <c r="T111" s="5">
        <v>0</v>
      </c>
    </row>
    <row r="112" spans="1:20" x14ac:dyDescent="0.2">
      <c r="A112" s="5" t="s">
        <v>675</v>
      </c>
      <c r="B112" s="9" t="s">
        <v>75</v>
      </c>
      <c r="C112" s="5" t="s">
        <v>815</v>
      </c>
      <c r="D112" s="7">
        <f t="shared" si="0"/>
        <v>0.30000000000000004</v>
      </c>
      <c r="E112" s="5">
        <v>0</v>
      </c>
      <c r="F112" s="5">
        <v>0</v>
      </c>
      <c r="G112" s="5">
        <v>0</v>
      </c>
      <c r="H112" s="5">
        <v>0</v>
      </c>
      <c r="I112" s="5">
        <v>0</v>
      </c>
      <c r="J112" s="9">
        <v>0</v>
      </c>
      <c r="K112" s="5">
        <v>1</v>
      </c>
      <c r="L112" s="5">
        <v>3</v>
      </c>
      <c r="M112" s="5">
        <v>0</v>
      </c>
      <c r="N112" s="9">
        <v>0</v>
      </c>
      <c r="O112" s="5">
        <v>0</v>
      </c>
      <c r="P112" s="5">
        <v>0</v>
      </c>
      <c r="Q112" s="5">
        <v>0</v>
      </c>
      <c r="R112" s="9">
        <v>0</v>
      </c>
      <c r="S112" s="5">
        <v>0</v>
      </c>
      <c r="T112" s="5">
        <v>0</v>
      </c>
    </row>
    <row r="113" spans="1:20" x14ac:dyDescent="0.2">
      <c r="A113" s="5" t="s">
        <v>156</v>
      </c>
      <c r="B113" s="9" t="s">
        <v>75</v>
      </c>
      <c r="C113" s="5" t="s">
        <v>825</v>
      </c>
      <c r="D113" s="7">
        <f t="shared" si="0"/>
        <v>-0.1</v>
      </c>
      <c r="E113" s="5">
        <v>0</v>
      </c>
      <c r="F113" s="5">
        <v>0</v>
      </c>
      <c r="G113" s="5">
        <v>0</v>
      </c>
      <c r="H113" s="5">
        <v>0</v>
      </c>
      <c r="I113" s="5">
        <v>0</v>
      </c>
      <c r="J113" s="9">
        <v>0</v>
      </c>
      <c r="K113" s="5">
        <v>1</v>
      </c>
      <c r="L113" s="5">
        <v>-1</v>
      </c>
      <c r="M113" s="5">
        <v>0</v>
      </c>
      <c r="N113" s="9">
        <v>0</v>
      </c>
      <c r="O113" s="5">
        <v>0</v>
      </c>
      <c r="P113" s="5">
        <v>0</v>
      </c>
      <c r="Q113" s="5">
        <v>0</v>
      </c>
      <c r="R113" s="9">
        <v>0</v>
      </c>
      <c r="S113" s="5">
        <v>0</v>
      </c>
      <c r="T113" s="5">
        <v>0</v>
      </c>
    </row>
    <row r="114" spans="1:20" x14ac:dyDescent="0.2">
      <c r="A114" s="5" t="s">
        <v>86</v>
      </c>
      <c r="B114" s="9" t="s">
        <v>75</v>
      </c>
      <c r="C114" s="5" t="s">
        <v>828</v>
      </c>
      <c r="D114" s="7">
        <f t="shared" si="0"/>
        <v>0.1</v>
      </c>
      <c r="E114" s="5">
        <v>0</v>
      </c>
      <c r="F114" s="5">
        <v>0</v>
      </c>
      <c r="G114" s="5">
        <v>0</v>
      </c>
      <c r="H114" s="5">
        <v>0</v>
      </c>
      <c r="I114" s="5">
        <v>0</v>
      </c>
      <c r="J114" s="9">
        <v>0</v>
      </c>
      <c r="K114" s="5">
        <v>2</v>
      </c>
      <c r="L114" s="5">
        <v>1</v>
      </c>
      <c r="M114" s="5">
        <v>0</v>
      </c>
      <c r="N114" s="9">
        <v>0</v>
      </c>
      <c r="O114" s="5">
        <v>0</v>
      </c>
      <c r="P114" s="5">
        <v>0</v>
      </c>
      <c r="Q114" s="5">
        <v>0</v>
      </c>
      <c r="R114" s="9">
        <v>0</v>
      </c>
      <c r="S114" s="5">
        <v>0</v>
      </c>
      <c r="T114" s="5">
        <v>0</v>
      </c>
    </row>
    <row r="115" spans="1:20" x14ac:dyDescent="0.2">
      <c r="A115" s="5" t="s">
        <v>147</v>
      </c>
      <c r="B115" s="9" t="s">
        <v>75</v>
      </c>
      <c r="C115" s="5" t="s">
        <v>824</v>
      </c>
      <c r="D115" s="7">
        <f t="shared" si="0"/>
        <v>0.60000000000000009</v>
      </c>
      <c r="E115" s="5">
        <v>0</v>
      </c>
      <c r="F115" s="5">
        <v>0</v>
      </c>
      <c r="G115" s="5">
        <v>0</v>
      </c>
      <c r="H115" s="5">
        <v>0</v>
      </c>
      <c r="I115" s="5">
        <v>0</v>
      </c>
      <c r="J115" s="9">
        <v>0</v>
      </c>
      <c r="K115" s="5">
        <v>4</v>
      </c>
      <c r="L115" s="5">
        <v>6</v>
      </c>
      <c r="M115" s="5">
        <v>0</v>
      </c>
      <c r="N115" s="9">
        <v>0</v>
      </c>
      <c r="O115" s="5">
        <v>0</v>
      </c>
      <c r="P115" s="5">
        <v>0</v>
      </c>
      <c r="Q115" s="5">
        <v>0</v>
      </c>
      <c r="R115" s="9">
        <v>0</v>
      </c>
      <c r="S115" s="5">
        <v>0</v>
      </c>
      <c r="T115" s="5">
        <v>0</v>
      </c>
    </row>
    <row r="116" spans="1:20" x14ac:dyDescent="0.2">
      <c r="A116" s="5" t="s">
        <v>150</v>
      </c>
      <c r="B116" s="9" t="s">
        <v>75</v>
      </c>
      <c r="C116" s="5" t="s">
        <v>826</v>
      </c>
      <c r="D116" s="7">
        <f t="shared" si="0"/>
        <v>0.5</v>
      </c>
      <c r="E116" s="5">
        <v>0</v>
      </c>
      <c r="F116" s="5">
        <v>0</v>
      </c>
      <c r="G116" s="5">
        <v>0</v>
      </c>
      <c r="H116" s="5">
        <v>0</v>
      </c>
      <c r="I116" s="5">
        <v>0</v>
      </c>
      <c r="J116" s="9">
        <v>0</v>
      </c>
      <c r="K116" s="5">
        <v>3</v>
      </c>
      <c r="L116" s="5">
        <v>5</v>
      </c>
      <c r="M116" s="5">
        <v>0</v>
      </c>
      <c r="N116" s="9">
        <v>0</v>
      </c>
      <c r="O116" s="5">
        <v>0</v>
      </c>
      <c r="P116" s="5">
        <v>0</v>
      </c>
      <c r="Q116" s="5">
        <v>0</v>
      </c>
      <c r="R116" s="9">
        <v>0</v>
      </c>
      <c r="S116" s="5">
        <v>0</v>
      </c>
      <c r="T116" s="5">
        <v>0</v>
      </c>
    </row>
    <row r="117" spans="1:20" x14ac:dyDescent="0.2">
      <c r="A117" s="5" t="s">
        <v>160</v>
      </c>
      <c r="B117" s="9" t="s">
        <v>75</v>
      </c>
      <c r="C117" s="5" t="s">
        <v>821</v>
      </c>
      <c r="D117" s="7">
        <f t="shared" si="0"/>
        <v>-0.2</v>
      </c>
      <c r="E117" s="5">
        <v>0</v>
      </c>
      <c r="F117" s="5">
        <v>0</v>
      </c>
      <c r="G117" s="5">
        <v>0</v>
      </c>
      <c r="H117" s="5">
        <v>0</v>
      </c>
      <c r="I117" s="5">
        <v>0</v>
      </c>
      <c r="J117" s="9">
        <v>0</v>
      </c>
      <c r="K117" s="5">
        <v>1</v>
      </c>
      <c r="L117" s="5">
        <v>-2</v>
      </c>
      <c r="M117" s="5">
        <v>0</v>
      </c>
      <c r="N117" s="9">
        <v>0</v>
      </c>
      <c r="O117" s="5">
        <v>0</v>
      </c>
      <c r="P117" s="5">
        <v>0</v>
      </c>
      <c r="Q117" s="5">
        <v>0</v>
      </c>
      <c r="R117" s="9">
        <v>0</v>
      </c>
      <c r="S117" s="5">
        <v>0</v>
      </c>
      <c r="T117" s="5">
        <v>0</v>
      </c>
    </row>
    <row r="118" spans="1:20" x14ac:dyDescent="0.2">
      <c r="A118" s="5" t="s">
        <v>167</v>
      </c>
      <c r="B118" s="9" t="s">
        <v>162</v>
      </c>
      <c r="C118" s="5" t="s">
        <v>819</v>
      </c>
      <c r="D118" s="7">
        <f t="shared" si="0"/>
        <v>36</v>
      </c>
      <c r="E118" s="5">
        <v>0</v>
      </c>
      <c r="F118" s="5">
        <v>0</v>
      </c>
      <c r="G118" s="5">
        <v>0</v>
      </c>
      <c r="H118" s="5">
        <v>0</v>
      </c>
      <c r="I118" s="5">
        <v>0</v>
      </c>
      <c r="J118" s="9">
        <v>0</v>
      </c>
      <c r="K118" s="5">
        <v>1</v>
      </c>
      <c r="L118" s="5">
        <v>-12</v>
      </c>
      <c r="M118" s="5">
        <v>0</v>
      </c>
      <c r="N118" s="9">
        <v>0</v>
      </c>
      <c r="O118" s="5">
        <v>12</v>
      </c>
      <c r="P118" s="5">
        <v>192</v>
      </c>
      <c r="Q118" s="5">
        <v>1</v>
      </c>
      <c r="R118" s="9">
        <v>0</v>
      </c>
      <c r="S118" s="5">
        <v>0</v>
      </c>
      <c r="T118" s="5">
        <v>0</v>
      </c>
    </row>
    <row r="119" spans="1:20" x14ac:dyDescent="0.2">
      <c r="A119" s="5" t="s">
        <v>183</v>
      </c>
      <c r="B119" s="9" t="s">
        <v>162</v>
      </c>
      <c r="C119" s="5" t="s">
        <v>820</v>
      </c>
      <c r="D119" s="7">
        <f t="shared" si="0"/>
        <v>34.5</v>
      </c>
      <c r="E119" s="5">
        <v>0</v>
      </c>
      <c r="F119" s="5">
        <v>0</v>
      </c>
      <c r="G119" s="5">
        <v>0</v>
      </c>
      <c r="H119" s="5">
        <v>0</v>
      </c>
      <c r="I119" s="5">
        <v>0</v>
      </c>
      <c r="J119" s="9">
        <v>0</v>
      </c>
      <c r="K119" s="5">
        <v>0</v>
      </c>
      <c r="L119" s="5">
        <v>0</v>
      </c>
      <c r="M119" s="5">
        <v>0</v>
      </c>
      <c r="N119" s="9">
        <v>0</v>
      </c>
      <c r="O119" s="5">
        <v>9</v>
      </c>
      <c r="P119" s="5">
        <v>195</v>
      </c>
      <c r="Q119" s="5">
        <v>1</v>
      </c>
      <c r="R119" s="9">
        <v>0</v>
      </c>
      <c r="S119" s="5">
        <v>0</v>
      </c>
      <c r="T119" s="5">
        <v>0</v>
      </c>
    </row>
    <row r="120" spans="1:20" x14ac:dyDescent="0.2">
      <c r="A120" s="5" t="s">
        <v>192</v>
      </c>
      <c r="B120" s="9" t="s">
        <v>162</v>
      </c>
      <c r="C120" s="5" t="s">
        <v>815</v>
      </c>
      <c r="D120" s="7">
        <f t="shared" si="0"/>
        <v>35.5</v>
      </c>
      <c r="E120" s="5">
        <v>0</v>
      </c>
      <c r="F120" s="5">
        <v>0</v>
      </c>
      <c r="G120" s="5">
        <v>0</v>
      </c>
      <c r="H120" s="5">
        <v>0</v>
      </c>
      <c r="I120" s="5">
        <v>0</v>
      </c>
      <c r="J120" s="9">
        <v>0</v>
      </c>
      <c r="K120" s="5">
        <v>1</v>
      </c>
      <c r="L120" s="5">
        <v>7</v>
      </c>
      <c r="M120" s="5">
        <v>0</v>
      </c>
      <c r="N120" s="9">
        <v>0</v>
      </c>
      <c r="O120" s="5">
        <v>13</v>
      </c>
      <c r="P120" s="5">
        <v>98</v>
      </c>
      <c r="Q120" s="5">
        <v>2</v>
      </c>
      <c r="R120" s="9">
        <v>0</v>
      </c>
      <c r="S120" s="5">
        <v>0</v>
      </c>
      <c r="T120" s="5">
        <v>0</v>
      </c>
    </row>
    <row r="121" spans="1:20" x14ac:dyDescent="0.2">
      <c r="A121" s="5" t="s">
        <v>173</v>
      </c>
      <c r="B121" s="9" t="s">
        <v>162</v>
      </c>
      <c r="C121" s="5" t="s">
        <v>819</v>
      </c>
      <c r="D121" s="7">
        <f t="shared" si="0"/>
        <v>27.4</v>
      </c>
      <c r="E121" s="5">
        <v>0</v>
      </c>
      <c r="F121" s="5">
        <v>0</v>
      </c>
      <c r="G121" s="5">
        <v>0</v>
      </c>
      <c r="H121" s="5">
        <v>0</v>
      </c>
      <c r="I121" s="5">
        <v>0</v>
      </c>
      <c r="J121" s="9">
        <v>0</v>
      </c>
      <c r="K121" s="5">
        <v>0</v>
      </c>
      <c r="L121" s="5">
        <v>0</v>
      </c>
      <c r="M121" s="5">
        <v>0</v>
      </c>
      <c r="N121" s="9">
        <v>0</v>
      </c>
      <c r="O121" s="5">
        <v>7</v>
      </c>
      <c r="P121" s="5">
        <v>144</v>
      </c>
      <c r="Q121" s="5">
        <v>1</v>
      </c>
      <c r="R121" s="9">
        <v>0</v>
      </c>
      <c r="S121" s="5">
        <v>0</v>
      </c>
      <c r="T121" s="5">
        <v>0</v>
      </c>
    </row>
    <row r="122" spans="1:20" x14ac:dyDescent="0.2">
      <c r="A122" s="5" t="s">
        <v>344</v>
      </c>
      <c r="B122" s="9" t="s">
        <v>162</v>
      </c>
      <c r="C122" s="5" t="s">
        <v>822</v>
      </c>
      <c r="D122" s="7">
        <f t="shared" si="0"/>
        <v>24.1</v>
      </c>
      <c r="E122" s="5">
        <v>0</v>
      </c>
      <c r="F122" s="5">
        <v>0</v>
      </c>
      <c r="G122" s="5">
        <v>0</v>
      </c>
      <c r="H122" s="5">
        <v>0</v>
      </c>
      <c r="I122" s="5">
        <v>0</v>
      </c>
      <c r="J122" s="9">
        <v>0</v>
      </c>
      <c r="K122" s="5">
        <v>0</v>
      </c>
      <c r="L122" s="5">
        <v>0</v>
      </c>
      <c r="M122" s="5">
        <v>0</v>
      </c>
      <c r="N122" s="9">
        <v>0</v>
      </c>
      <c r="O122" s="5">
        <v>6</v>
      </c>
      <c r="P122" s="5">
        <v>61</v>
      </c>
      <c r="Q122" s="5">
        <v>2</v>
      </c>
      <c r="R122" s="9">
        <v>0</v>
      </c>
      <c r="S122" s="5">
        <v>0</v>
      </c>
      <c r="T122" s="5">
        <v>0</v>
      </c>
    </row>
    <row r="123" spans="1:20" x14ac:dyDescent="0.2">
      <c r="A123" s="5" t="s">
        <v>249</v>
      </c>
      <c r="B123" s="9" t="s">
        <v>162</v>
      </c>
      <c r="C123" s="5" t="s">
        <v>826</v>
      </c>
      <c r="D123" s="7">
        <f t="shared" si="0"/>
        <v>23.3</v>
      </c>
      <c r="E123" s="5">
        <v>0</v>
      </c>
      <c r="F123" s="5">
        <v>0</v>
      </c>
      <c r="G123" s="5">
        <v>0</v>
      </c>
      <c r="H123" s="5">
        <v>0</v>
      </c>
      <c r="I123" s="5">
        <v>0</v>
      </c>
      <c r="J123" s="9">
        <v>0</v>
      </c>
      <c r="K123" s="5">
        <v>0</v>
      </c>
      <c r="L123" s="5">
        <v>0</v>
      </c>
      <c r="M123" s="5">
        <v>0</v>
      </c>
      <c r="N123" s="9">
        <v>0</v>
      </c>
      <c r="O123" s="5">
        <v>8</v>
      </c>
      <c r="P123" s="5">
        <v>93</v>
      </c>
      <c r="Q123" s="5">
        <v>1</v>
      </c>
      <c r="R123" s="9">
        <v>0</v>
      </c>
      <c r="S123" s="5">
        <v>0</v>
      </c>
      <c r="T123" s="5">
        <v>0</v>
      </c>
    </row>
    <row r="124" spans="1:20" x14ac:dyDescent="0.2">
      <c r="A124" s="5" t="s">
        <v>358</v>
      </c>
      <c r="B124" s="9" t="s">
        <v>162</v>
      </c>
      <c r="C124" s="5" t="s">
        <v>821</v>
      </c>
      <c r="D124" s="7">
        <f t="shared" si="0"/>
        <v>22.8</v>
      </c>
      <c r="E124" s="5">
        <v>0</v>
      </c>
      <c r="F124" s="5">
        <v>0</v>
      </c>
      <c r="G124" s="5">
        <v>0</v>
      </c>
      <c r="H124" s="5">
        <v>0</v>
      </c>
      <c r="I124" s="5">
        <v>0</v>
      </c>
      <c r="J124" s="9">
        <v>0</v>
      </c>
      <c r="K124" s="5">
        <v>0</v>
      </c>
      <c r="L124" s="5">
        <v>0</v>
      </c>
      <c r="M124" s="5">
        <v>0</v>
      </c>
      <c r="N124" s="9">
        <v>0</v>
      </c>
      <c r="O124" s="5">
        <v>4</v>
      </c>
      <c r="P124" s="5">
        <v>68</v>
      </c>
      <c r="Q124" s="5">
        <v>2</v>
      </c>
      <c r="R124" s="9">
        <v>0</v>
      </c>
      <c r="S124" s="5">
        <v>0</v>
      </c>
      <c r="T124" s="5">
        <v>0</v>
      </c>
    </row>
    <row r="125" spans="1:20" x14ac:dyDescent="0.2">
      <c r="A125" s="5" t="s">
        <v>168</v>
      </c>
      <c r="B125" s="9" t="s">
        <v>162</v>
      </c>
      <c r="C125" s="5" t="s">
        <v>825</v>
      </c>
      <c r="D125" s="7">
        <f t="shared" si="0"/>
        <v>22.6</v>
      </c>
      <c r="E125" s="5">
        <v>0</v>
      </c>
      <c r="F125" s="5">
        <v>0</v>
      </c>
      <c r="G125" s="5">
        <v>0</v>
      </c>
      <c r="H125" s="5">
        <v>0</v>
      </c>
      <c r="I125" s="5">
        <v>0</v>
      </c>
      <c r="J125" s="9">
        <v>0</v>
      </c>
      <c r="K125" s="5">
        <v>0</v>
      </c>
      <c r="L125" s="5">
        <v>0</v>
      </c>
      <c r="M125" s="5">
        <v>0</v>
      </c>
      <c r="N125" s="9">
        <v>0</v>
      </c>
      <c r="O125" s="5">
        <v>6</v>
      </c>
      <c r="P125" s="5">
        <v>106</v>
      </c>
      <c r="Q125" s="5">
        <v>1</v>
      </c>
      <c r="R125" s="9">
        <v>0</v>
      </c>
      <c r="S125" s="5">
        <v>0</v>
      </c>
      <c r="T125" s="5">
        <v>0</v>
      </c>
    </row>
    <row r="126" spans="1:20" x14ac:dyDescent="0.2">
      <c r="A126" s="5" t="s">
        <v>161</v>
      </c>
      <c r="B126" s="9" t="s">
        <v>162</v>
      </c>
      <c r="C126" s="5" t="s">
        <v>818</v>
      </c>
      <c r="D126" s="7">
        <f t="shared" si="0"/>
        <v>21.200000000000003</v>
      </c>
      <c r="E126" s="5">
        <v>0</v>
      </c>
      <c r="F126" s="5">
        <v>0</v>
      </c>
      <c r="G126" s="5">
        <v>0</v>
      </c>
      <c r="H126" s="5">
        <v>0</v>
      </c>
      <c r="I126" s="5">
        <v>0</v>
      </c>
      <c r="J126" s="9">
        <v>0</v>
      </c>
      <c r="K126" s="5">
        <v>0</v>
      </c>
      <c r="L126" s="5">
        <v>0</v>
      </c>
      <c r="M126" s="5">
        <v>0</v>
      </c>
      <c r="N126" s="9">
        <v>0</v>
      </c>
      <c r="O126" s="5">
        <v>7</v>
      </c>
      <c r="P126" s="5">
        <v>82</v>
      </c>
      <c r="Q126" s="5">
        <v>1</v>
      </c>
      <c r="R126" s="9">
        <v>0</v>
      </c>
      <c r="S126" s="5">
        <v>0</v>
      </c>
      <c r="T126" s="5">
        <v>0</v>
      </c>
    </row>
    <row r="127" spans="1:20" x14ac:dyDescent="0.2">
      <c r="A127" s="5" t="s">
        <v>164</v>
      </c>
      <c r="B127" s="9" t="s">
        <v>162</v>
      </c>
      <c r="C127" s="5" t="s">
        <v>824</v>
      </c>
      <c r="D127" s="7">
        <f t="shared" si="0"/>
        <v>21.6</v>
      </c>
      <c r="E127" s="5">
        <v>0</v>
      </c>
      <c r="F127" s="5">
        <v>0</v>
      </c>
      <c r="G127" s="5">
        <v>0</v>
      </c>
      <c r="H127" s="5">
        <v>0</v>
      </c>
      <c r="I127" s="5">
        <v>0</v>
      </c>
      <c r="J127" s="9">
        <v>0</v>
      </c>
      <c r="K127" s="5">
        <v>1</v>
      </c>
      <c r="L127" s="5">
        <v>5</v>
      </c>
      <c r="M127" s="5">
        <v>1</v>
      </c>
      <c r="N127" s="9">
        <v>0</v>
      </c>
      <c r="O127" s="5">
        <v>3</v>
      </c>
      <c r="P127" s="5">
        <v>61</v>
      </c>
      <c r="Q127" s="5">
        <v>1</v>
      </c>
      <c r="R127" s="9">
        <v>0</v>
      </c>
      <c r="S127" s="5">
        <v>0</v>
      </c>
      <c r="T127" s="5">
        <v>0</v>
      </c>
    </row>
    <row r="128" spans="1:20" x14ac:dyDescent="0.2">
      <c r="A128" s="5" t="s">
        <v>527</v>
      </c>
      <c r="B128" s="9" t="s">
        <v>162</v>
      </c>
      <c r="C128" s="5" t="s">
        <v>821</v>
      </c>
      <c r="D128" s="7">
        <f t="shared" si="0"/>
        <v>20.6</v>
      </c>
      <c r="E128" s="5">
        <v>0</v>
      </c>
      <c r="F128" s="5">
        <v>0</v>
      </c>
      <c r="G128" s="5">
        <v>0</v>
      </c>
      <c r="H128" s="5">
        <v>0</v>
      </c>
      <c r="I128" s="5">
        <v>0</v>
      </c>
      <c r="J128" s="9">
        <v>0</v>
      </c>
      <c r="K128" s="5">
        <v>0</v>
      </c>
      <c r="L128" s="5">
        <v>0</v>
      </c>
      <c r="M128" s="5">
        <v>0</v>
      </c>
      <c r="N128" s="9">
        <v>0</v>
      </c>
      <c r="O128" s="5">
        <v>5</v>
      </c>
      <c r="P128" s="5">
        <v>36</v>
      </c>
      <c r="Q128" s="5">
        <v>2</v>
      </c>
      <c r="R128" s="9">
        <v>0</v>
      </c>
      <c r="S128" s="5">
        <v>0</v>
      </c>
      <c r="T128" s="5">
        <v>0</v>
      </c>
    </row>
    <row r="129" spans="1:20" x14ac:dyDescent="0.2">
      <c r="A129" s="5" t="s">
        <v>647</v>
      </c>
      <c r="B129" s="9" t="s">
        <v>162</v>
      </c>
      <c r="C129" s="5" t="s">
        <v>814</v>
      </c>
      <c r="D129" s="7">
        <f t="shared" si="0"/>
        <v>20.3</v>
      </c>
      <c r="E129" s="5">
        <v>0</v>
      </c>
      <c r="F129" s="5">
        <v>0</v>
      </c>
      <c r="G129" s="5">
        <v>0</v>
      </c>
      <c r="H129" s="5">
        <v>0</v>
      </c>
      <c r="I129" s="5">
        <v>0</v>
      </c>
      <c r="J129" s="9">
        <v>0</v>
      </c>
      <c r="K129" s="5">
        <v>0</v>
      </c>
      <c r="L129" s="5">
        <v>0</v>
      </c>
      <c r="M129" s="5">
        <v>0</v>
      </c>
      <c r="N129" s="9">
        <v>0</v>
      </c>
      <c r="O129" s="5">
        <v>3</v>
      </c>
      <c r="P129" s="5">
        <v>53</v>
      </c>
      <c r="Q129" s="5">
        <v>2</v>
      </c>
      <c r="R129" s="9">
        <v>0</v>
      </c>
      <c r="S129" s="5">
        <v>0</v>
      </c>
      <c r="T129" s="5">
        <v>0</v>
      </c>
    </row>
    <row r="130" spans="1:20" x14ac:dyDescent="0.2">
      <c r="A130" s="5" t="s">
        <v>214</v>
      </c>
      <c r="B130" s="9" t="s">
        <v>162</v>
      </c>
      <c r="C130" s="5" t="s">
        <v>829</v>
      </c>
      <c r="D130" s="7">
        <f t="shared" si="0"/>
        <v>18.899999999999999</v>
      </c>
      <c r="E130" s="5">
        <v>0</v>
      </c>
      <c r="F130" s="5">
        <v>0</v>
      </c>
      <c r="G130" s="5">
        <v>0</v>
      </c>
      <c r="H130" s="5">
        <v>0</v>
      </c>
      <c r="I130" s="5">
        <v>0</v>
      </c>
      <c r="J130" s="9">
        <v>0</v>
      </c>
      <c r="K130" s="5">
        <v>0</v>
      </c>
      <c r="L130" s="5">
        <v>0</v>
      </c>
      <c r="M130" s="5">
        <v>0</v>
      </c>
      <c r="N130" s="9">
        <v>0</v>
      </c>
      <c r="O130" s="5">
        <v>4</v>
      </c>
      <c r="P130" s="5">
        <v>89</v>
      </c>
      <c r="Q130" s="5">
        <v>1</v>
      </c>
      <c r="R130" s="9">
        <v>0</v>
      </c>
      <c r="S130" s="5">
        <v>0</v>
      </c>
      <c r="T130" s="5">
        <v>0</v>
      </c>
    </row>
    <row r="131" spans="1:20" x14ac:dyDescent="0.2">
      <c r="A131" s="5" t="s">
        <v>187</v>
      </c>
      <c r="B131" s="9" t="s">
        <v>162</v>
      </c>
      <c r="C131" s="5" t="s">
        <v>825</v>
      </c>
      <c r="D131" s="7">
        <f t="shared" si="0"/>
        <v>17.600000000000001</v>
      </c>
      <c r="E131" s="5">
        <v>1</v>
      </c>
      <c r="F131" s="5">
        <v>0</v>
      </c>
      <c r="G131" s="5">
        <v>0</v>
      </c>
      <c r="H131" s="5">
        <v>0</v>
      </c>
      <c r="I131" s="5">
        <v>0</v>
      </c>
      <c r="J131" s="9">
        <v>0</v>
      </c>
      <c r="K131" s="5">
        <v>0</v>
      </c>
      <c r="L131" s="5">
        <v>0</v>
      </c>
      <c r="M131" s="5">
        <v>0</v>
      </c>
      <c r="N131" s="9">
        <v>0</v>
      </c>
      <c r="O131" s="5">
        <v>7</v>
      </c>
      <c r="P131" s="5">
        <v>46</v>
      </c>
      <c r="Q131" s="5">
        <v>1</v>
      </c>
      <c r="R131" s="9">
        <v>0</v>
      </c>
      <c r="S131" s="5">
        <v>0</v>
      </c>
      <c r="T131" s="5">
        <v>0</v>
      </c>
    </row>
    <row r="132" spans="1:20" x14ac:dyDescent="0.2">
      <c r="A132" s="5" t="s">
        <v>241</v>
      </c>
      <c r="B132" s="9" t="s">
        <v>162</v>
      </c>
      <c r="C132" s="5" t="s">
        <v>823</v>
      </c>
      <c r="D132" s="7">
        <f t="shared" si="0"/>
        <v>17.100000000000001</v>
      </c>
      <c r="E132" s="5">
        <v>0</v>
      </c>
      <c r="F132" s="5">
        <v>0</v>
      </c>
      <c r="G132" s="5">
        <v>0</v>
      </c>
      <c r="H132" s="5">
        <v>0</v>
      </c>
      <c r="I132" s="5">
        <v>0</v>
      </c>
      <c r="J132" s="9">
        <v>0</v>
      </c>
      <c r="K132" s="5">
        <v>0</v>
      </c>
      <c r="L132" s="5">
        <v>0</v>
      </c>
      <c r="M132" s="5">
        <v>0</v>
      </c>
      <c r="N132" s="9">
        <v>0</v>
      </c>
      <c r="O132" s="5">
        <v>2</v>
      </c>
      <c r="P132" s="5">
        <v>71</v>
      </c>
      <c r="Q132" s="5">
        <v>1</v>
      </c>
      <c r="R132" s="9">
        <v>1</v>
      </c>
      <c r="S132" s="5">
        <v>0</v>
      </c>
      <c r="T132" s="5">
        <v>0</v>
      </c>
    </row>
    <row r="133" spans="1:20" x14ac:dyDescent="0.2">
      <c r="A133" s="5" t="s">
        <v>236</v>
      </c>
      <c r="B133" s="9" t="s">
        <v>162</v>
      </c>
      <c r="C133" s="5" t="s">
        <v>826</v>
      </c>
      <c r="D133" s="7">
        <f t="shared" si="0"/>
        <v>17.2</v>
      </c>
      <c r="E133" s="5">
        <v>0</v>
      </c>
      <c r="F133" s="5">
        <v>0</v>
      </c>
      <c r="G133" s="5">
        <v>0</v>
      </c>
      <c r="H133" s="5">
        <v>0</v>
      </c>
      <c r="I133" s="5">
        <v>0</v>
      </c>
      <c r="J133" s="9">
        <v>0</v>
      </c>
      <c r="K133" s="5">
        <v>0</v>
      </c>
      <c r="L133" s="5">
        <v>0</v>
      </c>
      <c r="M133" s="5">
        <v>0</v>
      </c>
      <c r="N133" s="9">
        <v>0</v>
      </c>
      <c r="O133" s="5">
        <v>5</v>
      </c>
      <c r="P133" s="5">
        <v>62</v>
      </c>
      <c r="Q133" s="5">
        <v>1</v>
      </c>
      <c r="R133" s="9">
        <v>0</v>
      </c>
      <c r="S133" s="5">
        <v>0</v>
      </c>
      <c r="T133" s="5">
        <v>0</v>
      </c>
    </row>
    <row r="134" spans="1:20" x14ac:dyDescent="0.2">
      <c r="A134" s="5" t="s">
        <v>360</v>
      </c>
      <c r="B134" s="9" t="s">
        <v>162</v>
      </c>
      <c r="C134" s="5" t="s">
        <v>824</v>
      </c>
      <c r="D134" s="7">
        <f t="shared" si="0"/>
        <v>16.899999999999999</v>
      </c>
      <c r="E134" s="5">
        <v>0</v>
      </c>
      <c r="F134" s="5">
        <v>0</v>
      </c>
      <c r="G134" s="5">
        <v>0</v>
      </c>
      <c r="H134" s="5">
        <v>0</v>
      </c>
      <c r="I134" s="5">
        <v>0</v>
      </c>
      <c r="J134" s="9">
        <v>0</v>
      </c>
      <c r="K134" s="5">
        <v>0</v>
      </c>
      <c r="L134" s="5">
        <v>0</v>
      </c>
      <c r="M134" s="5">
        <v>0</v>
      </c>
      <c r="N134" s="9">
        <v>0</v>
      </c>
      <c r="O134" s="5">
        <v>3</v>
      </c>
      <c r="P134" s="5">
        <v>79</v>
      </c>
      <c r="Q134" s="5">
        <v>1</v>
      </c>
      <c r="R134" s="9">
        <v>0</v>
      </c>
      <c r="S134" s="5">
        <v>0</v>
      </c>
      <c r="T134" s="5">
        <v>0</v>
      </c>
    </row>
    <row r="135" spans="1:20" x14ac:dyDescent="0.2">
      <c r="A135" s="5" t="s">
        <v>350</v>
      </c>
      <c r="B135" s="9" t="s">
        <v>162</v>
      </c>
      <c r="C135" s="5" t="s">
        <v>818</v>
      </c>
      <c r="D135" s="7">
        <f t="shared" si="0"/>
        <v>16.5</v>
      </c>
      <c r="E135" s="5">
        <v>0</v>
      </c>
      <c r="F135" s="5">
        <v>0</v>
      </c>
      <c r="G135" s="5">
        <v>0</v>
      </c>
      <c r="H135" s="5">
        <v>0</v>
      </c>
      <c r="I135" s="5">
        <v>0</v>
      </c>
      <c r="J135" s="9">
        <v>0</v>
      </c>
      <c r="K135" s="5">
        <v>0</v>
      </c>
      <c r="L135" s="5">
        <v>0</v>
      </c>
      <c r="M135" s="5">
        <v>0</v>
      </c>
      <c r="N135" s="9">
        <v>0</v>
      </c>
      <c r="O135" s="5">
        <v>6</v>
      </c>
      <c r="P135" s="5">
        <v>105</v>
      </c>
      <c r="Q135" s="5">
        <v>0</v>
      </c>
      <c r="R135" s="9">
        <v>0</v>
      </c>
      <c r="S135" s="5">
        <v>0</v>
      </c>
      <c r="T135" s="5">
        <v>0</v>
      </c>
    </row>
    <row r="136" spans="1:20" x14ac:dyDescent="0.2">
      <c r="A136" s="5" t="s">
        <v>190</v>
      </c>
      <c r="B136" s="9" t="s">
        <v>162</v>
      </c>
      <c r="C136" s="5" t="s">
        <v>824</v>
      </c>
      <c r="D136" s="7">
        <f t="shared" si="0"/>
        <v>15.600000000000001</v>
      </c>
      <c r="E136" s="5">
        <v>0</v>
      </c>
      <c r="F136" s="5">
        <v>0</v>
      </c>
      <c r="G136" s="5">
        <v>0</v>
      </c>
      <c r="H136" s="5">
        <v>0</v>
      </c>
      <c r="I136" s="5">
        <v>0</v>
      </c>
      <c r="J136" s="9">
        <v>0</v>
      </c>
      <c r="K136" s="5">
        <v>0</v>
      </c>
      <c r="L136" s="5">
        <v>0</v>
      </c>
      <c r="M136" s="5">
        <v>0</v>
      </c>
      <c r="N136" s="9">
        <v>0</v>
      </c>
      <c r="O136" s="5">
        <v>5</v>
      </c>
      <c r="P136" s="5">
        <v>46</v>
      </c>
      <c r="Q136" s="5">
        <v>1</v>
      </c>
      <c r="R136" s="9">
        <v>0</v>
      </c>
      <c r="S136" s="5">
        <v>0</v>
      </c>
      <c r="T136" s="5">
        <v>0</v>
      </c>
    </row>
    <row r="137" spans="1:20" x14ac:dyDescent="0.2">
      <c r="A137" s="5" t="s">
        <v>178</v>
      </c>
      <c r="B137" s="9" t="s">
        <v>162</v>
      </c>
      <c r="C137" s="5" t="s">
        <v>819</v>
      </c>
      <c r="D137" s="7">
        <f t="shared" si="0"/>
        <v>15.7</v>
      </c>
      <c r="E137" s="5">
        <v>0</v>
      </c>
      <c r="F137" s="5">
        <v>0</v>
      </c>
      <c r="G137" s="5">
        <v>0</v>
      </c>
      <c r="H137" s="5">
        <v>0</v>
      </c>
      <c r="I137" s="5">
        <v>0</v>
      </c>
      <c r="J137" s="9">
        <v>0</v>
      </c>
      <c r="K137" s="5">
        <v>0</v>
      </c>
      <c r="L137" s="5">
        <v>0</v>
      </c>
      <c r="M137" s="5">
        <v>0</v>
      </c>
      <c r="N137" s="9">
        <v>0</v>
      </c>
      <c r="O137" s="5">
        <v>4</v>
      </c>
      <c r="P137" s="5">
        <v>57</v>
      </c>
      <c r="Q137" s="5">
        <v>1</v>
      </c>
      <c r="R137" s="9">
        <v>0</v>
      </c>
      <c r="S137" s="5">
        <v>0</v>
      </c>
      <c r="T137" s="5">
        <v>0</v>
      </c>
    </row>
    <row r="138" spans="1:20" x14ac:dyDescent="0.2">
      <c r="A138" s="5" t="s">
        <v>233</v>
      </c>
      <c r="B138" s="9" t="s">
        <v>162</v>
      </c>
      <c r="C138" s="5" t="s">
        <v>815</v>
      </c>
      <c r="D138" s="7">
        <f t="shared" si="0"/>
        <v>16.2</v>
      </c>
      <c r="E138" s="5">
        <v>0</v>
      </c>
      <c r="F138" s="5">
        <v>0</v>
      </c>
      <c r="G138" s="5">
        <v>0</v>
      </c>
      <c r="H138" s="5">
        <v>0</v>
      </c>
      <c r="I138" s="5">
        <v>0</v>
      </c>
      <c r="J138" s="9">
        <v>0</v>
      </c>
      <c r="K138" s="5">
        <v>1</v>
      </c>
      <c r="L138" s="5">
        <v>3</v>
      </c>
      <c r="M138" s="5">
        <v>0</v>
      </c>
      <c r="N138" s="9">
        <v>0</v>
      </c>
      <c r="O138" s="5">
        <v>6</v>
      </c>
      <c r="P138" s="5">
        <v>39</v>
      </c>
      <c r="Q138" s="5">
        <v>1</v>
      </c>
      <c r="R138" s="9">
        <v>0</v>
      </c>
      <c r="S138" s="5">
        <v>0</v>
      </c>
      <c r="T138" s="5">
        <v>0</v>
      </c>
    </row>
    <row r="139" spans="1:20" x14ac:dyDescent="0.2">
      <c r="A139" s="5" t="s">
        <v>165</v>
      </c>
      <c r="B139" s="9" t="s">
        <v>162</v>
      </c>
      <c r="C139" s="5" t="s">
        <v>818</v>
      </c>
      <c r="D139" s="7">
        <f t="shared" si="0"/>
        <v>15.700000000000001</v>
      </c>
      <c r="E139" s="5">
        <v>0</v>
      </c>
      <c r="F139" s="5">
        <v>0</v>
      </c>
      <c r="G139" s="5">
        <v>0</v>
      </c>
      <c r="H139" s="5">
        <v>0</v>
      </c>
      <c r="I139" s="5">
        <v>0</v>
      </c>
      <c r="J139" s="9">
        <v>0</v>
      </c>
      <c r="K139" s="5">
        <v>0</v>
      </c>
      <c r="L139" s="5">
        <v>0</v>
      </c>
      <c r="M139" s="5">
        <v>0</v>
      </c>
      <c r="N139" s="9">
        <v>0</v>
      </c>
      <c r="O139" s="5">
        <v>7</v>
      </c>
      <c r="P139" s="5">
        <v>87</v>
      </c>
      <c r="Q139" s="5">
        <v>0</v>
      </c>
      <c r="R139" s="9">
        <v>0</v>
      </c>
      <c r="S139" s="5">
        <v>0</v>
      </c>
      <c r="T139" s="5">
        <v>0</v>
      </c>
    </row>
    <row r="140" spans="1:20" x14ac:dyDescent="0.2">
      <c r="A140" s="5" t="s">
        <v>225</v>
      </c>
      <c r="B140" s="9" t="s">
        <v>162</v>
      </c>
      <c r="C140" s="5" t="s">
        <v>822</v>
      </c>
      <c r="D140" s="7">
        <f t="shared" si="0"/>
        <v>15.200000000000001</v>
      </c>
      <c r="E140" s="5">
        <v>0</v>
      </c>
      <c r="F140" s="5">
        <v>0</v>
      </c>
      <c r="G140" s="5">
        <v>0</v>
      </c>
      <c r="H140" s="5">
        <v>0</v>
      </c>
      <c r="I140" s="5">
        <v>0</v>
      </c>
      <c r="J140" s="9">
        <v>0</v>
      </c>
      <c r="K140" s="5">
        <v>0</v>
      </c>
      <c r="L140" s="5">
        <v>0</v>
      </c>
      <c r="M140" s="5">
        <v>0</v>
      </c>
      <c r="N140" s="9">
        <v>0</v>
      </c>
      <c r="O140" s="5">
        <v>4</v>
      </c>
      <c r="P140" s="5">
        <v>112</v>
      </c>
      <c r="Q140" s="5">
        <v>0</v>
      </c>
      <c r="R140" s="9">
        <v>0</v>
      </c>
      <c r="S140" s="5">
        <v>0</v>
      </c>
      <c r="T140" s="5">
        <v>0</v>
      </c>
    </row>
    <row r="141" spans="1:20" x14ac:dyDescent="0.2">
      <c r="A141" s="5" t="s">
        <v>172</v>
      </c>
      <c r="B141" s="9" t="s">
        <v>162</v>
      </c>
      <c r="C141" s="5" t="s">
        <v>814</v>
      </c>
      <c r="D141" s="7">
        <f t="shared" si="0"/>
        <v>15.5</v>
      </c>
      <c r="E141" s="5">
        <v>0</v>
      </c>
      <c r="F141" s="5">
        <v>0</v>
      </c>
      <c r="G141" s="5">
        <v>0</v>
      </c>
      <c r="H141" s="5">
        <v>0</v>
      </c>
      <c r="I141" s="5">
        <v>0</v>
      </c>
      <c r="J141" s="9">
        <v>0</v>
      </c>
      <c r="K141" s="5">
        <v>0</v>
      </c>
      <c r="L141" s="5">
        <v>0</v>
      </c>
      <c r="M141" s="5">
        <v>0</v>
      </c>
      <c r="N141" s="9">
        <v>0</v>
      </c>
      <c r="O141" s="5">
        <v>3</v>
      </c>
      <c r="P141" s="5">
        <v>65</v>
      </c>
      <c r="Q141" s="5">
        <v>1</v>
      </c>
      <c r="R141" s="9">
        <v>0</v>
      </c>
      <c r="S141" s="5">
        <v>0</v>
      </c>
      <c r="T141" s="5">
        <v>0</v>
      </c>
    </row>
    <row r="142" spans="1:20" x14ac:dyDescent="0.2">
      <c r="A142" s="5" t="s">
        <v>250</v>
      </c>
      <c r="B142" s="9" t="s">
        <v>162</v>
      </c>
      <c r="C142" s="5" t="s">
        <v>823</v>
      </c>
      <c r="D142" s="7">
        <f t="shared" si="0"/>
        <v>15.5</v>
      </c>
      <c r="E142" s="5">
        <v>0</v>
      </c>
      <c r="F142" s="5">
        <v>0</v>
      </c>
      <c r="G142" s="5">
        <v>0</v>
      </c>
      <c r="H142" s="5">
        <v>0</v>
      </c>
      <c r="I142" s="5">
        <v>0</v>
      </c>
      <c r="J142" s="9">
        <v>0</v>
      </c>
      <c r="K142" s="5">
        <v>0</v>
      </c>
      <c r="L142" s="5">
        <v>0</v>
      </c>
      <c r="M142" s="5">
        <v>0</v>
      </c>
      <c r="N142" s="9">
        <v>0</v>
      </c>
      <c r="O142" s="5">
        <v>6</v>
      </c>
      <c r="P142" s="5">
        <v>95</v>
      </c>
      <c r="Q142" s="5">
        <v>0</v>
      </c>
      <c r="R142" s="9">
        <v>0</v>
      </c>
      <c r="S142" s="5">
        <v>0</v>
      </c>
      <c r="T142" s="5">
        <v>0</v>
      </c>
    </row>
    <row r="143" spans="1:20" x14ac:dyDescent="0.2">
      <c r="A143" s="5" t="s">
        <v>170</v>
      </c>
      <c r="B143" s="9" t="s">
        <v>162</v>
      </c>
      <c r="C143" s="5" t="s">
        <v>817</v>
      </c>
      <c r="D143" s="7">
        <f t="shared" si="0"/>
        <v>14.100000000000001</v>
      </c>
      <c r="E143" s="5">
        <v>0</v>
      </c>
      <c r="F143" s="5">
        <v>0</v>
      </c>
      <c r="G143" s="5">
        <v>0</v>
      </c>
      <c r="H143" s="5">
        <v>0</v>
      </c>
      <c r="I143" s="5">
        <v>0</v>
      </c>
      <c r="J143" s="9">
        <v>0</v>
      </c>
      <c r="K143" s="5">
        <v>0</v>
      </c>
      <c r="L143" s="5">
        <v>0</v>
      </c>
      <c r="M143" s="5">
        <v>0</v>
      </c>
      <c r="N143" s="9">
        <v>0</v>
      </c>
      <c r="O143" s="5">
        <v>4</v>
      </c>
      <c r="P143" s="5">
        <v>41</v>
      </c>
      <c r="Q143" s="5">
        <v>1</v>
      </c>
      <c r="R143" s="9">
        <v>0</v>
      </c>
      <c r="S143" s="5">
        <v>0</v>
      </c>
      <c r="T143" s="5">
        <v>0</v>
      </c>
    </row>
    <row r="144" spans="1:20" x14ac:dyDescent="0.2">
      <c r="A144" s="5" t="s">
        <v>171</v>
      </c>
      <c r="B144" s="9" t="s">
        <v>162</v>
      </c>
      <c r="C144" s="5" t="s">
        <v>814</v>
      </c>
      <c r="D144" s="7">
        <f t="shared" si="0"/>
        <v>14.600000000000001</v>
      </c>
      <c r="E144" s="5">
        <v>0</v>
      </c>
      <c r="F144" s="5">
        <v>0</v>
      </c>
      <c r="G144" s="5">
        <v>0</v>
      </c>
      <c r="H144" s="5">
        <v>0</v>
      </c>
      <c r="I144" s="5">
        <v>0</v>
      </c>
      <c r="J144" s="9">
        <v>0</v>
      </c>
      <c r="K144" s="5">
        <v>0</v>
      </c>
      <c r="L144" s="5">
        <v>0</v>
      </c>
      <c r="M144" s="5">
        <v>0</v>
      </c>
      <c r="N144" s="9">
        <v>0</v>
      </c>
      <c r="O144" s="5">
        <v>3</v>
      </c>
      <c r="P144" s="5">
        <v>56</v>
      </c>
      <c r="Q144" s="5">
        <v>1</v>
      </c>
      <c r="R144" s="9">
        <v>0</v>
      </c>
      <c r="S144" s="5">
        <v>0</v>
      </c>
      <c r="T144" s="5">
        <v>0</v>
      </c>
    </row>
    <row r="145" spans="1:20" x14ac:dyDescent="0.2">
      <c r="A145" s="5" t="s">
        <v>378</v>
      </c>
      <c r="B145" s="9" t="s">
        <v>162</v>
      </c>
      <c r="C145" s="5" t="s">
        <v>828</v>
      </c>
      <c r="D145" s="7">
        <f t="shared" si="0"/>
        <v>13.7</v>
      </c>
      <c r="E145" s="5">
        <v>0</v>
      </c>
      <c r="F145" s="5">
        <v>0</v>
      </c>
      <c r="G145" s="5">
        <v>0</v>
      </c>
      <c r="H145" s="5">
        <v>0</v>
      </c>
      <c r="I145" s="5">
        <v>0</v>
      </c>
      <c r="J145" s="9">
        <v>0</v>
      </c>
      <c r="K145" s="5">
        <v>0</v>
      </c>
      <c r="L145" s="5">
        <v>0</v>
      </c>
      <c r="M145" s="5">
        <v>0</v>
      </c>
      <c r="N145" s="9">
        <v>0</v>
      </c>
      <c r="O145" s="5">
        <v>6</v>
      </c>
      <c r="P145" s="5">
        <v>77</v>
      </c>
      <c r="Q145" s="5">
        <v>0</v>
      </c>
      <c r="R145" s="9">
        <v>0</v>
      </c>
      <c r="S145" s="5">
        <v>0</v>
      </c>
      <c r="T145" s="5">
        <v>0</v>
      </c>
    </row>
    <row r="146" spans="1:20" x14ac:dyDescent="0.2">
      <c r="A146" s="5" t="s">
        <v>427</v>
      </c>
      <c r="B146" s="9" t="s">
        <v>162</v>
      </c>
      <c r="C146" s="5" t="s">
        <v>826</v>
      </c>
      <c r="D146" s="7">
        <f t="shared" si="0"/>
        <v>13.5</v>
      </c>
      <c r="E146" s="5">
        <v>0</v>
      </c>
      <c r="F146" s="5">
        <v>0</v>
      </c>
      <c r="G146" s="5">
        <v>0</v>
      </c>
      <c r="H146" s="5">
        <v>0</v>
      </c>
      <c r="I146" s="5">
        <v>0</v>
      </c>
      <c r="J146" s="9">
        <v>0</v>
      </c>
      <c r="K146" s="5">
        <v>0</v>
      </c>
      <c r="L146" s="5">
        <v>0</v>
      </c>
      <c r="M146" s="5">
        <v>0</v>
      </c>
      <c r="N146" s="9">
        <v>0</v>
      </c>
      <c r="O146" s="5">
        <v>5</v>
      </c>
      <c r="P146" s="5">
        <v>85</v>
      </c>
      <c r="Q146" s="5">
        <v>0</v>
      </c>
      <c r="R146" s="9">
        <v>0</v>
      </c>
      <c r="S146" s="5">
        <v>0</v>
      </c>
      <c r="T146" s="5">
        <v>0</v>
      </c>
    </row>
    <row r="147" spans="1:20" x14ac:dyDescent="0.2">
      <c r="A147" s="5" t="s">
        <v>365</v>
      </c>
      <c r="B147" s="9" t="s">
        <v>162</v>
      </c>
      <c r="C147" s="5" t="s">
        <v>824</v>
      </c>
      <c r="D147" s="7">
        <f t="shared" si="0"/>
        <v>14</v>
      </c>
      <c r="E147" s="5">
        <v>0</v>
      </c>
      <c r="F147" s="5">
        <v>0</v>
      </c>
      <c r="G147" s="5">
        <v>0</v>
      </c>
      <c r="H147" s="5">
        <v>0</v>
      </c>
      <c r="I147" s="5">
        <v>0</v>
      </c>
      <c r="J147" s="9">
        <v>0</v>
      </c>
      <c r="K147" s="5">
        <v>1</v>
      </c>
      <c r="L147" s="5">
        <v>11</v>
      </c>
      <c r="M147" s="5">
        <v>0</v>
      </c>
      <c r="N147" s="9">
        <v>0</v>
      </c>
      <c r="O147" s="5">
        <v>5</v>
      </c>
      <c r="P147" s="5">
        <v>79</v>
      </c>
      <c r="Q147" s="5">
        <v>0</v>
      </c>
      <c r="R147" s="9">
        <v>0</v>
      </c>
      <c r="S147" s="5">
        <v>0</v>
      </c>
      <c r="T147" s="5">
        <v>0</v>
      </c>
    </row>
    <row r="148" spans="1:20" x14ac:dyDescent="0.2">
      <c r="A148" s="5" t="s">
        <v>231</v>
      </c>
      <c r="B148" s="9" t="s">
        <v>162</v>
      </c>
      <c r="C148" s="5" t="s">
        <v>824</v>
      </c>
      <c r="D148" s="7">
        <f t="shared" si="0"/>
        <v>12.8</v>
      </c>
      <c r="E148" s="5">
        <v>0</v>
      </c>
      <c r="F148" s="5">
        <v>0</v>
      </c>
      <c r="G148" s="5">
        <v>0</v>
      </c>
      <c r="H148" s="5">
        <v>0</v>
      </c>
      <c r="I148" s="5">
        <v>0</v>
      </c>
      <c r="J148" s="9">
        <v>0</v>
      </c>
      <c r="K148" s="5">
        <v>0</v>
      </c>
      <c r="L148" s="5">
        <v>0</v>
      </c>
      <c r="M148" s="5">
        <v>0</v>
      </c>
      <c r="N148" s="9">
        <v>0</v>
      </c>
      <c r="O148" s="5">
        <v>4</v>
      </c>
      <c r="P148" s="5">
        <v>88</v>
      </c>
      <c r="Q148" s="5">
        <v>0</v>
      </c>
      <c r="R148" s="9">
        <v>0</v>
      </c>
      <c r="S148" s="5">
        <v>0</v>
      </c>
      <c r="T148" s="5">
        <v>0</v>
      </c>
    </row>
    <row r="149" spans="1:20" x14ac:dyDescent="0.2">
      <c r="A149" s="5" t="s">
        <v>764</v>
      </c>
      <c r="B149" s="9" t="s">
        <v>162</v>
      </c>
      <c r="C149" s="5" t="s">
        <v>822</v>
      </c>
      <c r="D149" s="7">
        <f t="shared" si="0"/>
        <v>12.600000000000001</v>
      </c>
      <c r="E149" s="5">
        <v>0</v>
      </c>
      <c r="F149" s="5">
        <v>0</v>
      </c>
      <c r="G149" s="5">
        <v>0</v>
      </c>
      <c r="H149" s="5">
        <v>0</v>
      </c>
      <c r="I149" s="5">
        <v>0</v>
      </c>
      <c r="J149" s="9">
        <v>0</v>
      </c>
      <c r="K149" s="5">
        <v>2</v>
      </c>
      <c r="L149" s="5">
        <v>14</v>
      </c>
      <c r="M149" s="5">
        <v>0</v>
      </c>
      <c r="N149" s="9">
        <v>0</v>
      </c>
      <c r="O149" s="5">
        <v>5</v>
      </c>
      <c r="P149" s="5">
        <v>62</v>
      </c>
      <c r="Q149" s="5">
        <v>0</v>
      </c>
      <c r="R149" s="9">
        <v>0</v>
      </c>
      <c r="S149" s="5">
        <v>0</v>
      </c>
      <c r="T149" s="5">
        <v>0</v>
      </c>
    </row>
    <row r="150" spans="1:20" x14ac:dyDescent="0.2">
      <c r="A150" s="5" t="s">
        <v>198</v>
      </c>
      <c r="B150" s="9" t="s">
        <v>162</v>
      </c>
      <c r="C150" s="5" t="s">
        <v>830</v>
      </c>
      <c r="D150" s="7">
        <f t="shared" si="0"/>
        <v>11.5</v>
      </c>
      <c r="E150" s="5">
        <v>0</v>
      </c>
      <c r="F150" s="5">
        <v>0</v>
      </c>
      <c r="G150" s="5">
        <v>0</v>
      </c>
      <c r="H150" s="5">
        <v>0</v>
      </c>
      <c r="I150" s="5">
        <v>0</v>
      </c>
      <c r="J150" s="9">
        <v>0</v>
      </c>
      <c r="K150" s="5">
        <v>1</v>
      </c>
      <c r="L150" s="5">
        <v>4</v>
      </c>
      <c r="M150" s="5">
        <v>0</v>
      </c>
      <c r="N150" s="9">
        <v>0</v>
      </c>
      <c r="O150" s="5">
        <v>6</v>
      </c>
      <c r="P150" s="5">
        <v>51</v>
      </c>
      <c r="Q150" s="5">
        <v>0</v>
      </c>
      <c r="R150" s="9">
        <v>0</v>
      </c>
      <c r="S150" s="5">
        <v>0</v>
      </c>
      <c r="T150" s="5">
        <v>0</v>
      </c>
    </row>
    <row r="151" spans="1:20" x14ac:dyDescent="0.2">
      <c r="A151" s="5" t="s">
        <v>232</v>
      </c>
      <c r="B151" s="9" t="s">
        <v>162</v>
      </c>
      <c r="C151" s="5" t="s">
        <v>815</v>
      </c>
      <c r="D151" s="7">
        <f t="shared" si="0"/>
        <v>11.600000000000001</v>
      </c>
      <c r="E151" s="5">
        <v>0</v>
      </c>
      <c r="F151" s="5">
        <v>0</v>
      </c>
      <c r="G151" s="5">
        <v>0</v>
      </c>
      <c r="H151" s="5">
        <v>0</v>
      </c>
      <c r="I151" s="5">
        <v>0</v>
      </c>
      <c r="J151" s="9">
        <v>0</v>
      </c>
      <c r="K151" s="5">
        <v>0</v>
      </c>
      <c r="L151" s="5">
        <v>0</v>
      </c>
      <c r="M151" s="5">
        <v>0</v>
      </c>
      <c r="N151" s="9">
        <v>0</v>
      </c>
      <c r="O151" s="5">
        <v>6</v>
      </c>
      <c r="P151" s="5">
        <v>56</v>
      </c>
      <c r="Q151" s="5">
        <v>0</v>
      </c>
      <c r="R151" s="9">
        <v>0</v>
      </c>
      <c r="S151" s="5">
        <v>0</v>
      </c>
      <c r="T151" s="5">
        <v>0</v>
      </c>
    </row>
    <row r="152" spans="1:20" x14ac:dyDescent="0.2">
      <c r="A152" s="5" t="s">
        <v>432</v>
      </c>
      <c r="B152" s="9" t="s">
        <v>162</v>
      </c>
      <c r="C152" s="5" t="s">
        <v>818</v>
      </c>
      <c r="D152" s="7">
        <f t="shared" si="0"/>
        <v>11.4</v>
      </c>
      <c r="E152" s="5">
        <v>0</v>
      </c>
      <c r="F152" s="5">
        <v>0</v>
      </c>
      <c r="G152" s="5">
        <v>0</v>
      </c>
      <c r="H152" s="5">
        <v>0</v>
      </c>
      <c r="I152" s="5">
        <v>0</v>
      </c>
      <c r="J152" s="9">
        <v>0</v>
      </c>
      <c r="K152" s="5">
        <v>0</v>
      </c>
      <c r="L152" s="5">
        <v>0</v>
      </c>
      <c r="M152" s="5">
        <v>0</v>
      </c>
      <c r="N152" s="9">
        <v>0</v>
      </c>
      <c r="O152" s="5">
        <v>3</v>
      </c>
      <c r="P152" s="5">
        <v>24</v>
      </c>
      <c r="Q152" s="5">
        <v>1</v>
      </c>
      <c r="R152" s="9">
        <v>0</v>
      </c>
      <c r="S152" s="5">
        <v>0</v>
      </c>
      <c r="T152" s="5">
        <v>0</v>
      </c>
    </row>
    <row r="153" spans="1:20" x14ac:dyDescent="0.2">
      <c r="A153" s="5" t="s">
        <v>180</v>
      </c>
      <c r="B153" s="9" t="s">
        <v>162</v>
      </c>
      <c r="C153" s="5" t="s">
        <v>825</v>
      </c>
      <c r="D153" s="7">
        <f t="shared" si="0"/>
        <v>10.7</v>
      </c>
      <c r="E153" s="5">
        <v>0</v>
      </c>
      <c r="F153" s="5">
        <v>0</v>
      </c>
      <c r="G153" s="5">
        <v>0</v>
      </c>
      <c r="H153" s="5">
        <v>0</v>
      </c>
      <c r="I153" s="5">
        <v>0</v>
      </c>
      <c r="J153" s="9">
        <v>0</v>
      </c>
      <c r="K153" s="5">
        <v>0</v>
      </c>
      <c r="L153" s="5">
        <v>0</v>
      </c>
      <c r="M153" s="5">
        <v>0</v>
      </c>
      <c r="N153" s="9">
        <v>0</v>
      </c>
      <c r="O153" s="5">
        <v>6</v>
      </c>
      <c r="P153" s="5">
        <v>47</v>
      </c>
      <c r="Q153" s="5">
        <v>0</v>
      </c>
      <c r="R153" s="9">
        <v>0</v>
      </c>
      <c r="S153" s="5">
        <v>0</v>
      </c>
      <c r="T153" s="5">
        <v>0</v>
      </c>
    </row>
    <row r="154" spans="1:20" x14ac:dyDescent="0.2">
      <c r="A154" s="5" t="s">
        <v>235</v>
      </c>
      <c r="B154" s="9" t="s">
        <v>162</v>
      </c>
      <c r="C154" s="5" t="s">
        <v>822</v>
      </c>
      <c r="D154" s="7">
        <f t="shared" si="0"/>
        <v>10.4</v>
      </c>
      <c r="E154" s="5">
        <v>0</v>
      </c>
      <c r="F154" s="5">
        <v>0</v>
      </c>
      <c r="G154" s="5">
        <v>0</v>
      </c>
      <c r="H154" s="5">
        <v>0</v>
      </c>
      <c r="I154" s="5">
        <v>0</v>
      </c>
      <c r="J154" s="9">
        <v>0</v>
      </c>
      <c r="K154" s="5">
        <v>0</v>
      </c>
      <c r="L154" s="5">
        <v>0</v>
      </c>
      <c r="M154" s="5">
        <v>0</v>
      </c>
      <c r="N154" s="9">
        <v>0</v>
      </c>
      <c r="O154" s="5">
        <v>4</v>
      </c>
      <c r="P154" s="5">
        <v>64</v>
      </c>
      <c r="Q154" s="5">
        <v>0</v>
      </c>
      <c r="R154" s="9">
        <v>0</v>
      </c>
      <c r="S154" s="5">
        <v>0</v>
      </c>
      <c r="T154" s="5">
        <v>0</v>
      </c>
    </row>
    <row r="155" spans="1:20" x14ac:dyDescent="0.2">
      <c r="A155" s="5" t="s">
        <v>264</v>
      </c>
      <c r="B155" s="9" t="s">
        <v>162</v>
      </c>
      <c r="C155" s="5" t="s">
        <v>828</v>
      </c>
      <c r="D155" s="7">
        <f t="shared" si="0"/>
        <v>11</v>
      </c>
      <c r="E155" s="5">
        <v>0</v>
      </c>
      <c r="F155" s="5">
        <v>0</v>
      </c>
      <c r="G155" s="5">
        <v>0</v>
      </c>
      <c r="H155" s="5">
        <v>0</v>
      </c>
      <c r="I155" s="5">
        <v>0</v>
      </c>
      <c r="J155" s="9">
        <v>0</v>
      </c>
      <c r="K155" s="5">
        <v>1</v>
      </c>
      <c r="L155" s="5">
        <v>6</v>
      </c>
      <c r="M155" s="5">
        <v>0</v>
      </c>
      <c r="N155" s="9">
        <v>0</v>
      </c>
      <c r="O155" s="5">
        <v>6</v>
      </c>
      <c r="P155" s="5">
        <v>44</v>
      </c>
      <c r="Q155" s="5">
        <v>0</v>
      </c>
      <c r="R155" s="9">
        <v>0</v>
      </c>
      <c r="S155" s="5">
        <v>0</v>
      </c>
      <c r="T155" s="5">
        <v>0</v>
      </c>
    </row>
    <row r="156" spans="1:20" x14ac:dyDescent="0.2">
      <c r="A156" s="5" t="s">
        <v>833</v>
      </c>
      <c r="B156" s="9" t="s">
        <v>162</v>
      </c>
      <c r="C156" s="5" t="s">
        <v>817</v>
      </c>
      <c r="D156" s="7">
        <f t="shared" si="0"/>
        <v>9.9</v>
      </c>
      <c r="E156" s="5">
        <v>0</v>
      </c>
      <c r="F156" s="5">
        <v>0</v>
      </c>
      <c r="G156" s="5">
        <v>0</v>
      </c>
      <c r="H156" s="5">
        <v>0</v>
      </c>
      <c r="I156" s="5">
        <v>0</v>
      </c>
      <c r="J156" s="9">
        <v>0</v>
      </c>
      <c r="K156" s="5">
        <v>0</v>
      </c>
      <c r="L156" s="5">
        <v>0</v>
      </c>
      <c r="M156" s="5">
        <v>0</v>
      </c>
      <c r="N156" s="9">
        <v>0</v>
      </c>
      <c r="O156" s="5">
        <v>3</v>
      </c>
      <c r="P156" s="5">
        <v>69</v>
      </c>
      <c r="Q156" s="5">
        <v>0</v>
      </c>
      <c r="R156" s="9">
        <v>0</v>
      </c>
      <c r="S156" s="5">
        <v>0</v>
      </c>
      <c r="T156" s="5">
        <v>0</v>
      </c>
    </row>
    <row r="157" spans="1:20" x14ac:dyDescent="0.2">
      <c r="A157" s="5" t="s">
        <v>191</v>
      </c>
      <c r="B157" s="9" t="s">
        <v>162</v>
      </c>
      <c r="C157" s="5" t="s">
        <v>819</v>
      </c>
      <c r="D157" s="7">
        <f t="shared" si="0"/>
        <v>9.4</v>
      </c>
      <c r="E157" s="5">
        <v>0</v>
      </c>
      <c r="F157" s="5">
        <v>0</v>
      </c>
      <c r="G157" s="5">
        <v>0</v>
      </c>
      <c r="H157" s="5">
        <v>0</v>
      </c>
      <c r="I157" s="5">
        <v>0</v>
      </c>
      <c r="J157" s="9">
        <v>0</v>
      </c>
      <c r="K157" s="5">
        <v>0</v>
      </c>
      <c r="L157" s="5">
        <v>0</v>
      </c>
      <c r="M157" s="5">
        <v>0</v>
      </c>
      <c r="N157" s="9">
        <v>0</v>
      </c>
      <c r="O157" s="5">
        <v>5</v>
      </c>
      <c r="P157" s="5">
        <v>44</v>
      </c>
      <c r="Q157" s="5">
        <v>0</v>
      </c>
      <c r="R157" s="9">
        <v>0</v>
      </c>
      <c r="S157" s="5">
        <v>0</v>
      </c>
      <c r="T157" s="5">
        <v>0</v>
      </c>
    </row>
    <row r="158" spans="1:20" x14ac:dyDescent="0.2">
      <c r="A158" s="5" t="s">
        <v>340</v>
      </c>
      <c r="B158" s="9" t="s">
        <v>162</v>
      </c>
      <c r="C158" s="5" t="s">
        <v>829</v>
      </c>
      <c r="D158" s="7">
        <f t="shared" si="0"/>
        <v>8.9</v>
      </c>
      <c r="E158" s="5">
        <v>0</v>
      </c>
      <c r="F158" s="5">
        <v>0</v>
      </c>
      <c r="G158" s="5">
        <v>0</v>
      </c>
      <c r="H158" s="5">
        <v>0</v>
      </c>
      <c r="I158" s="5">
        <v>0</v>
      </c>
      <c r="J158" s="9">
        <v>0</v>
      </c>
      <c r="K158" s="5">
        <v>0</v>
      </c>
      <c r="L158" s="5">
        <v>0</v>
      </c>
      <c r="M158" s="5">
        <v>0</v>
      </c>
      <c r="N158" s="9">
        <v>0</v>
      </c>
      <c r="O158" s="5">
        <v>5</v>
      </c>
      <c r="P158" s="5">
        <v>39</v>
      </c>
      <c r="Q158" s="5">
        <v>0</v>
      </c>
      <c r="R158" s="9">
        <v>0</v>
      </c>
      <c r="S158" s="5">
        <v>0</v>
      </c>
      <c r="T158" s="5">
        <v>0</v>
      </c>
    </row>
    <row r="159" spans="1:20" x14ac:dyDescent="0.2">
      <c r="A159" s="5" t="s">
        <v>834</v>
      </c>
      <c r="B159" s="9" t="s">
        <v>162</v>
      </c>
      <c r="C159" s="5" t="s">
        <v>817</v>
      </c>
      <c r="D159" s="7">
        <f t="shared" si="0"/>
        <v>8.8000000000000007</v>
      </c>
      <c r="E159" s="5">
        <v>0</v>
      </c>
      <c r="F159" s="5">
        <v>0</v>
      </c>
      <c r="G159" s="5">
        <v>0</v>
      </c>
      <c r="H159" s="5">
        <v>0</v>
      </c>
      <c r="I159" s="5">
        <v>0</v>
      </c>
      <c r="J159" s="9">
        <v>0</v>
      </c>
      <c r="K159" s="5">
        <v>0</v>
      </c>
      <c r="L159" s="5">
        <v>0</v>
      </c>
      <c r="M159" s="5">
        <v>0</v>
      </c>
      <c r="N159" s="9">
        <v>0</v>
      </c>
      <c r="O159" s="5">
        <v>2</v>
      </c>
      <c r="P159" s="5">
        <v>8</v>
      </c>
      <c r="Q159" s="5">
        <v>1</v>
      </c>
      <c r="R159" s="9">
        <v>0</v>
      </c>
      <c r="S159" s="5">
        <v>0</v>
      </c>
      <c r="T159" s="5">
        <v>0</v>
      </c>
    </row>
    <row r="160" spans="1:20" x14ac:dyDescent="0.2">
      <c r="A160" s="5" t="s">
        <v>447</v>
      </c>
      <c r="B160" s="9" t="s">
        <v>162</v>
      </c>
      <c r="C160" s="5" t="s">
        <v>821</v>
      </c>
      <c r="D160" s="7">
        <f t="shared" si="0"/>
        <v>9.1999999999999993</v>
      </c>
      <c r="E160" s="5">
        <v>0</v>
      </c>
      <c r="F160" s="5">
        <v>0</v>
      </c>
      <c r="G160" s="5">
        <v>0</v>
      </c>
      <c r="H160" s="5">
        <v>0</v>
      </c>
      <c r="I160" s="5">
        <v>0</v>
      </c>
      <c r="J160" s="9">
        <v>0</v>
      </c>
      <c r="K160" s="5">
        <v>2</v>
      </c>
      <c r="L160" s="5">
        <v>13</v>
      </c>
      <c r="M160" s="5">
        <v>0</v>
      </c>
      <c r="N160" s="9">
        <v>0</v>
      </c>
      <c r="O160" s="5">
        <v>3</v>
      </c>
      <c r="P160" s="5">
        <v>49</v>
      </c>
      <c r="Q160" s="5">
        <v>0</v>
      </c>
      <c r="R160" s="9">
        <v>0</v>
      </c>
      <c r="S160" s="5">
        <v>0</v>
      </c>
      <c r="T160" s="5">
        <v>0</v>
      </c>
    </row>
    <row r="161" spans="1:20" x14ac:dyDescent="0.2">
      <c r="A161" s="5" t="s">
        <v>339</v>
      </c>
      <c r="B161" s="9" t="s">
        <v>162</v>
      </c>
      <c r="C161" s="5" t="s">
        <v>814</v>
      </c>
      <c r="D161" s="7">
        <f t="shared" si="0"/>
        <v>8.1000000000000014</v>
      </c>
      <c r="E161" s="5">
        <v>0</v>
      </c>
      <c r="F161" s="5">
        <v>0</v>
      </c>
      <c r="G161" s="5">
        <v>0</v>
      </c>
      <c r="H161" s="5">
        <v>0</v>
      </c>
      <c r="I161" s="5">
        <v>0</v>
      </c>
      <c r="J161" s="9">
        <v>0</v>
      </c>
      <c r="K161" s="5">
        <v>0</v>
      </c>
      <c r="L161" s="5">
        <v>0</v>
      </c>
      <c r="M161" s="5">
        <v>0</v>
      </c>
      <c r="N161" s="9">
        <v>0</v>
      </c>
      <c r="O161" s="5">
        <v>4</v>
      </c>
      <c r="P161" s="5">
        <v>41</v>
      </c>
      <c r="Q161" s="5">
        <v>0</v>
      </c>
      <c r="R161" s="9">
        <v>0</v>
      </c>
      <c r="S161" s="5">
        <v>0</v>
      </c>
      <c r="T161" s="5">
        <v>0</v>
      </c>
    </row>
    <row r="162" spans="1:20" x14ac:dyDescent="0.2">
      <c r="A162" s="5" t="s">
        <v>521</v>
      </c>
      <c r="B162" s="9" t="s">
        <v>162</v>
      </c>
      <c r="C162" s="5" t="s">
        <v>814</v>
      </c>
      <c r="D162" s="7">
        <f t="shared" si="0"/>
        <v>8.6000000000000014</v>
      </c>
      <c r="E162" s="5">
        <v>0</v>
      </c>
      <c r="F162" s="5">
        <v>0</v>
      </c>
      <c r="G162" s="5">
        <v>0</v>
      </c>
      <c r="H162" s="5">
        <v>0</v>
      </c>
      <c r="I162" s="5">
        <v>0</v>
      </c>
      <c r="J162" s="9">
        <v>0</v>
      </c>
      <c r="K162" s="5">
        <v>0</v>
      </c>
      <c r="L162" s="5">
        <v>0</v>
      </c>
      <c r="M162" s="5">
        <v>0</v>
      </c>
      <c r="N162" s="9">
        <v>0</v>
      </c>
      <c r="O162" s="5">
        <v>2</v>
      </c>
      <c r="P162" s="5">
        <v>66</v>
      </c>
      <c r="Q162" s="5">
        <v>0</v>
      </c>
      <c r="R162" s="9">
        <v>0</v>
      </c>
      <c r="S162" s="5">
        <v>0</v>
      </c>
      <c r="T162" s="5">
        <v>0</v>
      </c>
    </row>
    <row r="163" spans="1:20" x14ac:dyDescent="0.2">
      <c r="A163" s="5" t="s">
        <v>169</v>
      </c>
      <c r="B163" s="9" t="s">
        <v>162</v>
      </c>
      <c r="C163" s="5" t="s">
        <v>820</v>
      </c>
      <c r="D163" s="7">
        <f t="shared" si="0"/>
        <v>7.4</v>
      </c>
      <c r="E163" s="5">
        <v>0</v>
      </c>
      <c r="F163" s="5">
        <v>0</v>
      </c>
      <c r="G163" s="5">
        <v>0</v>
      </c>
      <c r="H163" s="5">
        <v>0</v>
      </c>
      <c r="I163" s="5">
        <v>0</v>
      </c>
      <c r="J163" s="9">
        <v>0</v>
      </c>
      <c r="K163" s="5">
        <v>0</v>
      </c>
      <c r="L163" s="5">
        <v>0</v>
      </c>
      <c r="M163" s="5">
        <v>0</v>
      </c>
      <c r="N163" s="9">
        <v>0</v>
      </c>
      <c r="O163" s="5">
        <v>5</v>
      </c>
      <c r="P163" s="5">
        <v>44</v>
      </c>
      <c r="Q163" s="5">
        <v>0</v>
      </c>
      <c r="R163" s="9">
        <v>0</v>
      </c>
      <c r="S163" s="5">
        <v>1</v>
      </c>
      <c r="T163" s="5">
        <v>0</v>
      </c>
    </row>
    <row r="164" spans="1:20" x14ac:dyDescent="0.2">
      <c r="A164" s="5" t="s">
        <v>361</v>
      </c>
      <c r="B164" s="9" t="s">
        <v>162</v>
      </c>
      <c r="C164" s="5" t="s">
        <v>815</v>
      </c>
      <c r="D164" s="7">
        <f t="shared" si="0"/>
        <v>8.8000000000000007</v>
      </c>
      <c r="E164" s="5">
        <v>0</v>
      </c>
      <c r="F164" s="5">
        <v>0</v>
      </c>
      <c r="G164" s="5">
        <v>0</v>
      </c>
      <c r="H164" s="5">
        <v>0</v>
      </c>
      <c r="I164" s="5">
        <v>0</v>
      </c>
      <c r="J164" s="9">
        <v>0</v>
      </c>
      <c r="K164" s="5">
        <v>0</v>
      </c>
      <c r="L164" s="5">
        <v>0</v>
      </c>
      <c r="M164" s="5">
        <v>0</v>
      </c>
      <c r="N164" s="9">
        <v>0</v>
      </c>
      <c r="O164" s="5">
        <v>2</v>
      </c>
      <c r="P164" s="5">
        <v>8</v>
      </c>
      <c r="Q164" s="5">
        <v>1</v>
      </c>
      <c r="R164" s="9">
        <v>0</v>
      </c>
      <c r="S164" s="5">
        <v>0</v>
      </c>
      <c r="T164" s="5">
        <v>0</v>
      </c>
    </row>
    <row r="165" spans="1:20" x14ac:dyDescent="0.2">
      <c r="A165" s="5" t="s">
        <v>421</v>
      </c>
      <c r="B165" s="9" t="s">
        <v>162</v>
      </c>
      <c r="C165" s="5" t="s">
        <v>817</v>
      </c>
      <c r="D165" s="7">
        <f t="shared" si="0"/>
        <v>7.5</v>
      </c>
      <c r="E165" s="5">
        <v>0</v>
      </c>
      <c r="F165" s="5">
        <v>0</v>
      </c>
      <c r="G165" s="5">
        <v>0</v>
      </c>
      <c r="H165" s="5">
        <v>0</v>
      </c>
      <c r="I165" s="5">
        <v>0</v>
      </c>
      <c r="J165" s="9">
        <v>0</v>
      </c>
      <c r="K165" s="5">
        <v>0</v>
      </c>
      <c r="L165" s="5">
        <v>0</v>
      </c>
      <c r="M165" s="5">
        <v>0</v>
      </c>
      <c r="N165" s="9">
        <v>0</v>
      </c>
      <c r="O165" s="5">
        <v>1</v>
      </c>
      <c r="P165" s="5">
        <v>5</v>
      </c>
      <c r="Q165" s="5">
        <v>1</v>
      </c>
      <c r="R165" s="9">
        <v>0</v>
      </c>
      <c r="S165" s="5">
        <v>0</v>
      </c>
      <c r="T165" s="5">
        <v>0</v>
      </c>
    </row>
    <row r="166" spans="1:20" x14ac:dyDescent="0.2">
      <c r="A166" s="5" t="s">
        <v>220</v>
      </c>
      <c r="B166" s="9" t="s">
        <v>162</v>
      </c>
      <c r="C166" s="5" t="s">
        <v>820</v>
      </c>
      <c r="D166" s="7">
        <f t="shared" si="0"/>
        <v>7.8000000000000007</v>
      </c>
      <c r="E166" s="5">
        <v>0</v>
      </c>
      <c r="F166" s="5">
        <v>0</v>
      </c>
      <c r="G166" s="5">
        <v>0</v>
      </c>
      <c r="H166" s="5">
        <v>0</v>
      </c>
      <c r="I166" s="5">
        <v>0</v>
      </c>
      <c r="J166" s="9">
        <v>0</v>
      </c>
      <c r="K166" s="5">
        <v>0</v>
      </c>
      <c r="L166" s="5">
        <v>0</v>
      </c>
      <c r="M166" s="5">
        <v>0</v>
      </c>
      <c r="N166" s="9">
        <v>0</v>
      </c>
      <c r="O166" s="5">
        <v>3</v>
      </c>
      <c r="P166" s="5">
        <v>48</v>
      </c>
      <c r="Q166" s="5">
        <v>0</v>
      </c>
      <c r="R166" s="9">
        <v>0</v>
      </c>
      <c r="S166" s="5">
        <v>0</v>
      </c>
      <c r="T166" s="5">
        <v>0</v>
      </c>
    </row>
    <row r="167" spans="1:20" x14ac:dyDescent="0.2">
      <c r="A167" s="5" t="s">
        <v>215</v>
      </c>
      <c r="B167" s="9" t="s">
        <v>162</v>
      </c>
      <c r="C167" s="5" t="s">
        <v>823</v>
      </c>
      <c r="D167" s="7">
        <f t="shared" si="0"/>
        <v>7.6</v>
      </c>
      <c r="E167" s="5">
        <v>0</v>
      </c>
      <c r="F167" s="5">
        <v>0</v>
      </c>
      <c r="G167" s="5">
        <v>0</v>
      </c>
      <c r="H167" s="5">
        <v>0</v>
      </c>
      <c r="I167" s="5">
        <v>0</v>
      </c>
      <c r="J167" s="9">
        <v>0</v>
      </c>
      <c r="K167" s="5">
        <v>1</v>
      </c>
      <c r="L167" s="5">
        <v>5</v>
      </c>
      <c r="M167" s="5">
        <v>0</v>
      </c>
      <c r="N167" s="9">
        <v>0</v>
      </c>
      <c r="O167" s="5">
        <v>4</v>
      </c>
      <c r="P167" s="5">
        <v>31</v>
      </c>
      <c r="Q167" s="5">
        <v>0</v>
      </c>
      <c r="R167" s="9">
        <v>0</v>
      </c>
      <c r="S167" s="5">
        <v>0</v>
      </c>
      <c r="T167" s="5">
        <v>0</v>
      </c>
    </row>
    <row r="168" spans="1:20" x14ac:dyDescent="0.2">
      <c r="A168" s="5" t="s">
        <v>243</v>
      </c>
      <c r="B168" s="9" t="s">
        <v>162</v>
      </c>
      <c r="C168" s="5" t="s">
        <v>819</v>
      </c>
      <c r="D168" s="7">
        <f t="shared" si="0"/>
        <v>7</v>
      </c>
      <c r="E168" s="5">
        <v>0</v>
      </c>
      <c r="F168" s="5">
        <v>0</v>
      </c>
      <c r="G168" s="5">
        <v>0</v>
      </c>
      <c r="H168" s="5">
        <v>0</v>
      </c>
      <c r="I168" s="5">
        <v>0</v>
      </c>
      <c r="J168" s="9">
        <v>0</v>
      </c>
      <c r="K168" s="5">
        <v>0</v>
      </c>
      <c r="L168" s="5">
        <v>0</v>
      </c>
      <c r="M168" s="5">
        <v>0</v>
      </c>
      <c r="N168" s="9">
        <v>0</v>
      </c>
      <c r="O168" s="5">
        <v>2</v>
      </c>
      <c r="P168" s="5">
        <v>50</v>
      </c>
      <c r="Q168" s="5">
        <v>0</v>
      </c>
      <c r="R168" s="9">
        <v>0</v>
      </c>
      <c r="S168" s="5">
        <v>0</v>
      </c>
      <c r="T168" s="5">
        <v>0</v>
      </c>
    </row>
    <row r="169" spans="1:20" x14ac:dyDescent="0.2">
      <c r="A169" s="5" t="s">
        <v>495</v>
      </c>
      <c r="B169" s="9" t="s">
        <v>162</v>
      </c>
      <c r="C169" s="5" t="s">
        <v>821</v>
      </c>
      <c r="D169" s="7">
        <f t="shared" si="0"/>
        <v>7.3</v>
      </c>
      <c r="E169" s="5">
        <v>0</v>
      </c>
      <c r="F169" s="5">
        <v>0</v>
      </c>
      <c r="G169" s="5">
        <v>0</v>
      </c>
      <c r="H169" s="5">
        <v>0</v>
      </c>
      <c r="I169" s="5">
        <v>0</v>
      </c>
      <c r="J169" s="9">
        <v>0</v>
      </c>
      <c r="K169" s="5">
        <v>0</v>
      </c>
      <c r="L169" s="5">
        <v>0</v>
      </c>
      <c r="M169" s="5">
        <v>0</v>
      </c>
      <c r="N169" s="9">
        <v>0</v>
      </c>
      <c r="O169" s="5">
        <v>3</v>
      </c>
      <c r="P169" s="5">
        <v>43</v>
      </c>
      <c r="Q169" s="5">
        <v>0</v>
      </c>
      <c r="R169" s="9">
        <v>0</v>
      </c>
      <c r="S169" s="5">
        <v>0</v>
      </c>
      <c r="T169" s="5">
        <v>0</v>
      </c>
    </row>
    <row r="170" spans="1:20" x14ac:dyDescent="0.2">
      <c r="A170" s="5" t="s">
        <v>785</v>
      </c>
      <c r="B170" s="9" t="s">
        <v>162</v>
      </c>
      <c r="C170" s="5" t="s">
        <v>826</v>
      </c>
      <c r="D170" s="7">
        <f t="shared" si="0"/>
        <v>6.5</v>
      </c>
      <c r="E170" s="5">
        <v>0</v>
      </c>
      <c r="F170" s="5">
        <v>0</v>
      </c>
      <c r="G170" s="5">
        <v>0</v>
      </c>
      <c r="H170" s="5">
        <v>0</v>
      </c>
      <c r="I170" s="5">
        <v>0</v>
      </c>
      <c r="J170" s="9">
        <v>0</v>
      </c>
      <c r="K170" s="5">
        <v>0</v>
      </c>
      <c r="L170" s="5">
        <v>0</v>
      </c>
      <c r="M170" s="5">
        <v>0</v>
      </c>
      <c r="N170" s="9">
        <v>0</v>
      </c>
      <c r="O170" s="5">
        <v>3</v>
      </c>
      <c r="P170" s="5">
        <v>35</v>
      </c>
      <c r="Q170" s="5">
        <v>0</v>
      </c>
      <c r="R170" s="9">
        <v>0</v>
      </c>
      <c r="S170" s="5">
        <v>0</v>
      </c>
      <c r="T170" s="5">
        <v>0</v>
      </c>
    </row>
    <row r="171" spans="1:20" x14ac:dyDescent="0.2">
      <c r="A171" s="5" t="s">
        <v>252</v>
      </c>
      <c r="B171" s="9" t="s">
        <v>162</v>
      </c>
      <c r="C171" s="5" t="s">
        <v>826</v>
      </c>
      <c r="D171" s="7">
        <f t="shared" si="0"/>
        <v>6.6</v>
      </c>
      <c r="E171" s="5">
        <v>0</v>
      </c>
      <c r="F171" s="5">
        <v>0</v>
      </c>
      <c r="G171" s="5">
        <v>0</v>
      </c>
      <c r="H171" s="5">
        <v>0</v>
      </c>
      <c r="I171" s="5">
        <v>0</v>
      </c>
      <c r="J171" s="9">
        <v>0</v>
      </c>
      <c r="K171" s="5">
        <v>0</v>
      </c>
      <c r="L171" s="5">
        <v>0</v>
      </c>
      <c r="M171" s="5">
        <v>0</v>
      </c>
      <c r="N171" s="9">
        <v>0</v>
      </c>
      <c r="O171" s="5">
        <v>3</v>
      </c>
      <c r="P171" s="5">
        <v>36</v>
      </c>
      <c r="Q171" s="5">
        <v>0</v>
      </c>
      <c r="R171" s="9">
        <v>0</v>
      </c>
      <c r="S171" s="5">
        <v>0</v>
      </c>
      <c r="T171" s="5">
        <v>0</v>
      </c>
    </row>
    <row r="172" spans="1:20" x14ac:dyDescent="0.2">
      <c r="A172" s="5" t="s">
        <v>357</v>
      </c>
      <c r="B172" s="9" t="s">
        <v>162</v>
      </c>
      <c r="C172" s="5" t="s">
        <v>825</v>
      </c>
      <c r="D172" s="7">
        <f t="shared" si="0"/>
        <v>6</v>
      </c>
      <c r="E172" s="5">
        <v>0</v>
      </c>
      <c r="F172" s="5">
        <v>0</v>
      </c>
      <c r="G172" s="5">
        <v>0</v>
      </c>
      <c r="H172" s="5">
        <v>0</v>
      </c>
      <c r="I172" s="5">
        <v>0</v>
      </c>
      <c r="J172" s="9">
        <v>0</v>
      </c>
      <c r="K172" s="5">
        <v>0</v>
      </c>
      <c r="L172" s="5">
        <v>0</v>
      </c>
      <c r="M172" s="5">
        <v>0</v>
      </c>
      <c r="N172" s="9">
        <v>0</v>
      </c>
      <c r="O172" s="5">
        <v>3</v>
      </c>
      <c r="P172" s="5">
        <v>30</v>
      </c>
      <c r="Q172" s="5">
        <v>0</v>
      </c>
      <c r="R172" s="9">
        <v>0</v>
      </c>
      <c r="S172" s="5">
        <v>0</v>
      </c>
      <c r="T172" s="5">
        <v>0</v>
      </c>
    </row>
    <row r="173" spans="1:20" x14ac:dyDescent="0.2">
      <c r="A173" s="5" t="s">
        <v>163</v>
      </c>
      <c r="B173" s="9" t="s">
        <v>162</v>
      </c>
      <c r="C173" s="5" t="s">
        <v>817</v>
      </c>
      <c r="D173" s="7">
        <f t="shared" si="0"/>
        <v>5.5</v>
      </c>
      <c r="E173" s="5">
        <v>0</v>
      </c>
      <c r="F173" s="5">
        <v>0</v>
      </c>
      <c r="G173" s="5">
        <v>0</v>
      </c>
      <c r="H173" s="5">
        <v>0</v>
      </c>
      <c r="I173" s="5">
        <v>0</v>
      </c>
      <c r="J173" s="9">
        <v>0</v>
      </c>
      <c r="K173" s="5">
        <v>0</v>
      </c>
      <c r="L173" s="5">
        <v>0</v>
      </c>
      <c r="M173" s="5">
        <v>0</v>
      </c>
      <c r="N173" s="9">
        <v>0</v>
      </c>
      <c r="O173" s="5">
        <v>3</v>
      </c>
      <c r="P173" s="5">
        <v>25</v>
      </c>
      <c r="Q173" s="5">
        <v>0</v>
      </c>
      <c r="R173" s="9">
        <v>0</v>
      </c>
      <c r="S173" s="5">
        <v>0</v>
      </c>
      <c r="T173" s="5">
        <v>0</v>
      </c>
    </row>
    <row r="174" spans="1:20" x14ac:dyDescent="0.2">
      <c r="A174" s="5" t="s">
        <v>371</v>
      </c>
      <c r="B174" s="9" t="s">
        <v>162</v>
      </c>
      <c r="C174" s="5" t="s">
        <v>830</v>
      </c>
      <c r="D174" s="7">
        <f t="shared" si="0"/>
        <v>4.6000000000000005</v>
      </c>
      <c r="E174" s="5">
        <v>0</v>
      </c>
      <c r="F174" s="5">
        <v>0</v>
      </c>
      <c r="G174" s="5">
        <v>0</v>
      </c>
      <c r="H174" s="5">
        <v>0</v>
      </c>
      <c r="I174" s="5">
        <v>0</v>
      </c>
      <c r="J174" s="9">
        <v>0</v>
      </c>
      <c r="K174" s="5">
        <v>0</v>
      </c>
      <c r="L174" s="5">
        <v>0</v>
      </c>
      <c r="M174" s="5">
        <v>0</v>
      </c>
      <c r="N174" s="9">
        <v>0</v>
      </c>
      <c r="O174" s="5">
        <v>2</v>
      </c>
      <c r="P174" s="5">
        <v>46</v>
      </c>
      <c r="Q174" s="5">
        <v>0</v>
      </c>
      <c r="R174" s="9">
        <v>0</v>
      </c>
      <c r="S174" s="5">
        <v>1</v>
      </c>
      <c r="T174" s="5">
        <v>0</v>
      </c>
    </row>
    <row r="175" spans="1:20" x14ac:dyDescent="0.2">
      <c r="A175" s="5" t="s">
        <v>206</v>
      </c>
      <c r="B175" s="9" t="s">
        <v>162</v>
      </c>
      <c r="C175" s="5" t="s">
        <v>821</v>
      </c>
      <c r="D175" s="7">
        <f t="shared" si="0"/>
        <v>5.9</v>
      </c>
      <c r="E175" s="5">
        <v>0</v>
      </c>
      <c r="F175" s="5">
        <v>0</v>
      </c>
      <c r="G175" s="5">
        <v>0</v>
      </c>
      <c r="H175" s="5">
        <v>0</v>
      </c>
      <c r="I175" s="5">
        <v>0</v>
      </c>
      <c r="J175" s="9">
        <v>0</v>
      </c>
      <c r="K175" s="5">
        <v>0</v>
      </c>
      <c r="L175" s="5">
        <v>0</v>
      </c>
      <c r="M175" s="5">
        <v>0</v>
      </c>
      <c r="N175" s="9">
        <v>0</v>
      </c>
      <c r="O175" s="5">
        <v>4</v>
      </c>
      <c r="P175" s="5">
        <v>19</v>
      </c>
      <c r="Q175" s="5">
        <v>0</v>
      </c>
      <c r="R175" s="9">
        <v>0</v>
      </c>
      <c r="S175" s="5">
        <v>0</v>
      </c>
      <c r="T175" s="5">
        <v>0</v>
      </c>
    </row>
    <row r="176" spans="1:20" x14ac:dyDescent="0.2">
      <c r="A176" s="5" t="s">
        <v>175</v>
      </c>
      <c r="B176" s="9" t="s">
        <v>162</v>
      </c>
      <c r="C176" s="5" t="s">
        <v>830</v>
      </c>
      <c r="D176" s="7">
        <f t="shared" si="0"/>
        <v>5.2</v>
      </c>
      <c r="E176" s="5">
        <v>0</v>
      </c>
      <c r="F176" s="5">
        <v>0</v>
      </c>
      <c r="G176" s="5">
        <v>0</v>
      </c>
      <c r="H176" s="5">
        <v>0</v>
      </c>
      <c r="I176" s="5">
        <v>0</v>
      </c>
      <c r="J176" s="9">
        <v>0</v>
      </c>
      <c r="K176" s="5">
        <v>0</v>
      </c>
      <c r="L176" s="5">
        <v>0</v>
      </c>
      <c r="M176" s="5">
        <v>0</v>
      </c>
      <c r="N176" s="9">
        <v>0</v>
      </c>
      <c r="O176" s="5">
        <v>3</v>
      </c>
      <c r="P176" s="5">
        <v>22</v>
      </c>
      <c r="Q176" s="5">
        <v>0</v>
      </c>
      <c r="R176" s="9">
        <v>0</v>
      </c>
      <c r="S176" s="5">
        <v>0</v>
      </c>
      <c r="T176" s="5">
        <v>0</v>
      </c>
    </row>
    <row r="177" spans="1:20" x14ac:dyDescent="0.2">
      <c r="A177" s="5" t="s">
        <v>483</v>
      </c>
      <c r="B177" s="9" t="s">
        <v>162</v>
      </c>
      <c r="C177" s="5" t="s">
        <v>821</v>
      </c>
      <c r="D177" s="7">
        <f t="shared" si="0"/>
        <v>5.4</v>
      </c>
      <c r="E177" s="5">
        <v>0</v>
      </c>
      <c r="F177" s="5">
        <v>0</v>
      </c>
      <c r="G177" s="5">
        <v>0</v>
      </c>
      <c r="H177" s="5">
        <v>0</v>
      </c>
      <c r="I177" s="5">
        <v>0</v>
      </c>
      <c r="J177" s="9">
        <v>0</v>
      </c>
      <c r="K177" s="5">
        <v>0</v>
      </c>
      <c r="L177" s="5">
        <v>0</v>
      </c>
      <c r="M177" s="5">
        <v>0</v>
      </c>
      <c r="N177" s="9">
        <v>0</v>
      </c>
      <c r="O177" s="5">
        <v>2</v>
      </c>
      <c r="P177" s="5">
        <v>34</v>
      </c>
      <c r="Q177" s="5">
        <v>0</v>
      </c>
      <c r="R177" s="9">
        <v>0</v>
      </c>
      <c r="S177" s="5">
        <v>0</v>
      </c>
      <c r="T177" s="5">
        <v>0</v>
      </c>
    </row>
    <row r="178" spans="1:20" x14ac:dyDescent="0.2">
      <c r="A178" s="5" t="s">
        <v>478</v>
      </c>
      <c r="B178" s="9" t="s">
        <v>162</v>
      </c>
      <c r="C178" s="5" t="s">
        <v>817</v>
      </c>
      <c r="D178" s="7">
        <f t="shared" si="0"/>
        <v>5.9</v>
      </c>
      <c r="E178" s="5">
        <v>0</v>
      </c>
      <c r="F178" s="5">
        <v>0</v>
      </c>
      <c r="G178" s="5">
        <v>0</v>
      </c>
      <c r="H178" s="5">
        <v>0</v>
      </c>
      <c r="I178" s="5">
        <v>0</v>
      </c>
      <c r="J178" s="9">
        <v>0</v>
      </c>
      <c r="K178" s="5">
        <v>1</v>
      </c>
      <c r="L178" s="5">
        <v>7</v>
      </c>
      <c r="M178" s="5">
        <v>0</v>
      </c>
      <c r="N178" s="9">
        <v>0</v>
      </c>
      <c r="O178" s="5">
        <v>3</v>
      </c>
      <c r="P178" s="5">
        <v>22</v>
      </c>
      <c r="Q178" s="5">
        <v>0</v>
      </c>
      <c r="R178" s="9">
        <v>0</v>
      </c>
      <c r="S178" s="5">
        <v>0</v>
      </c>
      <c r="T178" s="5">
        <v>0</v>
      </c>
    </row>
    <row r="179" spans="1:20" x14ac:dyDescent="0.2">
      <c r="A179" s="5" t="s">
        <v>577</v>
      </c>
      <c r="B179" s="9" t="s">
        <v>162</v>
      </c>
      <c r="C179" s="5" t="s">
        <v>831</v>
      </c>
      <c r="D179" s="7">
        <f t="shared" si="0"/>
        <v>6</v>
      </c>
      <c r="E179" s="5">
        <v>0</v>
      </c>
      <c r="F179" s="5">
        <v>0</v>
      </c>
      <c r="G179" s="5">
        <v>0</v>
      </c>
      <c r="H179" s="5">
        <v>0</v>
      </c>
      <c r="I179" s="5">
        <v>0</v>
      </c>
      <c r="J179" s="9">
        <v>0</v>
      </c>
      <c r="K179" s="5">
        <v>1</v>
      </c>
      <c r="L179" s="5">
        <v>17</v>
      </c>
      <c r="M179" s="5">
        <v>0</v>
      </c>
      <c r="N179" s="9">
        <v>0</v>
      </c>
      <c r="O179" s="5">
        <v>1</v>
      </c>
      <c r="P179" s="5">
        <v>33</v>
      </c>
      <c r="Q179" s="5">
        <v>0</v>
      </c>
      <c r="R179" s="9">
        <v>0</v>
      </c>
      <c r="S179" s="5">
        <v>0</v>
      </c>
      <c r="T179" s="5">
        <v>0</v>
      </c>
    </row>
    <row r="180" spans="1:20" x14ac:dyDescent="0.2">
      <c r="A180" s="5" t="s">
        <v>200</v>
      </c>
      <c r="B180" s="9" t="s">
        <v>162</v>
      </c>
      <c r="C180" s="5" t="s">
        <v>817</v>
      </c>
      <c r="D180" s="7">
        <f t="shared" si="0"/>
        <v>5.2</v>
      </c>
      <c r="E180" s="5">
        <v>0</v>
      </c>
      <c r="F180" s="5">
        <v>0</v>
      </c>
      <c r="G180" s="5">
        <v>0</v>
      </c>
      <c r="H180" s="5">
        <v>0</v>
      </c>
      <c r="I180" s="5">
        <v>0</v>
      </c>
      <c r="J180" s="9">
        <v>0</v>
      </c>
      <c r="K180" s="5">
        <v>1</v>
      </c>
      <c r="L180" s="5">
        <v>11</v>
      </c>
      <c r="M180" s="5">
        <v>0</v>
      </c>
      <c r="N180" s="9">
        <v>0</v>
      </c>
      <c r="O180" s="5">
        <v>2</v>
      </c>
      <c r="P180" s="5">
        <v>21</v>
      </c>
      <c r="Q180" s="5">
        <v>0</v>
      </c>
      <c r="R180" s="9">
        <v>0</v>
      </c>
      <c r="S180" s="5">
        <v>0</v>
      </c>
      <c r="T180" s="5">
        <v>0</v>
      </c>
    </row>
    <row r="181" spans="1:20" x14ac:dyDescent="0.2">
      <c r="A181" s="5" t="s">
        <v>184</v>
      </c>
      <c r="B181" s="9" t="s">
        <v>162</v>
      </c>
      <c r="C181" s="5" t="s">
        <v>831</v>
      </c>
      <c r="D181" s="7">
        <f t="shared" si="0"/>
        <v>5.4</v>
      </c>
      <c r="E181" s="5">
        <v>0</v>
      </c>
      <c r="F181" s="5">
        <v>0</v>
      </c>
      <c r="G181" s="5">
        <v>0</v>
      </c>
      <c r="H181" s="5">
        <v>0</v>
      </c>
      <c r="I181" s="5">
        <v>0</v>
      </c>
      <c r="J181" s="9">
        <v>0</v>
      </c>
      <c r="K181" s="5">
        <v>0</v>
      </c>
      <c r="L181" s="5">
        <v>0</v>
      </c>
      <c r="M181" s="5">
        <v>0</v>
      </c>
      <c r="N181" s="9">
        <v>0</v>
      </c>
      <c r="O181" s="5">
        <v>2</v>
      </c>
      <c r="P181" s="5">
        <v>34</v>
      </c>
      <c r="Q181" s="5">
        <v>0</v>
      </c>
      <c r="R181" s="9">
        <v>0</v>
      </c>
      <c r="S181" s="5">
        <v>0</v>
      </c>
      <c r="T181" s="5">
        <v>0</v>
      </c>
    </row>
    <row r="182" spans="1:20" x14ac:dyDescent="0.2">
      <c r="A182" s="5" t="s">
        <v>176</v>
      </c>
      <c r="B182" s="9" t="s">
        <v>162</v>
      </c>
      <c r="C182" s="5" t="s">
        <v>817</v>
      </c>
      <c r="D182" s="7">
        <f t="shared" si="0"/>
        <v>4.3000000000000007</v>
      </c>
      <c r="E182" s="5">
        <v>0</v>
      </c>
      <c r="F182" s="5">
        <v>0</v>
      </c>
      <c r="G182" s="5">
        <v>0</v>
      </c>
      <c r="H182" s="5">
        <v>0</v>
      </c>
      <c r="I182" s="5">
        <v>0</v>
      </c>
      <c r="J182" s="9">
        <v>0</v>
      </c>
      <c r="K182" s="5">
        <v>1</v>
      </c>
      <c r="L182" s="5">
        <v>-4</v>
      </c>
      <c r="M182" s="5">
        <v>0</v>
      </c>
      <c r="N182" s="9">
        <v>0</v>
      </c>
      <c r="O182" s="5">
        <v>2</v>
      </c>
      <c r="P182" s="5">
        <v>7</v>
      </c>
      <c r="Q182" s="5">
        <v>0</v>
      </c>
      <c r="R182" s="9">
        <v>1</v>
      </c>
      <c r="S182" s="5">
        <v>0</v>
      </c>
      <c r="T182" s="5">
        <v>0</v>
      </c>
    </row>
    <row r="183" spans="1:20" x14ac:dyDescent="0.2">
      <c r="A183" s="5" t="s">
        <v>678</v>
      </c>
      <c r="B183" s="9" t="s">
        <v>162</v>
      </c>
      <c r="C183" s="5" t="s">
        <v>828</v>
      </c>
      <c r="D183" s="7">
        <f t="shared" si="0"/>
        <v>4.9000000000000004</v>
      </c>
      <c r="E183" s="5">
        <v>0</v>
      </c>
      <c r="F183" s="5">
        <v>0</v>
      </c>
      <c r="G183" s="5">
        <v>0</v>
      </c>
      <c r="H183" s="5">
        <v>0</v>
      </c>
      <c r="I183" s="5">
        <v>0</v>
      </c>
      <c r="J183" s="9">
        <v>0</v>
      </c>
      <c r="K183" s="5">
        <v>0</v>
      </c>
      <c r="L183" s="5">
        <v>0</v>
      </c>
      <c r="M183" s="5">
        <v>0</v>
      </c>
      <c r="N183" s="9">
        <v>0</v>
      </c>
      <c r="O183" s="5">
        <v>2</v>
      </c>
      <c r="P183" s="5">
        <v>29</v>
      </c>
      <c r="Q183" s="5">
        <v>0</v>
      </c>
      <c r="R183" s="9">
        <v>0</v>
      </c>
      <c r="S183" s="5">
        <v>0</v>
      </c>
      <c r="T183" s="5">
        <v>0</v>
      </c>
    </row>
    <row r="184" spans="1:20" x14ac:dyDescent="0.2">
      <c r="A184" s="5" t="s">
        <v>255</v>
      </c>
      <c r="B184" s="9" t="s">
        <v>162</v>
      </c>
      <c r="C184" s="5" t="s">
        <v>819</v>
      </c>
      <c r="D184" s="7">
        <f t="shared" si="0"/>
        <v>4.5</v>
      </c>
      <c r="E184" s="5">
        <v>0</v>
      </c>
      <c r="F184" s="5">
        <v>0</v>
      </c>
      <c r="G184" s="5">
        <v>0</v>
      </c>
      <c r="H184" s="5">
        <v>0</v>
      </c>
      <c r="I184" s="5">
        <v>0</v>
      </c>
      <c r="J184" s="9">
        <v>0</v>
      </c>
      <c r="K184" s="5">
        <v>0</v>
      </c>
      <c r="L184" s="5">
        <v>0</v>
      </c>
      <c r="M184" s="5">
        <v>0</v>
      </c>
      <c r="N184" s="9">
        <v>0</v>
      </c>
      <c r="O184" s="5">
        <v>2</v>
      </c>
      <c r="P184" s="5">
        <v>25</v>
      </c>
      <c r="Q184" s="5">
        <v>0</v>
      </c>
      <c r="R184" s="9">
        <v>0</v>
      </c>
      <c r="S184" s="5">
        <v>0</v>
      </c>
      <c r="T184" s="5">
        <v>0</v>
      </c>
    </row>
    <row r="185" spans="1:20" x14ac:dyDescent="0.2">
      <c r="A185" s="5" t="s">
        <v>199</v>
      </c>
      <c r="B185" s="9" t="s">
        <v>162</v>
      </c>
      <c r="C185" s="5" t="s">
        <v>815</v>
      </c>
      <c r="D185" s="7">
        <f t="shared" si="0"/>
        <v>5</v>
      </c>
      <c r="E185" s="5">
        <v>0</v>
      </c>
      <c r="F185" s="5">
        <v>0</v>
      </c>
      <c r="G185" s="5">
        <v>0</v>
      </c>
      <c r="H185" s="5">
        <v>0</v>
      </c>
      <c r="I185" s="5">
        <v>0</v>
      </c>
      <c r="J185" s="9">
        <v>0</v>
      </c>
      <c r="K185" s="5">
        <v>1</v>
      </c>
      <c r="L185" s="5">
        <v>15</v>
      </c>
      <c r="M185" s="5">
        <v>0</v>
      </c>
      <c r="N185" s="9">
        <v>0</v>
      </c>
      <c r="O185" s="5">
        <v>2</v>
      </c>
      <c r="P185" s="5">
        <v>15</v>
      </c>
      <c r="Q185" s="5">
        <v>0</v>
      </c>
      <c r="R185" s="9">
        <v>0</v>
      </c>
      <c r="S185" s="5">
        <v>0</v>
      </c>
      <c r="T185" s="5">
        <v>0</v>
      </c>
    </row>
    <row r="186" spans="1:20" x14ac:dyDescent="0.2">
      <c r="A186" s="5" t="s">
        <v>385</v>
      </c>
      <c r="B186" s="9" t="s">
        <v>162</v>
      </c>
      <c r="C186" s="5" t="s">
        <v>826</v>
      </c>
      <c r="D186" s="7">
        <f t="shared" si="0"/>
        <v>5.4</v>
      </c>
      <c r="E186" s="5">
        <v>0</v>
      </c>
      <c r="F186" s="5">
        <v>0</v>
      </c>
      <c r="G186" s="5">
        <v>0</v>
      </c>
      <c r="H186" s="5">
        <v>0</v>
      </c>
      <c r="I186" s="5">
        <v>0</v>
      </c>
      <c r="J186" s="9">
        <v>0</v>
      </c>
      <c r="K186" s="5">
        <v>1</v>
      </c>
      <c r="L186" s="5">
        <v>6</v>
      </c>
      <c r="M186" s="5">
        <v>0</v>
      </c>
      <c r="N186" s="9">
        <v>0</v>
      </c>
      <c r="O186" s="5">
        <v>3</v>
      </c>
      <c r="P186" s="5">
        <v>18</v>
      </c>
      <c r="Q186" s="5">
        <v>0</v>
      </c>
      <c r="R186" s="9">
        <v>0</v>
      </c>
      <c r="S186" s="5">
        <v>0</v>
      </c>
      <c r="T186" s="5">
        <v>0</v>
      </c>
    </row>
    <row r="187" spans="1:20" x14ac:dyDescent="0.2">
      <c r="A187" s="5" t="s">
        <v>368</v>
      </c>
      <c r="B187" s="9" t="s">
        <v>162</v>
      </c>
      <c r="C187" s="5" t="s">
        <v>817</v>
      </c>
      <c r="D187" s="7">
        <f t="shared" si="0"/>
        <v>4.2</v>
      </c>
      <c r="E187" s="5">
        <v>0</v>
      </c>
      <c r="F187" s="5">
        <v>0</v>
      </c>
      <c r="G187" s="5">
        <v>0</v>
      </c>
      <c r="H187" s="5">
        <v>0</v>
      </c>
      <c r="I187" s="5">
        <v>0</v>
      </c>
      <c r="J187" s="9">
        <v>0</v>
      </c>
      <c r="K187" s="5">
        <v>0</v>
      </c>
      <c r="L187" s="5">
        <v>0</v>
      </c>
      <c r="M187" s="5">
        <v>0</v>
      </c>
      <c r="N187" s="9">
        <v>0</v>
      </c>
      <c r="O187" s="5">
        <v>2</v>
      </c>
      <c r="P187" s="5">
        <v>22</v>
      </c>
      <c r="Q187" s="5">
        <v>0</v>
      </c>
      <c r="R187" s="9">
        <v>0</v>
      </c>
      <c r="S187" s="5">
        <v>0</v>
      </c>
      <c r="T187" s="5">
        <v>0</v>
      </c>
    </row>
    <row r="188" spans="1:20" x14ac:dyDescent="0.2">
      <c r="A188" s="5" t="s">
        <v>237</v>
      </c>
      <c r="B188" s="9" t="s">
        <v>162</v>
      </c>
      <c r="C188" s="5" t="s">
        <v>823</v>
      </c>
      <c r="D188" s="7">
        <f t="shared" si="0"/>
        <v>4.4000000000000004</v>
      </c>
      <c r="E188" s="5">
        <v>0</v>
      </c>
      <c r="F188" s="5">
        <v>0</v>
      </c>
      <c r="G188" s="5">
        <v>0</v>
      </c>
      <c r="H188" s="5">
        <v>0</v>
      </c>
      <c r="I188" s="5">
        <v>0</v>
      </c>
      <c r="J188" s="9">
        <v>0</v>
      </c>
      <c r="K188" s="5">
        <v>0</v>
      </c>
      <c r="L188" s="5">
        <v>0</v>
      </c>
      <c r="M188" s="5">
        <v>0</v>
      </c>
      <c r="N188" s="9">
        <v>0</v>
      </c>
      <c r="O188" s="5">
        <v>3</v>
      </c>
      <c r="P188" s="5">
        <v>14</v>
      </c>
      <c r="Q188" s="5">
        <v>0</v>
      </c>
      <c r="R188" s="9">
        <v>0</v>
      </c>
      <c r="S188" s="5">
        <v>0</v>
      </c>
      <c r="T188" s="5">
        <v>0</v>
      </c>
    </row>
    <row r="189" spans="1:20" x14ac:dyDescent="0.2">
      <c r="A189" s="5" t="s">
        <v>420</v>
      </c>
      <c r="B189" s="9" t="s">
        <v>162</v>
      </c>
      <c r="C189" s="5" t="s">
        <v>826</v>
      </c>
      <c r="D189" s="7">
        <f t="shared" si="0"/>
        <v>4</v>
      </c>
      <c r="E189" s="5">
        <v>0</v>
      </c>
      <c r="F189" s="5">
        <v>0</v>
      </c>
      <c r="G189" s="5">
        <v>0</v>
      </c>
      <c r="H189" s="5">
        <v>0</v>
      </c>
      <c r="I189" s="5">
        <v>0</v>
      </c>
      <c r="J189" s="9">
        <v>0</v>
      </c>
      <c r="K189" s="5">
        <v>0</v>
      </c>
      <c r="L189" s="5">
        <v>0</v>
      </c>
      <c r="M189" s="5">
        <v>0</v>
      </c>
      <c r="N189" s="9">
        <v>0</v>
      </c>
      <c r="O189" s="5">
        <v>2</v>
      </c>
      <c r="P189" s="5">
        <v>20</v>
      </c>
      <c r="Q189" s="5">
        <v>0</v>
      </c>
      <c r="R189" s="9">
        <v>0</v>
      </c>
      <c r="S189" s="5">
        <v>0</v>
      </c>
      <c r="T189" s="5">
        <v>0</v>
      </c>
    </row>
    <row r="190" spans="1:20" x14ac:dyDescent="0.2">
      <c r="A190" s="5" t="s">
        <v>258</v>
      </c>
      <c r="B190" s="9" t="s">
        <v>162</v>
      </c>
      <c r="C190" s="5" t="s">
        <v>828</v>
      </c>
      <c r="D190" s="7">
        <f t="shared" si="0"/>
        <v>4.5</v>
      </c>
      <c r="E190" s="5">
        <v>0</v>
      </c>
      <c r="F190" s="5">
        <v>0</v>
      </c>
      <c r="G190" s="5">
        <v>0</v>
      </c>
      <c r="H190" s="5">
        <v>0</v>
      </c>
      <c r="I190" s="5">
        <v>0</v>
      </c>
      <c r="J190" s="9">
        <v>0</v>
      </c>
      <c r="K190" s="5">
        <v>3</v>
      </c>
      <c r="L190" s="5">
        <v>17</v>
      </c>
      <c r="M190" s="5">
        <v>0</v>
      </c>
      <c r="N190" s="9">
        <v>0</v>
      </c>
      <c r="O190" s="5">
        <v>1</v>
      </c>
      <c r="P190" s="5">
        <v>18</v>
      </c>
      <c r="Q190" s="5">
        <v>0</v>
      </c>
      <c r="R190" s="9">
        <v>0</v>
      </c>
      <c r="S190" s="5">
        <v>0</v>
      </c>
      <c r="T190" s="5">
        <v>0</v>
      </c>
    </row>
    <row r="191" spans="1:20" x14ac:dyDescent="0.2">
      <c r="A191" s="5" t="s">
        <v>629</v>
      </c>
      <c r="B191" s="9" t="s">
        <v>162</v>
      </c>
      <c r="C191" s="5" t="s">
        <v>823</v>
      </c>
      <c r="D191" s="7">
        <f t="shared" si="0"/>
        <v>3.4000000000000004</v>
      </c>
      <c r="E191" s="5">
        <v>0</v>
      </c>
      <c r="F191" s="5">
        <v>0</v>
      </c>
      <c r="G191" s="5">
        <v>0</v>
      </c>
      <c r="H191" s="5">
        <v>0</v>
      </c>
      <c r="I191" s="5">
        <v>0</v>
      </c>
      <c r="J191" s="9">
        <v>0</v>
      </c>
      <c r="K191" s="5">
        <v>0</v>
      </c>
      <c r="L191" s="5">
        <v>0</v>
      </c>
      <c r="M191" s="5">
        <v>0</v>
      </c>
      <c r="N191" s="9">
        <v>0</v>
      </c>
      <c r="O191" s="5">
        <v>2</v>
      </c>
      <c r="P191" s="5">
        <v>14</v>
      </c>
      <c r="Q191" s="5">
        <v>0</v>
      </c>
      <c r="R191" s="9">
        <v>0</v>
      </c>
      <c r="S191" s="5">
        <v>0</v>
      </c>
      <c r="T191" s="5">
        <v>0</v>
      </c>
    </row>
    <row r="192" spans="1:20" x14ac:dyDescent="0.2">
      <c r="A192" s="5" t="s">
        <v>203</v>
      </c>
      <c r="B192" s="9" t="s">
        <v>162</v>
      </c>
      <c r="C192" s="5" t="s">
        <v>815</v>
      </c>
      <c r="D192" s="7">
        <f t="shared" si="0"/>
        <v>3.7</v>
      </c>
      <c r="E192" s="5">
        <v>0</v>
      </c>
      <c r="F192" s="5">
        <v>0</v>
      </c>
      <c r="G192" s="5">
        <v>0</v>
      </c>
      <c r="H192" s="5">
        <v>0</v>
      </c>
      <c r="I192" s="5">
        <v>0</v>
      </c>
      <c r="J192" s="9">
        <v>0</v>
      </c>
      <c r="K192" s="5">
        <v>0</v>
      </c>
      <c r="L192" s="5">
        <v>0</v>
      </c>
      <c r="M192" s="5">
        <v>0</v>
      </c>
      <c r="N192" s="9">
        <v>0</v>
      </c>
      <c r="O192" s="5">
        <v>2</v>
      </c>
      <c r="P192" s="5">
        <v>17</v>
      </c>
      <c r="Q192" s="5">
        <v>0</v>
      </c>
      <c r="R192" s="9">
        <v>0</v>
      </c>
      <c r="S192" s="5">
        <v>0</v>
      </c>
      <c r="T192" s="5">
        <v>0</v>
      </c>
    </row>
    <row r="193" spans="1:20" x14ac:dyDescent="0.2">
      <c r="A193" s="5" t="s">
        <v>207</v>
      </c>
      <c r="B193" s="9" t="s">
        <v>162</v>
      </c>
      <c r="C193" s="5" t="s">
        <v>831</v>
      </c>
      <c r="D193" s="7">
        <f t="shared" si="0"/>
        <v>3.3</v>
      </c>
      <c r="E193" s="5">
        <v>0</v>
      </c>
      <c r="F193" s="5">
        <v>0</v>
      </c>
      <c r="G193" s="5">
        <v>0</v>
      </c>
      <c r="H193" s="5">
        <v>0</v>
      </c>
      <c r="I193" s="5">
        <v>0</v>
      </c>
      <c r="J193" s="9">
        <v>0</v>
      </c>
      <c r="K193" s="5">
        <v>1</v>
      </c>
      <c r="L193" s="5">
        <v>0</v>
      </c>
      <c r="M193" s="5">
        <v>0</v>
      </c>
      <c r="N193" s="9">
        <v>0</v>
      </c>
      <c r="O193" s="5">
        <v>2</v>
      </c>
      <c r="P193" s="5">
        <v>13</v>
      </c>
      <c r="Q193" s="5">
        <v>0</v>
      </c>
      <c r="R193" s="9">
        <v>0</v>
      </c>
      <c r="S193" s="5">
        <v>0</v>
      </c>
      <c r="T193" s="5">
        <v>0</v>
      </c>
    </row>
    <row r="194" spans="1:20" x14ac:dyDescent="0.2">
      <c r="A194" s="5" t="s">
        <v>679</v>
      </c>
      <c r="B194" s="9" t="s">
        <v>162</v>
      </c>
      <c r="C194" s="5" t="s">
        <v>822</v>
      </c>
      <c r="D194" s="7">
        <f t="shared" si="0"/>
        <v>3.9</v>
      </c>
      <c r="E194" s="5">
        <v>0</v>
      </c>
      <c r="F194" s="5">
        <v>0</v>
      </c>
      <c r="G194" s="5">
        <v>0</v>
      </c>
      <c r="H194" s="5">
        <v>0</v>
      </c>
      <c r="I194" s="5">
        <v>0</v>
      </c>
      <c r="J194" s="9">
        <v>0</v>
      </c>
      <c r="K194" s="5">
        <v>0</v>
      </c>
      <c r="L194" s="5">
        <v>0</v>
      </c>
      <c r="M194" s="5">
        <v>0</v>
      </c>
      <c r="N194" s="9">
        <v>0</v>
      </c>
      <c r="O194" s="5">
        <v>3</v>
      </c>
      <c r="P194" s="5">
        <v>9</v>
      </c>
      <c r="Q194" s="5">
        <v>0</v>
      </c>
      <c r="R194" s="9">
        <v>0</v>
      </c>
      <c r="S194" s="5">
        <v>0</v>
      </c>
      <c r="T194" s="5">
        <v>0</v>
      </c>
    </row>
    <row r="195" spans="1:20" x14ac:dyDescent="0.2">
      <c r="A195" s="5" t="s">
        <v>261</v>
      </c>
      <c r="B195" s="9" t="s">
        <v>162</v>
      </c>
      <c r="C195" s="5" t="s">
        <v>828</v>
      </c>
      <c r="D195" s="7">
        <f t="shared" si="0"/>
        <v>3.5</v>
      </c>
      <c r="E195" s="5">
        <v>0</v>
      </c>
      <c r="F195" s="5">
        <v>0</v>
      </c>
      <c r="G195" s="5">
        <v>0</v>
      </c>
      <c r="H195" s="5">
        <v>0</v>
      </c>
      <c r="I195" s="5">
        <v>0</v>
      </c>
      <c r="J195" s="9">
        <v>0</v>
      </c>
      <c r="K195" s="5">
        <v>0</v>
      </c>
      <c r="L195" s="5">
        <v>0</v>
      </c>
      <c r="M195" s="5">
        <v>0</v>
      </c>
      <c r="N195" s="9">
        <v>0</v>
      </c>
      <c r="O195" s="5">
        <v>2</v>
      </c>
      <c r="P195" s="5">
        <v>15</v>
      </c>
      <c r="Q195" s="5">
        <v>0</v>
      </c>
      <c r="R195" s="9">
        <v>0</v>
      </c>
      <c r="S195" s="5">
        <v>0</v>
      </c>
      <c r="T195" s="5">
        <v>0</v>
      </c>
    </row>
    <row r="196" spans="1:20" x14ac:dyDescent="0.2">
      <c r="A196" s="5" t="s">
        <v>222</v>
      </c>
      <c r="B196" s="9" t="s">
        <v>162</v>
      </c>
      <c r="C196" s="5" t="s">
        <v>814</v>
      </c>
      <c r="D196" s="7">
        <f t="shared" si="0"/>
        <v>3.3</v>
      </c>
      <c r="E196" s="5">
        <v>0</v>
      </c>
      <c r="F196" s="5">
        <v>0</v>
      </c>
      <c r="G196" s="5">
        <v>0</v>
      </c>
      <c r="H196" s="5">
        <v>0</v>
      </c>
      <c r="I196" s="5">
        <v>0</v>
      </c>
      <c r="J196" s="9">
        <v>0</v>
      </c>
      <c r="K196" s="5">
        <v>0</v>
      </c>
      <c r="L196" s="5">
        <v>0</v>
      </c>
      <c r="M196" s="5">
        <v>0</v>
      </c>
      <c r="N196" s="9">
        <v>0</v>
      </c>
      <c r="O196" s="5">
        <v>2</v>
      </c>
      <c r="P196" s="5">
        <v>13</v>
      </c>
      <c r="Q196" s="5">
        <v>0</v>
      </c>
      <c r="R196" s="9">
        <v>0</v>
      </c>
      <c r="S196" s="5">
        <v>0</v>
      </c>
      <c r="T196" s="5">
        <v>0</v>
      </c>
    </row>
    <row r="197" spans="1:20" x14ac:dyDescent="0.2">
      <c r="A197" s="5" t="s">
        <v>253</v>
      </c>
      <c r="B197" s="9" t="s">
        <v>162</v>
      </c>
      <c r="C197" s="5" t="s">
        <v>828</v>
      </c>
      <c r="D197" s="7">
        <f t="shared" si="0"/>
        <v>4.3000000000000007</v>
      </c>
      <c r="E197" s="5">
        <v>0</v>
      </c>
      <c r="F197" s="5">
        <v>0</v>
      </c>
      <c r="G197" s="5">
        <v>0</v>
      </c>
      <c r="H197" s="5">
        <v>0</v>
      </c>
      <c r="I197" s="5">
        <v>0</v>
      </c>
      <c r="J197" s="9">
        <v>0</v>
      </c>
      <c r="K197" s="5">
        <v>1</v>
      </c>
      <c r="L197" s="5">
        <v>6</v>
      </c>
      <c r="M197" s="5">
        <v>0</v>
      </c>
      <c r="N197" s="9">
        <v>0</v>
      </c>
      <c r="O197" s="5">
        <v>2</v>
      </c>
      <c r="P197" s="5">
        <v>17</v>
      </c>
      <c r="Q197" s="5">
        <v>0</v>
      </c>
      <c r="R197" s="9">
        <v>0</v>
      </c>
      <c r="S197" s="5">
        <v>0</v>
      </c>
      <c r="T197" s="5">
        <v>0</v>
      </c>
    </row>
    <row r="198" spans="1:20" x14ac:dyDescent="0.2">
      <c r="A198" s="5" t="s">
        <v>582</v>
      </c>
      <c r="B198" s="9" t="s">
        <v>162</v>
      </c>
      <c r="C198" s="5" t="s">
        <v>826</v>
      </c>
      <c r="D198" s="7">
        <f t="shared" si="0"/>
        <v>3.3</v>
      </c>
      <c r="E198" s="5">
        <v>0</v>
      </c>
      <c r="F198" s="5">
        <v>0</v>
      </c>
      <c r="G198" s="5">
        <v>0</v>
      </c>
      <c r="H198" s="5">
        <v>0</v>
      </c>
      <c r="I198" s="5">
        <v>0</v>
      </c>
      <c r="J198" s="9">
        <v>0</v>
      </c>
      <c r="K198" s="5">
        <v>0</v>
      </c>
      <c r="L198" s="5">
        <v>0</v>
      </c>
      <c r="M198" s="5">
        <v>0</v>
      </c>
      <c r="N198" s="9">
        <v>0</v>
      </c>
      <c r="O198" s="5">
        <v>2</v>
      </c>
      <c r="P198" s="5">
        <v>13</v>
      </c>
      <c r="Q198" s="5">
        <v>0</v>
      </c>
      <c r="R198" s="9">
        <v>0</v>
      </c>
      <c r="S198" s="5">
        <v>0</v>
      </c>
      <c r="T198" s="5">
        <v>0</v>
      </c>
    </row>
    <row r="199" spans="1:20" x14ac:dyDescent="0.2">
      <c r="A199" s="5" t="s">
        <v>209</v>
      </c>
      <c r="B199" s="9" t="s">
        <v>162</v>
      </c>
      <c r="C199" s="5" t="s">
        <v>830</v>
      </c>
      <c r="D199" s="7">
        <f t="shared" si="0"/>
        <v>3</v>
      </c>
      <c r="E199" s="5">
        <v>0</v>
      </c>
      <c r="F199" s="5">
        <v>0</v>
      </c>
      <c r="G199" s="5">
        <v>0</v>
      </c>
      <c r="H199" s="5">
        <v>0</v>
      </c>
      <c r="I199" s="5">
        <v>0</v>
      </c>
      <c r="J199" s="9">
        <v>0</v>
      </c>
      <c r="K199" s="5">
        <v>0</v>
      </c>
      <c r="L199" s="5">
        <v>0</v>
      </c>
      <c r="M199" s="5">
        <v>0</v>
      </c>
      <c r="N199" s="9">
        <v>0</v>
      </c>
      <c r="O199" s="5">
        <v>2</v>
      </c>
      <c r="P199" s="5">
        <v>10</v>
      </c>
      <c r="Q199" s="5">
        <v>0</v>
      </c>
      <c r="R199" s="9">
        <v>0</v>
      </c>
      <c r="S199" s="5">
        <v>0</v>
      </c>
      <c r="T199" s="5">
        <v>0</v>
      </c>
    </row>
    <row r="200" spans="1:20" x14ac:dyDescent="0.2">
      <c r="A200" s="5" t="s">
        <v>559</v>
      </c>
      <c r="B200" s="9" t="s">
        <v>162</v>
      </c>
      <c r="C200" s="5" t="s">
        <v>825</v>
      </c>
      <c r="D200" s="7">
        <f t="shared" si="0"/>
        <v>3.5</v>
      </c>
      <c r="E200" s="5">
        <v>0</v>
      </c>
      <c r="F200" s="5">
        <v>0</v>
      </c>
      <c r="G200" s="5">
        <v>0</v>
      </c>
      <c r="H200" s="5">
        <v>0</v>
      </c>
      <c r="I200" s="5">
        <v>0</v>
      </c>
      <c r="J200" s="9">
        <v>0</v>
      </c>
      <c r="K200" s="5">
        <v>0</v>
      </c>
      <c r="L200" s="5">
        <v>0</v>
      </c>
      <c r="M200" s="5">
        <v>0</v>
      </c>
      <c r="N200" s="9">
        <v>0</v>
      </c>
      <c r="O200" s="5">
        <v>2</v>
      </c>
      <c r="P200" s="5">
        <v>15</v>
      </c>
      <c r="Q200" s="5">
        <v>0</v>
      </c>
      <c r="R200" s="9">
        <v>0</v>
      </c>
      <c r="S200" s="5">
        <v>0</v>
      </c>
      <c r="T200" s="5">
        <v>0</v>
      </c>
    </row>
    <row r="201" spans="1:20" x14ac:dyDescent="0.2">
      <c r="A201" s="5" t="s">
        <v>266</v>
      </c>
      <c r="B201" s="9" t="s">
        <v>162</v>
      </c>
      <c r="C201" s="5" t="s">
        <v>828</v>
      </c>
      <c r="D201" s="7">
        <f t="shared" si="0"/>
        <v>3.7</v>
      </c>
      <c r="E201" s="5">
        <v>0</v>
      </c>
      <c r="F201" s="5">
        <v>0</v>
      </c>
      <c r="G201" s="5">
        <v>0</v>
      </c>
      <c r="H201" s="5">
        <v>0</v>
      </c>
      <c r="I201" s="5">
        <v>0</v>
      </c>
      <c r="J201" s="9">
        <v>0</v>
      </c>
      <c r="K201" s="5">
        <v>0</v>
      </c>
      <c r="L201" s="5">
        <v>0</v>
      </c>
      <c r="M201" s="5">
        <v>0</v>
      </c>
      <c r="N201" s="9">
        <v>0</v>
      </c>
      <c r="O201" s="5">
        <v>2</v>
      </c>
      <c r="P201" s="5">
        <v>17</v>
      </c>
      <c r="Q201" s="5">
        <v>0</v>
      </c>
      <c r="R201" s="9">
        <v>0</v>
      </c>
      <c r="S201" s="5">
        <v>0</v>
      </c>
      <c r="T201" s="5">
        <v>0</v>
      </c>
    </row>
    <row r="202" spans="1:20" x14ac:dyDescent="0.2">
      <c r="A202" s="5" t="s">
        <v>246</v>
      </c>
      <c r="B202" s="9" t="s">
        <v>162</v>
      </c>
      <c r="C202" s="5" t="s">
        <v>830</v>
      </c>
      <c r="D202" s="7">
        <f t="shared" si="0"/>
        <v>3.2</v>
      </c>
      <c r="E202" s="5">
        <v>0</v>
      </c>
      <c r="F202" s="5">
        <v>0</v>
      </c>
      <c r="G202" s="5">
        <v>0</v>
      </c>
      <c r="H202" s="5">
        <v>0</v>
      </c>
      <c r="I202" s="5">
        <v>0</v>
      </c>
      <c r="J202" s="9">
        <v>0</v>
      </c>
      <c r="K202" s="5">
        <v>0</v>
      </c>
      <c r="L202" s="5">
        <v>0</v>
      </c>
      <c r="M202" s="5">
        <v>0</v>
      </c>
      <c r="N202" s="9">
        <v>0</v>
      </c>
      <c r="O202" s="5">
        <v>2</v>
      </c>
      <c r="P202" s="5">
        <v>12</v>
      </c>
      <c r="Q202" s="5">
        <v>0</v>
      </c>
      <c r="R202" s="9">
        <v>0</v>
      </c>
      <c r="S202" s="5">
        <v>0</v>
      </c>
      <c r="T202" s="5">
        <v>0</v>
      </c>
    </row>
    <row r="203" spans="1:20" x14ac:dyDescent="0.2">
      <c r="A203" s="5" t="s">
        <v>485</v>
      </c>
      <c r="B203" s="9" t="s">
        <v>162</v>
      </c>
      <c r="C203" s="5" t="s">
        <v>818</v>
      </c>
      <c r="D203" s="7">
        <f t="shared" si="0"/>
        <v>3.4000000000000004</v>
      </c>
      <c r="E203" s="5">
        <v>0</v>
      </c>
      <c r="F203" s="5">
        <v>0</v>
      </c>
      <c r="G203" s="5">
        <v>0</v>
      </c>
      <c r="H203" s="5">
        <v>0</v>
      </c>
      <c r="I203" s="5">
        <v>0</v>
      </c>
      <c r="J203" s="9">
        <v>0</v>
      </c>
      <c r="K203" s="5">
        <v>0</v>
      </c>
      <c r="L203" s="5">
        <v>0</v>
      </c>
      <c r="M203" s="5">
        <v>0</v>
      </c>
      <c r="N203" s="9">
        <v>0</v>
      </c>
      <c r="O203" s="5">
        <v>1</v>
      </c>
      <c r="P203" s="5">
        <v>24</v>
      </c>
      <c r="Q203" s="5">
        <v>0</v>
      </c>
      <c r="R203" s="9">
        <v>0</v>
      </c>
      <c r="S203" s="5">
        <v>0</v>
      </c>
      <c r="T203" s="5">
        <v>0</v>
      </c>
    </row>
    <row r="204" spans="1:20" x14ac:dyDescent="0.2">
      <c r="A204" s="5" t="s">
        <v>212</v>
      </c>
      <c r="B204" s="9" t="s">
        <v>162</v>
      </c>
      <c r="C204" s="5" t="s">
        <v>818</v>
      </c>
      <c r="D204" s="7">
        <f t="shared" si="0"/>
        <v>2.9</v>
      </c>
      <c r="E204" s="5">
        <v>0</v>
      </c>
      <c r="F204" s="5">
        <v>0</v>
      </c>
      <c r="G204" s="5">
        <v>0</v>
      </c>
      <c r="H204" s="5">
        <v>0</v>
      </c>
      <c r="I204" s="5">
        <v>0</v>
      </c>
      <c r="J204" s="9">
        <v>0</v>
      </c>
      <c r="K204" s="5">
        <v>0</v>
      </c>
      <c r="L204" s="5">
        <v>0</v>
      </c>
      <c r="M204" s="5">
        <v>0</v>
      </c>
      <c r="N204" s="9">
        <v>0</v>
      </c>
      <c r="O204" s="5">
        <v>2</v>
      </c>
      <c r="P204" s="5">
        <v>9</v>
      </c>
      <c r="Q204" s="5">
        <v>0</v>
      </c>
      <c r="R204" s="9">
        <v>0</v>
      </c>
      <c r="S204" s="5">
        <v>0</v>
      </c>
      <c r="T204" s="5">
        <v>0</v>
      </c>
    </row>
    <row r="205" spans="1:20" x14ac:dyDescent="0.2">
      <c r="A205" s="5" t="s">
        <v>186</v>
      </c>
      <c r="B205" s="9" t="s">
        <v>162</v>
      </c>
      <c r="C205" s="5" t="s">
        <v>818</v>
      </c>
      <c r="D205" s="7">
        <f t="shared" si="0"/>
        <v>2.8</v>
      </c>
      <c r="E205" s="5">
        <v>0</v>
      </c>
      <c r="F205" s="5">
        <v>0</v>
      </c>
      <c r="G205" s="5">
        <v>0</v>
      </c>
      <c r="H205" s="5">
        <v>0</v>
      </c>
      <c r="I205" s="5">
        <v>0</v>
      </c>
      <c r="J205" s="9">
        <v>0</v>
      </c>
      <c r="K205" s="5">
        <v>0</v>
      </c>
      <c r="L205" s="5">
        <v>0</v>
      </c>
      <c r="M205" s="5">
        <v>0</v>
      </c>
      <c r="N205" s="9">
        <v>0</v>
      </c>
      <c r="O205" s="5">
        <v>1</v>
      </c>
      <c r="P205" s="5">
        <v>18</v>
      </c>
      <c r="Q205" s="5">
        <v>0</v>
      </c>
      <c r="R205" s="9">
        <v>0</v>
      </c>
      <c r="S205" s="5">
        <v>0</v>
      </c>
      <c r="T205" s="5">
        <v>0</v>
      </c>
    </row>
    <row r="206" spans="1:20" x14ac:dyDescent="0.2">
      <c r="A206" s="5" t="s">
        <v>240</v>
      </c>
      <c r="B206" s="9" t="s">
        <v>162</v>
      </c>
      <c r="C206" s="5" t="s">
        <v>818</v>
      </c>
      <c r="D206" s="7">
        <f t="shared" si="0"/>
        <v>2.2000000000000002</v>
      </c>
      <c r="E206" s="5">
        <v>0</v>
      </c>
      <c r="F206" s="5">
        <v>0</v>
      </c>
      <c r="G206" s="5">
        <v>0</v>
      </c>
      <c r="H206" s="5">
        <v>0</v>
      </c>
      <c r="I206" s="5">
        <v>0</v>
      </c>
      <c r="J206" s="9">
        <v>0</v>
      </c>
      <c r="K206" s="5">
        <v>0</v>
      </c>
      <c r="L206" s="5">
        <v>0</v>
      </c>
      <c r="M206" s="5">
        <v>0</v>
      </c>
      <c r="N206" s="9">
        <v>0</v>
      </c>
      <c r="O206" s="5">
        <v>1</v>
      </c>
      <c r="P206" s="5">
        <v>12</v>
      </c>
      <c r="Q206" s="5">
        <v>0</v>
      </c>
      <c r="R206" s="9">
        <v>0</v>
      </c>
      <c r="S206" s="5">
        <v>0</v>
      </c>
      <c r="T206" s="5">
        <v>0</v>
      </c>
    </row>
    <row r="207" spans="1:20" x14ac:dyDescent="0.2">
      <c r="A207" s="5" t="s">
        <v>188</v>
      </c>
      <c r="B207" s="9" t="s">
        <v>162</v>
      </c>
      <c r="C207" s="5" t="s">
        <v>823</v>
      </c>
      <c r="D207" s="7">
        <f t="shared" si="0"/>
        <v>2</v>
      </c>
      <c r="E207" s="5">
        <v>0</v>
      </c>
      <c r="F207" s="5">
        <v>0</v>
      </c>
      <c r="G207" s="5">
        <v>0</v>
      </c>
      <c r="H207" s="5">
        <v>0</v>
      </c>
      <c r="I207" s="5">
        <v>0</v>
      </c>
      <c r="J207" s="9">
        <v>0</v>
      </c>
      <c r="K207" s="5">
        <v>0</v>
      </c>
      <c r="L207" s="5">
        <v>0</v>
      </c>
      <c r="M207" s="5">
        <v>0</v>
      </c>
      <c r="N207" s="9">
        <v>0</v>
      </c>
      <c r="O207" s="5">
        <v>1</v>
      </c>
      <c r="P207" s="5">
        <v>10</v>
      </c>
      <c r="Q207" s="5">
        <v>0</v>
      </c>
      <c r="R207" s="9">
        <v>0</v>
      </c>
      <c r="S207" s="5">
        <v>0</v>
      </c>
      <c r="T207" s="5">
        <v>0</v>
      </c>
    </row>
    <row r="208" spans="1:20" x14ac:dyDescent="0.2">
      <c r="A208" s="5" t="s">
        <v>254</v>
      </c>
      <c r="B208" s="9" t="s">
        <v>162</v>
      </c>
      <c r="C208" s="5" t="s">
        <v>824</v>
      </c>
      <c r="D208" s="7">
        <f t="shared" si="0"/>
        <v>2.7</v>
      </c>
      <c r="E208" s="5">
        <v>0</v>
      </c>
      <c r="F208" s="5">
        <v>0</v>
      </c>
      <c r="G208" s="5">
        <v>0</v>
      </c>
      <c r="H208" s="5">
        <v>0</v>
      </c>
      <c r="I208" s="5">
        <v>0</v>
      </c>
      <c r="J208" s="9">
        <v>0</v>
      </c>
      <c r="K208" s="5">
        <v>1</v>
      </c>
      <c r="L208" s="5">
        <v>1</v>
      </c>
      <c r="M208" s="5">
        <v>0</v>
      </c>
      <c r="N208" s="9">
        <v>0</v>
      </c>
      <c r="O208" s="5">
        <v>1</v>
      </c>
      <c r="P208" s="5">
        <v>16</v>
      </c>
      <c r="Q208" s="5">
        <v>0</v>
      </c>
      <c r="R208" s="9">
        <v>0</v>
      </c>
      <c r="S208" s="5">
        <v>0</v>
      </c>
      <c r="T208" s="5">
        <v>0</v>
      </c>
    </row>
    <row r="209" spans="1:20" x14ac:dyDescent="0.2">
      <c r="A209" s="5" t="s">
        <v>224</v>
      </c>
      <c r="B209" s="9" t="s">
        <v>162</v>
      </c>
      <c r="C209" s="5" t="s">
        <v>819</v>
      </c>
      <c r="D209" s="7">
        <f t="shared" si="0"/>
        <v>2.9</v>
      </c>
      <c r="E209" s="5">
        <v>0</v>
      </c>
      <c r="F209" s="5">
        <v>0</v>
      </c>
      <c r="G209" s="5">
        <v>0</v>
      </c>
      <c r="H209" s="5">
        <v>0</v>
      </c>
      <c r="I209" s="5">
        <v>0</v>
      </c>
      <c r="J209" s="9">
        <v>0</v>
      </c>
      <c r="K209" s="5">
        <v>0</v>
      </c>
      <c r="L209" s="5">
        <v>0</v>
      </c>
      <c r="M209" s="5">
        <v>0</v>
      </c>
      <c r="N209" s="9">
        <v>0</v>
      </c>
      <c r="O209" s="5">
        <v>2</v>
      </c>
      <c r="P209" s="5">
        <v>9</v>
      </c>
      <c r="Q209" s="5">
        <v>0</v>
      </c>
      <c r="R209" s="9">
        <v>0</v>
      </c>
      <c r="S209" s="5">
        <v>0</v>
      </c>
      <c r="T209" s="5">
        <v>0</v>
      </c>
    </row>
    <row r="210" spans="1:20" x14ac:dyDescent="0.2">
      <c r="A210" s="5" t="s">
        <v>244</v>
      </c>
      <c r="B210" s="9" t="s">
        <v>162</v>
      </c>
      <c r="C210" s="5" t="s">
        <v>822</v>
      </c>
      <c r="D210" s="7">
        <f t="shared" si="0"/>
        <v>2.2000000000000002</v>
      </c>
      <c r="E210" s="5">
        <v>0</v>
      </c>
      <c r="F210" s="5">
        <v>0</v>
      </c>
      <c r="G210" s="5">
        <v>0</v>
      </c>
      <c r="H210" s="5">
        <v>0</v>
      </c>
      <c r="I210" s="5">
        <v>0</v>
      </c>
      <c r="J210" s="9">
        <v>0</v>
      </c>
      <c r="K210" s="5">
        <v>0</v>
      </c>
      <c r="L210" s="5">
        <v>0</v>
      </c>
      <c r="M210" s="5">
        <v>0</v>
      </c>
      <c r="N210" s="9">
        <v>0</v>
      </c>
      <c r="O210" s="5">
        <v>1</v>
      </c>
      <c r="P210" s="5">
        <v>12</v>
      </c>
      <c r="Q210" s="5">
        <v>0</v>
      </c>
      <c r="R210" s="9">
        <v>0</v>
      </c>
      <c r="S210" s="5">
        <v>0</v>
      </c>
      <c r="T210" s="5">
        <v>0</v>
      </c>
    </row>
    <row r="211" spans="1:20" x14ac:dyDescent="0.2">
      <c r="A211" s="5" t="s">
        <v>481</v>
      </c>
      <c r="B211" s="9" t="s">
        <v>162</v>
      </c>
      <c r="C211" s="5" t="s">
        <v>822</v>
      </c>
      <c r="D211" s="7">
        <f t="shared" si="0"/>
        <v>2.8</v>
      </c>
      <c r="E211" s="5">
        <v>0</v>
      </c>
      <c r="F211" s="5">
        <v>0</v>
      </c>
      <c r="G211" s="5">
        <v>0</v>
      </c>
      <c r="H211" s="5">
        <v>0</v>
      </c>
      <c r="I211" s="5">
        <v>0</v>
      </c>
      <c r="J211" s="9">
        <v>0</v>
      </c>
      <c r="K211" s="5">
        <v>0</v>
      </c>
      <c r="L211" s="5">
        <v>0</v>
      </c>
      <c r="M211" s="5">
        <v>0</v>
      </c>
      <c r="N211" s="9">
        <v>0</v>
      </c>
      <c r="O211" s="5">
        <v>1</v>
      </c>
      <c r="P211" s="5">
        <v>18</v>
      </c>
      <c r="Q211" s="5">
        <v>0</v>
      </c>
      <c r="R211" s="9">
        <v>0</v>
      </c>
      <c r="S211" s="5">
        <v>0</v>
      </c>
      <c r="T211" s="5">
        <v>0</v>
      </c>
    </row>
    <row r="212" spans="1:20" x14ac:dyDescent="0.2">
      <c r="A212" s="5" t="s">
        <v>835</v>
      </c>
      <c r="B212" s="9" t="s">
        <v>162</v>
      </c>
      <c r="C212" s="5" t="s">
        <v>829</v>
      </c>
      <c r="D212" s="7">
        <f t="shared" si="0"/>
        <v>2.6</v>
      </c>
      <c r="E212" s="5">
        <v>0</v>
      </c>
      <c r="F212" s="5">
        <v>0</v>
      </c>
      <c r="G212" s="5">
        <v>0</v>
      </c>
      <c r="H212" s="5">
        <v>0</v>
      </c>
      <c r="I212" s="5">
        <v>0</v>
      </c>
      <c r="J212" s="9">
        <v>0</v>
      </c>
      <c r="K212" s="5">
        <v>0</v>
      </c>
      <c r="L212" s="5">
        <v>0</v>
      </c>
      <c r="M212" s="5">
        <v>0</v>
      </c>
      <c r="N212" s="9">
        <v>0</v>
      </c>
      <c r="O212" s="5">
        <v>1</v>
      </c>
      <c r="P212" s="5">
        <v>16</v>
      </c>
      <c r="Q212" s="5">
        <v>0</v>
      </c>
      <c r="R212" s="9">
        <v>0</v>
      </c>
      <c r="S212" s="5">
        <v>0</v>
      </c>
      <c r="T212" s="5">
        <v>0</v>
      </c>
    </row>
    <row r="213" spans="1:20" x14ac:dyDescent="0.2">
      <c r="A213" s="5" t="s">
        <v>836</v>
      </c>
      <c r="B213" s="9" t="s">
        <v>162</v>
      </c>
      <c r="C213" s="5" t="s">
        <v>829</v>
      </c>
      <c r="D213" s="7">
        <f t="shared" si="0"/>
        <v>2.1</v>
      </c>
      <c r="E213" s="5">
        <v>0</v>
      </c>
      <c r="F213" s="5">
        <v>0</v>
      </c>
      <c r="G213" s="5">
        <v>0</v>
      </c>
      <c r="H213" s="5">
        <v>0</v>
      </c>
      <c r="I213" s="5">
        <v>0</v>
      </c>
      <c r="J213" s="9">
        <v>0</v>
      </c>
      <c r="K213" s="5">
        <v>0</v>
      </c>
      <c r="L213" s="5">
        <v>0</v>
      </c>
      <c r="M213" s="5">
        <v>0</v>
      </c>
      <c r="N213" s="9">
        <v>0</v>
      </c>
      <c r="O213" s="5">
        <v>1</v>
      </c>
      <c r="P213" s="5">
        <v>11</v>
      </c>
      <c r="Q213" s="5">
        <v>0</v>
      </c>
      <c r="R213" s="9">
        <v>0</v>
      </c>
      <c r="S213" s="5">
        <v>0</v>
      </c>
      <c r="T213" s="5">
        <v>0</v>
      </c>
    </row>
    <row r="214" spans="1:20" x14ac:dyDescent="0.2">
      <c r="A214" s="5" t="s">
        <v>712</v>
      </c>
      <c r="B214" s="9" t="s">
        <v>162</v>
      </c>
      <c r="C214" s="5" t="s">
        <v>825</v>
      </c>
      <c r="D214" s="7">
        <f t="shared" si="0"/>
        <v>2.1</v>
      </c>
      <c r="E214" s="5">
        <v>0</v>
      </c>
      <c r="F214" s="5">
        <v>0</v>
      </c>
      <c r="G214" s="5">
        <v>0</v>
      </c>
      <c r="H214" s="5">
        <v>0</v>
      </c>
      <c r="I214" s="5">
        <v>0</v>
      </c>
      <c r="J214" s="9">
        <v>0</v>
      </c>
      <c r="K214" s="5">
        <v>0</v>
      </c>
      <c r="L214" s="5">
        <v>0</v>
      </c>
      <c r="M214" s="5">
        <v>0</v>
      </c>
      <c r="N214" s="9">
        <v>0</v>
      </c>
      <c r="O214" s="5">
        <v>1</v>
      </c>
      <c r="P214" s="5">
        <v>11</v>
      </c>
      <c r="Q214" s="5">
        <v>0</v>
      </c>
      <c r="R214" s="9">
        <v>0</v>
      </c>
      <c r="S214" s="5">
        <v>0</v>
      </c>
      <c r="T214" s="5">
        <v>0</v>
      </c>
    </row>
    <row r="215" spans="1:20" x14ac:dyDescent="0.2">
      <c r="A215" s="5" t="s">
        <v>387</v>
      </c>
      <c r="B215" s="9" t="s">
        <v>162</v>
      </c>
      <c r="C215" s="5" t="s">
        <v>823</v>
      </c>
      <c r="D215" s="7">
        <f t="shared" si="0"/>
        <v>1.9</v>
      </c>
      <c r="E215" s="5">
        <v>0</v>
      </c>
      <c r="F215" s="5">
        <v>0</v>
      </c>
      <c r="G215" s="5">
        <v>0</v>
      </c>
      <c r="H215" s="5">
        <v>0</v>
      </c>
      <c r="I215" s="5">
        <v>0</v>
      </c>
      <c r="J215" s="9">
        <v>0</v>
      </c>
      <c r="K215" s="5">
        <v>0</v>
      </c>
      <c r="L215" s="5">
        <v>0</v>
      </c>
      <c r="M215" s="5">
        <v>0</v>
      </c>
      <c r="N215" s="9">
        <v>0</v>
      </c>
      <c r="O215" s="5">
        <v>1</v>
      </c>
      <c r="P215" s="5">
        <v>9</v>
      </c>
      <c r="Q215" s="5">
        <v>0</v>
      </c>
      <c r="R215" s="9">
        <v>0</v>
      </c>
      <c r="S215" s="5">
        <v>0</v>
      </c>
      <c r="T215" s="5">
        <v>0</v>
      </c>
    </row>
    <row r="216" spans="1:20" x14ac:dyDescent="0.2">
      <c r="A216" s="5" t="s">
        <v>652</v>
      </c>
      <c r="B216" s="9" t="s">
        <v>162</v>
      </c>
      <c r="C216" s="5" t="s">
        <v>814</v>
      </c>
      <c r="D216" s="7">
        <f t="shared" si="0"/>
        <v>1.3</v>
      </c>
      <c r="E216" s="5">
        <v>0</v>
      </c>
      <c r="F216" s="5">
        <v>0</v>
      </c>
      <c r="G216" s="5">
        <v>0</v>
      </c>
      <c r="H216" s="5">
        <v>0</v>
      </c>
      <c r="I216" s="5">
        <v>0</v>
      </c>
      <c r="J216" s="9">
        <v>0</v>
      </c>
      <c r="K216" s="5">
        <v>1</v>
      </c>
      <c r="L216" s="5">
        <v>-2</v>
      </c>
      <c r="M216" s="5">
        <v>0</v>
      </c>
      <c r="N216" s="9">
        <v>0</v>
      </c>
      <c r="O216" s="5">
        <v>1</v>
      </c>
      <c r="P216" s="5">
        <v>5</v>
      </c>
      <c r="Q216" s="5">
        <v>0</v>
      </c>
      <c r="R216" s="9">
        <v>0</v>
      </c>
      <c r="S216" s="5">
        <v>0</v>
      </c>
      <c r="T216" s="5">
        <v>0</v>
      </c>
    </row>
    <row r="217" spans="1:20" x14ac:dyDescent="0.2">
      <c r="A217" s="5" t="s">
        <v>238</v>
      </c>
      <c r="B217" s="9" t="s">
        <v>162</v>
      </c>
      <c r="C217" s="5" t="s">
        <v>821</v>
      </c>
      <c r="D217" s="7">
        <f t="shared" si="0"/>
        <v>1.4</v>
      </c>
      <c r="E217" s="5">
        <v>0</v>
      </c>
      <c r="F217" s="5">
        <v>0</v>
      </c>
      <c r="G217" s="5">
        <v>0</v>
      </c>
      <c r="H217" s="5">
        <v>0</v>
      </c>
      <c r="I217" s="5">
        <v>0</v>
      </c>
      <c r="J217" s="9">
        <v>0</v>
      </c>
      <c r="K217" s="5">
        <v>0</v>
      </c>
      <c r="L217" s="5">
        <v>0</v>
      </c>
      <c r="M217" s="5">
        <v>0</v>
      </c>
      <c r="N217" s="9">
        <v>0</v>
      </c>
      <c r="O217" s="5">
        <v>1</v>
      </c>
      <c r="P217" s="5">
        <v>4</v>
      </c>
      <c r="Q217" s="5">
        <v>0</v>
      </c>
      <c r="R217" s="9">
        <v>0</v>
      </c>
      <c r="S217" s="5">
        <v>0</v>
      </c>
      <c r="T217" s="5">
        <v>0</v>
      </c>
    </row>
    <row r="218" spans="1:20" x14ac:dyDescent="0.2">
      <c r="A218" s="5" t="s">
        <v>648</v>
      </c>
      <c r="B218" s="9" t="s">
        <v>162</v>
      </c>
      <c r="C218" s="5" t="s">
        <v>815</v>
      </c>
      <c r="D218" s="7">
        <f t="shared" si="0"/>
        <v>1.1000000000000001</v>
      </c>
      <c r="E218" s="5">
        <v>0</v>
      </c>
      <c r="F218" s="5">
        <v>0</v>
      </c>
      <c r="G218" s="5">
        <v>0</v>
      </c>
      <c r="H218" s="5">
        <v>0</v>
      </c>
      <c r="I218" s="5">
        <v>0</v>
      </c>
      <c r="J218" s="9">
        <v>0</v>
      </c>
      <c r="K218" s="5">
        <v>0</v>
      </c>
      <c r="L218" s="5">
        <v>0</v>
      </c>
      <c r="M218" s="5">
        <v>0</v>
      </c>
      <c r="N218" s="9">
        <v>0</v>
      </c>
      <c r="O218" s="5">
        <v>1</v>
      </c>
      <c r="P218" s="5">
        <v>1</v>
      </c>
      <c r="Q218" s="5">
        <v>0</v>
      </c>
      <c r="R218" s="9">
        <v>0</v>
      </c>
      <c r="S218" s="5">
        <v>0</v>
      </c>
      <c r="T218" s="5">
        <v>0</v>
      </c>
    </row>
    <row r="219" spans="1:20" x14ac:dyDescent="0.2">
      <c r="A219" s="5" t="s">
        <v>257</v>
      </c>
      <c r="B219" s="9" t="s">
        <v>162</v>
      </c>
      <c r="C219" s="5" t="s">
        <v>824</v>
      </c>
      <c r="D219" s="7">
        <f t="shared" si="0"/>
        <v>1.3</v>
      </c>
      <c r="E219" s="5">
        <v>0</v>
      </c>
      <c r="F219" s="5">
        <v>0</v>
      </c>
      <c r="G219" s="5">
        <v>0</v>
      </c>
      <c r="H219" s="5">
        <v>0</v>
      </c>
      <c r="I219" s="5">
        <v>0</v>
      </c>
      <c r="J219" s="9">
        <v>0</v>
      </c>
      <c r="K219" s="5">
        <v>0</v>
      </c>
      <c r="L219" s="5">
        <v>0</v>
      </c>
      <c r="M219" s="5">
        <v>0</v>
      </c>
      <c r="N219" s="9">
        <v>0</v>
      </c>
      <c r="O219" s="5">
        <v>1</v>
      </c>
      <c r="P219" s="5">
        <v>3</v>
      </c>
      <c r="Q219" s="5">
        <v>0</v>
      </c>
      <c r="R219" s="9">
        <v>0</v>
      </c>
      <c r="S219" s="5">
        <v>0</v>
      </c>
      <c r="T219" s="5">
        <v>0</v>
      </c>
    </row>
    <row r="220" spans="1:20" x14ac:dyDescent="0.2">
      <c r="A220" s="5" t="s">
        <v>342</v>
      </c>
      <c r="B220" s="9" t="s">
        <v>162</v>
      </c>
      <c r="C220" s="5" t="s">
        <v>818</v>
      </c>
      <c r="D220" s="7">
        <f t="shared" si="0"/>
        <v>1.3</v>
      </c>
      <c r="E220" s="5">
        <v>0</v>
      </c>
      <c r="F220" s="5">
        <v>0</v>
      </c>
      <c r="G220" s="5">
        <v>0</v>
      </c>
      <c r="H220" s="5">
        <v>0</v>
      </c>
      <c r="I220" s="5">
        <v>0</v>
      </c>
      <c r="J220" s="9">
        <v>0</v>
      </c>
      <c r="K220" s="5">
        <v>0</v>
      </c>
      <c r="L220" s="5">
        <v>0</v>
      </c>
      <c r="M220" s="5">
        <v>0</v>
      </c>
      <c r="N220" s="9">
        <v>0</v>
      </c>
      <c r="O220" s="5">
        <v>1</v>
      </c>
      <c r="P220" s="5">
        <v>3</v>
      </c>
      <c r="Q220" s="5">
        <v>0</v>
      </c>
      <c r="R220" s="9">
        <v>0</v>
      </c>
      <c r="S220" s="5">
        <v>0</v>
      </c>
      <c r="T220" s="5">
        <v>0</v>
      </c>
    </row>
    <row r="221" spans="1:20" x14ac:dyDescent="0.2">
      <c r="A221" s="5" t="s">
        <v>441</v>
      </c>
      <c r="B221" s="9" t="s">
        <v>162</v>
      </c>
      <c r="C221" s="5" t="s">
        <v>831</v>
      </c>
      <c r="D221" s="7">
        <f t="shared" si="0"/>
        <v>1.4</v>
      </c>
      <c r="E221" s="5">
        <v>0</v>
      </c>
      <c r="F221" s="5">
        <v>0</v>
      </c>
      <c r="G221" s="5">
        <v>0</v>
      </c>
      <c r="H221" s="5">
        <v>0</v>
      </c>
      <c r="I221" s="5">
        <v>0</v>
      </c>
      <c r="J221" s="9">
        <v>0</v>
      </c>
      <c r="K221" s="5">
        <v>0</v>
      </c>
      <c r="L221" s="5">
        <v>0</v>
      </c>
      <c r="M221" s="5">
        <v>0</v>
      </c>
      <c r="N221" s="9">
        <v>0</v>
      </c>
      <c r="O221" s="5">
        <v>1</v>
      </c>
      <c r="P221" s="5">
        <v>4</v>
      </c>
      <c r="Q221" s="5">
        <v>0</v>
      </c>
      <c r="R221" s="9">
        <v>0</v>
      </c>
      <c r="S221" s="5">
        <v>0</v>
      </c>
      <c r="T221" s="5">
        <v>0</v>
      </c>
    </row>
    <row r="222" spans="1:20" x14ac:dyDescent="0.2">
      <c r="A222" s="5" t="s">
        <v>517</v>
      </c>
      <c r="B222" s="9" t="s">
        <v>162</v>
      </c>
      <c r="C222" s="5" t="s">
        <v>815</v>
      </c>
      <c r="D222" s="7">
        <f t="shared" si="0"/>
        <v>1.8</v>
      </c>
      <c r="E222" s="5">
        <v>0</v>
      </c>
      <c r="F222" s="5">
        <v>0</v>
      </c>
      <c r="G222" s="5">
        <v>0</v>
      </c>
      <c r="H222" s="5">
        <v>0</v>
      </c>
      <c r="I222" s="5">
        <v>0</v>
      </c>
      <c r="J222" s="9">
        <v>0</v>
      </c>
      <c r="K222" s="5">
        <v>0</v>
      </c>
      <c r="L222" s="5">
        <v>0</v>
      </c>
      <c r="M222" s="5">
        <v>0</v>
      </c>
      <c r="N222" s="9">
        <v>0</v>
      </c>
      <c r="O222" s="5">
        <v>1</v>
      </c>
      <c r="P222" s="5">
        <v>8</v>
      </c>
      <c r="Q222" s="5">
        <v>0</v>
      </c>
      <c r="R222" s="9">
        <v>0</v>
      </c>
      <c r="S222" s="5">
        <v>0</v>
      </c>
      <c r="T222" s="5">
        <v>0</v>
      </c>
    </row>
    <row r="223" spans="1:20" x14ac:dyDescent="0.2">
      <c r="A223" s="5" t="s">
        <v>809</v>
      </c>
      <c r="B223" s="9" t="s">
        <v>162</v>
      </c>
      <c r="C223" s="5" t="s">
        <v>828</v>
      </c>
      <c r="D223" s="7">
        <f t="shared" si="0"/>
        <v>1.8</v>
      </c>
      <c r="E223" s="5">
        <v>0</v>
      </c>
      <c r="F223" s="5">
        <v>0</v>
      </c>
      <c r="G223" s="5">
        <v>0</v>
      </c>
      <c r="H223" s="5">
        <v>0</v>
      </c>
      <c r="I223" s="5">
        <v>0</v>
      </c>
      <c r="J223" s="9">
        <v>0</v>
      </c>
      <c r="K223" s="5">
        <v>0</v>
      </c>
      <c r="L223" s="5">
        <v>0</v>
      </c>
      <c r="M223" s="5">
        <v>0</v>
      </c>
      <c r="N223" s="9">
        <v>0</v>
      </c>
      <c r="O223" s="5">
        <v>1</v>
      </c>
      <c r="P223" s="5">
        <v>8</v>
      </c>
      <c r="Q223" s="5">
        <v>0</v>
      </c>
      <c r="R223" s="9">
        <v>0</v>
      </c>
      <c r="S223" s="5">
        <v>0</v>
      </c>
      <c r="T223" s="5">
        <v>0</v>
      </c>
    </row>
    <row r="224" spans="1:20" x14ac:dyDescent="0.2">
      <c r="A224" s="5" t="s">
        <v>484</v>
      </c>
      <c r="B224" s="9" t="s">
        <v>162</v>
      </c>
      <c r="C224" s="5" t="s">
        <v>831</v>
      </c>
      <c r="D224" s="7">
        <f t="shared" si="0"/>
        <v>1.4</v>
      </c>
      <c r="E224" s="5">
        <v>0</v>
      </c>
      <c r="F224" s="5">
        <v>0</v>
      </c>
      <c r="G224" s="5">
        <v>0</v>
      </c>
      <c r="H224" s="5">
        <v>0</v>
      </c>
      <c r="I224" s="5">
        <v>0</v>
      </c>
      <c r="J224" s="9">
        <v>0</v>
      </c>
      <c r="K224" s="5">
        <v>0</v>
      </c>
      <c r="L224" s="5">
        <v>0</v>
      </c>
      <c r="M224" s="5">
        <v>0</v>
      </c>
      <c r="N224" s="9">
        <v>0</v>
      </c>
      <c r="O224" s="5">
        <v>1</v>
      </c>
      <c r="P224" s="5">
        <v>4</v>
      </c>
      <c r="Q224" s="5">
        <v>0</v>
      </c>
      <c r="R224" s="9">
        <v>0</v>
      </c>
      <c r="S224" s="5">
        <v>0</v>
      </c>
      <c r="T224" s="5">
        <v>0</v>
      </c>
    </row>
    <row r="225" spans="1:20" x14ac:dyDescent="0.2">
      <c r="A225" s="5" t="s">
        <v>260</v>
      </c>
      <c r="B225" s="9" t="s">
        <v>162</v>
      </c>
      <c r="C225" s="5" t="s">
        <v>820</v>
      </c>
      <c r="D225" s="7">
        <f t="shared" si="0"/>
        <v>1.6</v>
      </c>
      <c r="E225" s="5">
        <v>0</v>
      </c>
      <c r="F225" s="5">
        <v>0</v>
      </c>
      <c r="G225" s="5">
        <v>0</v>
      </c>
      <c r="H225" s="5">
        <v>0</v>
      </c>
      <c r="I225" s="5">
        <v>0</v>
      </c>
      <c r="J225" s="9">
        <v>0</v>
      </c>
      <c r="K225" s="5">
        <v>0</v>
      </c>
      <c r="L225" s="5">
        <v>0</v>
      </c>
      <c r="M225" s="5">
        <v>0</v>
      </c>
      <c r="N225" s="9">
        <v>0</v>
      </c>
      <c r="O225" s="5">
        <v>1</v>
      </c>
      <c r="P225" s="5">
        <v>6</v>
      </c>
      <c r="Q225" s="5">
        <v>0</v>
      </c>
      <c r="R225" s="9">
        <v>0</v>
      </c>
      <c r="S225" s="5">
        <v>0</v>
      </c>
      <c r="T225" s="5">
        <v>0</v>
      </c>
    </row>
    <row r="226" spans="1:20" x14ac:dyDescent="0.2">
      <c r="A226" s="5" t="s">
        <v>346</v>
      </c>
      <c r="B226" s="9" t="s">
        <v>162</v>
      </c>
      <c r="C226" s="5" t="s">
        <v>826</v>
      </c>
      <c r="D226" s="7">
        <f t="shared" si="0"/>
        <v>1.5</v>
      </c>
      <c r="E226" s="5">
        <v>0</v>
      </c>
      <c r="F226" s="5">
        <v>0</v>
      </c>
      <c r="G226" s="5">
        <v>0</v>
      </c>
      <c r="H226" s="5">
        <v>0</v>
      </c>
      <c r="I226" s="5">
        <v>0</v>
      </c>
      <c r="J226" s="9">
        <v>0</v>
      </c>
      <c r="K226" s="5">
        <v>0</v>
      </c>
      <c r="L226" s="5">
        <v>0</v>
      </c>
      <c r="M226" s="5">
        <v>0</v>
      </c>
      <c r="N226" s="9">
        <v>0</v>
      </c>
      <c r="O226" s="5">
        <v>1</v>
      </c>
      <c r="P226" s="5">
        <v>5</v>
      </c>
      <c r="Q226" s="5">
        <v>0</v>
      </c>
      <c r="R226" s="9">
        <v>0</v>
      </c>
      <c r="S226" s="5">
        <v>0</v>
      </c>
      <c r="T226" s="5">
        <v>0</v>
      </c>
    </row>
    <row r="227" spans="1:20" x14ac:dyDescent="0.2">
      <c r="A227" s="5" t="s">
        <v>435</v>
      </c>
      <c r="B227" s="9" t="s">
        <v>162</v>
      </c>
      <c r="C227" s="5" t="s">
        <v>825</v>
      </c>
      <c r="D227" s="7">
        <f t="shared" si="0"/>
        <v>1.7000000000000002</v>
      </c>
      <c r="E227" s="5">
        <v>0</v>
      </c>
      <c r="F227" s="5">
        <v>0</v>
      </c>
      <c r="G227" s="5">
        <v>0</v>
      </c>
      <c r="H227" s="5">
        <v>0</v>
      </c>
      <c r="I227" s="5">
        <v>0</v>
      </c>
      <c r="J227" s="9">
        <v>0</v>
      </c>
      <c r="K227" s="5">
        <v>0</v>
      </c>
      <c r="L227" s="5">
        <v>0</v>
      </c>
      <c r="M227" s="5">
        <v>0</v>
      </c>
      <c r="N227" s="9">
        <v>0</v>
      </c>
      <c r="O227" s="5">
        <v>1</v>
      </c>
      <c r="P227" s="5">
        <v>7</v>
      </c>
      <c r="Q227" s="5">
        <v>0</v>
      </c>
      <c r="R227" s="9">
        <v>0</v>
      </c>
      <c r="S227" s="5">
        <v>0</v>
      </c>
      <c r="T227" s="5">
        <v>0</v>
      </c>
    </row>
    <row r="228" spans="1:20" x14ac:dyDescent="0.2">
      <c r="A228" s="5" t="s">
        <v>234</v>
      </c>
      <c r="B228" s="9" t="s">
        <v>162</v>
      </c>
      <c r="C228" s="5" t="s">
        <v>830</v>
      </c>
      <c r="D228" s="7">
        <f t="shared" si="0"/>
        <v>1.5</v>
      </c>
      <c r="E228" s="5">
        <v>0</v>
      </c>
      <c r="F228" s="5">
        <v>0</v>
      </c>
      <c r="G228" s="5">
        <v>0</v>
      </c>
      <c r="H228" s="5">
        <v>0</v>
      </c>
      <c r="I228" s="5">
        <v>0</v>
      </c>
      <c r="J228" s="9">
        <v>0</v>
      </c>
      <c r="K228" s="5">
        <v>0</v>
      </c>
      <c r="L228" s="5">
        <v>0</v>
      </c>
      <c r="M228" s="5">
        <v>0</v>
      </c>
      <c r="N228" s="9">
        <v>0</v>
      </c>
      <c r="O228" s="5">
        <v>1</v>
      </c>
      <c r="P228" s="5">
        <v>5</v>
      </c>
      <c r="Q228" s="5">
        <v>0</v>
      </c>
      <c r="R228" s="9">
        <v>0</v>
      </c>
      <c r="S228" s="5">
        <v>0</v>
      </c>
      <c r="T228" s="5">
        <v>0</v>
      </c>
    </row>
    <row r="229" spans="1:20" x14ac:dyDescent="0.2">
      <c r="A229" s="5" t="s">
        <v>369</v>
      </c>
      <c r="B229" s="9" t="s">
        <v>162</v>
      </c>
      <c r="C229" s="5" t="s">
        <v>820</v>
      </c>
      <c r="D229" s="7">
        <f t="shared" si="0"/>
        <v>1.5</v>
      </c>
      <c r="E229" s="5">
        <v>0</v>
      </c>
      <c r="F229" s="5">
        <v>0</v>
      </c>
      <c r="G229" s="5">
        <v>0</v>
      </c>
      <c r="H229" s="5">
        <v>0</v>
      </c>
      <c r="I229" s="5">
        <v>0</v>
      </c>
      <c r="J229" s="9">
        <v>0</v>
      </c>
      <c r="K229" s="5">
        <v>0</v>
      </c>
      <c r="L229" s="5">
        <v>0</v>
      </c>
      <c r="M229" s="5">
        <v>0</v>
      </c>
      <c r="N229" s="9">
        <v>0</v>
      </c>
      <c r="O229" s="5">
        <v>1</v>
      </c>
      <c r="P229" s="5">
        <v>5</v>
      </c>
      <c r="Q229" s="5">
        <v>0</v>
      </c>
      <c r="R229" s="9">
        <v>0</v>
      </c>
      <c r="S229" s="5">
        <v>0</v>
      </c>
      <c r="T229" s="5">
        <v>0</v>
      </c>
    </row>
    <row r="230" spans="1:20" x14ac:dyDescent="0.2">
      <c r="A230" s="5" t="s">
        <v>739</v>
      </c>
      <c r="B230" s="9" t="s">
        <v>162</v>
      </c>
      <c r="C230" s="5" t="s">
        <v>830</v>
      </c>
      <c r="D230" s="7">
        <f t="shared" si="0"/>
        <v>1.8</v>
      </c>
      <c r="E230" s="5">
        <v>0</v>
      </c>
      <c r="F230" s="5">
        <v>0</v>
      </c>
      <c r="G230" s="5">
        <v>0</v>
      </c>
      <c r="H230" s="5">
        <v>0</v>
      </c>
      <c r="I230" s="5">
        <v>0</v>
      </c>
      <c r="J230" s="9">
        <v>0</v>
      </c>
      <c r="K230" s="5">
        <v>0</v>
      </c>
      <c r="L230" s="5">
        <v>0</v>
      </c>
      <c r="M230" s="5">
        <v>0</v>
      </c>
      <c r="N230" s="9">
        <v>0</v>
      </c>
      <c r="O230" s="5">
        <v>1</v>
      </c>
      <c r="P230" s="5">
        <v>8</v>
      </c>
      <c r="Q230" s="5">
        <v>0</v>
      </c>
      <c r="R230" s="9">
        <v>0</v>
      </c>
      <c r="S230" s="5">
        <v>0</v>
      </c>
      <c r="T230" s="5">
        <v>0</v>
      </c>
    </row>
    <row r="231" spans="1:20" x14ac:dyDescent="0.2">
      <c r="A231" s="5" t="s">
        <v>345</v>
      </c>
      <c r="B231" s="9" t="s">
        <v>162</v>
      </c>
      <c r="C231" s="5" t="s">
        <v>831</v>
      </c>
      <c r="D231" s="7">
        <f t="shared" si="0"/>
        <v>1.6</v>
      </c>
      <c r="E231" s="5">
        <v>0</v>
      </c>
      <c r="F231" s="5">
        <v>0</v>
      </c>
      <c r="G231" s="5">
        <v>0</v>
      </c>
      <c r="H231" s="5">
        <v>0</v>
      </c>
      <c r="I231" s="5">
        <v>0</v>
      </c>
      <c r="J231" s="9">
        <v>0</v>
      </c>
      <c r="K231" s="5">
        <v>0</v>
      </c>
      <c r="L231" s="5">
        <v>0</v>
      </c>
      <c r="M231" s="5">
        <v>0</v>
      </c>
      <c r="N231" s="9">
        <v>0</v>
      </c>
      <c r="O231" s="5">
        <v>1</v>
      </c>
      <c r="P231" s="5">
        <v>6</v>
      </c>
      <c r="Q231" s="5">
        <v>0</v>
      </c>
      <c r="R231" s="9">
        <v>0</v>
      </c>
      <c r="S231" s="5">
        <v>0</v>
      </c>
      <c r="T231" s="5">
        <v>0</v>
      </c>
    </row>
    <row r="232" spans="1:20" x14ac:dyDescent="0.2">
      <c r="A232" s="5" t="s">
        <v>400</v>
      </c>
      <c r="B232" s="9" t="s">
        <v>162</v>
      </c>
      <c r="C232" s="5" t="s">
        <v>819</v>
      </c>
      <c r="D232" s="7">
        <f t="shared" si="0"/>
        <v>1.2</v>
      </c>
      <c r="E232" s="5">
        <v>0</v>
      </c>
      <c r="F232" s="5">
        <v>0</v>
      </c>
      <c r="G232" s="5">
        <v>0</v>
      </c>
      <c r="H232" s="5">
        <v>0</v>
      </c>
      <c r="I232" s="5">
        <v>0</v>
      </c>
      <c r="J232" s="9">
        <v>0</v>
      </c>
      <c r="K232" s="5">
        <v>0</v>
      </c>
      <c r="L232" s="5">
        <v>0</v>
      </c>
      <c r="M232" s="5">
        <v>0</v>
      </c>
      <c r="N232" s="9">
        <v>0</v>
      </c>
      <c r="O232" s="5">
        <v>1</v>
      </c>
      <c r="P232" s="5">
        <v>2</v>
      </c>
      <c r="Q232" s="5">
        <v>0</v>
      </c>
      <c r="R232" s="9">
        <v>0</v>
      </c>
      <c r="S232" s="5">
        <v>0</v>
      </c>
      <c r="T232" s="5">
        <v>0</v>
      </c>
    </row>
    <row r="233" spans="1:20" x14ac:dyDescent="0.2">
      <c r="A233" s="5" t="s">
        <v>698</v>
      </c>
      <c r="B233" s="9" t="s">
        <v>162</v>
      </c>
      <c r="C233" s="5" t="s">
        <v>830</v>
      </c>
      <c r="D233" s="7">
        <f t="shared" si="0"/>
        <v>1.6</v>
      </c>
      <c r="E233" s="5">
        <v>0</v>
      </c>
      <c r="F233" s="5">
        <v>0</v>
      </c>
      <c r="G233" s="5">
        <v>0</v>
      </c>
      <c r="H233" s="5">
        <v>0</v>
      </c>
      <c r="I233" s="5">
        <v>0</v>
      </c>
      <c r="J233" s="9">
        <v>0</v>
      </c>
      <c r="K233" s="5">
        <v>0</v>
      </c>
      <c r="L233" s="5">
        <v>0</v>
      </c>
      <c r="M233" s="5">
        <v>0</v>
      </c>
      <c r="N233" s="9">
        <v>0</v>
      </c>
      <c r="O233" s="5">
        <v>1</v>
      </c>
      <c r="P233" s="5">
        <v>6</v>
      </c>
      <c r="Q233" s="5">
        <v>0</v>
      </c>
      <c r="R233" s="9">
        <v>0</v>
      </c>
      <c r="S233" s="5">
        <v>0</v>
      </c>
      <c r="T233" s="5">
        <v>0</v>
      </c>
    </row>
    <row r="234" spans="1:20" x14ac:dyDescent="0.2">
      <c r="A234" s="5" t="s">
        <v>189</v>
      </c>
      <c r="B234" s="9" t="s">
        <v>162</v>
      </c>
      <c r="C234" s="5" t="s">
        <v>824</v>
      </c>
      <c r="D234" s="7">
        <f t="shared" si="0"/>
        <v>1.2</v>
      </c>
      <c r="E234" s="5">
        <v>0</v>
      </c>
      <c r="F234" s="5">
        <v>0</v>
      </c>
      <c r="G234" s="5">
        <v>0</v>
      </c>
      <c r="H234" s="5">
        <v>0</v>
      </c>
      <c r="I234" s="5">
        <v>0</v>
      </c>
      <c r="J234" s="9">
        <v>0</v>
      </c>
      <c r="K234" s="5">
        <v>0</v>
      </c>
      <c r="L234" s="5">
        <v>0</v>
      </c>
      <c r="M234" s="5">
        <v>0</v>
      </c>
      <c r="N234" s="9">
        <v>0</v>
      </c>
      <c r="O234" s="5">
        <v>1</v>
      </c>
      <c r="P234" s="5">
        <v>2</v>
      </c>
      <c r="Q234" s="5">
        <v>0</v>
      </c>
      <c r="R234" s="9">
        <v>0</v>
      </c>
      <c r="S234" s="5">
        <v>0</v>
      </c>
      <c r="T234" s="5">
        <v>0</v>
      </c>
    </row>
    <row r="235" spans="1:20" x14ac:dyDescent="0.2">
      <c r="A235" s="5" t="s">
        <v>247</v>
      </c>
      <c r="B235" s="9" t="s">
        <v>162</v>
      </c>
      <c r="C235" s="5" t="s">
        <v>830</v>
      </c>
      <c r="D235" s="7">
        <f t="shared" si="0"/>
        <v>1.1000000000000001</v>
      </c>
      <c r="E235" s="5">
        <v>0</v>
      </c>
      <c r="F235" s="5">
        <v>0</v>
      </c>
      <c r="G235" s="5">
        <v>0</v>
      </c>
      <c r="H235" s="5">
        <v>0</v>
      </c>
      <c r="I235" s="5">
        <v>0</v>
      </c>
      <c r="J235" s="9">
        <v>0</v>
      </c>
      <c r="K235" s="5">
        <v>0</v>
      </c>
      <c r="L235" s="5">
        <v>0</v>
      </c>
      <c r="M235" s="5">
        <v>0</v>
      </c>
      <c r="N235" s="9">
        <v>0</v>
      </c>
      <c r="O235" s="5">
        <v>1</v>
      </c>
      <c r="P235" s="5">
        <v>1</v>
      </c>
      <c r="Q235" s="5">
        <v>0</v>
      </c>
      <c r="R235" s="9">
        <v>0</v>
      </c>
      <c r="S235" s="5">
        <v>0</v>
      </c>
      <c r="T235" s="5">
        <v>0</v>
      </c>
    </row>
    <row r="236" spans="1:20" x14ac:dyDescent="0.2">
      <c r="A236" s="5" t="s">
        <v>202</v>
      </c>
      <c r="B236" s="9" t="s">
        <v>162</v>
      </c>
      <c r="C236" s="5" t="s">
        <v>829</v>
      </c>
      <c r="D236" s="7">
        <f t="shared" si="0"/>
        <v>0.8</v>
      </c>
      <c r="E236" s="5">
        <v>0</v>
      </c>
      <c r="F236" s="5">
        <v>0</v>
      </c>
      <c r="G236" s="5">
        <v>0</v>
      </c>
      <c r="H236" s="5">
        <v>0</v>
      </c>
      <c r="I236" s="5">
        <v>0</v>
      </c>
      <c r="J236" s="9">
        <v>0</v>
      </c>
      <c r="K236" s="5">
        <v>1</v>
      </c>
      <c r="L236" s="5">
        <v>8</v>
      </c>
      <c r="M236" s="5">
        <v>0</v>
      </c>
      <c r="N236" s="9">
        <v>0</v>
      </c>
      <c r="O236" s="5">
        <v>0</v>
      </c>
      <c r="P236" s="5">
        <v>0</v>
      </c>
      <c r="Q236" s="5">
        <v>0</v>
      </c>
      <c r="R236" s="9">
        <v>0</v>
      </c>
      <c r="S236" s="5">
        <v>0</v>
      </c>
      <c r="T236" s="5">
        <v>0</v>
      </c>
    </row>
    <row r="237" spans="1:20" x14ac:dyDescent="0.2">
      <c r="A237" s="5" t="s">
        <v>182</v>
      </c>
      <c r="B237" s="9" t="s">
        <v>162</v>
      </c>
      <c r="C237" s="5" t="s">
        <v>826</v>
      </c>
      <c r="D237" s="7">
        <f t="shared" si="0"/>
        <v>-0.10000000000000009</v>
      </c>
      <c r="E237" s="5">
        <v>0</v>
      </c>
      <c r="F237" s="5">
        <v>0</v>
      </c>
      <c r="G237" s="5">
        <v>0</v>
      </c>
      <c r="H237" s="5">
        <v>0</v>
      </c>
      <c r="I237" s="5">
        <v>0</v>
      </c>
      <c r="J237" s="9">
        <v>0</v>
      </c>
      <c r="K237" s="5">
        <v>0</v>
      </c>
      <c r="L237" s="5">
        <v>0</v>
      </c>
      <c r="M237" s="5">
        <v>0</v>
      </c>
      <c r="N237" s="9">
        <v>0</v>
      </c>
      <c r="O237" s="5">
        <v>1</v>
      </c>
      <c r="P237" s="5">
        <v>9</v>
      </c>
      <c r="Q237" s="5">
        <v>0</v>
      </c>
      <c r="R237" s="9">
        <v>0</v>
      </c>
      <c r="S237" s="5">
        <v>1</v>
      </c>
      <c r="T237" s="5">
        <v>0</v>
      </c>
    </row>
    <row r="238" spans="1:20" x14ac:dyDescent="0.2">
      <c r="A238" s="5" t="s">
        <v>359</v>
      </c>
      <c r="B238" s="9" t="s">
        <v>162</v>
      </c>
      <c r="C238" s="5" t="s">
        <v>815</v>
      </c>
      <c r="D238" s="7">
        <f t="shared" si="0"/>
        <v>0.16</v>
      </c>
      <c r="E238" s="5">
        <v>1</v>
      </c>
      <c r="F238" s="5">
        <v>1</v>
      </c>
      <c r="G238" s="5">
        <v>4</v>
      </c>
      <c r="H238" s="5">
        <v>0</v>
      </c>
      <c r="I238" s="5">
        <v>0</v>
      </c>
      <c r="J238" s="9">
        <v>0</v>
      </c>
      <c r="K238" s="5">
        <v>0</v>
      </c>
      <c r="L238" s="5">
        <v>0</v>
      </c>
      <c r="M238" s="5">
        <v>0</v>
      </c>
      <c r="N238" s="9">
        <v>0</v>
      </c>
      <c r="O238" s="5">
        <v>0</v>
      </c>
      <c r="P238" s="5">
        <v>0</v>
      </c>
      <c r="Q238" s="5">
        <v>0</v>
      </c>
      <c r="R238" s="9">
        <v>0</v>
      </c>
      <c r="S238" s="5">
        <v>0</v>
      </c>
      <c r="T238" s="5">
        <v>0</v>
      </c>
    </row>
    <row r="239" spans="1:20" x14ac:dyDescent="0.2">
      <c r="A239" s="5" t="s">
        <v>210</v>
      </c>
      <c r="B239" s="9" t="s">
        <v>162</v>
      </c>
      <c r="C239" s="5" t="s">
        <v>829</v>
      </c>
      <c r="D239" s="7">
        <f t="shared" si="0"/>
        <v>0.30000000000000004</v>
      </c>
      <c r="E239" s="5">
        <v>0</v>
      </c>
      <c r="F239" s="5">
        <v>0</v>
      </c>
      <c r="G239" s="5">
        <v>0</v>
      </c>
      <c r="H239" s="5">
        <v>0</v>
      </c>
      <c r="I239" s="5">
        <v>0</v>
      </c>
      <c r="J239" s="9">
        <v>0</v>
      </c>
      <c r="K239" s="5">
        <v>1</v>
      </c>
      <c r="L239" s="5">
        <v>3</v>
      </c>
      <c r="M239" s="5">
        <v>0</v>
      </c>
      <c r="N239" s="9">
        <v>0</v>
      </c>
      <c r="O239" s="5">
        <v>0</v>
      </c>
      <c r="P239" s="5">
        <v>0</v>
      </c>
      <c r="Q239" s="5">
        <v>0</v>
      </c>
      <c r="R239" s="9">
        <v>0</v>
      </c>
      <c r="S239" s="5">
        <v>0</v>
      </c>
      <c r="T239" s="5">
        <v>0</v>
      </c>
    </row>
    <row r="240" spans="1:20" x14ac:dyDescent="0.2">
      <c r="A240" s="5" t="s">
        <v>201</v>
      </c>
      <c r="B240" s="9" t="s">
        <v>162</v>
      </c>
      <c r="C240" s="5" t="s">
        <v>815</v>
      </c>
      <c r="D240" s="7">
        <f t="shared" si="0"/>
        <v>0.5</v>
      </c>
      <c r="E240" s="5">
        <v>0</v>
      </c>
      <c r="F240" s="5">
        <v>0</v>
      </c>
      <c r="G240" s="5">
        <v>0</v>
      </c>
      <c r="H240" s="5">
        <v>0</v>
      </c>
      <c r="I240" s="5">
        <v>0</v>
      </c>
      <c r="J240" s="9">
        <v>0</v>
      </c>
      <c r="K240" s="5">
        <v>1</v>
      </c>
      <c r="L240" s="5">
        <v>5</v>
      </c>
      <c r="M240" s="5">
        <v>0</v>
      </c>
      <c r="N240" s="9">
        <v>0</v>
      </c>
      <c r="O240" s="5">
        <v>0</v>
      </c>
      <c r="P240" s="5">
        <v>0</v>
      </c>
      <c r="Q240" s="5">
        <v>0</v>
      </c>
      <c r="R240" s="9">
        <v>0</v>
      </c>
      <c r="S240" s="5">
        <v>0</v>
      </c>
      <c r="T240" s="5">
        <v>0</v>
      </c>
    </row>
    <row r="241" spans="1:20" x14ac:dyDescent="0.2">
      <c r="A241" s="5" t="s">
        <v>276</v>
      </c>
      <c r="B241" s="9" t="s">
        <v>69</v>
      </c>
      <c r="C241" s="5" t="s">
        <v>825</v>
      </c>
      <c r="D241" s="7">
        <f t="shared" si="0"/>
        <v>23.9</v>
      </c>
      <c r="E241" s="5">
        <v>0</v>
      </c>
      <c r="F241" s="5">
        <v>0</v>
      </c>
      <c r="G241" s="5">
        <v>0</v>
      </c>
      <c r="H241" s="5">
        <v>0</v>
      </c>
      <c r="I241" s="5">
        <v>0</v>
      </c>
      <c r="J241" s="9">
        <v>0</v>
      </c>
      <c r="K241" s="5">
        <v>0</v>
      </c>
      <c r="L241" s="5">
        <v>0</v>
      </c>
      <c r="M241" s="5">
        <v>0</v>
      </c>
      <c r="N241" s="9">
        <v>0</v>
      </c>
      <c r="O241" s="5">
        <v>10</v>
      </c>
      <c r="P241" s="5">
        <v>79</v>
      </c>
      <c r="Q241" s="5">
        <v>1</v>
      </c>
      <c r="R241" s="9">
        <v>0</v>
      </c>
      <c r="S241" s="5">
        <v>0</v>
      </c>
      <c r="T241" s="5">
        <v>0</v>
      </c>
    </row>
    <row r="242" spans="1:20" x14ac:dyDescent="0.2">
      <c r="A242" s="5" t="s">
        <v>291</v>
      </c>
      <c r="B242" s="9" t="s">
        <v>69</v>
      </c>
      <c r="C242" s="5" t="s">
        <v>818</v>
      </c>
      <c r="D242" s="7">
        <f t="shared" si="0"/>
        <v>15.4</v>
      </c>
      <c r="E242" s="5">
        <v>0</v>
      </c>
      <c r="F242" s="5">
        <v>0</v>
      </c>
      <c r="G242" s="5">
        <v>0</v>
      </c>
      <c r="H242" s="5">
        <v>0</v>
      </c>
      <c r="I242" s="5">
        <v>0</v>
      </c>
      <c r="J242" s="9">
        <v>0</v>
      </c>
      <c r="K242" s="5">
        <v>0</v>
      </c>
      <c r="L242" s="5">
        <v>0</v>
      </c>
      <c r="M242" s="5">
        <v>0</v>
      </c>
      <c r="N242" s="9">
        <v>0</v>
      </c>
      <c r="O242" s="5">
        <v>7</v>
      </c>
      <c r="P242" s="5">
        <v>84</v>
      </c>
      <c r="Q242" s="5">
        <v>0</v>
      </c>
      <c r="R242" s="9">
        <v>0</v>
      </c>
      <c r="S242" s="5">
        <v>0</v>
      </c>
      <c r="T242" s="5">
        <v>0</v>
      </c>
    </row>
    <row r="243" spans="1:20" x14ac:dyDescent="0.2">
      <c r="A243" s="5" t="s">
        <v>303</v>
      </c>
      <c r="B243" s="9" t="s">
        <v>69</v>
      </c>
      <c r="C243" s="5" t="s">
        <v>823</v>
      </c>
      <c r="D243" s="7">
        <f t="shared" si="0"/>
        <v>13.600000000000001</v>
      </c>
      <c r="E243" s="5">
        <v>0</v>
      </c>
      <c r="F243" s="5">
        <v>0</v>
      </c>
      <c r="G243" s="5">
        <v>0</v>
      </c>
      <c r="H243" s="5">
        <v>0</v>
      </c>
      <c r="I243" s="5">
        <v>0</v>
      </c>
      <c r="J243" s="9">
        <v>0</v>
      </c>
      <c r="K243" s="5">
        <v>0</v>
      </c>
      <c r="L243" s="5">
        <v>0</v>
      </c>
      <c r="M243" s="5">
        <v>0</v>
      </c>
      <c r="N243" s="9">
        <v>0</v>
      </c>
      <c r="O243" s="5">
        <v>3</v>
      </c>
      <c r="P243" s="5">
        <v>46</v>
      </c>
      <c r="Q243" s="5">
        <v>1</v>
      </c>
      <c r="R243" s="9">
        <v>0</v>
      </c>
      <c r="S243" s="5">
        <v>0</v>
      </c>
      <c r="T243" s="5">
        <v>0</v>
      </c>
    </row>
    <row r="244" spans="1:20" x14ac:dyDescent="0.2">
      <c r="A244" s="5" t="s">
        <v>280</v>
      </c>
      <c r="B244" s="9" t="s">
        <v>69</v>
      </c>
      <c r="C244" s="5" t="s">
        <v>819</v>
      </c>
      <c r="D244" s="7">
        <f t="shared" si="0"/>
        <v>13.9</v>
      </c>
      <c r="E244" s="5">
        <v>0</v>
      </c>
      <c r="F244" s="5">
        <v>0</v>
      </c>
      <c r="G244" s="5">
        <v>0</v>
      </c>
      <c r="H244" s="5">
        <v>0</v>
      </c>
      <c r="I244" s="5">
        <v>0</v>
      </c>
      <c r="J244" s="9">
        <v>0</v>
      </c>
      <c r="K244" s="5">
        <v>0</v>
      </c>
      <c r="L244" s="5">
        <v>0</v>
      </c>
      <c r="M244" s="5">
        <v>0</v>
      </c>
      <c r="N244" s="9">
        <v>0</v>
      </c>
      <c r="O244" s="5">
        <v>5</v>
      </c>
      <c r="P244" s="5">
        <v>29</v>
      </c>
      <c r="Q244" s="5">
        <v>1</v>
      </c>
      <c r="R244" s="9">
        <v>0</v>
      </c>
      <c r="S244" s="5">
        <v>0</v>
      </c>
      <c r="T244" s="5">
        <v>0</v>
      </c>
    </row>
    <row r="245" spans="1:20" x14ac:dyDescent="0.2">
      <c r="A245" s="5" t="s">
        <v>274</v>
      </c>
      <c r="B245" s="9" t="s">
        <v>69</v>
      </c>
      <c r="C245" s="5" t="s">
        <v>828</v>
      </c>
      <c r="D245" s="7">
        <f t="shared" si="0"/>
        <v>13.3</v>
      </c>
      <c r="E245" s="5">
        <v>0</v>
      </c>
      <c r="F245" s="5">
        <v>0</v>
      </c>
      <c r="G245" s="5">
        <v>0</v>
      </c>
      <c r="H245" s="5">
        <v>0</v>
      </c>
      <c r="I245" s="5">
        <v>0</v>
      </c>
      <c r="J245" s="9">
        <v>0</v>
      </c>
      <c r="K245" s="5">
        <v>0</v>
      </c>
      <c r="L245" s="5">
        <v>0</v>
      </c>
      <c r="M245" s="5">
        <v>0</v>
      </c>
      <c r="N245" s="9">
        <v>0</v>
      </c>
      <c r="O245" s="5">
        <v>5</v>
      </c>
      <c r="P245" s="5">
        <v>83</v>
      </c>
      <c r="Q245" s="5">
        <v>0</v>
      </c>
      <c r="R245" s="9">
        <v>0</v>
      </c>
      <c r="S245" s="5">
        <v>0</v>
      </c>
      <c r="T245" s="5">
        <v>0</v>
      </c>
    </row>
    <row r="246" spans="1:20" x14ac:dyDescent="0.2">
      <c r="A246" s="5" t="s">
        <v>304</v>
      </c>
      <c r="B246" s="9" t="s">
        <v>69</v>
      </c>
      <c r="C246" s="5" t="s">
        <v>815</v>
      </c>
      <c r="D246" s="7">
        <f t="shared" si="0"/>
        <v>12.9</v>
      </c>
      <c r="E246" s="5">
        <v>0</v>
      </c>
      <c r="F246" s="5">
        <v>0</v>
      </c>
      <c r="G246" s="5">
        <v>0</v>
      </c>
      <c r="H246" s="5">
        <v>0</v>
      </c>
      <c r="I246" s="5">
        <v>0</v>
      </c>
      <c r="J246" s="9">
        <v>0</v>
      </c>
      <c r="K246" s="5">
        <v>0</v>
      </c>
      <c r="L246" s="5">
        <v>0</v>
      </c>
      <c r="M246" s="5">
        <v>0</v>
      </c>
      <c r="N246" s="9">
        <v>0</v>
      </c>
      <c r="O246" s="5">
        <v>6</v>
      </c>
      <c r="P246" s="5">
        <v>69</v>
      </c>
      <c r="Q246" s="5">
        <v>0</v>
      </c>
      <c r="R246" s="9">
        <v>0</v>
      </c>
      <c r="S246" s="5">
        <v>0</v>
      </c>
      <c r="T246" s="5">
        <v>0</v>
      </c>
    </row>
    <row r="247" spans="1:20" x14ac:dyDescent="0.2">
      <c r="A247" s="5" t="s">
        <v>299</v>
      </c>
      <c r="B247" s="9" t="s">
        <v>69</v>
      </c>
      <c r="C247" s="5" t="s">
        <v>823</v>
      </c>
      <c r="D247" s="7">
        <f t="shared" si="0"/>
        <v>12.4</v>
      </c>
      <c r="E247" s="5">
        <v>0</v>
      </c>
      <c r="F247" s="5">
        <v>0</v>
      </c>
      <c r="G247" s="5">
        <v>0</v>
      </c>
      <c r="H247" s="5">
        <v>0</v>
      </c>
      <c r="I247" s="5">
        <v>0</v>
      </c>
      <c r="J247" s="9">
        <v>0</v>
      </c>
      <c r="K247" s="5">
        <v>0</v>
      </c>
      <c r="L247" s="5">
        <v>0</v>
      </c>
      <c r="M247" s="5">
        <v>0</v>
      </c>
      <c r="N247" s="9">
        <v>0</v>
      </c>
      <c r="O247" s="5">
        <v>3</v>
      </c>
      <c r="P247" s="5">
        <v>34</v>
      </c>
      <c r="Q247" s="5">
        <v>1</v>
      </c>
      <c r="R247" s="9">
        <v>0</v>
      </c>
      <c r="S247" s="5">
        <v>0</v>
      </c>
      <c r="T247" s="5">
        <v>0</v>
      </c>
    </row>
    <row r="248" spans="1:20" x14ac:dyDescent="0.2">
      <c r="A248" s="5" t="s">
        <v>317</v>
      </c>
      <c r="B248" s="9" t="s">
        <v>69</v>
      </c>
      <c r="C248" s="5" t="s">
        <v>829</v>
      </c>
      <c r="D248" s="7">
        <f t="shared" si="0"/>
        <v>11.1</v>
      </c>
      <c r="E248" s="5">
        <v>0</v>
      </c>
      <c r="F248" s="5">
        <v>0</v>
      </c>
      <c r="G248" s="5">
        <v>0</v>
      </c>
      <c r="H248" s="5">
        <v>0</v>
      </c>
      <c r="I248" s="5">
        <v>0</v>
      </c>
      <c r="J248" s="9">
        <v>0</v>
      </c>
      <c r="K248" s="5">
        <v>0</v>
      </c>
      <c r="L248" s="5">
        <v>0</v>
      </c>
      <c r="M248" s="5">
        <v>0</v>
      </c>
      <c r="N248" s="9">
        <v>0</v>
      </c>
      <c r="O248" s="5">
        <v>2</v>
      </c>
      <c r="P248" s="5">
        <v>31</v>
      </c>
      <c r="Q248" s="5">
        <v>1</v>
      </c>
      <c r="R248" s="9">
        <v>0</v>
      </c>
      <c r="S248" s="5">
        <v>0</v>
      </c>
      <c r="T248" s="5">
        <v>0</v>
      </c>
    </row>
    <row r="249" spans="1:20" x14ac:dyDescent="0.2">
      <c r="A249" s="5" t="s">
        <v>348</v>
      </c>
      <c r="B249" s="9" t="s">
        <v>69</v>
      </c>
      <c r="C249" s="5" t="s">
        <v>814</v>
      </c>
      <c r="D249" s="7">
        <f t="shared" si="0"/>
        <v>11.9</v>
      </c>
      <c r="E249" s="5">
        <v>0</v>
      </c>
      <c r="F249" s="5">
        <v>0</v>
      </c>
      <c r="G249" s="5">
        <v>0</v>
      </c>
      <c r="H249" s="5">
        <v>0</v>
      </c>
      <c r="I249" s="5">
        <v>0</v>
      </c>
      <c r="J249" s="9">
        <v>0</v>
      </c>
      <c r="K249" s="5">
        <v>0</v>
      </c>
      <c r="L249" s="5">
        <v>0</v>
      </c>
      <c r="M249" s="5">
        <v>0</v>
      </c>
      <c r="N249" s="9">
        <v>0</v>
      </c>
      <c r="O249" s="5">
        <v>3</v>
      </c>
      <c r="P249" s="5">
        <v>29</v>
      </c>
      <c r="Q249" s="5">
        <v>1</v>
      </c>
      <c r="R249" s="9">
        <v>0</v>
      </c>
      <c r="S249" s="5">
        <v>0</v>
      </c>
      <c r="T249" s="5">
        <v>0</v>
      </c>
    </row>
    <row r="250" spans="1:20" x14ac:dyDescent="0.2">
      <c r="A250" s="5" t="s">
        <v>295</v>
      </c>
      <c r="B250" s="9" t="s">
        <v>69</v>
      </c>
      <c r="C250" s="5" t="s">
        <v>818</v>
      </c>
      <c r="D250" s="7">
        <f t="shared" si="0"/>
        <v>10.199999999999999</v>
      </c>
      <c r="E250" s="5">
        <v>0</v>
      </c>
      <c r="F250" s="5">
        <v>0</v>
      </c>
      <c r="G250" s="5">
        <v>0</v>
      </c>
      <c r="H250" s="5">
        <v>0</v>
      </c>
      <c r="I250" s="5">
        <v>0</v>
      </c>
      <c r="J250" s="9">
        <v>0</v>
      </c>
      <c r="K250" s="5">
        <v>0</v>
      </c>
      <c r="L250" s="5">
        <v>0</v>
      </c>
      <c r="M250" s="5">
        <v>0</v>
      </c>
      <c r="N250" s="9">
        <v>0</v>
      </c>
      <c r="O250" s="5">
        <v>2</v>
      </c>
      <c r="P250" s="5">
        <v>22</v>
      </c>
      <c r="Q250" s="5">
        <v>1</v>
      </c>
      <c r="R250" s="9">
        <v>0</v>
      </c>
      <c r="S250" s="5">
        <v>0</v>
      </c>
      <c r="T250" s="5">
        <v>0</v>
      </c>
    </row>
    <row r="251" spans="1:20" x14ac:dyDescent="0.2">
      <c r="A251" s="5" t="s">
        <v>526</v>
      </c>
      <c r="B251" s="9" t="s">
        <v>69</v>
      </c>
      <c r="C251" s="5" t="s">
        <v>819</v>
      </c>
      <c r="D251" s="7">
        <f t="shared" si="0"/>
        <v>10.8</v>
      </c>
      <c r="E251" s="5">
        <v>0</v>
      </c>
      <c r="F251" s="5">
        <v>0</v>
      </c>
      <c r="G251" s="5">
        <v>0</v>
      </c>
      <c r="H251" s="5">
        <v>0</v>
      </c>
      <c r="I251" s="5">
        <v>0</v>
      </c>
      <c r="J251" s="9">
        <v>0</v>
      </c>
      <c r="K251" s="5">
        <v>0</v>
      </c>
      <c r="L251" s="5">
        <v>0</v>
      </c>
      <c r="M251" s="5">
        <v>0</v>
      </c>
      <c r="N251" s="9">
        <v>0</v>
      </c>
      <c r="O251" s="5">
        <v>5</v>
      </c>
      <c r="P251" s="5">
        <v>58</v>
      </c>
      <c r="Q251" s="5">
        <v>0</v>
      </c>
      <c r="R251" s="9">
        <v>0</v>
      </c>
      <c r="S251" s="5">
        <v>0</v>
      </c>
      <c r="T251" s="5">
        <v>0</v>
      </c>
    </row>
    <row r="252" spans="1:20" x14ac:dyDescent="0.2">
      <c r="A252" s="5" t="s">
        <v>313</v>
      </c>
      <c r="B252" s="9" t="s">
        <v>69</v>
      </c>
      <c r="C252" s="5" t="s">
        <v>820</v>
      </c>
      <c r="D252" s="7">
        <f t="shared" si="0"/>
        <v>9.1999999999999993</v>
      </c>
      <c r="E252" s="5">
        <v>0</v>
      </c>
      <c r="F252" s="5">
        <v>0</v>
      </c>
      <c r="G252" s="5">
        <v>0</v>
      </c>
      <c r="H252" s="5">
        <v>0</v>
      </c>
      <c r="I252" s="5">
        <v>0</v>
      </c>
      <c r="J252" s="9">
        <v>0</v>
      </c>
      <c r="K252" s="5">
        <v>0</v>
      </c>
      <c r="L252" s="5">
        <v>0</v>
      </c>
      <c r="M252" s="5">
        <v>0</v>
      </c>
      <c r="N252" s="9">
        <v>0</v>
      </c>
      <c r="O252" s="5">
        <v>5</v>
      </c>
      <c r="P252" s="5">
        <v>42</v>
      </c>
      <c r="Q252" s="5">
        <v>0</v>
      </c>
      <c r="R252" s="9">
        <v>0</v>
      </c>
      <c r="S252" s="5">
        <v>0</v>
      </c>
      <c r="T252" s="5">
        <v>0</v>
      </c>
    </row>
    <row r="253" spans="1:20" x14ac:dyDescent="0.2">
      <c r="A253" s="5" t="s">
        <v>294</v>
      </c>
      <c r="B253" s="9" t="s">
        <v>69</v>
      </c>
      <c r="C253" s="5" t="s">
        <v>826</v>
      </c>
      <c r="D253" s="7">
        <f t="shared" si="0"/>
        <v>9.5</v>
      </c>
      <c r="E253" s="5">
        <v>0</v>
      </c>
      <c r="F253" s="5">
        <v>0</v>
      </c>
      <c r="G253" s="5">
        <v>0</v>
      </c>
      <c r="H253" s="5">
        <v>0</v>
      </c>
      <c r="I253" s="5">
        <v>0</v>
      </c>
      <c r="J253" s="9">
        <v>0</v>
      </c>
      <c r="K253" s="5">
        <v>0</v>
      </c>
      <c r="L253" s="5">
        <v>0</v>
      </c>
      <c r="M253" s="5">
        <v>0</v>
      </c>
      <c r="N253" s="9">
        <v>0</v>
      </c>
      <c r="O253" s="5">
        <v>5</v>
      </c>
      <c r="P253" s="5">
        <v>45</v>
      </c>
      <c r="Q253" s="5">
        <v>0</v>
      </c>
      <c r="R253" s="9">
        <v>0</v>
      </c>
      <c r="S253" s="5">
        <v>0</v>
      </c>
      <c r="T253" s="5">
        <v>0</v>
      </c>
    </row>
    <row r="254" spans="1:20" x14ac:dyDescent="0.2">
      <c r="A254" s="5" t="s">
        <v>306</v>
      </c>
      <c r="B254" s="9" t="s">
        <v>69</v>
      </c>
      <c r="C254" s="5" t="s">
        <v>824</v>
      </c>
      <c r="D254" s="7">
        <f t="shared" si="0"/>
        <v>7.9</v>
      </c>
      <c r="E254" s="5">
        <v>0</v>
      </c>
      <c r="F254" s="5">
        <v>0</v>
      </c>
      <c r="G254" s="5">
        <v>0</v>
      </c>
      <c r="H254" s="5">
        <v>0</v>
      </c>
      <c r="I254" s="5">
        <v>0</v>
      </c>
      <c r="J254" s="9">
        <v>0</v>
      </c>
      <c r="K254" s="5">
        <v>0</v>
      </c>
      <c r="L254" s="5">
        <v>0</v>
      </c>
      <c r="M254" s="5">
        <v>0</v>
      </c>
      <c r="N254" s="9">
        <v>0</v>
      </c>
      <c r="O254" s="5">
        <v>4</v>
      </c>
      <c r="P254" s="5">
        <v>39</v>
      </c>
      <c r="Q254" s="5">
        <v>0</v>
      </c>
      <c r="R254" s="9">
        <v>0</v>
      </c>
      <c r="S254" s="5">
        <v>0</v>
      </c>
      <c r="T254" s="5">
        <v>0</v>
      </c>
    </row>
    <row r="255" spans="1:20" x14ac:dyDescent="0.2">
      <c r="A255" s="5" t="s">
        <v>290</v>
      </c>
      <c r="B255" s="9" t="s">
        <v>69</v>
      </c>
      <c r="C255" s="5" t="s">
        <v>814</v>
      </c>
      <c r="D255" s="7">
        <f t="shared" si="0"/>
        <v>7</v>
      </c>
      <c r="E255" s="5">
        <v>0</v>
      </c>
      <c r="F255" s="5">
        <v>0</v>
      </c>
      <c r="G255" s="5">
        <v>0</v>
      </c>
      <c r="H255" s="5">
        <v>0</v>
      </c>
      <c r="I255" s="5">
        <v>0</v>
      </c>
      <c r="J255" s="9">
        <v>0</v>
      </c>
      <c r="K255" s="5">
        <v>0</v>
      </c>
      <c r="L255" s="5">
        <v>0</v>
      </c>
      <c r="M255" s="5">
        <v>0</v>
      </c>
      <c r="N255" s="9">
        <v>0</v>
      </c>
      <c r="O255" s="5">
        <v>3</v>
      </c>
      <c r="P255" s="5">
        <v>40</v>
      </c>
      <c r="Q255" s="5">
        <v>0</v>
      </c>
      <c r="R255" s="9">
        <v>0</v>
      </c>
      <c r="S255" s="5">
        <v>0</v>
      </c>
      <c r="T255" s="5">
        <v>0</v>
      </c>
    </row>
    <row r="256" spans="1:20" x14ac:dyDescent="0.2">
      <c r="A256" s="5" t="s">
        <v>277</v>
      </c>
      <c r="B256" s="9" t="s">
        <v>69</v>
      </c>
      <c r="C256" s="5" t="s">
        <v>822</v>
      </c>
      <c r="D256" s="7">
        <f t="shared" si="0"/>
        <v>7.1000000000000005</v>
      </c>
      <c r="E256" s="5">
        <v>0</v>
      </c>
      <c r="F256" s="5">
        <v>0</v>
      </c>
      <c r="G256" s="5">
        <v>0</v>
      </c>
      <c r="H256" s="5">
        <v>0</v>
      </c>
      <c r="I256" s="5">
        <v>0</v>
      </c>
      <c r="J256" s="9">
        <v>0</v>
      </c>
      <c r="K256" s="5">
        <v>0</v>
      </c>
      <c r="L256" s="5">
        <v>0</v>
      </c>
      <c r="M256" s="5">
        <v>0</v>
      </c>
      <c r="N256" s="9">
        <v>0</v>
      </c>
      <c r="O256" s="5">
        <v>3</v>
      </c>
      <c r="P256" s="5">
        <v>41</v>
      </c>
      <c r="Q256" s="5">
        <v>0</v>
      </c>
      <c r="R256" s="9">
        <v>0</v>
      </c>
      <c r="S256" s="5">
        <v>0</v>
      </c>
      <c r="T256" s="5">
        <v>0</v>
      </c>
    </row>
    <row r="257" spans="1:20" x14ac:dyDescent="0.2">
      <c r="A257" s="5" t="s">
        <v>699</v>
      </c>
      <c r="B257" s="9" t="s">
        <v>69</v>
      </c>
      <c r="C257" s="5" t="s">
        <v>817</v>
      </c>
      <c r="D257" s="7">
        <f t="shared" si="0"/>
        <v>6.5</v>
      </c>
      <c r="E257" s="5">
        <v>0</v>
      </c>
      <c r="F257" s="5">
        <v>0</v>
      </c>
      <c r="G257" s="5">
        <v>0</v>
      </c>
      <c r="H257" s="5">
        <v>0</v>
      </c>
      <c r="I257" s="5">
        <v>0</v>
      </c>
      <c r="J257" s="9">
        <v>0</v>
      </c>
      <c r="K257" s="5">
        <v>0</v>
      </c>
      <c r="L257" s="5">
        <v>0</v>
      </c>
      <c r="M257" s="5">
        <v>0</v>
      </c>
      <c r="N257" s="9">
        <v>0</v>
      </c>
      <c r="O257" s="5">
        <v>4</v>
      </c>
      <c r="P257" s="5">
        <v>25</v>
      </c>
      <c r="Q257" s="5">
        <v>0</v>
      </c>
      <c r="R257" s="9">
        <v>0</v>
      </c>
      <c r="S257" s="5">
        <v>0</v>
      </c>
      <c r="T257" s="5">
        <v>0</v>
      </c>
    </row>
    <row r="258" spans="1:20" x14ac:dyDescent="0.2">
      <c r="A258" s="5" t="s">
        <v>307</v>
      </c>
      <c r="B258" s="9" t="s">
        <v>69</v>
      </c>
      <c r="C258" s="5" t="s">
        <v>817</v>
      </c>
      <c r="D258" s="7">
        <f t="shared" ref="D258:D298" si="1">0.04*G258+4*H258-2*I258+2*J258+0.1*L258+6*M258+2*N258+1*O258+0.1*P258+6*Q258+2*R258-2*S258</f>
        <v>6.7</v>
      </c>
      <c r="E258" s="5">
        <v>0</v>
      </c>
      <c r="F258" s="5">
        <v>0</v>
      </c>
      <c r="G258" s="5">
        <v>0</v>
      </c>
      <c r="H258" s="5">
        <v>0</v>
      </c>
      <c r="I258" s="5">
        <v>0</v>
      </c>
      <c r="J258" s="9">
        <v>0</v>
      </c>
      <c r="K258" s="5">
        <v>0</v>
      </c>
      <c r="L258" s="5">
        <v>0</v>
      </c>
      <c r="M258" s="5">
        <v>0</v>
      </c>
      <c r="N258" s="9">
        <v>0</v>
      </c>
      <c r="O258" s="5">
        <v>2</v>
      </c>
      <c r="P258" s="5">
        <v>47</v>
      </c>
      <c r="Q258" s="5">
        <v>0</v>
      </c>
      <c r="R258" s="9">
        <v>0</v>
      </c>
      <c r="S258" s="5">
        <v>0</v>
      </c>
      <c r="T258" s="5">
        <v>0</v>
      </c>
    </row>
    <row r="259" spans="1:20" x14ac:dyDescent="0.2">
      <c r="A259" s="5" t="s">
        <v>486</v>
      </c>
      <c r="B259" s="9" t="s">
        <v>69</v>
      </c>
      <c r="C259" s="5" t="s">
        <v>822</v>
      </c>
      <c r="D259" s="7">
        <f t="shared" si="1"/>
        <v>6.1</v>
      </c>
      <c r="E259" s="5">
        <v>0</v>
      </c>
      <c r="F259" s="5">
        <v>0</v>
      </c>
      <c r="G259" s="5">
        <v>0</v>
      </c>
      <c r="H259" s="5">
        <v>0</v>
      </c>
      <c r="I259" s="5">
        <v>0</v>
      </c>
      <c r="J259" s="9">
        <v>0</v>
      </c>
      <c r="K259" s="5">
        <v>0</v>
      </c>
      <c r="L259" s="5">
        <v>0</v>
      </c>
      <c r="M259" s="5">
        <v>0</v>
      </c>
      <c r="N259" s="9">
        <v>0</v>
      </c>
      <c r="O259" s="5">
        <v>3</v>
      </c>
      <c r="P259" s="5">
        <v>31</v>
      </c>
      <c r="Q259" s="5">
        <v>0</v>
      </c>
      <c r="R259" s="9">
        <v>0</v>
      </c>
      <c r="S259" s="5">
        <v>0</v>
      </c>
      <c r="T259" s="5">
        <v>0</v>
      </c>
    </row>
    <row r="260" spans="1:20" x14ac:dyDescent="0.2">
      <c r="A260" s="5" t="s">
        <v>287</v>
      </c>
      <c r="B260" s="9" t="s">
        <v>69</v>
      </c>
      <c r="C260" s="5" t="s">
        <v>818</v>
      </c>
      <c r="D260" s="7">
        <f t="shared" si="1"/>
        <v>6</v>
      </c>
      <c r="E260" s="5">
        <v>0</v>
      </c>
      <c r="F260" s="5">
        <v>0</v>
      </c>
      <c r="G260" s="5">
        <v>0</v>
      </c>
      <c r="H260" s="5">
        <v>0</v>
      </c>
      <c r="I260" s="5">
        <v>0</v>
      </c>
      <c r="J260" s="9">
        <v>0</v>
      </c>
      <c r="K260" s="5">
        <v>0</v>
      </c>
      <c r="L260" s="5">
        <v>0</v>
      </c>
      <c r="M260" s="5">
        <v>0</v>
      </c>
      <c r="N260" s="9">
        <v>0</v>
      </c>
      <c r="O260" s="5">
        <v>3</v>
      </c>
      <c r="P260" s="5">
        <v>30</v>
      </c>
      <c r="Q260" s="5">
        <v>0</v>
      </c>
      <c r="R260" s="9">
        <v>0</v>
      </c>
      <c r="S260" s="5">
        <v>0</v>
      </c>
      <c r="T260" s="5">
        <v>0</v>
      </c>
    </row>
    <row r="261" spans="1:20" x14ac:dyDescent="0.2">
      <c r="A261" s="5" t="s">
        <v>311</v>
      </c>
      <c r="B261" s="9" t="s">
        <v>69</v>
      </c>
      <c r="C261" s="5" t="s">
        <v>821</v>
      </c>
      <c r="D261" s="7">
        <f t="shared" si="1"/>
        <v>5.4</v>
      </c>
      <c r="E261" s="5">
        <v>0</v>
      </c>
      <c r="F261" s="5">
        <v>0</v>
      </c>
      <c r="G261" s="5">
        <v>0</v>
      </c>
      <c r="H261" s="5">
        <v>0</v>
      </c>
      <c r="I261" s="5">
        <v>0</v>
      </c>
      <c r="J261" s="9">
        <v>0</v>
      </c>
      <c r="K261" s="5">
        <v>0</v>
      </c>
      <c r="L261" s="5">
        <v>0</v>
      </c>
      <c r="M261" s="5">
        <v>0</v>
      </c>
      <c r="N261" s="9">
        <v>0</v>
      </c>
      <c r="O261" s="5">
        <v>3</v>
      </c>
      <c r="P261" s="5">
        <v>24</v>
      </c>
      <c r="Q261" s="5">
        <v>0</v>
      </c>
      <c r="R261" s="9">
        <v>0</v>
      </c>
      <c r="S261" s="5">
        <v>0</v>
      </c>
      <c r="T261" s="5">
        <v>0</v>
      </c>
    </row>
    <row r="262" spans="1:20" x14ac:dyDescent="0.2">
      <c r="A262" s="5" t="s">
        <v>372</v>
      </c>
      <c r="B262" s="9" t="s">
        <v>69</v>
      </c>
      <c r="C262" s="5" t="s">
        <v>820</v>
      </c>
      <c r="D262" s="7">
        <f t="shared" si="1"/>
        <v>5.8</v>
      </c>
      <c r="E262" s="5">
        <v>0</v>
      </c>
      <c r="F262" s="5">
        <v>0</v>
      </c>
      <c r="G262" s="5">
        <v>0</v>
      </c>
      <c r="H262" s="5">
        <v>0</v>
      </c>
      <c r="I262" s="5">
        <v>0</v>
      </c>
      <c r="J262" s="9">
        <v>0</v>
      </c>
      <c r="K262" s="5">
        <v>0</v>
      </c>
      <c r="L262" s="5">
        <v>0</v>
      </c>
      <c r="M262" s="5">
        <v>0</v>
      </c>
      <c r="N262" s="9">
        <v>0</v>
      </c>
      <c r="O262" s="5">
        <v>2</v>
      </c>
      <c r="P262" s="5">
        <v>18</v>
      </c>
      <c r="Q262" s="5">
        <v>0</v>
      </c>
      <c r="R262" s="9">
        <v>1</v>
      </c>
      <c r="S262" s="5">
        <v>0</v>
      </c>
      <c r="T262" s="5">
        <v>0</v>
      </c>
    </row>
    <row r="263" spans="1:20" x14ac:dyDescent="0.2">
      <c r="A263" s="5" t="s">
        <v>583</v>
      </c>
      <c r="B263" s="9" t="s">
        <v>69</v>
      </c>
      <c r="C263" s="5" t="s">
        <v>823</v>
      </c>
      <c r="D263" s="7">
        <f t="shared" si="1"/>
        <v>5.2</v>
      </c>
      <c r="E263" s="5">
        <v>0</v>
      </c>
      <c r="F263" s="5">
        <v>0</v>
      </c>
      <c r="G263" s="5">
        <v>0</v>
      </c>
      <c r="H263" s="5">
        <v>0</v>
      </c>
      <c r="I263" s="5">
        <v>0</v>
      </c>
      <c r="J263" s="9">
        <v>0</v>
      </c>
      <c r="K263" s="5">
        <v>0</v>
      </c>
      <c r="L263" s="5">
        <v>0</v>
      </c>
      <c r="M263" s="5">
        <v>0</v>
      </c>
      <c r="N263" s="9">
        <v>0</v>
      </c>
      <c r="O263" s="5">
        <v>2</v>
      </c>
      <c r="P263" s="5">
        <v>32</v>
      </c>
      <c r="Q263" s="5">
        <v>0</v>
      </c>
      <c r="R263" s="9">
        <v>0</v>
      </c>
      <c r="S263" s="5">
        <v>0</v>
      </c>
      <c r="T263" s="5">
        <v>0</v>
      </c>
    </row>
    <row r="264" spans="1:20" x14ac:dyDescent="0.2">
      <c r="A264" s="5" t="s">
        <v>680</v>
      </c>
      <c r="B264" s="9" t="s">
        <v>69</v>
      </c>
      <c r="C264" s="5" t="s">
        <v>829</v>
      </c>
      <c r="D264" s="7">
        <f t="shared" si="1"/>
        <v>5.3000000000000007</v>
      </c>
      <c r="E264" s="5">
        <v>0</v>
      </c>
      <c r="F264" s="5">
        <v>0</v>
      </c>
      <c r="G264" s="5">
        <v>0</v>
      </c>
      <c r="H264" s="5">
        <v>0</v>
      </c>
      <c r="I264" s="5">
        <v>0</v>
      </c>
      <c r="J264" s="9">
        <v>0</v>
      </c>
      <c r="K264" s="5">
        <v>0</v>
      </c>
      <c r="L264" s="5">
        <v>0</v>
      </c>
      <c r="M264" s="5">
        <v>0</v>
      </c>
      <c r="N264" s="9">
        <v>0</v>
      </c>
      <c r="O264" s="5">
        <v>3</v>
      </c>
      <c r="P264" s="5">
        <v>23</v>
      </c>
      <c r="Q264" s="5">
        <v>0</v>
      </c>
      <c r="R264" s="9">
        <v>0</v>
      </c>
      <c r="S264" s="5">
        <v>0</v>
      </c>
      <c r="T264" s="5">
        <v>0</v>
      </c>
    </row>
    <row r="265" spans="1:20" x14ac:dyDescent="0.2">
      <c r="A265" s="5" t="s">
        <v>352</v>
      </c>
      <c r="B265" s="9" t="s">
        <v>69</v>
      </c>
      <c r="C265" s="5" t="s">
        <v>825</v>
      </c>
      <c r="D265" s="7">
        <f t="shared" si="1"/>
        <v>5.6</v>
      </c>
      <c r="E265" s="5">
        <v>0</v>
      </c>
      <c r="F265" s="5">
        <v>0</v>
      </c>
      <c r="G265" s="5">
        <v>0</v>
      </c>
      <c r="H265" s="5">
        <v>0</v>
      </c>
      <c r="I265" s="5">
        <v>0</v>
      </c>
      <c r="J265" s="9">
        <v>0</v>
      </c>
      <c r="K265" s="5">
        <v>0</v>
      </c>
      <c r="L265" s="5">
        <v>0</v>
      </c>
      <c r="M265" s="5">
        <v>0</v>
      </c>
      <c r="N265" s="9">
        <v>0</v>
      </c>
      <c r="O265" s="5">
        <v>2</v>
      </c>
      <c r="P265" s="5">
        <v>36</v>
      </c>
      <c r="Q265" s="5">
        <v>0</v>
      </c>
      <c r="R265" s="9">
        <v>0</v>
      </c>
      <c r="S265" s="5">
        <v>0</v>
      </c>
      <c r="T265" s="5">
        <v>0</v>
      </c>
    </row>
    <row r="266" spans="1:20" x14ac:dyDescent="0.2">
      <c r="A266" s="5" t="s">
        <v>292</v>
      </c>
      <c r="B266" s="9" t="s">
        <v>69</v>
      </c>
      <c r="C266" s="5" t="s">
        <v>819</v>
      </c>
      <c r="D266" s="7">
        <f t="shared" si="1"/>
        <v>5.0999999999999996</v>
      </c>
      <c r="E266" s="5">
        <v>0</v>
      </c>
      <c r="F266" s="5">
        <v>0</v>
      </c>
      <c r="G266" s="5">
        <v>0</v>
      </c>
      <c r="H266" s="5">
        <v>0</v>
      </c>
      <c r="I266" s="5">
        <v>0</v>
      </c>
      <c r="J266" s="9">
        <v>0</v>
      </c>
      <c r="K266" s="5">
        <v>0</v>
      </c>
      <c r="L266" s="5">
        <v>0</v>
      </c>
      <c r="M266" s="5">
        <v>0</v>
      </c>
      <c r="N266" s="9">
        <v>0</v>
      </c>
      <c r="O266" s="5">
        <v>2</v>
      </c>
      <c r="P266" s="5">
        <v>31</v>
      </c>
      <c r="Q266" s="5">
        <v>0</v>
      </c>
      <c r="R266" s="9">
        <v>0</v>
      </c>
      <c r="S266" s="5">
        <v>0</v>
      </c>
      <c r="T266" s="5">
        <v>0</v>
      </c>
    </row>
    <row r="267" spans="1:20" x14ac:dyDescent="0.2">
      <c r="A267" s="5" t="s">
        <v>309</v>
      </c>
      <c r="B267" s="9" t="s">
        <v>69</v>
      </c>
      <c r="C267" s="5" t="s">
        <v>830</v>
      </c>
      <c r="D267" s="7">
        <f t="shared" si="1"/>
        <v>5</v>
      </c>
      <c r="E267" s="5">
        <v>0</v>
      </c>
      <c r="F267" s="5">
        <v>0</v>
      </c>
      <c r="G267" s="5">
        <v>0</v>
      </c>
      <c r="H267" s="5">
        <v>0</v>
      </c>
      <c r="I267" s="5">
        <v>0</v>
      </c>
      <c r="J267" s="9">
        <v>0</v>
      </c>
      <c r="K267" s="5">
        <v>0</v>
      </c>
      <c r="L267" s="5">
        <v>0</v>
      </c>
      <c r="M267" s="5">
        <v>0</v>
      </c>
      <c r="N267" s="9">
        <v>0</v>
      </c>
      <c r="O267" s="5">
        <v>2</v>
      </c>
      <c r="P267" s="5">
        <v>30</v>
      </c>
      <c r="Q267" s="5">
        <v>0</v>
      </c>
      <c r="R267" s="9">
        <v>0</v>
      </c>
      <c r="S267" s="5">
        <v>0</v>
      </c>
      <c r="T267" s="5">
        <v>0</v>
      </c>
    </row>
    <row r="268" spans="1:20" x14ac:dyDescent="0.2">
      <c r="A268" s="5" t="s">
        <v>284</v>
      </c>
      <c r="B268" s="9" t="s">
        <v>69</v>
      </c>
      <c r="C268" s="5" t="s">
        <v>829</v>
      </c>
      <c r="D268" s="7">
        <f t="shared" si="1"/>
        <v>4.0999999999999996</v>
      </c>
      <c r="E268" s="5">
        <v>0</v>
      </c>
      <c r="F268" s="5">
        <v>0</v>
      </c>
      <c r="G268" s="5">
        <v>0</v>
      </c>
      <c r="H268" s="5">
        <v>0</v>
      </c>
      <c r="I268" s="5">
        <v>0</v>
      </c>
      <c r="J268" s="9">
        <v>0</v>
      </c>
      <c r="K268" s="5">
        <v>0</v>
      </c>
      <c r="L268" s="5">
        <v>0</v>
      </c>
      <c r="M268" s="5">
        <v>0</v>
      </c>
      <c r="N268" s="9">
        <v>0</v>
      </c>
      <c r="O268" s="5">
        <v>2</v>
      </c>
      <c r="P268" s="5">
        <v>21</v>
      </c>
      <c r="Q268" s="5">
        <v>0</v>
      </c>
      <c r="R268" s="9">
        <v>0</v>
      </c>
      <c r="S268" s="5">
        <v>0</v>
      </c>
      <c r="T268" s="5">
        <v>0</v>
      </c>
    </row>
    <row r="269" spans="1:20" x14ac:dyDescent="0.2">
      <c r="A269" s="5" t="s">
        <v>293</v>
      </c>
      <c r="B269" s="9" t="s">
        <v>69</v>
      </c>
      <c r="C269" s="5" t="s">
        <v>814</v>
      </c>
      <c r="D269" s="7">
        <f t="shared" si="1"/>
        <v>4.7</v>
      </c>
      <c r="E269" s="5">
        <v>0</v>
      </c>
      <c r="F269" s="5">
        <v>0</v>
      </c>
      <c r="G269" s="5">
        <v>0</v>
      </c>
      <c r="H269" s="5">
        <v>0</v>
      </c>
      <c r="I269" s="5">
        <v>0</v>
      </c>
      <c r="J269" s="9">
        <v>0</v>
      </c>
      <c r="K269" s="5">
        <v>0</v>
      </c>
      <c r="L269" s="5">
        <v>0</v>
      </c>
      <c r="M269" s="5">
        <v>0</v>
      </c>
      <c r="N269" s="9">
        <v>0</v>
      </c>
      <c r="O269" s="5">
        <v>2</v>
      </c>
      <c r="P269" s="5">
        <v>27</v>
      </c>
      <c r="Q269" s="5">
        <v>0</v>
      </c>
      <c r="R269" s="9">
        <v>0</v>
      </c>
      <c r="S269" s="5">
        <v>0</v>
      </c>
      <c r="T269" s="5">
        <v>0</v>
      </c>
    </row>
    <row r="270" spans="1:20" x14ac:dyDescent="0.2">
      <c r="A270" s="5" t="s">
        <v>788</v>
      </c>
      <c r="B270" s="9" t="s">
        <v>69</v>
      </c>
      <c r="C270" s="5" t="s">
        <v>826</v>
      </c>
      <c r="D270" s="7">
        <f t="shared" si="1"/>
        <v>3.8</v>
      </c>
      <c r="E270" s="5">
        <v>0</v>
      </c>
      <c r="F270" s="5">
        <v>0</v>
      </c>
      <c r="G270" s="5">
        <v>0</v>
      </c>
      <c r="H270" s="5">
        <v>0</v>
      </c>
      <c r="I270" s="5">
        <v>0</v>
      </c>
      <c r="J270" s="9">
        <v>0</v>
      </c>
      <c r="K270" s="5">
        <v>0</v>
      </c>
      <c r="L270" s="5">
        <v>0</v>
      </c>
      <c r="M270" s="5">
        <v>0</v>
      </c>
      <c r="N270" s="9">
        <v>0</v>
      </c>
      <c r="O270" s="5">
        <v>2</v>
      </c>
      <c r="P270" s="5">
        <v>18</v>
      </c>
      <c r="Q270" s="5">
        <v>0</v>
      </c>
      <c r="R270" s="9">
        <v>0</v>
      </c>
      <c r="S270" s="5">
        <v>0</v>
      </c>
      <c r="T270" s="5">
        <v>0</v>
      </c>
    </row>
    <row r="271" spans="1:20" x14ac:dyDescent="0.2">
      <c r="A271" s="5" t="s">
        <v>316</v>
      </c>
      <c r="B271" s="9" t="s">
        <v>69</v>
      </c>
      <c r="C271" s="5" t="s">
        <v>831</v>
      </c>
      <c r="D271" s="7">
        <f t="shared" si="1"/>
        <v>3.6</v>
      </c>
      <c r="E271" s="5">
        <v>0</v>
      </c>
      <c r="F271" s="5">
        <v>0</v>
      </c>
      <c r="G271" s="5">
        <v>0</v>
      </c>
      <c r="H271" s="5">
        <v>0</v>
      </c>
      <c r="I271" s="5">
        <v>0</v>
      </c>
      <c r="J271" s="9">
        <v>0</v>
      </c>
      <c r="K271" s="5">
        <v>0</v>
      </c>
      <c r="L271" s="5">
        <v>0</v>
      </c>
      <c r="M271" s="5">
        <v>0</v>
      </c>
      <c r="N271" s="9">
        <v>0</v>
      </c>
      <c r="O271" s="5">
        <v>2</v>
      </c>
      <c r="P271" s="5">
        <v>16</v>
      </c>
      <c r="Q271" s="5">
        <v>0</v>
      </c>
      <c r="R271" s="9">
        <v>0</v>
      </c>
      <c r="S271" s="5">
        <v>0</v>
      </c>
      <c r="T271" s="5">
        <v>0</v>
      </c>
    </row>
    <row r="272" spans="1:20" x14ac:dyDescent="0.2">
      <c r="A272" s="5" t="s">
        <v>285</v>
      </c>
      <c r="B272" s="9" t="s">
        <v>69</v>
      </c>
      <c r="C272" s="5" t="s">
        <v>820</v>
      </c>
      <c r="D272" s="7">
        <f t="shared" si="1"/>
        <v>3.3000000000000003</v>
      </c>
      <c r="E272" s="5">
        <v>0</v>
      </c>
      <c r="F272" s="5">
        <v>0</v>
      </c>
      <c r="G272" s="5">
        <v>0</v>
      </c>
      <c r="H272" s="5">
        <v>0</v>
      </c>
      <c r="I272" s="5">
        <v>0</v>
      </c>
      <c r="J272" s="9">
        <v>0</v>
      </c>
      <c r="K272" s="5">
        <v>0</v>
      </c>
      <c r="L272" s="5">
        <v>0</v>
      </c>
      <c r="M272" s="5">
        <v>0</v>
      </c>
      <c r="N272" s="9">
        <v>0</v>
      </c>
      <c r="O272" s="5">
        <v>1</v>
      </c>
      <c r="P272" s="5">
        <v>23</v>
      </c>
      <c r="Q272" s="5">
        <v>0</v>
      </c>
      <c r="R272" s="9">
        <v>0</v>
      </c>
      <c r="S272" s="5">
        <v>0</v>
      </c>
      <c r="T272" s="5">
        <v>0</v>
      </c>
    </row>
    <row r="273" spans="1:20" x14ac:dyDescent="0.2">
      <c r="A273" s="5" t="s">
        <v>396</v>
      </c>
      <c r="B273" s="9" t="s">
        <v>69</v>
      </c>
      <c r="C273" s="5" t="s">
        <v>815</v>
      </c>
      <c r="D273" s="7">
        <f t="shared" si="1"/>
        <v>3.4000000000000004</v>
      </c>
      <c r="E273" s="5">
        <v>0</v>
      </c>
      <c r="F273" s="5">
        <v>0</v>
      </c>
      <c r="G273" s="5">
        <v>0</v>
      </c>
      <c r="H273" s="5">
        <v>0</v>
      </c>
      <c r="I273" s="5">
        <v>0</v>
      </c>
      <c r="J273" s="9">
        <v>0</v>
      </c>
      <c r="K273" s="5">
        <v>0</v>
      </c>
      <c r="L273" s="5">
        <v>0</v>
      </c>
      <c r="M273" s="5">
        <v>0</v>
      </c>
      <c r="N273" s="9">
        <v>0</v>
      </c>
      <c r="O273" s="5">
        <v>1</v>
      </c>
      <c r="P273" s="5">
        <v>24</v>
      </c>
      <c r="Q273" s="5">
        <v>0</v>
      </c>
      <c r="R273" s="9">
        <v>0</v>
      </c>
      <c r="S273" s="5">
        <v>0</v>
      </c>
      <c r="T273" s="5">
        <v>0</v>
      </c>
    </row>
    <row r="274" spans="1:20" x14ac:dyDescent="0.2">
      <c r="A274" s="5" t="s">
        <v>429</v>
      </c>
      <c r="B274" s="9" t="s">
        <v>69</v>
      </c>
      <c r="C274" s="5" t="s">
        <v>821</v>
      </c>
      <c r="D274" s="7">
        <f t="shared" si="1"/>
        <v>3.1</v>
      </c>
      <c r="E274" s="5">
        <v>0</v>
      </c>
      <c r="F274" s="5">
        <v>0</v>
      </c>
      <c r="G274" s="5">
        <v>0</v>
      </c>
      <c r="H274" s="5">
        <v>0</v>
      </c>
      <c r="I274" s="5">
        <v>0</v>
      </c>
      <c r="J274" s="9">
        <v>0</v>
      </c>
      <c r="K274" s="5">
        <v>0</v>
      </c>
      <c r="L274" s="5">
        <v>0</v>
      </c>
      <c r="M274" s="5">
        <v>0</v>
      </c>
      <c r="N274" s="9">
        <v>0</v>
      </c>
      <c r="O274" s="5">
        <v>2</v>
      </c>
      <c r="P274" s="5">
        <v>11</v>
      </c>
      <c r="Q274" s="5">
        <v>0</v>
      </c>
      <c r="R274" s="9">
        <v>0</v>
      </c>
      <c r="S274" s="5">
        <v>0</v>
      </c>
      <c r="T274" s="5">
        <v>0</v>
      </c>
    </row>
    <row r="275" spans="1:20" x14ac:dyDescent="0.2">
      <c r="A275" s="5" t="s">
        <v>812</v>
      </c>
      <c r="B275" s="9" t="s">
        <v>69</v>
      </c>
      <c r="C275" s="5" t="s">
        <v>819</v>
      </c>
      <c r="D275" s="7">
        <f t="shared" si="1"/>
        <v>3.4000000000000004</v>
      </c>
      <c r="E275" s="5">
        <v>0</v>
      </c>
      <c r="F275" s="5">
        <v>0</v>
      </c>
      <c r="G275" s="5">
        <v>0</v>
      </c>
      <c r="H275" s="5">
        <v>0</v>
      </c>
      <c r="I275" s="5">
        <v>0</v>
      </c>
      <c r="J275" s="9">
        <v>0</v>
      </c>
      <c r="K275" s="5">
        <v>0</v>
      </c>
      <c r="L275" s="5">
        <v>0</v>
      </c>
      <c r="M275" s="5">
        <v>0</v>
      </c>
      <c r="N275" s="9">
        <v>0</v>
      </c>
      <c r="O275" s="5">
        <v>1</v>
      </c>
      <c r="P275" s="5">
        <v>24</v>
      </c>
      <c r="Q275" s="5">
        <v>0</v>
      </c>
      <c r="R275" s="9">
        <v>0</v>
      </c>
      <c r="S275" s="5">
        <v>0</v>
      </c>
      <c r="T275" s="5">
        <v>0</v>
      </c>
    </row>
    <row r="276" spans="1:20" x14ac:dyDescent="0.2">
      <c r="A276" s="5" t="s">
        <v>837</v>
      </c>
      <c r="B276" s="9" t="s">
        <v>69</v>
      </c>
      <c r="C276" s="5" t="s">
        <v>819</v>
      </c>
      <c r="D276" s="7">
        <f t="shared" si="1"/>
        <v>3.2</v>
      </c>
      <c r="E276" s="5">
        <v>0</v>
      </c>
      <c r="F276" s="5">
        <v>0</v>
      </c>
      <c r="G276" s="5">
        <v>0</v>
      </c>
      <c r="H276" s="5">
        <v>0</v>
      </c>
      <c r="I276" s="5">
        <v>0</v>
      </c>
      <c r="J276" s="9">
        <v>0</v>
      </c>
      <c r="K276" s="5">
        <v>0</v>
      </c>
      <c r="L276" s="5">
        <v>0</v>
      </c>
      <c r="M276" s="5">
        <v>0</v>
      </c>
      <c r="N276" s="9">
        <v>0</v>
      </c>
      <c r="O276" s="5">
        <v>1</v>
      </c>
      <c r="P276" s="5">
        <v>22</v>
      </c>
      <c r="Q276" s="5">
        <v>0</v>
      </c>
      <c r="R276" s="9">
        <v>0</v>
      </c>
      <c r="S276" s="5">
        <v>0</v>
      </c>
      <c r="T276" s="5">
        <v>0</v>
      </c>
    </row>
    <row r="277" spans="1:20" x14ac:dyDescent="0.2">
      <c r="A277" s="5" t="s">
        <v>318</v>
      </c>
      <c r="B277" s="9" t="s">
        <v>69</v>
      </c>
      <c r="C277" s="5" t="s">
        <v>823</v>
      </c>
      <c r="D277" s="7">
        <f t="shared" si="1"/>
        <v>3.8</v>
      </c>
      <c r="E277" s="5">
        <v>0</v>
      </c>
      <c r="F277" s="5">
        <v>0</v>
      </c>
      <c r="G277" s="5">
        <v>0</v>
      </c>
      <c r="H277" s="5">
        <v>0</v>
      </c>
      <c r="I277" s="5">
        <v>0</v>
      </c>
      <c r="J277" s="9">
        <v>0</v>
      </c>
      <c r="K277" s="5">
        <v>0</v>
      </c>
      <c r="L277" s="5">
        <v>0</v>
      </c>
      <c r="M277" s="5">
        <v>0</v>
      </c>
      <c r="N277" s="9">
        <v>0</v>
      </c>
      <c r="O277" s="5">
        <v>3</v>
      </c>
      <c r="P277" s="5">
        <v>8</v>
      </c>
      <c r="Q277" s="5">
        <v>0</v>
      </c>
      <c r="R277" s="9">
        <v>0</v>
      </c>
      <c r="S277" s="5">
        <v>0</v>
      </c>
      <c r="T277" s="5">
        <v>0</v>
      </c>
    </row>
    <row r="278" spans="1:20" x14ac:dyDescent="0.2">
      <c r="A278" s="5" t="s">
        <v>366</v>
      </c>
      <c r="B278" s="9" t="s">
        <v>69</v>
      </c>
      <c r="C278" s="5" t="s">
        <v>828</v>
      </c>
      <c r="D278" s="7">
        <f t="shared" si="1"/>
        <v>3.4000000000000004</v>
      </c>
      <c r="E278" s="5">
        <v>0</v>
      </c>
      <c r="F278" s="5">
        <v>0</v>
      </c>
      <c r="G278" s="5">
        <v>0</v>
      </c>
      <c r="H278" s="5">
        <v>0</v>
      </c>
      <c r="I278" s="5">
        <v>0</v>
      </c>
      <c r="J278" s="9">
        <v>0</v>
      </c>
      <c r="K278" s="5">
        <v>0</v>
      </c>
      <c r="L278" s="5">
        <v>0</v>
      </c>
      <c r="M278" s="5">
        <v>0</v>
      </c>
      <c r="N278" s="9">
        <v>0</v>
      </c>
      <c r="O278" s="5">
        <v>2</v>
      </c>
      <c r="P278" s="5">
        <v>14</v>
      </c>
      <c r="Q278" s="5">
        <v>0</v>
      </c>
      <c r="R278" s="9">
        <v>0</v>
      </c>
      <c r="S278" s="5">
        <v>0</v>
      </c>
      <c r="T278" s="5">
        <v>0</v>
      </c>
    </row>
    <row r="279" spans="1:20" x14ac:dyDescent="0.2">
      <c r="A279" s="5" t="s">
        <v>283</v>
      </c>
      <c r="B279" s="9" t="s">
        <v>69</v>
      </c>
      <c r="C279" s="5" t="s">
        <v>824</v>
      </c>
      <c r="D279" s="7">
        <f t="shared" si="1"/>
        <v>3.1</v>
      </c>
      <c r="E279" s="5">
        <v>0</v>
      </c>
      <c r="F279" s="5">
        <v>0</v>
      </c>
      <c r="G279" s="5">
        <v>0</v>
      </c>
      <c r="H279" s="5">
        <v>0</v>
      </c>
      <c r="I279" s="5">
        <v>0</v>
      </c>
      <c r="J279" s="9">
        <v>0</v>
      </c>
      <c r="K279" s="5">
        <v>0</v>
      </c>
      <c r="L279" s="5">
        <v>0</v>
      </c>
      <c r="M279" s="5">
        <v>0</v>
      </c>
      <c r="N279" s="9">
        <v>0</v>
      </c>
      <c r="O279" s="5">
        <v>1</v>
      </c>
      <c r="P279" s="5">
        <v>21</v>
      </c>
      <c r="Q279" s="5">
        <v>0</v>
      </c>
      <c r="R279" s="9">
        <v>0</v>
      </c>
      <c r="S279" s="5">
        <v>0</v>
      </c>
      <c r="T279" s="5">
        <v>0</v>
      </c>
    </row>
    <row r="280" spans="1:20" x14ac:dyDescent="0.2">
      <c r="A280" s="5" t="s">
        <v>440</v>
      </c>
      <c r="B280" s="9" t="s">
        <v>69</v>
      </c>
      <c r="C280" s="5" t="s">
        <v>830</v>
      </c>
      <c r="D280" s="7">
        <f t="shared" si="1"/>
        <v>3.1</v>
      </c>
      <c r="E280" s="5">
        <v>0</v>
      </c>
      <c r="F280" s="5">
        <v>0</v>
      </c>
      <c r="G280" s="5">
        <v>0</v>
      </c>
      <c r="H280" s="5">
        <v>0</v>
      </c>
      <c r="I280" s="5">
        <v>0</v>
      </c>
      <c r="J280" s="9">
        <v>0</v>
      </c>
      <c r="K280" s="5">
        <v>0</v>
      </c>
      <c r="L280" s="5">
        <v>0</v>
      </c>
      <c r="M280" s="5">
        <v>0</v>
      </c>
      <c r="N280" s="9">
        <v>0</v>
      </c>
      <c r="O280" s="5">
        <v>2</v>
      </c>
      <c r="P280" s="5">
        <v>11</v>
      </c>
      <c r="Q280" s="5">
        <v>0</v>
      </c>
      <c r="R280" s="9">
        <v>0</v>
      </c>
      <c r="S280" s="5">
        <v>0</v>
      </c>
      <c r="T280" s="5">
        <v>0</v>
      </c>
    </row>
    <row r="281" spans="1:20" x14ac:dyDescent="0.2">
      <c r="A281" s="5" t="s">
        <v>700</v>
      </c>
      <c r="B281" s="9" t="s">
        <v>69</v>
      </c>
      <c r="C281" s="5" t="s">
        <v>817</v>
      </c>
      <c r="D281" s="7">
        <f t="shared" si="1"/>
        <v>3</v>
      </c>
      <c r="E281" s="5">
        <v>0</v>
      </c>
      <c r="F281" s="5">
        <v>0</v>
      </c>
      <c r="G281" s="5">
        <v>0</v>
      </c>
      <c r="H281" s="5">
        <v>0</v>
      </c>
      <c r="I281" s="5">
        <v>0</v>
      </c>
      <c r="J281" s="9">
        <v>0</v>
      </c>
      <c r="K281" s="5">
        <v>0</v>
      </c>
      <c r="L281" s="5">
        <v>0</v>
      </c>
      <c r="M281" s="5">
        <v>0</v>
      </c>
      <c r="N281" s="9">
        <v>0</v>
      </c>
      <c r="O281" s="5">
        <v>1</v>
      </c>
      <c r="P281" s="5">
        <v>20</v>
      </c>
      <c r="Q281" s="5">
        <v>0</v>
      </c>
      <c r="R281" s="9">
        <v>0</v>
      </c>
      <c r="S281" s="5">
        <v>0</v>
      </c>
      <c r="T281" s="5">
        <v>0</v>
      </c>
    </row>
    <row r="282" spans="1:20" x14ac:dyDescent="0.2">
      <c r="A282" s="5" t="s">
        <v>838</v>
      </c>
      <c r="B282" s="9" t="s">
        <v>69</v>
      </c>
      <c r="C282" s="5" t="s">
        <v>814</v>
      </c>
      <c r="D282" s="7">
        <f t="shared" si="1"/>
        <v>2.2000000000000002</v>
      </c>
      <c r="E282" s="5">
        <v>0</v>
      </c>
      <c r="F282" s="5">
        <v>0</v>
      </c>
      <c r="G282" s="5">
        <v>0</v>
      </c>
      <c r="H282" s="5">
        <v>0</v>
      </c>
      <c r="I282" s="5">
        <v>0</v>
      </c>
      <c r="J282" s="9">
        <v>0</v>
      </c>
      <c r="K282" s="5">
        <v>0</v>
      </c>
      <c r="L282" s="5">
        <v>0</v>
      </c>
      <c r="M282" s="5">
        <v>0</v>
      </c>
      <c r="N282" s="9">
        <v>0</v>
      </c>
      <c r="O282" s="5">
        <v>1</v>
      </c>
      <c r="P282" s="5">
        <v>12</v>
      </c>
      <c r="Q282" s="5">
        <v>0</v>
      </c>
      <c r="R282" s="9">
        <v>0</v>
      </c>
      <c r="S282" s="5">
        <v>0</v>
      </c>
      <c r="T282" s="5">
        <v>0</v>
      </c>
    </row>
    <row r="283" spans="1:20" x14ac:dyDescent="0.2">
      <c r="A283" s="5" t="s">
        <v>305</v>
      </c>
      <c r="B283" s="9" t="s">
        <v>69</v>
      </c>
      <c r="C283" s="5" t="s">
        <v>829</v>
      </c>
      <c r="D283" s="7">
        <f t="shared" si="1"/>
        <v>2.4</v>
      </c>
      <c r="E283" s="5">
        <v>0</v>
      </c>
      <c r="F283" s="5">
        <v>0</v>
      </c>
      <c r="G283" s="5">
        <v>0</v>
      </c>
      <c r="H283" s="5">
        <v>0</v>
      </c>
      <c r="I283" s="5">
        <v>0</v>
      </c>
      <c r="J283" s="9">
        <v>0</v>
      </c>
      <c r="K283" s="5">
        <v>0</v>
      </c>
      <c r="L283" s="5">
        <v>0</v>
      </c>
      <c r="M283" s="5">
        <v>0</v>
      </c>
      <c r="N283" s="9">
        <v>0</v>
      </c>
      <c r="O283" s="5">
        <v>2</v>
      </c>
      <c r="P283" s="5">
        <v>4</v>
      </c>
      <c r="Q283" s="5">
        <v>0</v>
      </c>
      <c r="R283" s="9">
        <v>0</v>
      </c>
      <c r="S283" s="5">
        <v>0</v>
      </c>
      <c r="T283" s="5">
        <v>0</v>
      </c>
    </row>
    <row r="284" spans="1:20" x14ac:dyDescent="0.2">
      <c r="A284" s="5" t="s">
        <v>281</v>
      </c>
      <c r="B284" s="9" t="s">
        <v>69</v>
      </c>
      <c r="C284" s="5" t="s">
        <v>822</v>
      </c>
      <c r="D284" s="7">
        <f t="shared" si="1"/>
        <v>2.1</v>
      </c>
      <c r="E284" s="5">
        <v>0</v>
      </c>
      <c r="F284" s="5">
        <v>0</v>
      </c>
      <c r="G284" s="5">
        <v>0</v>
      </c>
      <c r="H284" s="5">
        <v>0</v>
      </c>
      <c r="I284" s="5">
        <v>0</v>
      </c>
      <c r="J284" s="9">
        <v>0</v>
      </c>
      <c r="K284" s="5">
        <v>0</v>
      </c>
      <c r="L284" s="5">
        <v>0</v>
      </c>
      <c r="M284" s="5">
        <v>0</v>
      </c>
      <c r="N284" s="9">
        <v>0</v>
      </c>
      <c r="O284" s="5">
        <v>1</v>
      </c>
      <c r="P284" s="5">
        <v>11</v>
      </c>
      <c r="Q284" s="5">
        <v>0</v>
      </c>
      <c r="R284" s="9">
        <v>0</v>
      </c>
      <c r="S284" s="5">
        <v>0</v>
      </c>
      <c r="T284" s="5">
        <v>0</v>
      </c>
    </row>
    <row r="285" spans="1:20" x14ac:dyDescent="0.2">
      <c r="A285" s="5" t="s">
        <v>443</v>
      </c>
      <c r="B285" s="9" t="s">
        <v>69</v>
      </c>
      <c r="C285" s="5" t="s">
        <v>814</v>
      </c>
      <c r="D285" s="7">
        <f t="shared" si="1"/>
        <v>2.7</v>
      </c>
      <c r="E285" s="5">
        <v>0</v>
      </c>
      <c r="F285" s="5">
        <v>0</v>
      </c>
      <c r="G285" s="5">
        <v>0</v>
      </c>
      <c r="H285" s="5">
        <v>0</v>
      </c>
      <c r="I285" s="5">
        <v>0</v>
      </c>
      <c r="J285" s="9">
        <v>0</v>
      </c>
      <c r="K285" s="5">
        <v>0</v>
      </c>
      <c r="L285" s="5">
        <v>0</v>
      </c>
      <c r="M285" s="5">
        <v>0</v>
      </c>
      <c r="N285" s="9">
        <v>0</v>
      </c>
      <c r="O285" s="5">
        <v>1</v>
      </c>
      <c r="P285" s="5">
        <v>17</v>
      </c>
      <c r="Q285" s="5">
        <v>0</v>
      </c>
      <c r="R285" s="9">
        <v>0</v>
      </c>
      <c r="S285" s="5">
        <v>0</v>
      </c>
      <c r="T285" s="5">
        <v>0</v>
      </c>
    </row>
    <row r="286" spans="1:20" x14ac:dyDescent="0.2">
      <c r="A286" s="5" t="s">
        <v>446</v>
      </c>
      <c r="B286" s="9" t="s">
        <v>69</v>
      </c>
      <c r="C286" s="5" t="s">
        <v>821</v>
      </c>
      <c r="D286" s="7">
        <f t="shared" si="1"/>
        <v>2.7</v>
      </c>
      <c r="E286" s="5">
        <v>0</v>
      </c>
      <c r="F286" s="5">
        <v>0</v>
      </c>
      <c r="G286" s="5">
        <v>0</v>
      </c>
      <c r="H286" s="5">
        <v>0</v>
      </c>
      <c r="I286" s="5">
        <v>0</v>
      </c>
      <c r="J286" s="9">
        <v>0</v>
      </c>
      <c r="K286" s="5">
        <v>0</v>
      </c>
      <c r="L286" s="5">
        <v>0</v>
      </c>
      <c r="M286" s="5">
        <v>0</v>
      </c>
      <c r="N286" s="9">
        <v>0</v>
      </c>
      <c r="O286" s="5">
        <v>2</v>
      </c>
      <c r="P286" s="5">
        <v>7</v>
      </c>
      <c r="Q286" s="5">
        <v>0</v>
      </c>
      <c r="R286" s="9">
        <v>0</v>
      </c>
      <c r="S286" s="5">
        <v>0</v>
      </c>
      <c r="T286" s="5">
        <v>0</v>
      </c>
    </row>
    <row r="287" spans="1:20" x14ac:dyDescent="0.2">
      <c r="A287" s="5" t="s">
        <v>448</v>
      </c>
      <c r="B287" s="9" t="s">
        <v>69</v>
      </c>
      <c r="C287" s="5" t="s">
        <v>826</v>
      </c>
      <c r="D287" s="7">
        <f t="shared" si="1"/>
        <v>2.1</v>
      </c>
      <c r="E287" s="5">
        <v>0</v>
      </c>
      <c r="F287" s="5">
        <v>0</v>
      </c>
      <c r="G287" s="5">
        <v>0</v>
      </c>
      <c r="H287" s="5">
        <v>0</v>
      </c>
      <c r="I287" s="5">
        <v>0</v>
      </c>
      <c r="J287" s="9">
        <v>0</v>
      </c>
      <c r="K287" s="5">
        <v>0</v>
      </c>
      <c r="L287" s="5">
        <v>0</v>
      </c>
      <c r="M287" s="5">
        <v>0</v>
      </c>
      <c r="N287" s="9">
        <v>0</v>
      </c>
      <c r="O287" s="5">
        <v>1</v>
      </c>
      <c r="P287" s="5">
        <v>11</v>
      </c>
      <c r="Q287" s="5">
        <v>0</v>
      </c>
      <c r="R287" s="9">
        <v>0</v>
      </c>
      <c r="S287" s="5">
        <v>0</v>
      </c>
      <c r="T287" s="5">
        <v>0</v>
      </c>
    </row>
    <row r="288" spans="1:20" x14ac:dyDescent="0.2">
      <c r="A288" s="5" t="s">
        <v>275</v>
      </c>
      <c r="B288" s="9" t="s">
        <v>69</v>
      </c>
      <c r="C288" s="5" t="s">
        <v>828</v>
      </c>
      <c r="D288" s="7">
        <f t="shared" si="1"/>
        <v>1.3</v>
      </c>
      <c r="E288" s="5">
        <v>0</v>
      </c>
      <c r="F288" s="5">
        <v>0</v>
      </c>
      <c r="G288" s="5">
        <v>0</v>
      </c>
      <c r="H288" s="5">
        <v>0</v>
      </c>
      <c r="I288" s="5">
        <v>0</v>
      </c>
      <c r="J288" s="9">
        <v>0</v>
      </c>
      <c r="K288" s="5">
        <v>0</v>
      </c>
      <c r="L288" s="5">
        <v>0</v>
      </c>
      <c r="M288" s="5">
        <v>0</v>
      </c>
      <c r="N288" s="9">
        <v>0</v>
      </c>
      <c r="O288" s="5">
        <v>1</v>
      </c>
      <c r="P288" s="5">
        <v>3</v>
      </c>
      <c r="Q288" s="5">
        <v>0</v>
      </c>
      <c r="R288" s="9">
        <v>0</v>
      </c>
      <c r="S288" s="5">
        <v>0</v>
      </c>
      <c r="T288" s="5">
        <v>0</v>
      </c>
    </row>
    <row r="289" spans="1:20" x14ac:dyDescent="0.2">
      <c r="A289" s="5" t="s">
        <v>417</v>
      </c>
      <c r="B289" s="9" t="s">
        <v>69</v>
      </c>
      <c r="C289" s="5" t="s">
        <v>831</v>
      </c>
      <c r="D289" s="7">
        <f t="shared" si="1"/>
        <v>1</v>
      </c>
      <c r="E289" s="5">
        <v>0</v>
      </c>
      <c r="F289" s="5">
        <v>0</v>
      </c>
      <c r="G289" s="5">
        <v>0</v>
      </c>
      <c r="H289" s="5">
        <v>0</v>
      </c>
      <c r="I289" s="5">
        <v>0</v>
      </c>
      <c r="J289" s="9">
        <v>0</v>
      </c>
      <c r="K289" s="5">
        <v>0</v>
      </c>
      <c r="L289" s="5">
        <v>0</v>
      </c>
      <c r="M289" s="5">
        <v>0</v>
      </c>
      <c r="N289" s="9">
        <v>0</v>
      </c>
      <c r="O289" s="5">
        <v>1</v>
      </c>
      <c r="P289" s="5">
        <v>0</v>
      </c>
      <c r="Q289" s="5">
        <v>0</v>
      </c>
      <c r="R289" s="9">
        <v>0</v>
      </c>
      <c r="S289" s="5">
        <v>0</v>
      </c>
      <c r="T289" s="5">
        <v>0</v>
      </c>
    </row>
    <row r="290" spans="1:20" x14ac:dyDescent="0.2">
      <c r="A290" s="5" t="s">
        <v>297</v>
      </c>
      <c r="B290" s="9" t="s">
        <v>69</v>
      </c>
      <c r="C290" s="5" t="s">
        <v>828</v>
      </c>
      <c r="D290" s="7">
        <f t="shared" si="1"/>
        <v>1.4</v>
      </c>
      <c r="E290" s="5">
        <v>0</v>
      </c>
      <c r="F290" s="5">
        <v>0</v>
      </c>
      <c r="G290" s="5">
        <v>0</v>
      </c>
      <c r="H290" s="5">
        <v>0</v>
      </c>
      <c r="I290" s="5">
        <v>0</v>
      </c>
      <c r="J290" s="9">
        <v>0</v>
      </c>
      <c r="K290" s="5">
        <v>0</v>
      </c>
      <c r="L290" s="5">
        <v>0</v>
      </c>
      <c r="M290" s="5">
        <v>0</v>
      </c>
      <c r="N290" s="9">
        <v>0</v>
      </c>
      <c r="O290" s="5">
        <v>1</v>
      </c>
      <c r="P290" s="5">
        <v>4</v>
      </c>
      <c r="Q290" s="5">
        <v>0</v>
      </c>
      <c r="R290" s="9">
        <v>0</v>
      </c>
      <c r="S290" s="5">
        <v>0</v>
      </c>
      <c r="T290" s="5">
        <v>0</v>
      </c>
    </row>
    <row r="291" spans="1:20" x14ac:dyDescent="0.2">
      <c r="A291" s="5" t="s">
        <v>288</v>
      </c>
      <c r="B291" s="9" t="s">
        <v>69</v>
      </c>
      <c r="C291" s="5" t="s">
        <v>831</v>
      </c>
      <c r="D291" s="7">
        <f t="shared" si="1"/>
        <v>1.5</v>
      </c>
      <c r="E291" s="5">
        <v>0</v>
      </c>
      <c r="F291" s="5">
        <v>0</v>
      </c>
      <c r="G291" s="5">
        <v>0</v>
      </c>
      <c r="H291" s="5">
        <v>0</v>
      </c>
      <c r="I291" s="5">
        <v>0</v>
      </c>
      <c r="J291" s="9">
        <v>0</v>
      </c>
      <c r="K291" s="5">
        <v>0</v>
      </c>
      <c r="L291" s="5">
        <v>0</v>
      </c>
      <c r="M291" s="5">
        <v>0</v>
      </c>
      <c r="N291" s="9">
        <v>0</v>
      </c>
      <c r="O291" s="5">
        <v>1</v>
      </c>
      <c r="P291" s="5">
        <v>5</v>
      </c>
      <c r="Q291" s="5">
        <v>0</v>
      </c>
      <c r="R291" s="9">
        <v>0</v>
      </c>
      <c r="S291" s="5">
        <v>0</v>
      </c>
      <c r="T291" s="5">
        <v>0</v>
      </c>
    </row>
    <row r="292" spans="1:20" x14ac:dyDescent="0.2">
      <c r="A292" s="5" t="s">
        <v>349</v>
      </c>
      <c r="B292" s="9" t="s">
        <v>69</v>
      </c>
      <c r="C292" s="5" t="s">
        <v>826</v>
      </c>
      <c r="D292" s="7">
        <f t="shared" si="1"/>
        <v>1.4</v>
      </c>
      <c r="E292" s="5">
        <v>0</v>
      </c>
      <c r="F292" s="5">
        <v>0</v>
      </c>
      <c r="G292" s="5">
        <v>0</v>
      </c>
      <c r="H292" s="5">
        <v>0</v>
      </c>
      <c r="I292" s="5">
        <v>0</v>
      </c>
      <c r="J292" s="9">
        <v>0</v>
      </c>
      <c r="K292" s="5">
        <v>0</v>
      </c>
      <c r="L292" s="5">
        <v>0</v>
      </c>
      <c r="M292" s="5">
        <v>0</v>
      </c>
      <c r="N292" s="9">
        <v>0</v>
      </c>
      <c r="O292" s="5">
        <v>1</v>
      </c>
      <c r="P292" s="5">
        <v>4</v>
      </c>
      <c r="Q292" s="5">
        <v>0</v>
      </c>
      <c r="R292" s="9">
        <v>0</v>
      </c>
      <c r="S292" s="5">
        <v>0</v>
      </c>
      <c r="T292" s="5">
        <v>0</v>
      </c>
    </row>
    <row r="293" spans="1:20" x14ac:dyDescent="0.2">
      <c r="A293" s="5" t="s">
        <v>608</v>
      </c>
      <c r="B293" s="9" t="s">
        <v>69</v>
      </c>
      <c r="C293" s="5" t="s">
        <v>818</v>
      </c>
      <c r="D293" s="7">
        <f t="shared" si="1"/>
        <v>1.2</v>
      </c>
      <c r="E293" s="5">
        <v>0</v>
      </c>
      <c r="F293" s="5">
        <v>0</v>
      </c>
      <c r="G293" s="5">
        <v>0</v>
      </c>
      <c r="H293" s="5">
        <v>0</v>
      </c>
      <c r="I293" s="5">
        <v>0</v>
      </c>
      <c r="J293" s="9">
        <v>0</v>
      </c>
      <c r="K293" s="5">
        <v>0</v>
      </c>
      <c r="L293" s="5">
        <v>0</v>
      </c>
      <c r="M293" s="5">
        <v>0</v>
      </c>
      <c r="N293" s="9">
        <v>0</v>
      </c>
      <c r="O293" s="5">
        <v>1</v>
      </c>
      <c r="P293" s="5">
        <v>2</v>
      </c>
      <c r="Q293" s="5">
        <v>0</v>
      </c>
      <c r="R293" s="9">
        <v>0</v>
      </c>
      <c r="S293" s="5">
        <v>0</v>
      </c>
      <c r="T293" s="5">
        <v>0</v>
      </c>
    </row>
    <row r="294" spans="1:20" x14ac:dyDescent="0.2">
      <c r="A294" s="5" t="s">
        <v>363</v>
      </c>
      <c r="B294" s="9" t="s">
        <v>69</v>
      </c>
      <c r="C294" s="5" t="s">
        <v>814</v>
      </c>
      <c r="D294" s="7">
        <f t="shared" si="1"/>
        <v>1.3</v>
      </c>
      <c r="E294" s="5">
        <v>0</v>
      </c>
      <c r="F294" s="5">
        <v>0</v>
      </c>
      <c r="G294" s="5">
        <v>0</v>
      </c>
      <c r="H294" s="5">
        <v>0</v>
      </c>
      <c r="I294" s="5">
        <v>0</v>
      </c>
      <c r="J294" s="9">
        <v>0</v>
      </c>
      <c r="K294" s="5">
        <v>0</v>
      </c>
      <c r="L294" s="5">
        <v>0</v>
      </c>
      <c r="M294" s="5">
        <v>0</v>
      </c>
      <c r="N294" s="9">
        <v>0</v>
      </c>
      <c r="O294" s="5">
        <v>1</v>
      </c>
      <c r="P294" s="5">
        <v>3</v>
      </c>
      <c r="Q294" s="5">
        <v>0</v>
      </c>
      <c r="R294" s="9">
        <v>0</v>
      </c>
      <c r="S294" s="5">
        <v>0</v>
      </c>
      <c r="T294" s="5">
        <v>0</v>
      </c>
    </row>
    <row r="295" spans="1:20" x14ac:dyDescent="0.2">
      <c r="A295" s="5" t="s">
        <v>717</v>
      </c>
      <c r="B295" s="9" t="s">
        <v>69</v>
      </c>
      <c r="C295" s="5" t="s">
        <v>820</v>
      </c>
      <c r="D295" s="7">
        <f t="shared" si="1"/>
        <v>1.5</v>
      </c>
      <c r="E295" s="5">
        <v>0</v>
      </c>
      <c r="F295" s="5">
        <v>0</v>
      </c>
      <c r="G295" s="5">
        <v>0</v>
      </c>
      <c r="H295" s="5">
        <v>0</v>
      </c>
      <c r="I295" s="5">
        <v>0</v>
      </c>
      <c r="J295" s="9">
        <v>0</v>
      </c>
      <c r="K295" s="5">
        <v>0</v>
      </c>
      <c r="L295" s="5">
        <v>0</v>
      </c>
      <c r="M295" s="5">
        <v>0</v>
      </c>
      <c r="N295" s="9">
        <v>0</v>
      </c>
      <c r="O295" s="5">
        <v>1</v>
      </c>
      <c r="P295" s="5">
        <v>5</v>
      </c>
      <c r="Q295" s="5">
        <v>0</v>
      </c>
      <c r="R295" s="9">
        <v>0</v>
      </c>
      <c r="S295" s="5">
        <v>0</v>
      </c>
      <c r="T295" s="5">
        <v>0</v>
      </c>
    </row>
    <row r="296" spans="1:20" x14ac:dyDescent="0.2">
      <c r="A296" s="5" t="s">
        <v>445</v>
      </c>
      <c r="B296" s="9" t="s">
        <v>69</v>
      </c>
      <c r="C296" s="5" t="s">
        <v>830</v>
      </c>
      <c r="D296" s="7">
        <f t="shared" si="1"/>
        <v>1.5</v>
      </c>
      <c r="E296" s="5">
        <v>0</v>
      </c>
      <c r="F296" s="5">
        <v>0</v>
      </c>
      <c r="G296" s="5">
        <v>0</v>
      </c>
      <c r="H296" s="5">
        <v>0</v>
      </c>
      <c r="I296" s="5">
        <v>0</v>
      </c>
      <c r="J296" s="9">
        <v>0</v>
      </c>
      <c r="K296" s="5">
        <v>0</v>
      </c>
      <c r="L296" s="5">
        <v>0</v>
      </c>
      <c r="M296" s="5">
        <v>0</v>
      </c>
      <c r="N296" s="9">
        <v>0</v>
      </c>
      <c r="O296" s="5">
        <v>1</v>
      </c>
      <c r="P296" s="5">
        <v>5</v>
      </c>
      <c r="Q296" s="5">
        <v>0</v>
      </c>
      <c r="R296" s="9">
        <v>0</v>
      </c>
      <c r="S296" s="5">
        <v>0</v>
      </c>
      <c r="T296" s="5">
        <v>0</v>
      </c>
    </row>
    <row r="297" spans="1:20" x14ac:dyDescent="0.2">
      <c r="A297" s="5" t="s">
        <v>282</v>
      </c>
      <c r="B297" s="9" t="s">
        <v>69</v>
      </c>
      <c r="C297" s="5" t="s">
        <v>815</v>
      </c>
      <c r="D297" s="7">
        <f t="shared" si="1"/>
        <v>1.9</v>
      </c>
      <c r="E297" s="5">
        <v>0</v>
      </c>
      <c r="F297" s="5">
        <v>0</v>
      </c>
      <c r="G297" s="5">
        <v>0</v>
      </c>
      <c r="H297" s="5">
        <v>0</v>
      </c>
      <c r="I297" s="5">
        <v>0</v>
      </c>
      <c r="J297" s="9">
        <v>0</v>
      </c>
      <c r="K297" s="5">
        <v>0</v>
      </c>
      <c r="L297" s="5">
        <v>0</v>
      </c>
      <c r="M297" s="5">
        <v>0</v>
      </c>
      <c r="N297" s="9">
        <v>0</v>
      </c>
      <c r="O297" s="5">
        <v>1</v>
      </c>
      <c r="P297" s="5">
        <v>9</v>
      </c>
      <c r="Q297" s="5">
        <v>0</v>
      </c>
      <c r="R297" s="9">
        <v>0</v>
      </c>
      <c r="S297" s="5">
        <v>0</v>
      </c>
      <c r="T297" s="5">
        <v>0</v>
      </c>
    </row>
    <row r="298" spans="1:20" x14ac:dyDescent="0.2">
      <c r="A298" s="5" t="s">
        <v>839</v>
      </c>
      <c r="B298" s="9" t="s">
        <v>69</v>
      </c>
      <c r="C298" s="5" t="s">
        <v>828</v>
      </c>
      <c r="D298" s="7">
        <f t="shared" si="1"/>
        <v>1.3</v>
      </c>
      <c r="E298" s="5">
        <v>0</v>
      </c>
      <c r="F298" s="5">
        <v>0</v>
      </c>
      <c r="G298" s="5">
        <v>0</v>
      </c>
      <c r="H298" s="5">
        <v>0</v>
      </c>
      <c r="I298" s="5">
        <v>0</v>
      </c>
      <c r="J298" s="9">
        <v>0</v>
      </c>
      <c r="K298" s="5">
        <v>0</v>
      </c>
      <c r="L298" s="5">
        <v>0</v>
      </c>
      <c r="M298" s="5">
        <v>0</v>
      </c>
      <c r="N298" s="9">
        <v>0</v>
      </c>
      <c r="O298" s="5">
        <v>1</v>
      </c>
      <c r="P298" s="5">
        <v>3</v>
      </c>
      <c r="Q298" s="5">
        <v>0</v>
      </c>
      <c r="R298" s="9">
        <v>0</v>
      </c>
      <c r="S298" s="5">
        <v>0</v>
      </c>
      <c r="T298" s="5">
        <v>0</v>
      </c>
    </row>
    <row r="299" spans="1:20" x14ac:dyDescent="0.2">
      <c r="B299" s="9"/>
      <c r="D299" s="10"/>
      <c r="J299" s="9"/>
      <c r="N299" s="9"/>
      <c r="R299" s="9"/>
    </row>
    <row r="300" spans="1:20" x14ac:dyDescent="0.2">
      <c r="B300" s="9"/>
      <c r="D300" s="10"/>
      <c r="J300" s="9"/>
      <c r="N300" s="9"/>
      <c r="R300" s="9"/>
    </row>
  </sheetData>
  <autoFilter ref="A2:T298" xr:uid="{00000000-0009-0000-0000-000011000000}"/>
  <mergeCells count="4">
    <mergeCell ref="E1:J1"/>
    <mergeCell ref="K1:N1"/>
    <mergeCell ref="O1:R1"/>
    <mergeCell ref="S1:T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R287"/>
  <sheetViews>
    <sheetView workbookViewId="0"/>
  </sheetViews>
  <sheetFormatPr defaultColWidth="12.5703125" defaultRowHeight="15.75" customHeight="1" x14ac:dyDescent="0.2"/>
  <cols>
    <col min="1" max="1" width="19.85546875" customWidth="1"/>
    <col min="2" max="2" width="15.85546875" customWidth="1"/>
  </cols>
  <sheetData>
    <row r="1" spans="1:18" x14ac:dyDescent="0.2">
      <c r="A1" s="31">
        <v>1</v>
      </c>
      <c r="B1" s="31">
        <v>2</v>
      </c>
      <c r="C1" s="31">
        <v>3</v>
      </c>
      <c r="D1" s="31">
        <v>4</v>
      </c>
      <c r="E1" s="31">
        <v>5</v>
      </c>
      <c r="F1" s="31">
        <v>6</v>
      </c>
      <c r="G1" s="31">
        <v>7</v>
      </c>
      <c r="H1" s="31">
        <v>8</v>
      </c>
      <c r="I1" s="31">
        <v>9</v>
      </c>
      <c r="J1" s="31">
        <v>10</v>
      </c>
      <c r="K1" s="31">
        <v>11</v>
      </c>
      <c r="L1" s="31">
        <v>12</v>
      </c>
      <c r="M1" s="31">
        <v>13</v>
      </c>
      <c r="N1" s="31">
        <v>14</v>
      </c>
      <c r="O1" s="31">
        <v>15</v>
      </c>
      <c r="P1" s="31">
        <v>16</v>
      </c>
      <c r="Q1" s="31">
        <v>17</v>
      </c>
      <c r="R1" s="31">
        <v>18</v>
      </c>
    </row>
    <row r="2" spans="1:18" x14ac:dyDescent="0.2">
      <c r="A2" s="31" t="str">
        <f ca="1">IFERROR(__xludf.DUMMYFUNCTION("UNIQUE(INDIRECT(""'W""&amp;A1&amp;""'!$A$3:$A$500""))"),"Tua Tagovailoa")</f>
        <v>Tua Tagovailoa</v>
      </c>
      <c r="B2" s="31" t="str">
        <f ca="1">IFERROR(__xludf.DUMMYFUNCTION("FILTER(CumulativePlayerList!B3:B1000, ISNA(MATCH(CumulativePlayerList!B3:B1000,CumulativePlayerList!A3:A1000,0)))"),"Tee Higgins")</f>
        <v>Tee Higgins</v>
      </c>
      <c r="C2" s="31" t="str">
        <f ca="1">IFERROR(__xludf.DUMMYFUNCTION("FILTER(CumulativePlayerList!C3:C1000, ISNA(MATCH(CumulativePlayerList!C3:C1000,CumulativePlayerList!B3:B1000,0)))"),"Andy Dalton")</f>
        <v>Andy Dalton</v>
      </c>
      <c r="D2" s="31" t="str">
        <f ca="1">IFERROR(__xludf.DUMMYFUNCTION("FILTER(CumulativePlayerList!D3:D1000, ISNA(MATCH(CumulativePlayerList!D3:D1000,CumulativePlayerList!C3:C1000,0)))"),"Alvin Kamara")</f>
        <v>Alvin Kamara</v>
      </c>
      <c r="E2" s="31" t="str">
        <f ca="1">IFERROR(__xludf.DUMMYFUNCTION("FILTER(CumulativePlayerList!E3:E1000, ISNA(MATCH(CumulativePlayerList!E3:E1000,CumulativePlayerList!D3:D1000,0)))"),"Cooper Kupp")</f>
        <v>Cooper Kupp</v>
      </c>
      <c r="F2" s="31" t="str">
        <f ca="1">IFERROR(__xludf.DUMMYFUNCTION("FILTER(CumulativePlayerList!F3:F1000, ISNA(MATCH(CumulativePlayerList!F3:F1000,CumulativePlayerList!E3:E1000,0)))"),"Quintin Morris")</f>
        <v>Quintin Morris</v>
      </c>
      <c r="G2" s="31" t="str">
        <f ca="1">IFERROR(__xludf.DUMMYFUNCTION("FILTER(CumulativePlayerList!G3:G1000, ISNA(MATCH(CumulativePlayerList!G3:G1000,CumulativePlayerList!F3:F1000,0)))"),"Darrell Henderson")</f>
        <v>Darrell Henderson</v>
      </c>
      <c r="H2" s="31" t="str">
        <f ca="1">IFERROR(__xludf.DUMMYFUNCTION("FILTER(CumulativePlayerList!H3:H1000, ISNA(MATCH(CumulativePlayerList!H3:H1000,CumulativePlayerList!G3:G1000,0)))"),"Will Levis")</f>
        <v>Will Levis</v>
      </c>
      <c r="I2" s="31" t="str">
        <f ca="1">IFERROR(__xludf.DUMMYFUNCTION("FILTER(CumulativePlayerList!I3:I1000, ISNA(MATCH(CumulativePlayerList!I3:I1000,CumulativePlayerList!H3:H1000,0)))"),"Demarcus Robinson")</f>
        <v>Demarcus Robinson</v>
      </c>
      <c r="J2" s="31" t="str">
        <f ca="1">IFERROR(__xludf.DUMMYFUNCTION("FILTER(CumulativePlayerList!J3:J1000, ISNA(MATCH(CumulativePlayerList!J3:J1000,CumulativePlayerList!I3:I1000,0)))"),"Kyler Murray")</f>
        <v>Kyler Murray</v>
      </c>
      <c r="K2" s="31" t="str">
        <f ca="1">IFERROR(__xludf.DUMMYFUNCTION("FILTER(CumulativePlayerList!K3:K1000, ISNA(MATCH(CumulativePlayerList!K3:K1000,CumulativePlayerList!J3:J1000,0)))"),"Davis Mills")</f>
        <v>Davis Mills</v>
      </c>
      <c r="L2" s="31" t="str">
        <f ca="1">IFERROR(__xludf.DUMMYFUNCTION("FILTER(CumulativePlayerList!L3:L1000, ISNA(MATCH(CumulativePlayerList!L3:L1000,CumulativePlayerList!K3:K1000,0)))"),"Jason Brownlee")</f>
        <v>Jason Brownlee</v>
      </c>
      <c r="M2" s="31" t="str">
        <f ca="1">IFERROR(__xludf.DUMMYFUNCTION("FILTER(CumulativePlayerList!M3:M1000, ISNA(MATCH(CumulativePlayerList!M3:M1000,CumulativePlayerList!L3:L1000,0)))"),"Parker Washington")</f>
        <v>Parker Washington</v>
      </c>
      <c r="N2" s="31" t="str">
        <f ca="1">IFERROR(__xludf.DUMMYFUNCTION("FILTER(CumulativePlayerList!N3:N1000, ISNA(MATCH(CumulativePlayerList!N3:N1000,CumulativePlayerList!M3:M1000,0)))"),"Easton Stick")</f>
        <v>Easton Stick</v>
      </c>
      <c r="O2" s="31" t="str">
        <f ca="1">IFERROR(__xludf.DUMMYFUNCTION("FILTER(CumulativePlayerList!O3:O1000, ISNA(MATCH(CumulativePlayerList!O3:O1000,CumulativePlayerList!N3:N1000,0)))"),"Jacoby Brissett")</f>
        <v>Jacoby Brissett</v>
      </c>
      <c r="P2" s="31" t="str">
        <f ca="1">IFERROR(__xludf.DUMMYFUNCTION("FILTER(CumulativePlayerList!P3:P1000, ISNA(MATCH(CumulativePlayerList!P3:P1000,CumulativePlayerList!O3:O1000,0)))"),"Leonard Fournette")</f>
        <v>Leonard Fournette</v>
      </c>
      <c r="Q2" s="31" t="str">
        <f ca="1">IFERROR(__xludf.DUMMYFUNCTION("FILTER(CumulativePlayerList!Q3:Q1000, ISNA(MATCH(CumulativePlayerList!Q3:Q1000,CumulativePlayerList!P3:P1000,0)))"),"Jarrett Stidham")</f>
        <v>Jarrett Stidham</v>
      </c>
      <c r="R2" s="31" t="str">
        <f ca="1">IFERROR(__xludf.DUMMYFUNCTION("FILTER(CumulativePlayerList!R3:R1000, ISNA(MATCH(CumulativePlayerList!R3:R1000,CumulativePlayerList!Q3:Q1000,0)))"),"Carson Wentz")</f>
        <v>Carson Wentz</v>
      </c>
    </row>
    <row r="3" spans="1:18" x14ac:dyDescent="0.2">
      <c r="A3" s="31" t="str">
        <f ca="1">IFERROR(__xludf.DUMMYFUNCTION("""COMPUTED_VALUE"""),"Mac Jones")</f>
        <v>Mac Jones</v>
      </c>
      <c r="B3" s="31" t="str">
        <f ca="1">IFERROR(__xludf.DUMMYFUNCTION("""COMPUTED_VALUE"""),"Zack Moss")</f>
        <v>Zack Moss</v>
      </c>
      <c r="C3" s="31" t="str">
        <f ca="1">IFERROR(__xludf.DUMMYFUNCTION("""COMPUTED_VALUE"""),"Pharaoh Brown")</f>
        <v>Pharaoh Brown</v>
      </c>
      <c r="D3" s="31" t="str">
        <f ca="1">IFERROR(__xludf.DUMMYFUNCTION("""COMPUTED_VALUE"""),"Josh Whyle")</f>
        <v>Josh Whyle</v>
      </c>
      <c r="E3" s="31" t="str">
        <f ca="1">IFERROR(__xludf.DUMMYFUNCTION("""COMPUTED_VALUE"""),"Jonathan Taylor")</f>
        <v>Jonathan Taylor</v>
      </c>
      <c r="F3" s="31" t="str">
        <f ca="1">IFERROR(__xludf.DUMMYFUNCTION("""COMPUTED_VALUE"""),"Tyson Bagent")</f>
        <v>Tyson Bagent</v>
      </c>
      <c r="G3" s="31" t="str">
        <f ca="1">IFERROR(__xludf.DUMMYFUNCTION("""COMPUTED_VALUE"""),"Royce Freeman")</f>
        <v>Royce Freeman</v>
      </c>
      <c r="H3" s="31" t="str">
        <f ca="1">IFERROR(__xludf.DUMMYFUNCTION("""COMPUTED_VALUE"""),"Taylor Heinicke")</f>
        <v>Taylor Heinicke</v>
      </c>
      <c r="I3" s="31" t="str">
        <f ca="1">IFERROR(__xludf.DUMMYFUNCTION("""COMPUTED_VALUE"""),"Malik Taylor")</f>
        <v>Malik Taylor</v>
      </c>
      <c r="J3" s="31" t="str">
        <f ca="1">IFERROR(__xludf.DUMMYFUNCTION("""COMPUTED_VALUE"""),"Jalen Guyton")</f>
        <v>Jalen Guyton</v>
      </c>
      <c r="K3" s="31" t="str">
        <f ca="1">IFERROR(__xludf.DUMMYFUNCTION("""COMPUTED_VALUE"""),"Tim Boyle")</f>
        <v>Tim Boyle</v>
      </c>
      <c r="L3" s="31" t="str">
        <f ca="1">IFERROR(__xludf.DUMMYFUNCTION("""COMPUTED_VALUE"""),"Ihmir Smith-Marsette")</f>
        <v>Ihmir Smith-Marsette</v>
      </c>
      <c r="M3" s="31" t="str">
        <f ca="1">IFERROR(__xludf.DUMMYFUNCTION("""COMPUTED_VALUE"""),"Joe Flacco")</f>
        <v>Joe Flacco</v>
      </c>
      <c r="N3" s="31" t="str">
        <f ca="1">IFERROR(__xludf.DUMMYFUNCTION("""COMPUTED_VALUE"""),"Lucas Krull")</f>
        <v>Lucas Krull</v>
      </c>
      <c r="O3" s="31" t="str">
        <f ca="1">IFERROR(__xludf.DUMMYFUNCTION("""COMPUTED_VALUE"""),"Case Keenum")</f>
        <v>Case Keenum</v>
      </c>
      <c r="P3" s="31" t="str">
        <f ca="1">IFERROR(__xludf.DUMMYFUNCTION("""COMPUTED_VALUE"""),"Elijah Cooks")</f>
        <v>Elijah Cooks</v>
      </c>
      <c r="Q3" s="31" t="str">
        <f ca="1">IFERROR(__xludf.DUMMYFUNCTION("""COMPUTED_VALUE"""),"Matt Barkley")</f>
        <v>Matt Barkley</v>
      </c>
      <c r="R3" s="31" t="str">
        <f ca="1">IFERROR(__xludf.DUMMYFUNCTION("""COMPUTED_VALUE"""),"Jeff Driskel")</f>
        <v>Jeff Driskel</v>
      </c>
    </row>
    <row r="4" spans="1:18" x14ac:dyDescent="0.2">
      <c r="A4" s="31" t="str">
        <f ca="1">IFERROR(__xludf.DUMMYFUNCTION("""COMPUTED_VALUE"""),"Jordan Love")</f>
        <v>Jordan Love</v>
      </c>
      <c r="B4" s="31" t="str">
        <f ca="1">IFERROR(__xludf.DUMMYFUNCTION("""COMPUTED_VALUE"""),"Drake London")</f>
        <v>Drake London</v>
      </c>
      <c r="C4" s="31" t="str">
        <f ca="1">IFERROR(__xludf.DUMMYFUNCTION("""COMPUTED_VALUE"""),"Robbie Chosen")</f>
        <v>Robbie Chosen</v>
      </c>
      <c r="D4" s="31" t="str">
        <f ca="1">IFERROR(__xludf.DUMMYFUNCTION("""COMPUTED_VALUE"""),"Christian Watson")</f>
        <v>Christian Watson</v>
      </c>
      <c r="E4" s="31" t="str">
        <f ca="1">IFERROR(__xludf.DUMMYFUNCTION("""COMPUTED_VALUE"""),"Geoff Swaim")</f>
        <v>Geoff Swaim</v>
      </c>
      <c r="F4" s="31" t="str">
        <f ca="1">IFERROR(__xludf.DUMMYFUNCTION("""COMPUTED_VALUE"""),"Damien Williams")</f>
        <v>Damien Williams</v>
      </c>
      <c r="G4" s="31" t="str">
        <f ca="1">IFERROR(__xludf.DUMMYFUNCTION("""COMPUTED_VALUE"""),"Ross Dwelley")</f>
        <v>Ross Dwelley</v>
      </c>
      <c r="H4" s="31" t="str">
        <f ca="1">IFERROR(__xludf.DUMMYFUNCTION("""COMPUTED_VALUE"""),"Simi Fehoko")</f>
        <v>Simi Fehoko</v>
      </c>
      <c r="I4" s="31" t="str">
        <f ca="1">IFERROR(__xludf.DUMMYFUNCTION("""COMPUTED_VALUE"""),"Greg Dortch")</f>
        <v>Greg Dortch</v>
      </c>
      <c r="J4" s="31" t="str">
        <f ca="1">IFERROR(__xludf.DUMMYFUNCTION("""COMPUTED_VALUE"""),"A.T. Perry")</f>
        <v>A.T. Perry</v>
      </c>
      <c r="K4" s="31" t="str">
        <f ca="1">IFERROR(__xludf.DUMMYFUNCTION("""COMPUTED_VALUE"""),"Derrick Gore")</f>
        <v>Derrick Gore</v>
      </c>
      <c r="L4" s="31" t="str">
        <f ca="1">IFERROR(__xludf.DUMMYFUNCTION("""COMPUTED_VALUE"""),"Davis Allen")</f>
        <v>Davis Allen</v>
      </c>
      <c r="M4" s="31" t="str">
        <f ca="1">IFERROR(__xludf.DUMMYFUNCTION("""COMPUTED_VALUE"""),"Tyler Goodson")</f>
        <v>Tyler Goodson</v>
      </c>
      <c r="N4" s="31" t="str">
        <f ca="1">IFERROR(__xludf.DUMMYFUNCTION("""COMPUTED_VALUE"""),"Nick Mullens")</f>
        <v>Nick Mullens</v>
      </c>
      <c r="O4" s="31" t="str">
        <f ca="1">IFERROR(__xludf.DUMMYFUNCTION("""COMPUTED_VALUE"""),"Mason Rudolph")</f>
        <v>Mason Rudolph</v>
      </c>
      <c r="P4" s="31" t="str">
        <f ca="1">IFERROR(__xludf.DUMMYFUNCTION("""COMPUTED_VALUE"""),"Britain Covey")</f>
        <v>Britain Covey</v>
      </c>
      <c r="Q4" s="31" t="str">
        <f ca="1">IFERROR(__xludf.DUMMYFUNCTION("""COMPUTED_VALUE"""),"Jonathan Ward")</f>
        <v>Jonathan Ward</v>
      </c>
      <c r="R4" s="31" t="str">
        <f ca="1">IFERROR(__xludf.DUMMYFUNCTION("""COMPUTED_VALUE"""),"Logan Woodside")</f>
        <v>Logan Woodside</v>
      </c>
    </row>
    <row r="5" spans="1:18" x14ac:dyDescent="0.2">
      <c r="A5" s="31" t="str">
        <f ca="1">IFERROR(__xludf.DUMMYFUNCTION("""COMPUTED_VALUE"""),"Patrick Mahomes")</f>
        <v>Patrick Mahomes</v>
      </c>
      <c r="B5" s="31" t="str">
        <f ca="1">IFERROR(__xludf.DUMMYFUNCTION("""COMPUTED_VALUE"""),"Nelson Agholor")</f>
        <v>Nelson Agholor</v>
      </c>
      <c r="C5" s="31" t="str">
        <f ca="1">IFERROR(__xludf.DUMMYFUNCTION("""COMPUTED_VALUE"""),"Olamide Zaccheaus")</f>
        <v>Olamide Zaccheaus</v>
      </c>
      <c r="D5" s="31" t="str">
        <f ca="1">IFERROR(__xludf.DUMMYFUNCTION("""COMPUTED_VALUE"""),"Aidan O'Connell")</f>
        <v>Aidan O'Connell</v>
      </c>
      <c r="E5" s="31" t="str">
        <f ca="1">IFERROR(__xludf.DUMMYFUNCTION("""COMPUTED_VALUE"""),"Jamison Crowder")</f>
        <v>Jamison Crowder</v>
      </c>
      <c r="F5" s="31" t="str">
        <f ca="1">IFERROR(__xludf.DUMMYFUNCTION("""COMPUTED_VALUE"""),"Malik Willis")</f>
        <v>Malik Willis</v>
      </c>
      <c r="G5" s="31" t="str">
        <f ca="1">IFERROR(__xludf.DUMMYFUNCTION("""COMPUTED_VALUE"""),"Jalen Reagor")</f>
        <v>Jalen Reagor</v>
      </c>
      <c r="H5" s="31" t="str">
        <f ca="1">IFERROR(__xludf.DUMMYFUNCTION("""COMPUTED_VALUE"""),"Tommy DeVito")</f>
        <v>Tommy DeVito</v>
      </c>
      <c r="I5" s="31" t="str">
        <f ca="1">IFERROR(__xludf.DUMMYFUNCTION("""COMPUTED_VALUE"""),"Lamical Perine")</f>
        <v>Lamical Perine</v>
      </c>
      <c r="J5" s="31" t="str">
        <f ca="1">IFERROR(__xludf.DUMMYFUNCTION("""COMPUTED_VALUE"""),"Jalen Brooks")</f>
        <v>Jalen Brooks</v>
      </c>
      <c r="K5" s="31" t="str">
        <f ca="1">IFERROR(__xludf.DUMMYFUNCTION("""COMPUTED_VALUE"""),"Israel Abanikanda")</f>
        <v>Israel Abanikanda</v>
      </c>
      <c r="L5" s="31" t="str">
        <f ca="1">IFERROR(__xludf.DUMMYFUNCTION("""COMPUTED_VALUE"""),"Charlie Woerner")</f>
        <v>Charlie Woerner</v>
      </c>
      <c r="M5" s="31" t="str">
        <f ca="1">IFERROR(__xludf.DUMMYFUNCTION("""COMPUTED_VALUE"""),"Eric Saubert")</f>
        <v>Eric Saubert</v>
      </c>
      <c r="N5" s="31" t="str">
        <f ca="1">IFERROR(__xludf.DUMMYFUNCTION("""COMPUTED_VALUE"""),"David Moore")</f>
        <v>David Moore</v>
      </c>
      <c r="O5" s="31" t="str">
        <f ca="1">IFERROR(__xludf.DUMMYFUNCTION("""COMPUTED_VALUE"""),"Brandon Bolden")</f>
        <v>Brandon Bolden</v>
      </c>
      <c r="P5" s="31" t="str">
        <f ca="1">IFERROR(__xludf.DUMMYFUNCTION("""COMPUTED_VALUE"""),"Colton Dowell")</f>
        <v>Colton Dowell</v>
      </c>
      <c r="Q5" s="31" t="str">
        <f ca="1">IFERROR(__xludf.DUMMYFUNCTION("""COMPUTED_VALUE"""),"Keelan Doss")</f>
        <v>Keelan Doss</v>
      </c>
      <c r="R5" s="31" t="str">
        <f ca="1">IFERROR(__xludf.DUMMYFUNCTION("""COMPUTED_VALUE"""),"Chris Conley")</f>
        <v>Chris Conley</v>
      </c>
    </row>
    <row r="6" spans="1:18" x14ac:dyDescent="0.2">
      <c r="A6" s="31" t="str">
        <f ca="1">IFERROR(__xludf.DUMMYFUNCTION("""COMPUTED_VALUE"""),"Justin Herbert")</f>
        <v>Justin Herbert</v>
      </c>
      <c r="B6" s="31" t="str">
        <f ca="1">IFERROR(__xludf.DUMMYFUNCTION("""COMPUTED_VALUE"""),"Mark Andrews")</f>
        <v>Mark Andrews</v>
      </c>
      <c r="C6" s="31" t="str">
        <f ca="1">IFERROR(__xludf.DUMMYFUNCTION("""COMPUTED_VALUE"""),"Ronnie Bell")</f>
        <v>Ronnie Bell</v>
      </c>
      <c r="D6" s="31" t="str">
        <f ca="1">IFERROR(__xludf.DUMMYFUNCTION("""COMPUTED_VALUE"""),"Jeremy Ruckert")</f>
        <v>Jeremy Ruckert</v>
      </c>
      <c r="E6" s="31" t="str">
        <f ca="1">IFERROR(__xludf.DUMMYFUNCTION("""COMPUTED_VALUE"""),"Keith Smith")</f>
        <v>Keith Smith</v>
      </c>
      <c r="F6" s="31" t="str">
        <f ca="1">IFERROR(__xludf.DUMMYFUNCTION("""COMPUTED_VALUE"""),"Darrynton Evans")</f>
        <v>Darrynton Evans</v>
      </c>
      <c r="G6" s="31" t="str">
        <f ca="1">IFERROR(__xludf.DUMMYFUNCTION("""COMPUTED_VALUE"""),"Keaton Mitchell")</f>
        <v>Keaton Mitchell</v>
      </c>
      <c r="H6" s="31" t="str">
        <f ca="1">IFERROR(__xludf.DUMMYFUNCTION("""COMPUTED_VALUE"""),"Stephen Sullivan")</f>
        <v>Stephen Sullivan</v>
      </c>
      <c r="I6" s="31"/>
      <c r="J6" s="31" t="str">
        <f ca="1">IFERROR(__xludf.DUMMYFUNCTION("""COMPUTED_VALUE"""),"Mike Strachan")</f>
        <v>Mike Strachan</v>
      </c>
      <c r="K6" s="31" t="str">
        <f ca="1">IFERROR(__xludf.DUMMYFUNCTION("""COMPUTED_VALUE"""),"Steven Sims")</f>
        <v>Steven Sims</v>
      </c>
      <c r="L6" s="31"/>
      <c r="M6" s="31" t="str">
        <f ca="1">IFERROR(__xludf.DUMMYFUNCTION("""COMPUTED_VALUE"""),"Trevor Siemian")</f>
        <v>Trevor Siemian</v>
      </c>
      <c r="N6" s="31" t="str">
        <f ca="1">IFERROR(__xludf.DUMMYFUNCTION("""COMPUTED_VALUE"""),"A.J. McCarron")</f>
        <v>A.J. McCarron</v>
      </c>
      <c r="O6" s="31" t="str">
        <f ca="1">IFERROR(__xludf.DUMMYFUNCTION("""COMPUTED_VALUE"""),"Kevin Harris")</f>
        <v>Kevin Harris</v>
      </c>
      <c r="P6" s="31" t="str">
        <f ca="1">IFERROR(__xludf.DUMMYFUNCTION("""COMPUTED_VALUE"""),"Mason Kinsey")</f>
        <v>Mason Kinsey</v>
      </c>
      <c r="Q6" s="31" t="str">
        <f ca="1">IFERROR(__xludf.DUMMYFUNCTION("""COMPUTED_VALUE"""),"Collin Johnson")</f>
        <v>Collin Johnson</v>
      </c>
      <c r="R6" s="31" t="str">
        <f ca="1">IFERROR(__xludf.DUMMYFUNCTION("""COMPUTED_VALUE"""),"Tyler Johnson")</f>
        <v>Tyler Johnson</v>
      </c>
    </row>
    <row r="7" spans="1:18" x14ac:dyDescent="0.2">
      <c r="A7" s="31" t="str">
        <f ca="1">IFERROR(__xludf.DUMMYFUNCTION("""COMPUTED_VALUE"""),"Anthony Richardson")</f>
        <v>Anthony Richardson</v>
      </c>
      <c r="B7" s="31" t="str">
        <f ca="1">IFERROR(__xludf.DUMMYFUNCTION("""COMPUTED_VALUE"""),"Chase Claypool")</f>
        <v>Chase Claypool</v>
      </c>
      <c r="C7" s="31" t="str">
        <f ca="1">IFERROR(__xludf.DUMMYFUNCTION("""COMPUTED_VALUE"""),"Jimmy Graham")</f>
        <v>Jimmy Graham</v>
      </c>
      <c r="D7" s="31" t="str">
        <f ca="1">IFERROR(__xludf.DUMMYFUNCTION("""COMPUTED_VALUE"""),"Ray Ray McCloud")</f>
        <v>Ray Ray McCloud</v>
      </c>
      <c r="E7" s="31" t="str">
        <f ca="1">IFERROR(__xludf.DUMMYFUNCTION("""COMPUTED_VALUE"""),"Eric Gray")</f>
        <v>Eric Gray</v>
      </c>
      <c r="F7" s="31" t="str">
        <f ca="1">IFERROR(__xludf.DUMMYFUNCTION("""COMPUTED_VALUE"""),"Brian Hoyer")</f>
        <v>Brian Hoyer</v>
      </c>
      <c r="G7" s="31" t="str">
        <f ca="1">IFERROR(__xludf.DUMMYFUNCTION("""COMPUTED_VALUE"""),"Trishton Jackson")</f>
        <v>Trishton Jackson</v>
      </c>
      <c r="H7" s="31" t="str">
        <f ca="1">IFERROR(__xludf.DUMMYFUNCTION("""COMPUTED_VALUE"""),"Brett Rypien")</f>
        <v>Brett Rypien</v>
      </c>
      <c r="I7" s="31"/>
      <c r="J7" s="31" t="str">
        <f ca="1">IFERROR(__xludf.DUMMYFUNCTION("""COMPUTED_VALUE"""),"Jashaun Corbin")</f>
        <v>Jashaun Corbin</v>
      </c>
      <c r="K7" s="31" t="str">
        <f ca="1">IFERROR(__xludf.DUMMYFUNCTION("""COMPUTED_VALUE"""),"Alex Erickson")</f>
        <v>Alex Erickson</v>
      </c>
      <c r="L7" s="31"/>
      <c r="M7" s="31" t="str">
        <f ca="1">IFERROR(__xludf.DUMMYFUNCTION("""COMPUTED_VALUE"""),"Marcus Mariota")</f>
        <v>Marcus Mariota</v>
      </c>
      <c r="N7" s="31"/>
      <c r="O7" s="31" t="str">
        <f ca="1">IFERROR(__xludf.DUMMYFUNCTION("""COMPUTED_VALUE"""),"Jonathan Williams")</f>
        <v>Jonathan Williams</v>
      </c>
      <c r="P7" s="31" t="str">
        <f ca="1">IFERROR(__xludf.DUMMYFUNCTION("""COMPUTED_VALUE"""),"Grant Calcaterra")</f>
        <v>Grant Calcaterra</v>
      </c>
      <c r="Q7" s="31" t="str">
        <f ca="1">IFERROR(__xludf.DUMMYFUNCTION("""COMPUTED_VALUE"""),"Kenny Yeboah")</f>
        <v>Kenny Yeboah</v>
      </c>
      <c r="R7" s="31" t="str">
        <f ca="1">IFERROR(__xludf.DUMMYFUNCTION("""COMPUTED_VALUE"""),"Laquon Treadwell")</f>
        <v>Laquon Treadwell</v>
      </c>
    </row>
    <row r="8" spans="1:18" x14ac:dyDescent="0.2">
      <c r="A8" s="31" t="str">
        <f ca="1">IFERROR(__xludf.DUMMYFUNCTION("""COMPUTED_VALUE"""),"Deshaun Watson")</f>
        <v>Deshaun Watson</v>
      </c>
      <c r="B8" s="31" t="str">
        <f ca="1">IFERROR(__xludf.DUMMYFUNCTION("""COMPUTED_VALUE"""),"Travis Kelce")</f>
        <v>Travis Kelce</v>
      </c>
      <c r="C8" s="31" t="str">
        <f ca="1">IFERROR(__xludf.DUMMYFUNCTION("""COMPUTED_VALUE"""),"Melvin Gordon")</f>
        <v>Melvin Gordon</v>
      </c>
      <c r="D8" s="31" t="str">
        <f ca="1">IFERROR(__xludf.DUMMYFUNCTION("""COMPUTED_VALUE"""),"Robert Tonyan")</f>
        <v>Robert Tonyan</v>
      </c>
      <c r="E8" s="31" t="str">
        <f ca="1">IFERROR(__xludf.DUMMYFUNCTION("""COMPUTED_VALUE"""),"Trevon Wesco")</f>
        <v>Trevon Wesco</v>
      </c>
      <c r="F8" s="31" t="str">
        <f ca="1">IFERROR(__xludf.DUMMYFUNCTION("""COMPUTED_VALUE"""),"Phillip Walker")</f>
        <v>Phillip Walker</v>
      </c>
      <c r="G8" s="31" t="str">
        <f ca="1">IFERROR(__xludf.DUMMYFUNCTION("""COMPUTED_VALUE"""),"Jeffery Wilson")</f>
        <v>Jeffery Wilson</v>
      </c>
      <c r="H8" s="31" t="str">
        <f ca="1">IFERROR(__xludf.DUMMYFUNCTION("""COMPUTED_VALUE"""),"Julian Hill")</f>
        <v>Julian Hill</v>
      </c>
      <c r="I8" s="31"/>
      <c r="J8" s="31" t="str">
        <f ca="1">IFERROR(__xludf.DUMMYFUNCTION("""COMPUTED_VALUE"""),"Jalen Nailor")</f>
        <v>Jalen Nailor</v>
      </c>
      <c r="K8" s="31" t="str">
        <f ca="1">IFERROR(__xludf.DUMMYFUNCTION("""COMPUTED_VALUE"""),"Malik Heath")</f>
        <v>Malik Heath</v>
      </c>
      <c r="L8" s="31"/>
      <c r="M8" s="31" t="str">
        <f ca="1">IFERROR(__xludf.DUMMYFUNCTION("""COMPUTED_VALUE"""),"James Robinson")</f>
        <v>James Robinson</v>
      </c>
      <c r="N8" s="31"/>
      <c r="O8" s="31" t="str">
        <f ca="1">IFERROR(__xludf.DUMMYFUNCTION("""COMPUTED_VALUE"""),"D.J. Montgomery")</f>
        <v>D.J. Montgomery</v>
      </c>
      <c r="P8" s="31" t="str">
        <f ca="1">IFERROR(__xludf.DUMMYFUNCTION("""COMPUTED_VALUE"""),"Cole Fotheringham")</f>
        <v>Cole Fotheringham</v>
      </c>
      <c r="Q8" s="31" t="str">
        <f ca="1">IFERROR(__xludf.DUMMYFUNCTION("""COMPUTED_VALUE"""),"James Mitchell")</f>
        <v>James Mitchell</v>
      </c>
      <c r="R8" s="31" t="str">
        <f ca="1">IFERROR(__xludf.DUMMYFUNCTION("""COMPUTED_VALUE"""),"Tylan Wallace")</f>
        <v>Tylan Wallace</v>
      </c>
    </row>
    <row r="9" spans="1:18" x14ac:dyDescent="0.2">
      <c r="A9" s="31" t="str">
        <f ca="1">IFERROR(__xludf.DUMMYFUNCTION("""COMPUTED_VALUE"""),"Kirk Cousins")</f>
        <v>Kirk Cousins</v>
      </c>
      <c r="B9" s="31" t="str">
        <f ca="1">IFERROR(__xludf.DUMMYFUNCTION("""COMPUTED_VALUE"""),"Dontayvion Wicks")</f>
        <v>Dontayvion Wicks</v>
      </c>
      <c r="C9" s="31" t="str">
        <f ca="1">IFERROR(__xludf.DUMMYFUNCTION("""COMPUTED_VALUE"""),"Christopher Brooks")</f>
        <v>Christopher Brooks</v>
      </c>
      <c r="D9" s="31" t="str">
        <f ca="1">IFERROR(__xludf.DUMMYFUNCTION("""COMPUTED_VALUE"""),"Drew Lock")</f>
        <v>Drew Lock</v>
      </c>
      <c r="E9" s="31" t="str">
        <f ca="1">IFERROR(__xludf.DUMMYFUNCTION("""COMPUTED_VALUE"""),"Scott Miller")</f>
        <v>Scott Miller</v>
      </c>
      <c r="F9" s="31" t="str">
        <f ca="1">IFERROR(__xludf.DUMMYFUNCTION("""COMPUTED_VALUE"""),"Raheem Blackshear")</f>
        <v>Raheem Blackshear</v>
      </c>
      <c r="G9" s="31" t="str">
        <f ca="1">IFERROR(__xludf.DUMMYFUNCTION("""COMPUTED_VALUE"""),"Jesper Horsted")</f>
        <v>Jesper Horsted</v>
      </c>
      <c r="H9" s="31" t="str">
        <f ca="1">IFERROR(__xludf.DUMMYFUNCTION("""COMPUTED_VALUE"""),"Alex Armah")</f>
        <v>Alex Armah</v>
      </c>
      <c r="I9" s="31"/>
      <c r="J9" s="31" t="str">
        <f ca="1">IFERROR(__xludf.DUMMYFUNCTION("""COMPUTED_VALUE"""),"Lynn Bowden")</f>
        <v>Lynn Bowden</v>
      </c>
      <c r="K9" s="31" t="str">
        <f ca="1">IFERROR(__xludf.DUMMYFUNCTION("""COMPUTED_VALUE"""),"Charlie Kolar")</f>
        <v>Charlie Kolar</v>
      </c>
      <c r="L9" s="31"/>
      <c r="M9" s="31"/>
      <c r="N9" s="31"/>
      <c r="O9" s="31" t="str">
        <f ca="1">IFERROR(__xludf.DUMMYFUNCTION("""COMPUTED_VALUE"""),"Bo Melton")</f>
        <v>Bo Melton</v>
      </c>
      <c r="P9" s="31"/>
      <c r="Q9" s="31" t="str">
        <f ca="1">IFERROR(__xludf.DUMMYFUNCTION("""COMPUTED_VALUE"""),"Kevin Rader")</f>
        <v>Kevin Rader</v>
      </c>
      <c r="R9" s="31" t="str">
        <f ca="1">IFERROR(__xludf.DUMMYFUNCTION("""COMPUTED_VALUE"""),"Nick Muse")</f>
        <v>Nick Muse</v>
      </c>
    </row>
    <row r="10" spans="1:18" x14ac:dyDescent="0.2">
      <c r="A10" s="31" t="str">
        <f ca="1">IFERROR(__xludf.DUMMYFUNCTION("""COMPUTED_VALUE"""),"Trevor Lawrence")</f>
        <v>Trevor Lawrence</v>
      </c>
      <c r="B10" s="31" t="str">
        <f ca="1">IFERROR(__xludf.DUMMYFUNCTION("""COMPUTED_VALUE"""),"DeVante Parker")</f>
        <v>DeVante Parker</v>
      </c>
      <c r="C10" s="31" t="str">
        <f ca="1">IFERROR(__xludf.DUMMYFUNCTION("""COMPUTED_VALUE"""),"Mike White")</f>
        <v>Mike White</v>
      </c>
      <c r="D10" s="31" t="str">
        <f ca="1">IFERROR(__xludf.DUMMYFUNCTION("""COMPUTED_VALUE"""),"Equanimeous St. Brown")</f>
        <v>Equanimeous St. Brown</v>
      </c>
      <c r="E10" s="31" t="str">
        <f ca="1">IFERROR(__xludf.DUMMYFUNCTION("""COMPUTED_VALUE"""),"Khari Blasingame")</f>
        <v>Khari Blasingame</v>
      </c>
      <c r="F10" s="31" t="str">
        <f ca="1">IFERROR(__xludf.DUMMYFUNCTION("""COMPUTED_VALUE"""),"Devine Ozigbo")</f>
        <v>Devine Ozigbo</v>
      </c>
      <c r="G10" s="31" t="str">
        <f ca="1">IFERROR(__xludf.DUMMYFUNCTION("""COMPUTED_VALUE"""),"Julio Jones")</f>
        <v>Julio Jones</v>
      </c>
      <c r="H10" s="31" t="str">
        <f ca="1">IFERROR(__xludf.DUMMYFUNCTION("""COMPUTED_VALUE"""),"Trent Taylor")</f>
        <v>Trent Taylor</v>
      </c>
      <c r="I10" s="31"/>
      <c r="J10" s="31" t="str">
        <f ca="1">IFERROR(__xludf.DUMMYFUNCTION("""COMPUTED_VALUE"""),"Kayshon Boutte")</f>
        <v>Kayshon Boutte</v>
      </c>
      <c r="K10" s="31"/>
      <c r="L10" s="31"/>
      <c r="M10" s="31"/>
      <c r="N10" s="31"/>
      <c r="O10" s="31" t="str">
        <f ca="1">IFERROR(__xludf.DUMMYFUNCTION("""COMPUTED_VALUE"""),"Ko Kieft")</f>
        <v>Ko Kieft</v>
      </c>
      <c r="P10" s="31"/>
      <c r="Q10" s="31"/>
      <c r="R10" s="31" t="str">
        <f ca="1">IFERROR(__xludf.DUMMYFUNCTION("""COMPUTED_VALUE"""),"John FitzPatrick")</f>
        <v>John FitzPatrick</v>
      </c>
    </row>
    <row r="11" spans="1:18" x14ac:dyDescent="0.2">
      <c r="A11" s="31" t="str">
        <f ca="1">IFERROR(__xludf.DUMMYFUNCTION("""COMPUTED_VALUE"""),"Brock Purdy")</f>
        <v>Brock Purdy</v>
      </c>
      <c r="B11" s="31" t="str">
        <f ca="1">IFERROR(__xludf.DUMMYFUNCTION("""COMPUTED_VALUE"""),"Jalin Hyatt")</f>
        <v>Jalin Hyatt</v>
      </c>
      <c r="C11" s="31" t="str">
        <f ca="1">IFERROR(__xludf.DUMMYFUNCTION("""COMPUTED_VALUE"""),"Nick Bawden")</f>
        <v>Nick Bawden</v>
      </c>
      <c r="D11" s="31" t="str">
        <f ca="1">IFERROR(__xludf.DUMMYFUNCTION("""COMPUTED_VALUE"""),"Ke'Shawn Vaughn")</f>
        <v>Ke'Shawn Vaughn</v>
      </c>
      <c r="E11" s="31" t="str">
        <f ca="1">IFERROR(__xludf.DUMMYFUNCTION("""COMPUTED_VALUE"""),"Jameson Williams")</f>
        <v>Jameson Williams</v>
      </c>
      <c r="F11" s="31" t="str">
        <f ca="1">IFERROR(__xludf.DUMMYFUNCTION("""COMPUTED_VALUE"""),"Payne Durham")</f>
        <v>Payne Durham</v>
      </c>
      <c r="G11" s="31" t="str">
        <f ca="1">IFERROR(__xludf.DUMMYFUNCTION("""COMPUTED_VALUE"""),"Elijah Higgins")</f>
        <v>Elijah Higgins</v>
      </c>
      <c r="H11" s="31" t="str">
        <f ca="1">IFERROR(__xludf.DUMMYFUNCTION("""COMPUTED_VALUE"""),"D'Wayne Eskridge")</f>
        <v>D'Wayne Eskridge</v>
      </c>
      <c r="I11" s="31"/>
      <c r="J11" s="31" t="str">
        <f ca="1">IFERROR(__xludf.DUMMYFUNCTION("""COMPUTED_VALUE"""),"Kene Nwangwu")</f>
        <v>Kene Nwangwu</v>
      </c>
      <c r="K11" s="31"/>
      <c r="L11" s="31"/>
      <c r="M11" s="31"/>
      <c r="N11" s="31"/>
      <c r="O11" s="31" t="str">
        <f ca="1">IFERROR(__xludf.DUMMYFUNCTION("""COMPUTED_VALUE"""),"Tucker Fisk")</f>
        <v>Tucker Fisk</v>
      </c>
      <c r="P11" s="31"/>
      <c r="Q11" s="31"/>
      <c r="R11" s="31" t="str">
        <f ca="1">IFERROR(__xludf.DUMMYFUNCTION("""COMPUTED_VALUE"""),"Nick Vannett")</f>
        <v>Nick Vannett</v>
      </c>
    </row>
    <row r="12" spans="1:18" x14ac:dyDescent="0.2">
      <c r="A12" s="31" t="str">
        <f ca="1">IFERROR(__xludf.DUMMYFUNCTION("""COMPUTED_VALUE"""),"Jimmy Garoppolo")</f>
        <v>Jimmy Garoppolo</v>
      </c>
      <c r="B12" s="31" t="str">
        <f ca="1">IFERROR(__xludf.DUMMYFUNCTION("""COMPUTED_VALUE"""),"Noah Fant")</f>
        <v>Noah Fant</v>
      </c>
      <c r="C12" s="31" t="str">
        <f ca="1">IFERROR(__xludf.DUMMYFUNCTION("""COMPUTED_VALUE"""),"Wan'Dale Robinson")</f>
        <v>Wan'Dale Robinson</v>
      </c>
      <c r="D12" s="31" t="str">
        <f ca="1">IFERROR(__xludf.DUMMYFUNCTION("""COMPUTED_VALUE"""),"Trenton Irwin")</f>
        <v>Trenton Irwin</v>
      </c>
      <c r="E12" s="31" t="str">
        <f ca="1">IFERROR(__xludf.DUMMYFUNCTION("""COMPUTED_VALUE"""),"Ben Sims")</f>
        <v>Ben Sims</v>
      </c>
      <c r="F12" s="31" t="str">
        <f ca="1">IFERROR(__xludf.DUMMYFUNCTION("""COMPUTED_VALUE"""),"Tyquan Thornton")</f>
        <v>Tyquan Thornton</v>
      </c>
      <c r="G12" s="31" t="str">
        <f ca="1">IFERROR(__xludf.DUMMYFUNCTION("""COMPUTED_VALUE"""),"Clayton Tune")</f>
        <v>Clayton Tune</v>
      </c>
      <c r="H12" s="31" t="str">
        <f ca="1">IFERROR(__xludf.DUMMYFUNCTION("""COMPUTED_VALUE"""),"Jaren Hall")</f>
        <v>Jaren Hall</v>
      </c>
      <c r="I12" s="31"/>
      <c r="J12" s="31" t="str">
        <f ca="1">IFERROR(__xludf.DUMMYFUNCTION("""COMPUTED_VALUE"""),"Ty Johnson")</f>
        <v>Ty Johnson</v>
      </c>
      <c r="K12" s="31"/>
      <c r="L12" s="31"/>
      <c r="M12" s="31"/>
      <c r="N12" s="31"/>
      <c r="O12" s="31"/>
      <c r="P12" s="31"/>
      <c r="Q12" s="31"/>
      <c r="R12" s="31"/>
    </row>
    <row r="13" spans="1:18" x14ac:dyDescent="0.2">
      <c r="A13" s="31" t="str">
        <f ca="1">IFERROR(__xludf.DUMMYFUNCTION("""COMPUTED_VALUE"""),"Baker Mayfield")</f>
        <v>Baker Mayfield</v>
      </c>
      <c r="B13" s="31" t="str">
        <f ca="1">IFERROR(__xludf.DUMMYFUNCTION("""COMPUTED_VALUE"""),"Jonnu Smith")</f>
        <v>Jonnu Smith</v>
      </c>
      <c r="C13" s="31" t="str">
        <f ca="1">IFERROR(__xludf.DUMMYFUNCTION("""COMPUTED_VALUE"""),"Kareem Hunt")</f>
        <v>Kareem Hunt</v>
      </c>
      <c r="D13" s="31" t="str">
        <f ca="1">IFERROR(__xludf.DUMMYFUNCTION("""COMPUTED_VALUE"""),"Xavier Gipson")</f>
        <v>Xavier Gipson</v>
      </c>
      <c r="E13" s="31" t="str">
        <f ca="1">IFERROR(__xludf.DUMMYFUNCTION("""COMPUTED_VALUE"""),"Tyrion Davis-Price")</f>
        <v>Tyrion Davis-Price</v>
      </c>
      <c r="F13" s="31" t="str">
        <f ca="1">IFERROR(__xludf.DUMMYFUNCTION("""COMPUTED_VALUE"""),"Zach Evans")</f>
        <v>Zach Evans</v>
      </c>
      <c r="G13" s="31" t="str">
        <f ca="1">IFERROR(__xludf.DUMMYFUNCTION("""COMPUTED_VALUE"""),"Nathan Peterman")</f>
        <v>Nathan Peterman</v>
      </c>
      <c r="H13" s="31"/>
      <c r="I13" s="31"/>
      <c r="J13" s="31" t="str">
        <f ca="1">IFERROR(__xludf.DUMMYFUNCTION("""COMPUTED_VALUE"""),"Kyle Trask")</f>
        <v>Kyle Trask</v>
      </c>
      <c r="K13" s="31"/>
      <c r="L13" s="31"/>
      <c r="M13" s="31"/>
      <c r="N13" s="31"/>
      <c r="O13" s="31"/>
      <c r="P13" s="31"/>
      <c r="Q13" s="31"/>
      <c r="R13" s="31"/>
    </row>
    <row r="14" spans="1:18" x14ac:dyDescent="0.2">
      <c r="A14" s="31" t="str">
        <f ca="1">IFERROR(__xludf.DUMMYFUNCTION("""COMPUTED_VALUE"""),"Russell Wilson")</f>
        <v>Russell Wilson</v>
      </c>
      <c r="B14" s="31" t="str">
        <f ca="1">IFERROR(__xludf.DUMMYFUNCTION("""COMPUTED_VALUE"""),"Dallas Goedert")</f>
        <v>Dallas Goedert</v>
      </c>
      <c r="C14" s="31" t="str">
        <f ca="1">IFERROR(__xludf.DUMMYFUNCTION("""COMPUTED_VALUE"""),"Tanner Hudson")</f>
        <v>Tanner Hudson</v>
      </c>
      <c r="D14" s="31" t="str">
        <f ca="1">IFERROR(__xludf.DUMMYFUNCTION("""COMPUTED_VALUE"""),"Cedrick Wilson")</f>
        <v>Cedrick Wilson</v>
      </c>
      <c r="E14" s="31" t="str">
        <f ca="1">IFERROR(__xludf.DUMMYFUNCTION("""COMPUTED_VALUE"""),"John Mundt")</f>
        <v>John Mundt</v>
      </c>
      <c r="F14" s="31" t="str">
        <f ca="1">IFERROR(__xludf.DUMMYFUNCTION("""COMPUTED_VALUE"""),"Kyle Philips")</f>
        <v>Kyle Philips</v>
      </c>
      <c r="G14" s="31"/>
      <c r="H14" s="31"/>
      <c r="I14" s="31"/>
      <c r="J14" s="31" t="str">
        <f ca="1">IFERROR(__xludf.DUMMYFUNCTION("""COMPUTED_VALUE"""),"James Proche")</f>
        <v>James Proche</v>
      </c>
      <c r="K14" s="31"/>
      <c r="L14" s="31"/>
      <c r="M14" s="31"/>
      <c r="N14" s="31"/>
      <c r="O14" s="31"/>
      <c r="P14" s="31"/>
      <c r="Q14" s="31"/>
      <c r="R14" s="31"/>
    </row>
    <row r="15" spans="1:18" x14ac:dyDescent="0.2">
      <c r="A15" s="31" t="str">
        <f ca="1">IFERROR(__xludf.DUMMYFUNCTION("""COMPUTED_VALUE"""),"Sam Howell")</f>
        <v>Sam Howell</v>
      </c>
      <c r="B15" s="31" t="str">
        <f ca="1">IFERROR(__xludf.DUMMYFUNCTION("""COMPUTED_VALUE"""),"Khalil Shakir")</f>
        <v>Khalil Shakir</v>
      </c>
      <c r="C15" s="31" t="str">
        <f ca="1">IFERROR(__xludf.DUMMYFUNCTION("""COMPUTED_VALUE"""),"Kendre Miller")</f>
        <v>Kendre Miller</v>
      </c>
      <c r="D15" s="31" t="str">
        <f ca="1">IFERROR(__xludf.DUMMYFUNCTION("""COMPUTED_VALUE"""),"Tucker Kraft")</f>
        <v>Tucker Kraft</v>
      </c>
      <c r="E15" s="31" t="str">
        <f ca="1">IFERROR(__xludf.DUMMYFUNCTION("""COMPUTED_VALUE"""),"Andrei Iosivas")</f>
        <v>Andrei Iosivas</v>
      </c>
      <c r="F15" s="31" t="str">
        <f ca="1">IFERROR(__xludf.DUMMYFUNCTION("""COMPUTED_VALUE"""),"Austin Trammell")</f>
        <v>Austin Trammell</v>
      </c>
      <c r="G15" s="31"/>
      <c r="H15" s="31"/>
      <c r="I15" s="31"/>
      <c r="J15" s="31"/>
      <c r="K15" s="31"/>
      <c r="L15" s="31"/>
      <c r="M15" s="31"/>
      <c r="N15" s="31"/>
      <c r="O15" s="31"/>
      <c r="P15" s="31"/>
      <c r="Q15" s="31"/>
      <c r="R15" s="31"/>
    </row>
    <row r="16" spans="1:18" x14ac:dyDescent="0.2">
      <c r="A16" s="31" t="str">
        <f ca="1">IFERROR(__xludf.DUMMYFUNCTION("""COMPUTED_VALUE"""),"Derek Carr")</f>
        <v>Derek Carr</v>
      </c>
      <c r="B16" s="31" t="str">
        <f ca="1">IFERROR(__xludf.DUMMYFUNCTION("""COMPUTED_VALUE"""),"John Bates")</f>
        <v>John Bates</v>
      </c>
      <c r="C16" s="31" t="str">
        <f ca="1">IFERROR(__xludf.DUMMYFUNCTION("""COMPUTED_VALUE"""),"Jameis Winston")</f>
        <v>Jameis Winston</v>
      </c>
      <c r="D16" s="31" t="str">
        <f ca="1">IFERROR(__xludf.DUMMYFUNCTION("""COMPUTED_VALUE"""),"Patrick Ricard")</f>
        <v>Patrick Ricard</v>
      </c>
      <c r="E16" s="31" t="str">
        <f ca="1">IFERROR(__xludf.DUMMYFUNCTION("""COMPUTED_VALUE"""),"Cordarrelle Patterson")</f>
        <v>Cordarrelle Patterson</v>
      </c>
      <c r="F16" s="31"/>
      <c r="G16" s="31"/>
      <c r="H16" s="31"/>
      <c r="I16" s="31"/>
      <c r="J16" s="31"/>
      <c r="K16" s="31"/>
      <c r="L16" s="31"/>
      <c r="M16" s="31"/>
      <c r="N16" s="31"/>
      <c r="O16" s="31"/>
      <c r="P16" s="31"/>
      <c r="Q16" s="31"/>
      <c r="R16" s="31"/>
    </row>
    <row r="17" spans="1:18" x14ac:dyDescent="0.2">
      <c r="A17" s="31" t="str">
        <f ca="1">IFERROR(__xludf.DUMMYFUNCTION("""COMPUTED_VALUE"""),"Justin Fields")</f>
        <v>Justin Fields</v>
      </c>
      <c r="B17" s="31" t="str">
        <f ca="1">IFERROR(__xludf.DUMMYFUNCTION("""COMPUTED_VALUE"""),"Chigoziem Okonkwo")</f>
        <v>Chigoziem Okonkwo</v>
      </c>
      <c r="C17" s="31" t="str">
        <f ca="1">IFERROR(__xludf.DUMMYFUNCTION("""COMPUTED_VALUE"""),"Trent Sherfield")</f>
        <v>Trent Sherfield</v>
      </c>
      <c r="D17" s="31" t="str">
        <f ca="1">IFERROR(__xludf.DUMMYFUNCTION("""COMPUTED_VALUE"""),"Bailey Zappe")</f>
        <v>Bailey Zappe</v>
      </c>
      <c r="E17" s="31" t="str">
        <f ca="1">IFERROR(__xludf.DUMMYFUNCTION("""COMPUTED_VALUE"""),"Kwamie Lassiter")</f>
        <v>Kwamie Lassiter</v>
      </c>
      <c r="F17" s="31"/>
      <c r="G17" s="31"/>
      <c r="H17" s="31"/>
      <c r="I17" s="31"/>
      <c r="J17" s="31"/>
      <c r="K17" s="31"/>
      <c r="L17" s="31"/>
      <c r="M17" s="31"/>
      <c r="N17" s="31"/>
      <c r="O17" s="31"/>
      <c r="P17" s="31"/>
      <c r="Q17" s="31"/>
      <c r="R17" s="31"/>
    </row>
    <row r="18" spans="1:18" x14ac:dyDescent="0.2">
      <c r="A18" s="31" t="str">
        <f ca="1">IFERROR(__xludf.DUMMYFUNCTION("""COMPUTED_VALUE"""),"Jared Goff")</f>
        <v>Jared Goff</v>
      </c>
      <c r="B18" s="31" t="str">
        <f ca="1">IFERROR(__xludf.DUMMYFUNCTION("""COMPUTED_VALUE"""),"Jauan Jennings")</f>
        <v>Jauan Jennings</v>
      </c>
      <c r="C18" s="31" t="str">
        <f ca="1">IFERROR(__xludf.DUMMYFUNCTION("""COMPUTED_VALUE"""),"Hunter Luepke")</f>
        <v>Hunter Luepke</v>
      </c>
      <c r="D18" s="31" t="str">
        <f ca="1">IFERROR(__xludf.DUMMYFUNCTION("""COMPUTED_VALUE"""),"Jakob Johnson")</f>
        <v>Jakob Johnson</v>
      </c>
      <c r="E18" s="31" t="str">
        <f ca="1">IFERROR(__xludf.DUMMYFUNCTION("""COMPUTED_VALUE"""),"Keith Kirkwood")</f>
        <v>Keith Kirkwood</v>
      </c>
      <c r="F18" s="31"/>
      <c r="G18" s="31"/>
      <c r="H18" s="31"/>
      <c r="I18" s="31"/>
      <c r="J18" s="31"/>
      <c r="K18" s="31"/>
      <c r="L18" s="31"/>
      <c r="M18" s="31"/>
      <c r="N18" s="31"/>
      <c r="O18" s="31"/>
      <c r="P18" s="31"/>
      <c r="Q18" s="31"/>
      <c r="R18" s="31"/>
    </row>
    <row r="19" spans="1:18" x14ac:dyDescent="0.2">
      <c r="A19" s="31" t="str">
        <f ca="1">IFERROR(__xludf.DUMMYFUNCTION("""COMPUTED_VALUE"""),"Jalen Hurts")</f>
        <v>Jalen Hurts</v>
      </c>
      <c r="B19" s="31" t="str">
        <f ca="1">IFERROR(__xludf.DUMMYFUNCTION("""COMPUTED_VALUE"""),"Luke Schoonmaker")</f>
        <v>Luke Schoonmaker</v>
      </c>
      <c r="C19" s="31" t="str">
        <f ca="1">IFERROR(__xludf.DUMMYFUNCTION("""COMPUTED_VALUE"""),"Trey Sermon")</f>
        <v>Trey Sermon</v>
      </c>
      <c r="D19" s="31" t="str">
        <f ca="1">IFERROR(__xludf.DUMMYFUNCTION("""COMPUTED_VALUE"""),"Cody Thompson")</f>
        <v>Cody Thompson</v>
      </c>
      <c r="E19" s="31" t="str">
        <f ca="1">IFERROR(__xludf.DUMMYFUNCTION("""COMPUTED_VALUE"""),"Teddy Bridgewater")</f>
        <v>Teddy Bridgewater</v>
      </c>
      <c r="F19" s="31"/>
      <c r="G19" s="31"/>
      <c r="H19" s="31"/>
      <c r="I19" s="31"/>
      <c r="J19" s="31"/>
      <c r="K19" s="31"/>
      <c r="L19" s="31"/>
      <c r="M19" s="31"/>
      <c r="N19" s="31"/>
      <c r="O19" s="31"/>
      <c r="P19" s="31"/>
      <c r="Q19" s="31"/>
      <c r="R19" s="31"/>
    </row>
    <row r="20" spans="1:18" x14ac:dyDescent="0.2">
      <c r="A20" s="31" t="str">
        <f ca="1">IFERROR(__xludf.DUMMYFUNCTION("""COMPUTED_VALUE"""),"Matthew Stafford")</f>
        <v>Matthew Stafford</v>
      </c>
      <c r="B20" s="31" t="str">
        <f ca="1">IFERROR(__xludf.DUMMYFUNCTION("""COMPUTED_VALUE"""),"Will Mallory")</f>
        <v>Will Mallory</v>
      </c>
      <c r="C20" s="31" t="str">
        <f ca="1">IFERROR(__xludf.DUMMYFUNCTION("""COMPUTED_VALUE"""),"Tim Jones")</f>
        <v>Tim Jones</v>
      </c>
      <c r="D20" s="31" t="str">
        <f ca="1">IFERROR(__xludf.DUMMYFUNCTION("""COMPUTED_VALUE"""),"Chris Manhertz")</f>
        <v>Chris Manhertz</v>
      </c>
      <c r="E20" s="31"/>
      <c r="F20" s="31"/>
      <c r="G20" s="31"/>
      <c r="H20" s="31"/>
      <c r="I20" s="31"/>
      <c r="J20" s="31"/>
      <c r="K20" s="31"/>
      <c r="L20" s="31"/>
      <c r="M20" s="31"/>
      <c r="N20" s="31"/>
      <c r="O20" s="31"/>
      <c r="P20" s="31"/>
      <c r="Q20" s="31"/>
      <c r="R20" s="31"/>
    </row>
    <row r="21" spans="1:18" x14ac:dyDescent="0.2">
      <c r="A21" s="31" t="str">
        <f ca="1">IFERROR(__xludf.DUMMYFUNCTION("""COMPUTED_VALUE"""),"Josh Allen")</f>
        <v>Josh Allen</v>
      </c>
      <c r="B21" s="31" t="str">
        <f ca="1">IFERROR(__xludf.DUMMYFUNCTION("""COMPUTED_VALUE"""),"Pierre Strong")</f>
        <v>Pierre Strong</v>
      </c>
      <c r="C21" s="31" t="str">
        <f ca="1">IFERROR(__xludf.DUMMYFUNCTION("""COMPUTED_VALUE"""),"Kenyan Drake")</f>
        <v>Kenyan Drake</v>
      </c>
      <c r="D21" s="31" t="str">
        <f ca="1">IFERROR(__xludf.DUMMYFUNCTION("""COMPUTED_VALUE"""),"Darnell Washington")</f>
        <v>Darnell Washington</v>
      </c>
      <c r="E21" s="31"/>
      <c r="F21" s="31"/>
      <c r="G21" s="31"/>
      <c r="H21" s="31"/>
      <c r="I21" s="31"/>
      <c r="J21" s="31"/>
      <c r="K21" s="31"/>
      <c r="L21" s="31"/>
      <c r="M21" s="31"/>
      <c r="N21" s="31"/>
      <c r="O21" s="31"/>
      <c r="P21" s="31"/>
      <c r="Q21" s="31"/>
      <c r="R21" s="31"/>
    </row>
    <row r="22" spans="1:18" x14ac:dyDescent="0.2">
      <c r="A22" s="31" t="str">
        <f ca="1">IFERROR(__xludf.DUMMYFUNCTION("""COMPUTED_VALUE"""),"Kenny Pickett")</f>
        <v>Kenny Pickett</v>
      </c>
      <c r="B22" s="31" t="str">
        <f ca="1">IFERROR(__xludf.DUMMYFUNCTION("""COMPUTED_VALUE"""),"Chris Moore")</f>
        <v>Chris Moore</v>
      </c>
      <c r="C22" s="31" t="str">
        <f ca="1">IFERROR(__xludf.DUMMYFUNCTION("""COMPUTED_VALUE"""),"Mitchell Wilcox")</f>
        <v>Mitchell Wilcox</v>
      </c>
      <c r="D22" s="31" t="str">
        <f ca="1">IFERROR(__xludf.DUMMYFUNCTION("""COMPUTED_VALUE"""),"Willie Snead")</f>
        <v>Willie Snead</v>
      </c>
      <c r="E22" s="31"/>
      <c r="F22" s="31"/>
      <c r="G22" s="31"/>
      <c r="H22" s="31"/>
      <c r="I22" s="31"/>
      <c r="J22" s="31"/>
      <c r="K22" s="31"/>
      <c r="L22" s="31"/>
      <c r="M22" s="31"/>
      <c r="N22" s="31"/>
      <c r="O22" s="31"/>
      <c r="P22" s="31"/>
      <c r="Q22" s="31"/>
      <c r="R22" s="31"/>
    </row>
    <row r="23" spans="1:18" x14ac:dyDescent="0.2">
      <c r="A23" s="31" t="str">
        <f ca="1">IFERROR(__xludf.DUMMYFUNCTION("""COMPUTED_VALUE"""),"Desmond Ridder")</f>
        <v>Desmond Ridder</v>
      </c>
      <c r="B23" s="31" t="str">
        <f ca="1">IFERROR(__xludf.DUMMYFUNCTION("""COMPUTED_VALUE"""),"David Bell")</f>
        <v>David Bell</v>
      </c>
      <c r="C23" s="31" t="str">
        <f ca="1">IFERROR(__xludf.DUMMYFUNCTION("""COMPUTED_VALUE"""),"Brenton Strange")</f>
        <v>Brenton Strange</v>
      </c>
      <c r="D23" s="31" t="str">
        <f ca="1">IFERROR(__xludf.DUMMYFUNCTION("""COMPUTED_VALUE"""),"Marcedes Lewis")</f>
        <v>Marcedes Lewis</v>
      </c>
      <c r="E23" s="31"/>
      <c r="F23" s="31"/>
      <c r="G23" s="31"/>
      <c r="H23" s="31"/>
      <c r="I23" s="31"/>
      <c r="J23" s="31"/>
      <c r="K23" s="31"/>
      <c r="L23" s="31"/>
      <c r="M23" s="31"/>
      <c r="N23" s="31"/>
      <c r="O23" s="31"/>
      <c r="P23" s="31"/>
      <c r="Q23" s="31"/>
      <c r="R23" s="31"/>
    </row>
    <row r="24" spans="1:18" x14ac:dyDescent="0.2">
      <c r="A24" s="31" t="str">
        <f ca="1">IFERROR(__xludf.DUMMYFUNCTION("""COMPUTED_VALUE"""),"C.J. Stroud")</f>
        <v>C.J. Stroud</v>
      </c>
      <c r="B24" s="31" t="str">
        <f ca="1">IFERROR(__xludf.DUMMYFUNCTION("""COMPUTED_VALUE"""),"Dyami Brown")</f>
        <v>Dyami Brown</v>
      </c>
      <c r="C24" s="31" t="str">
        <f ca="1">IFERROR(__xludf.DUMMYFUNCTION("""COMPUTED_VALUE"""),"Khadarel Hodge")</f>
        <v>Khadarel Hodge</v>
      </c>
      <c r="D24" s="31" t="str">
        <f ca="1">IFERROR(__xludf.DUMMYFUNCTION("""COMPUTED_VALUE"""),"Cedric Tillman")</f>
        <v>Cedric Tillman</v>
      </c>
      <c r="E24" s="31"/>
      <c r="F24" s="31"/>
      <c r="G24" s="31"/>
      <c r="H24" s="31"/>
      <c r="I24" s="31"/>
      <c r="J24" s="31"/>
      <c r="K24" s="31"/>
      <c r="L24" s="31"/>
      <c r="M24" s="31"/>
      <c r="N24" s="31"/>
      <c r="O24" s="31"/>
      <c r="P24" s="31"/>
      <c r="Q24" s="31"/>
      <c r="R24" s="31"/>
    </row>
    <row r="25" spans="1:18" x14ac:dyDescent="0.2">
      <c r="A25" s="31" t="str">
        <f ca="1">IFERROR(__xludf.DUMMYFUNCTION("""COMPUTED_VALUE"""),"Geno Smith")</f>
        <v>Geno Smith</v>
      </c>
      <c r="B25" s="31" t="str">
        <f ca="1">IFERROR(__xludf.DUMMYFUNCTION("""COMPUTED_VALUE"""),"Jerry Jeudy")</f>
        <v>Jerry Jeudy</v>
      </c>
      <c r="C25" s="31" t="str">
        <f ca="1">IFERROR(__xludf.DUMMYFUNCTION("""COMPUTED_VALUE"""),"Tommy Tremble")</f>
        <v>Tommy Tremble</v>
      </c>
      <c r="D25" s="31" t="str">
        <f ca="1">IFERROR(__xludf.DUMMYFUNCTION("""COMPUTED_VALUE"""),"Dorian Thompson-Robinson")</f>
        <v>Dorian Thompson-Robinson</v>
      </c>
      <c r="E25" s="31"/>
      <c r="F25" s="31"/>
      <c r="G25" s="31"/>
      <c r="H25" s="31"/>
      <c r="I25" s="31"/>
      <c r="J25" s="31"/>
      <c r="K25" s="31"/>
      <c r="L25" s="31"/>
      <c r="M25" s="31"/>
      <c r="N25" s="31"/>
      <c r="O25" s="31"/>
      <c r="P25" s="31"/>
      <c r="Q25" s="31"/>
      <c r="R25" s="31"/>
    </row>
    <row r="26" spans="1:18" x14ac:dyDescent="0.2">
      <c r="A26" s="31" t="str">
        <f ca="1">IFERROR(__xludf.DUMMYFUNCTION("""COMPUTED_VALUE"""),"Zach Wilson")</f>
        <v>Zach Wilson</v>
      </c>
      <c r="B26" s="31" t="str">
        <f ca="1">IFERROR(__xludf.DUMMYFUNCTION("""COMPUTED_VALUE"""),"Jalen Tolbert")</f>
        <v>Jalen Tolbert</v>
      </c>
      <c r="C26" s="31" t="str">
        <f ca="1">IFERROR(__xludf.DUMMYFUNCTION("""COMPUTED_VALUE"""),"Randall Cobb")</f>
        <v>Randall Cobb</v>
      </c>
      <c r="D26" s="31" t="str">
        <f ca="1">IFERROR(__xludf.DUMMYFUNCTION("""COMPUTED_VALUE"""),"Tyler Huntley")</f>
        <v>Tyler Huntley</v>
      </c>
      <c r="E26" s="31"/>
      <c r="F26" s="31"/>
      <c r="G26" s="31"/>
      <c r="H26" s="31"/>
      <c r="I26" s="31"/>
      <c r="J26" s="31"/>
      <c r="K26" s="31"/>
      <c r="L26" s="31"/>
      <c r="M26" s="31"/>
      <c r="N26" s="31"/>
      <c r="O26" s="31"/>
      <c r="P26" s="31"/>
      <c r="Q26" s="31"/>
      <c r="R26" s="31"/>
    </row>
    <row r="27" spans="1:18" x14ac:dyDescent="0.2">
      <c r="A27" s="31" t="str">
        <f ca="1">IFERROR(__xludf.DUMMYFUNCTION("""COMPUTED_VALUE"""),"Bryce Young")</f>
        <v>Bryce Young</v>
      </c>
      <c r="B27" s="31" t="str">
        <f ca="1">IFERROR(__xludf.DUMMYFUNCTION("""COMPUTED_VALUE"""),"Brevin Jordan")</f>
        <v>Brevin Jordan</v>
      </c>
      <c r="C27" s="31" t="str">
        <f ca="1">IFERROR(__xludf.DUMMYFUNCTION("""COMPUTED_VALUE"""),"Nate Adkins")</f>
        <v>Nate Adkins</v>
      </c>
      <c r="D27" s="31" t="str">
        <f ca="1">IFERROR(__xludf.DUMMYFUNCTION("""COMPUTED_VALUE"""),"Mitchell Trubisky")</f>
        <v>Mitchell Trubisky</v>
      </c>
      <c r="E27" s="31"/>
      <c r="F27" s="31"/>
      <c r="G27" s="31"/>
      <c r="H27" s="31"/>
      <c r="I27" s="31"/>
      <c r="J27" s="31"/>
      <c r="K27" s="31"/>
      <c r="L27" s="31"/>
      <c r="M27" s="31"/>
      <c r="N27" s="31"/>
      <c r="O27" s="31"/>
      <c r="P27" s="31"/>
      <c r="Q27" s="31"/>
      <c r="R27" s="31"/>
    </row>
    <row r="28" spans="1:18" x14ac:dyDescent="0.2">
      <c r="A28" s="31" t="str">
        <f ca="1">IFERROR(__xludf.DUMMYFUNCTION("""COMPUTED_VALUE"""),"Lamar Jackson")</f>
        <v>Lamar Jackson</v>
      </c>
      <c r="B28" s="31" t="str">
        <f ca="1">IFERROR(__xludf.DUMMYFUNCTION("""COMPUTED_VALUE"""),"Foster Moreau")</f>
        <v>Foster Moreau</v>
      </c>
      <c r="C28" s="31" t="str">
        <f ca="1">IFERROR(__xludf.DUMMYFUNCTION("""COMPUTED_VALUE"""),"MyCole Pruitt")</f>
        <v>MyCole Pruitt</v>
      </c>
      <c r="D28" s="31" t="str">
        <f ca="1">IFERROR(__xludf.DUMMYFUNCTION("""COMPUTED_VALUE"""),"Adam Prentice")</f>
        <v>Adam Prentice</v>
      </c>
      <c r="E28" s="31"/>
      <c r="F28" s="31"/>
      <c r="G28" s="31"/>
      <c r="H28" s="31"/>
      <c r="I28" s="31"/>
      <c r="J28" s="31"/>
      <c r="K28" s="31"/>
      <c r="L28" s="31"/>
      <c r="M28" s="31"/>
      <c r="N28" s="31"/>
      <c r="O28" s="31"/>
      <c r="P28" s="31"/>
      <c r="Q28" s="31"/>
      <c r="R28" s="31"/>
    </row>
    <row r="29" spans="1:18" x14ac:dyDescent="0.2">
      <c r="A29" s="31" t="str">
        <f ca="1">IFERROR(__xludf.DUMMYFUNCTION("""COMPUTED_VALUE"""),"Dak Prescott")</f>
        <v>Dak Prescott</v>
      </c>
      <c r="B29" s="31" t="str">
        <f ca="1">IFERROR(__xludf.DUMMYFUNCTION("""COMPUTED_VALUE"""),"Elijah Dotson")</f>
        <v>Elijah Dotson</v>
      </c>
      <c r="C29" s="31" t="str">
        <f ca="1">IFERROR(__xludf.DUMMYFUNCTION("""COMPUTED_VALUE"""),"C.J. Uzomah")</f>
        <v>C.J. Uzomah</v>
      </c>
      <c r="D29" s="31"/>
      <c r="E29" s="31"/>
      <c r="F29" s="31"/>
      <c r="G29" s="31"/>
      <c r="H29" s="31"/>
      <c r="I29" s="31"/>
      <c r="J29" s="31"/>
      <c r="K29" s="31"/>
      <c r="L29" s="31"/>
      <c r="M29" s="31"/>
      <c r="N29" s="31"/>
      <c r="O29" s="31"/>
      <c r="P29" s="31"/>
      <c r="Q29" s="31"/>
      <c r="R29" s="31"/>
    </row>
    <row r="30" spans="1:18" x14ac:dyDescent="0.2">
      <c r="A30" s="31" t="str">
        <f ca="1">IFERROR(__xludf.DUMMYFUNCTION("""COMPUTED_VALUE"""),"Daniel Jones")</f>
        <v>Daniel Jones</v>
      </c>
      <c r="B30" s="31" t="str">
        <f ca="1">IFERROR(__xludf.DUMMYFUNCTION("""COMPUTED_VALUE"""),"Tre Tucker")</f>
        <v>Tre Tucker</v>
      </c>
      <c r="C30" s="31" t="str">
        <f ca="1">IFERROR(__xludf.DUMMYFUNCTION("""COMPUTED_VALUE"""),"Ian Thomas")</f>
        <v>Ian Thomas</v>
      </c>
      <c r="D30" s="31"/>
      <c r="E30" s="31"/>
      <c r="F30" s="31"/>
      <c r="G30" s="31"/>
      <c r="H30" s="31"/>
      <c r="I30" s="31"/>
      <c r="J30" s="31"/>
      <c r="K30" s="31"/>
      <c r="L30" s="31"/>
      <c r="M30" s="31"/>
      <c r="N30" s="31"/>
      <c r="O30" s="31"/>
      <c r="P30" s="31"/>
      <c r="Q30" s="31"/>
      <c r="R30" s="31"/>
    </row>
    <row r="31" spans="1:18" x14ac:dyDescent="0.2">
      <c r="A31" s="31" t="str">
        <f ca="1">IFERROR(__xludf.DUMMYFUNCTION("""COMPUTED_VALUE"""),"Joe Burrow")</f>
        <v>Joe Burrow</v>
      </c>
      <c r="B31" s="31" t="str">
        <f ca="1">IFERROR(__xludf.DUMMYFUNCTION("""COMPUTED_VALUE"""),"Stone Smartt")</f>
        <v>Stone Smartt</v>
      </c>
      <c r="C31" s="31" t="str">
        <f ca="1">IFERROR(__xludf.DUMMYFUNCTION("""COMPUTED_VALUE"""),"Drew Sample")</f>
        <v>Drew Sample</v>
      </c>
      <c r="D31" s="31"/>
      <c r="E31" s="31"/>
      <c r="F31" s="31"/>
      <c r="G31" s="31"/>
      <c r="H31" s="31"/>
      <c r="I31" s="31"/>
      <c r="J31" s="31"/>
      <c r="K31" s="31"/>
      <c r="L31" s="31"/>
      <c r="M31" s="31"/>
      <c r="N31" s="31"/>
      <c r="O31" s="31"/>
      <c r="P31" s="31"/>
      <c r="Q31" s="31"/>
      <c r="R31" s="31"/>
    </row>
    <row r="32" spans="1:18" x14ac:dyDescent="0.2">
      <c r="A32" s="31" t="str">
        <f ca="1">IFERROR(__xludf.DUMMYFUNCTION("""COMPUTED_VALUE"""),"Joshua Dobbs")</f>
        <v>Joshua Dobbs</v>
      </c>
      <c r="B32" s="31" t="str">
        <f ca="1">IFERROR(__xludf.DUMMYFUNCTION("""COMPUTED_VALUE"""),"Hunter Renfrow")</f>
        <v>Hunter Renfrow</v>
      </c>
      <c r="C32" s="31" t="str">
        <f ca="1">IFERROR(__xludf.DUMMYFUNCTION("""COMPUTED_VALUE"""),"Charlie Jones")</f>
        <v>Charlie Jones</v>
      </c>
      <c r="D32" s="31"/>
      <c r="E32" s="31"/>
      <c r="F32" s="31"/>
      <c r="G32" s="31"/>
      <c r="H32" s="31"/>
      <c r="I32" s="31"/>
      <c r="J32" s="31"/>
      <c r="K32" s="31"/>
      <c r="L32" s="31"/>
      <c r="M32" s="31"/>
      <c r="N32" s="31"/>
      <c r="O32" s="31"/>
      <c r="P32" s="31"/>
      <c r="Q32" s="31"/>
      <c r="R32" s="31"/>
    </row>
    <row r="33" spans="1:18" x14ac:dyDescent="0.2">
      <c r="A33" s="31" t="str">
        <f ca="1">IFERROR(__xludf.DUMMYFUNCTION("""COMPUTED_VALUE"""),"Ryan Tannehill")</f>
        <v>Ryan Tannehill</v>
      </c>
      <c r="B33" s="31" t="str">
        <f ca="1">IFERROR(__xludf.DUMMYFUNCTION("""COMPUTED_VALUE"""),"Bennett Skowronek")</f>
        <v>Bennett Skowronek</v>
      </c>
      <c r="C33" s="31" t="str">
        <f ca="1">IFERROR(__xludf.DUMMYFUNCTION("""COMPUTED_VALUE"""),"Jack Stoll")</f>
        <v>Jack Stoll</v>
      </c>
      <c r="D33" s="31"/>
      <c r="E33" s="31"/>
      <c r="F33" s="31"/>
      <c r="G33" s="31"/>
      <c r="H33" s="31"/>
      <c r="I33" s="31"/>
      <c r="J33" s="31"/>
      <c r="K33" s="31"/>
      <c r="L33" s="31"/>
      <c r="M33" s="31"/>
      <c r="N33" s="31"/>
      <c r="O33" s="31"/>
      <c r="P33" s="31"/>
      <c r="Q33" s="31"/>
      <c r="R33" s="31"/>
    </row>
    <row r="34" spans="1:18" x14ac:dyDescent="0.2">
      <c r="A34" s="31" t="str">
        <f ca="1">IFERROR(__xludf.DUMMYFUNCTION("""COMPUTED_VALUE"""),"Jake Browning")</f>
        <v>Jake Browning</v>
      </c>
      <c r="B34" s="31" t="str">
        <f ca="1">IFERROR(__xludf.DUMMYFUNCTION("""COMPUTED_VALUE"""),"John Metchie")</f>
        <v>John Metchie</v>
      </c>
      <c r="C34" s="31" t="str">
        <f ca="1">IFERROR(__xludf.DUMMYFUNCTION("""COMPUTED_VALUE"""),"Luke Farrell")</f>
        <v>Luke Farrell</v>
      </c>
      <c r="D34" s="31"/>
      <c r="E34" s="31"/>
      <c r="F34" s="31"/>
      <c r="G34" s="31"/>
      <c r="H34" s="31"/>
      <c r="I34" s="31"/>
      <c r="J34" s="31"/>
      <c r="K34" s="31"/>
      <c r="L34" s="31"/>
      <c r="M34" s="31"/>
      <c r="N34" s="31"/>
      <c r="O34" s="31"/>
      <c r="P34" s="31"/>
      <c r="Q34" s="31"/>
      <c r="R34" s="31"/>
    </row>
    <row r="35" spans="1:18" x14ac:dyDescent="0.2">
      <c r="A35" s="31" t="str">
        <f ca="1">IFERROR(__xludf.DUMMYFUNCTION("""COMPUTED_VALUE"""),"Sean Clifford")</f>
        <v>Sean Clifford</v>
      </c>
      <c r="B35" s="31" t="str">
        <f ca="1">IFERROR(__xludf.DUMMYFUNCTION("""COMPUTED_VALUE"""),"Emari Demercado")</f>
        <v>Emari Demercado</v>
      </c>
      <c r="C35" s="31" t="str">
        <f ca="1">IFERROR(__xludf.DUMMYFUNCTION("""COMPUTED_VALUE"""),"Zonovan Knight")</f>
        <v>Zonovan Knight</v>
      </c>
      <c r="D35" s="31"/>
      <c r="E35" s="31"/>
      <c r="F35" s="31"/>
      <c r="G35" s="31"/>
      <c r="H35" s="31"/>
      <c r="I35" s="31"/>
      <c r="J35" s="31"/>
      <c r="K35" s="31"/>
      <c r="L35" s="31"/>
      <c r="M35" s="31"/>
      <c r="N35" s="31"/>
      <c r="O35" s="31"/>
      <c r="P35" s="31"/>
      <c r="Q35" s="31"/>
      <c r="R35" s="31"/>
    </row>
    <row r="36" spans="1:18" x14ac:dyDescent="0.2">
      <c r="A36" s="31" t="str">
        <f ca="1">IFERROR(__xludf.DUMMYFUNCTION("""COMPUTED_VALUE"""),"Sam Darnold")</f>
        <v>Sam Darnold</v>
      </c>
      <c r="B36" s="31" t="str">
        <f ca="1">IFERROR(__xludf.DUMMYFUNCTION("""COMPUTED_VALUE"""),"D.J. Chark")</f>
        <v>D.J. Chark</v>
      </c>
      <c r="C36" s="31" t="str">
        <f ca="1">IFERROR(__xludf.DUMMYFUNCTION("""COMPUTED_VALUE"""),"Jordan Mason")</f>
        <v>Jordan Mason</v>
      </c>
      <c r="D36" s="31"/>
      <c r="E36" s="31"/>
      <c r="F36" s="31"/>
      <c r="G36" s="31"/>
      <c r="H36" s="31"/>
      <c r="I36" s="31"/>
      <c r="J36" s="31"/>
      <c r="K36" s="31"/>
      <c r="L36" s="31"/>
      <c r="M36" s="31"/>
      <c r="N36" s="31"/>
      <c r="O36" s="31"/>
      <c r="P36" s="31"/>
      <c r="Q36" s="31"/>
      <c r="R36" s="31"/>
    </row>
    <row r="37" spans="1:18" x14ac:dyDescent="0.2">
      <c r="A37" s="31" t="str">
        <f ca="1">IFERROR(__xludf.DUMMYFUNCTION("""COMPUTED_VALUE"""),"Taysom Hill")</f>
        <v>Taysom Hill</v>
      </c>
      <c r="B37" s="31" t="str">
        <f ca="1">IFERROR(__xludf.DUMMYFUNCTION("""COMPUTED_VALUE"""),"Mo Alie-Cox")</f>
        <v>Mo Alie-Cox</v>
      </c>
      <c r="C37" s="31" t="str">
        <f ca="1">IFERROR(__xludf.DUMMYFUNCTION("""COMPUTED_VALUE"""),"C.J. Beathard")</f>
        <v>C.J. Beathard</v>
      </c>
      <c r="D37" s="31"/>
      <c r="E37" s="31"/>
      <c r="F37" s="31"/>
      <c r="G37" s="31"/>
      <c r="H37" s="31"/>
      <c r="I37" s="31"/>
      <c r="J37" s="31"/>
      <c r="K37" s="31"/>
      <c r="L37" s="31"/>
      <c r="M37" s="31"/>
      <c r="N37" s="31"/>
      <c r="O37" s="31"/>
      <c r="P37" s="31"/>
      <c r="Q37" s="31"/>
      <c r="R37" s="31"/>
    </row>
    <row r="38" spans="1:18" x14ac:dyDescent="0.2">
      <c r="A38" s="31" t="str">
        <f ca="1">IFERROR(__xludf.DUMMYFUNCTION("""COMPUTED_VALUE"""),"Gardner Minshew")</f>
        <v>Gardner Minshew</v>
      </c>
      <c r="B38" s="31" t="str">
        <f ca="1">IFERROR(__xludf.DUMMYFUNCTION("""COMPUTED_VALUE"""),"Josiah Deguara")</f>
        <v>Josiah Deguara</v>
      </c>
      <c r="C38" s="31" t="str">
        <f ca="1">IFERROR(__xludf.DUMMYFUNCTION("""COMPUTED_VALUE"""),"Kyle Juszczyk")</f>
        <v>Kyle Juszczyk</v>
      </c>
      <c r="D38" s="31"/>
      <c r="E38" s="31"/>
      <c r="F38" s="31"/>
      <c r="G38" s="31"/>
      <c r="H38" s="31"/>
      <c r="I38" s="31"/>
      <c r="J38" s="31"/>
      <c r="K38" s="31"/>
      <c r="L38" s="31"/>
      <c r="M38" s="31"/>
      <c r="N38" s="31"/>
      <c r="O38" s="31"/>
      <c r="P38" s="31"/>
      <c r="Q38" s="31"/>
      <c r="R38" s="31"/>
    </row>
    <row r="39" spans="1:18" x14ac:dyDescent="0.2">
      <c r="A39" s="31" t="str">
        <f ca="1">IFERROR(__xludf.DUMMYFUNCTION("""COMPUTED_VALUE"""),"Aaron Rodgers")</f>
        <v>Aaron Rodgers</v>
      </c>
      <c r="B39" s="31" t="str">
        <f ca="1">IFERROR(__xludf.DUMMYFUNCTION("""COMPUTED_VALUE"""),"Rashaad Penny")</f>
        <v>Rashaad Penny</v>
      </c>
      <c r="C39" s="31" t="str">
        <f ca="1">IFERROR(__xludf.DUMMYFUNCTION("""COMPUTED_VALUE"""),"Marquise Goodwin")</f>
        <v>Marquise Goodwin</v>
      </c>
      <c r="D39" s="31"/>
      <c r="E39" s="31"/>
      <c r="F39" s="31"/>
      <c r="G39" s="31"/>
      <c r="H39" s="31"/>
      <c r="I39" s="31"/>
      <c r="J39" s="31"/>
      <c r="K39" s="31"/>
      <c r="L39" s="31"/>
      <c r="M39" s="31"/>
      <c r="N39" s="31"/>
      <c r="O39" s="31"/>
      <c r="P39" s="31"/>
      <c r="Q39" s="31"/>
      <c r="R39" s="31"/>
    </row>
    <row r="40" spans="1:18" x14ac:dyDescent="0.2">
      <c r="A40" s="31" t="str">
        <f ca="1">IFERROR(__xludf.DUMMYFUNCTION("""COMPUTED_VALUE"""),"Cooper Rush")</f>
        <v>Cooper Rush</v>
      </c>
      <c r="B40" s="31" t="str">
        <f ca="1">IFERROR(__xludf.DUMMYFUNCTION("""COMPUTED_VALUE"""),"De'Von Achane")</f>
        <v>De'Von Achane</v>
      </c>
      <c r="C40" s="31" t="str">
        <f ca="1">IFERROR(__xludf.DUMMYFUNCTION("""COMPUTED_VALUE"""),"Jason Cabinda")</f>
        <v>Jason Cabinda</v>
      </c>
      <c r="D40" s="31"/>
      <c r="E40" s="31"/>
      <c r="F40" s="31"/>
      <c r="G40" s="31"/>
      <c r="H40" s="31"/>
      <c r="I40" s="31"/>
      <c r="J40" s="31"/>
      <c r="K40" s="31"/>
      <c r="L40" s="31"/>
      <c r="M40" s="31"/>
      <c r="N40" s="31"/>
      <c r="O40" s="31"/>
      <c r="P40" s="31"/>
      <c r="Q40" s="31"/>
      <c r="R40" s="31"/>
    </row>
    <row r="41" spans="1:18" x14ac:dyDescent="0.2">
      <c r="A41" s="31" t="str">
        <f ca="1">IFERROR(__xludf.DUMMYFUNCTION("""COMPUTED_VALUE"""),"Tyrod Taylor")</f>
        <v>Tyrod Taylor</v>
      </c>
      <c r="B41" s="31" t="str">
        <f ca="1">IFERROR(__xludf.DUMMYFUNCTION("""COMPUTED_VALUE"""),"Zach Pascal")</f>
        <v>Zach Pascal</v>
      </c>
      <c r="C41" s="31" t="str">
        <f ca="1">IFERROR(__xludf.DUMMYFUNCTION("""COMPUTED_VALUE"""),"Blaine Gabbert")</f>
        <v>Blaine Gabbert</v>
      </c>
      <c r="D41" s="31"/>
      <c r="E41" s="31"/>
      <c r="F41" s="31"/>
      <c r="G41" s="31"/>
      <c r="H41" s="31"/>
      <c r="I41" s="31"/>
      <c r="J41" s="31"/>
      <c r="K41" s="31"/>
      <c r="L41" s="31"/>
      <c r="M41" s="31"/>
      <c r="N41" s="31"/>
      <c r="O41" s="31"/>
      <c r="P41" s="31"/>
      <c r="Q41" s="31"/>
      <c r="R41" s="31"/>
    </row>
    <row r="42" spans="1:18" x14ac:dyDescent="0.2">
      <c r="A42" s="31" t="str">
        <f ca="1">IFERROR(__xludf.DUMMYFUNCTION("""COMPUTED_VALUE"""),"Aaron Jones")</f>
        <v>Aaron Jones</v>
      </c>
      <c r="B42" s="31" t="str">
        <f ca="1">IFERROR(__xludf.DUMMYFUNCTION("""COMPUTED_VALUE"""),"Isaiah McKenzie")</f>
        <v>Isaiah McKenzie</v>
      </c>
      <c r="C42" s="31"/>
      <c r="D42" s="31"/>
      <c r="E42" s="31"/>
      <c r="F42" s="31"/>
      <c r="G42" s="31"/>
      <c r="H42" s="31"/>
      <c r="I42" s="31"/>
      <c r="J42" s="31"/>
      <c r="K42" s="31"/>
      <c r="L42" s="31"/>
      <c r="M42" s="31"/>
      <c r="N42" s="31"/>
      <c r="O42" s="31"/>
      <c r="P42" s="31"/>
      <c r="Q42" s="31"/>
      <c r="R42" s="31"/>
    </row>
    <row r="43" spans="1:18" x14ac:dyDescent="0.2">
      <c r="A43" s="31" t="str">
        <f ca="1">IFERROR(__xludf.DUMMYFUNCTION("""COMPUTED_VALUE"""),"Austin Ekeler")</f>
        <v>Austin Ekeler</v>
      </c>
      <c r="B43" s="31" t="str">
        <f ca="1">IFERROR(__xludf.DUMMYFUNCTION("""COMPUTED_VALUE"""),"Mecole Hardman")</f>
        <v>Mecole Hardman</v>
      </c>
      <c r="C43" s="31"/>
      <c r="D43" s="31"/>
      <c r="E43" s="31"/>
      <c r="F43" s="31"/>
      <c r="G43" s="31"/>
      <c r="H43" s="31"/>
      <c r="I43" s="31"/>
      <c r="J43" s="31"/>
      <c r="K43" s="31"/>
      <c r="L43" s="31"/>
      <c r="M43" s="31"/>
      <c r="N43" s="31"/>
      <c r="O43" s="31"/>
      <c r="P43" s="31"/>
      <c r="Q43" s="31"/>
      <c r="R43" s="31"/>
    </row>
    <row r="44" spans="1:18" x14ac:dyDescent="0.2">
      <c r="A44" s="31" t="str">
        <f ca="1">IFERROR(__xludf.DUMMYFUNCTION("""COMPUTED_VALUE"""),"Christian McCaffrey")</f>
        <v>Christian McCaffrey</v>
      </c>
      <c r="B44" s="31" t="str">
        <f ca="1">IFERROR(__xludf.DUMMYFUNCTION("""COMPUTED_VALUE"""),"Craig Reynolds")</f>
        <v>Craig Reynolds</v>
      </c>
      <c r="C44" s="31"/>
      <c r="D44" s="31"/>
      <c r="E44" s="31"/>
      <c r="F44" s="31"/>
      <c r="G44" s="31"/>
      <c r="H44" s="31"/>
      <c r="I44" s="31"/>
      <c r="J44" s="31"/>
      <c r="K44" s="31"/>
      <c r="L44" s="31"/>
      <c r="M44" s="31"/>
      <c r="N44" s="31"/>
      <c r="O44" s="31"/>
      <c r="P44" s="31"/>
      <c r="Q44" s="31"/>
      <c r="R44" s="31"/>
    </row>
    <row r="45" spans="1:18" x14ac:dyDescent="0.2">
      <c r="A45" s="31" t="str">
        <f ca="1">IFERROR(__xludf.DUMMYFUNCTION("""COMPUTED_VALUE"""),"Tyler Allgeier")</f>
        <v>Tyler Allgeier</v>
      </c>
      <c r="B45" s="31" t="str">
        <f ca="1">IFERROR(__xludf.DUMMYFUNCTION("""COMPUTED_VALUE"""),"Ameer Abdullah")</f>
        <v>Ameer Abdullah</v>
      </c>
      <c r="C45" s="31"/>
      <c r="D45" s="31"/>
      <c r="E45" s="31"/>
      <c r="F45" s="31"/>
      <c r="G45" s="31"/>
      <c r="H45" s="31"/>
      <c r="I45" s="31"/>
      <c r="J45" s="31"/>
      <c r="K45" s="31"/>
      <c r="L45" s="31"/>
      <c r="M45" s="31"/>
      <c r="N45" s="31"/>
      <c r="O45" s="31"/>
      <c r="P45" s="31"/>
      <c r="Q45" s="31"/>
      <c r="R45" s="31"/>
    </row>
    <row r="46" spans="1:18" x14ac:dyDescent="0.2">
      <c r="A46" s="31" t="str">
        <f ca="1">IFERROR(__xludf.DUMMYFUNCTION("""COMPUTED_VALUE"""),"Tony Pollard")</f>
        <v>Tony Pollard</v>
      </c>
      <c r="B46" s="31" t="str">
        <f ca="1">IFERROR(__xludf.DUMMYFUNCTION("""COMPUTED_VALUE"""),"Miles Boykin")</f>
        <v>Miles Boykin</v>
      </c>
      <c r="C46" s="31"/>
      <c r="D46" s="31"/>
      <c r="E46" s="31"/>
      <c r="F46" s="31"/>
      <c r="G46" s="31"/>
      <c r="H46" s="31"/>
      <c r="I46" s="31"/>
      <c r="J46" s="31"/>
      <c r="K46" s="31"/>
      <c r="L46" s="31"/>
      <c r="M46" s="31"/>
      <c r="N46" s="31"/>
      <c r="O46" s="31"/>
      <c r="P46" s="31"/>
      <c r="Q46" s="31"/>
      <c r="R46" s="31"/>
    </row>
    <row r="47" spans="1:18" x14ac:dyDescent="0.2">
      <c r="A47" s="31" t="str">
        <f ca="1">IFERROR(__xludf.DUMMYFUNCTION("""COMPUTED_VALUE"""),"Travis Etienne")</f>
        <v>Travis Etienne</v>
      </c>
      <c r="B47" s="31" t="str">
        <f ca="1">IFERROR(__xludf.DUMMYFUNCTION("""COMPUTED_VALUE"""),"Devin Duvernay")</f>
        <v>Devin Duvernay</v>
      </c>
      <c r="C47" s="31"/>
      <c r="D47" s="31"/>
      <c r="E47" s="31"/>
      <c r="F47" s="31"/>
      <c r="G47" s="31"/>
      <c r="H47" s="31"/>
      <c r="I47" s="31"/>
      <c r="J47" s="31"/>
      <c r="K47" s="31"/>
      <c r="L47" s="31"/>
      <c r="M47" s="31"/>
      <c r="N47" s="31"/>
      <c r="O47" s="31"/>
      <c r="P47" s="31"/>
      <c r="Q47" s="31"/>
      <c r="R47" s="31"/>
    </row>
    <row r="48" spans="1:18" x14ac:dyDescent="0.2">
      <c r="A48" s="31" t="str">
        <f ca="1">IFERROR(__xludf.DUMMYFUNCTION("""COMPUTED_VALUE"""),"Bijan Robinson")</f>
        <v>Bijan Robinson</v>
      </c>
      <c r="B48" s="31" t="str">
        <f ca="1">IFERROR(__xludf.DUMMYFUNCTION("""COMPUTED_VALUE"""),"Ronnie Rivers")</f>
        <v>Ronnie Rivers</v>
      </c>
      <c r="C48" s="31"/>
      <c r="D48" s="31"/>
      <c r="E48" s="31"/>
      <c r="F48" s="31"/>
      <c r="G48" s="31"/>
      <c r="H48" s="31"/>
      <c r="I48" s="31"/>
      <c r="J48" s="31"/>
      <c r="K48" s="31"/>
      <c r="L48" s="31"/>
      <c r="M48" s="31"/>
      <c r="N48" s="31"/>
      <c r="O48" s="31"/>
      <c r="P48" s="31"/>
      <c r="Q48" s="31"/>
      <c r="R48" s="31"/>
    </row>
    <row r="49" spans="1:18" x14ac:dyDescent="0.2">
      <c r="A49" s="31" t="str">
        <f ca="1">IFERROR(__xludf.DUMMYFUNCTION("""COMPUTED_VALUE"""),"Roschon Johnson")</f>
        <v>Roschon Johnson</v>
      </c>
      <c r="B49" s="31" t="str">
        <f ca="1">IFERROR(__xludf.DUMMYFUNCTION("""COMPUTED_VALUE"""),"Byron Pringle")</f>
        <v>Byron Pringle</v>
      </c>
      <c r="C49" s="31"/>
      <c r="D49" s="31"/>
      <c r="E49" s="31"/>
      <c r="F49" s="31"/>
      <c r="G49" s="31"/>
      <c r="H49" s="31"/>
      <c r="I49" s="31"/>
      <c r="J49" s="31"/>
      <c r="K49" s="31"/>
      <c r="L49" s="31"/>
      <c r="M49" s="31"/>
      <c r="N49" s="31"/>
      <c r="O49" s="31"/>
      <c r="P49" s="31"/>
      <c r="Q49" s="31"/>
      <c r="R49" s="31"/>
    </row>
    <row r="50" spans="1:18" x14ac:dyDescent="0.2">
      <c r="A50" s="31" t="str">
        <f ca="1">IFERROR(__xludf.DUMMYFUNCTION("""COMPUTED_VALUE"""),"Kyren Williams")</f>
        <v>Kyren Williams</v>
      </c>
      <c r="B50" s="31" t="str">
        <f ca="1">IFERROR(__xludf.DUMMYFUNCTION("""COMPUTED_VALUE"""),"Sterling Shepard")</f>
        <v>Sterling Shepard</v>
      </c>
      <c r="C50" s="31"/>
      <c r="D50" s="31"/>
      <c r="E50" s="31"/>
      <c r="F50" s="31"/>
      <c r="G50" s="31"/>
      <c r="H50" s="31"/>
      <c r="I50" s="31"/>
      <c r="J50" s="31"/>
      <c r="K50" s="31"/>
      <c r="L50" s="31"/>
      <c r="M50" s="31"/>
      <c r="N50" s="31"/>
      <c r="O50" s="31"/>
      <c r="P50" s="31"/>
      <c r="Q50" s="31"/>
      <c r="R50" s="31"/>
    </row>
    <row r="51" spans="1:18" x14ac:dyDescent="0.2">
      <c r="A51" s="31" t="str">
        <f ca="1">IFERROR(__xludf.DUMMYFUNCTION("""COMPUTED_VALUE"""),"Nick Chubb")</f>
        <v>Nick Chubb</v>
      </c>
      <c r="B51" s="31" t="str">
        <f ca="1">IFERROR(__xludf.DUMMYFUNCTION("""COMPUTED_VALUE"""),"Reggie Gilliam")</f>
        <v>Reggie Gilliam</v>
      </c>
      <c r="C51" s="31"/>
      <c r="D51" s="31"/>
      <c r="E51" s="31"/>
      <c r="F51" s="31"/>
      <c r="G51" s="31"/>
      <c r="H51" s="31"/>
      <c r="I51" s="31"/>
      <c r="J51" s="31"/>
      <c r="K51" s="31"/>
      <c r="L51" s="31"/>
      <c r="M51" s="31"/>
      <c r="N51" s="31"/>
      <c r="O51" s="31"/>
      <c r="P51" s="31"/>
      <c r="Q51" s="31"/>
      <c r="R51" s="31"/>
    </row>
    <row r="52" spans="1:18" x14ac:dyDescent="0.2">
      <c r="A52" s="31" t="str">
        <f ca="1">IFERROR(__xludf.DUMMYFUNCTION("""COMPUTED_VALUE"""),"Breece Hall")</f>
        <v>Breece Hall</v>
      </c>
      <c r="B52" s="31" t="str">
        <f ca="1">IFERROR(__xludf.DUMMYFUNCTION("""COMPUTED_VALUE"""),"Jake Bobo")</f>
        <v>Jake Bobo</v>
      </c>
      <c r="C52" s="31"/>
      <c r="D52" s="31"/>
      <c r="E52" s="31"/>
      <c r="F52" s="31"/>
      <c r="G52" s="31"/>
      <c r="H52" s="31"/>
      <c r="I52" s="31"/>
      <c r="J52" s="31"/>
      <c r="K52" s="31"/>
      <c r="L52" s="31"/>
      <c r="M52" s="31"/>
      <c r="N52" s="31"/>
      <c r="O52" s="31"/>
      <c r="P52" s="31"/>
      <c r="Q52" s="31"/>
      <c r="R52" s="31"/>
    </row>
    <row r="53" spans="1:18" x14ac:dyDescent="0.2">
      <c r="A53" s="31" t="str">
        <f ca="1">IFERROR(__xludf.DUMMYFUNCTION("""COMPUTED_VALUE"""),"Joshua Kelley")</f>
        <v>Joshua Kelley</v>
      </c>
      <c r="B53" s="31" t="str">
        <f ca="1">IFERROR(__xludf.DUMMYFUNCTION("""COMPUTED_VALUE"""),"Antoine Green")</f>
        <v>Antoine Green</v>
      </c>
      <c r="C53" s="31"/>
      <c r="D53" s="31"/>
      <c r="E53" s="31"/>
      <c r="F53" s="31"/>
      <c r="G53" s="31"/>
      <c r="H53" s="31"/>
      <c r="I53" s="31"/>
      <c r="J53" s="31"/>
      <c r="K53" s="31"/>
      <c r="L53" s="31"/>
      <c r="M53" s="31"/>
      <c r="N53" s="31"/>
      <c r="O53" s="31"/>
      <c r="P53" s="31"/>
      <c r="Q53" s="31"/>
      <c r="R53" s="31"/>
    </row>
    <row r="54" spans="1:18" x14ac:dyDescent="0.2">
      <c r="A54" s="31" t="str">
        <f ca="1">IFERROR(__xludf.DUMMYFUNCTION("""COMPUTED_VALUE"""),"Rhamondre Stevenson")</f>
        <v>Rhamondre Stevenson</v>
      </c>
      <c r="B54" s="31" t="str">
        <f ca="1">IFERROR(__xludf.DUMMYFUNCTION("""COMPUTED_VALUE"""),"Michael Mayer")</f>
        <v>Michael Mayer</v>
      </c>
      <c r="C54" s="31"/>
      <c r="D54" s="31"/>
      <c r="E54" s="31"/>
      <c r="F54" s="31"/>
      <c r="G54" s="31"/>
      <c r="H54" s="31"/>
      <c r="I54" s="31"/>
      <c r="J54" s="31"/>
      <c r="K54" s="31"/>
      <c r="L54" s="31"/>
      <c r="M54" s="31"/>
      <c r="N54" s="31"/>
      <c r="O54" s="31"/>
      <c r="P54" s="31"/>
      <c r="Q54" s="31"/>
      <c r="R54" s="31"/>
    </row>
    <row r="55" spans="1:18" x14ac:dyDescent="0.2">
      <c r="A55" s="31" t="str">
        <f ca="1">IFERROR(__xludf.DUMMYFUNCTION("""COMPUTED_VALUE"""),"Derrick Henry")</f>
        <v>Derrick Henry</v>
      </c>
      <c r="B55" s="31" t="str">
        <f ca="1">IFERROR(__xludf.DUMMYFUNCTION("""COMPUTED_VALUE"""),"David Wells")</f>
        <v>David Wells</v>
      </c>
      <c r="C55" s="31"/>
      <c r="D55" s="31"/>
      <c r="E55" s="31"/>
      <c r="F55" s="31"/>
      <c r="G55" s="31"/>
      <c r="H55" s="31"/>
      <c r="I55" s="31"/>
      <c r="J55" s="31"/>
      <c r="K55" s="31"/>
      <c r="L55" s="31"/>
      <c r="M55" s="31"/>
      <c r="N55" s="31"/>
      <c r="O55" s="31"/>
      <c r="P55" s="31"/>
      <c r="Q55" s="31"/>
      <c r="R55" s="31"/>
    </row>
    <row r="56" spans="1:18" x14ac:dyDescent="0.2">
      <c r="A56" s="31" t="str">
        <f ca="1">IFERROR(__xludf.DUMMYFUNCTION("""COMPUTED_VALUE"""),"Alexander Mattison")</f>
        <v>Alexander Mattison</v>
      </c>
      <c r="B56" s="31" t="str">
        <f ca="1">IFERROR(__xludf.DUMMYFUNCTION("""COMPUTED_VALUE"""),"Emanuel Wilson")</f>
        <v>Emanuel Wilson</v>
      </c>
      <c r="C56" s="31"/>
      <c r="D56" s="31"/>
      <c r="E56" s="31"/>
      <c r="F56" s="31"/>
      <c r="G56" s="31"/>
      <c r="H56" s="31"/>
      <c r="I56" s="31"/>
      <c r="J56" s="31"/>
      <c r="K56" s="31"/>
      <c r="L56" s="31"/>
      <c r="M56" s="31"/>
      <c r="N56" s="31"/>
      <c r="O56" s="31"/>
      <c r="P56" s="31"/>
      <c r="Q56" s="31"/>
      <c r="R56" s="31"/>
    </row>
    <row r="57" spans="1:18" x14ac:dyDescent="0.2">
      <c r="A57" s="31" t="str">
        <f ca="1">IFERROR(__xludf.DUMMYFUNCTION("""COMPUTED_VALUE"""),"David Montgomery")</f>
        <v>David Montgomery</v>
      </c>
      <c r="B57" s="31" t="str">
        <f ca="1">IFERROR(__xludf.DUMMYFUNCTION("""COMPUTED_VALUE"""),"Dare Ogunbowale")</f>
        <v>Dare Ogunbowale</v>
      </c>
      <c r="C57" s="31"/>
      <c r="D57" s="31"/>
      <c r="E57" s="31"/>
      <c r="F57" s="31"/>
      <c r="G57" s="31"/>
      <c r="H57" s="31"/>
      <c r="I57" s="31"/>
      <c r="J57" s="31"/>
      <c r="K57" s="31"/>
      <c r="L57" s="31"/>
      <c r="M57" s="31"/>
      <c r="N57" s="31"/>
      <c r="O57" s="31"/>
      <c r="P57" s="31"/>
      <c r="Q57" s="31"/>
      <c r="R57" s="31"/>
    </row>
    <row r="58" spans="1:18" x14ac:dyDescent="0.2">
      <c r="A58" s="31" t="str">
        <f ca="1">IFERROR(__xludf.DUMMYFUNCTION("""COMPUTED_VALUE"""),"Justice Hill")</f>
        <v>Justice Hill</v>
      </c>
      <c r="B58" s="31" t="str">
        <f ca="1">IFERROR(__xludf.DUMMYFUNCTION("""COMPUTED_VALUE"""),"Isaiah Spiller")</f>
        <v>Isaiah Spiller</v>
      </c>
      <c r="C58" s="31"/>
      <c r="D58" s="31"/>
      <c r="E58" s="31"/>
      <c r="F58" s="31"/>
      <c r="G58" s="31"/>
      <c r="H58" s="31"/>
      <c r="I58" s="31"/>
      <c r="J58" s="31"/>
      <c r="K58" s="31"/>
      <c r="L58" s="31"/>
      <c r="M58" s="31"/>
      <c r="N58" s="31"/>
      <c r="O58" s="31"/>
      <c r="P58" s="31"/>
      <c r="Q58" s="31"/>
      <c r="R58" s="31"/>
    </row>
    <row r="59" spans="1:18" x14ac:dyDescent="0.2">
      <c r="A59" s="31" t="str">
        <f ca="1">IFERROR(__xludf.DUMMYFUNCTION("""COMPUTED_VALUE"""),"Raheem Mostert")</f>
        <v>Raheem Mostert</v>
      </c>
      <c r="B59" s="31" t="str">
        <f ca="1">IFERROR(__xludf.DUMMYFUNCTION("""COMPUTED_VALUE"""),"Andrew Beck")</f>
        <v>Andrew Beck</v>
      </c>
      <c r="C59" s="31"/>
      <c r="D59" s="31"/>
      <c r="E59" s="31"/>
      <c r="F59" s="31"/>
      <c r="G59" s="31"/>
      <c r="H59" s="31"/>
      <c r="I59" s="31"/>
      <c r="J59" s="31"/>
      <c r="K59" s="31"/>
      <c r="L59" s="31"/>
      <c r="M59" s="31"/>
      <c r="N59" s="31"/>
      <c r="O59" s="31"/>
      <c r="P59" s="31"/>
      <c r="Q59" s="31"/>
      <c r="R59" s="31"/>
    </row>
    <row r="60" spans="1:18" x14ac:dyDescent="0.2">
      <c r="A60" s="31" t="str">
        <f ca="1">IFERROR(__xludf.DUMMYFUNCTION("""COMPUTED_VALUE"""),"Brian Robinson")</f>
        <v>Brian Robinson</v>
      </c>
      <c r="B60" s="31" t="str">
        <f ca="1">IFERROR(__xludf.DUMMYFUNCTION("""COMPUTED_VALUE"""),"Chase Brown")</f>
        <v>Chase Brown</v>
      </c>
      <c r="C60" s="31"/>
      <c r="D60" s="31"/>
      <c r="E60" s="31"/>
      <c r="F60" s="31"/>
      <c r="G60" s="31"/>
      <c r="H60" s="31"/>
      <c r="I60" s="31"/>
      <c r="J60" s="31"/>
      <c r="K60" s="31"/>
      <c r="L60" s="31"/>
      <c r="M60" s="31"/>
      <c r="N60" s="31"/>
      <c r="O60" s="31"/>
      <c r="P60" s="31"/>
      <c r="Q60" s="31"/>
      <c r="R60" s="31"/>
    </row>
    <row r="61" spans="1:18" x14ac:dyDescent="0.2">
      <c r="A61" s="31" t="str">
        <f ca="1">IFERROR(__xludf.DUMMYFUNCTION("""COMPUTED_VALUE"""),"Miles Sanders")</f>
        <v>Miles Sanders</v>
      </c>
      <c r="B61" s="31" t="str">
        <f ca="1">IFERROR(__xludf.DUMMYFUNCTION("""COMPUTED_VALUE"""),"Peyton Hendershot")</f>
        <v>Peyton Hendershot</v>
      </c>
      <c r="C61" s="31"/>
      <c r="D61" s="31"/>
      <c r="E61" s="31"/>
      <c r="F61" s="31"/>
      <c r="G61" s="31"/>
      <c r="H61" s="31"/>
      <c r="I61" s="31"/>
      <c r="J61" s="31"/>
      <c r="K61" s="31"/>
      <c r="L61" s="31"/>
      <c r="M61" s="31"/>
      <c r="N61" s="31"/>
      <c r="O61" s="31"/>
      <c r="P61" s="31"/>
      <c r="Q61" s="31"/>
      <c r="R61" s="31"/>
    </row>
    <row r="62" spans="1:18" x14ac:dyDescent="0.2">
      <c r="A62" s="31" t="str">
        <f ca="1">IFERROR(__xludf.DUMMYFUNCTION("""COMPUTED_VALUE"""),"James Conner")</f>
        <v>James Conner</v>
      </c>
      <c r="B62" s="31" t="str">
        <f ca="1">IFERROR(__xludf.DUMMYFUNCTION("""COMPUTED_VALUE"""),"Kyle Allen")</f>
        <v>Kyle Allen</v>
      </c>
      <c r="C62" s="31"/>
      <c r="D62" s="31"/>
      <c r="E62" s="31"/>
      <c r="F62" s="31"/>
      <c r="G62" s="31"/>
      <c r="H62" s="31"/>
      <c r="I62" s="31"/>
      <c r="J62" s="31"/>
      <c r="K62" s="31"/>
      <c r="L62" s="31"/>
      <c r="M62" s="31"/>
      <c r="N62" s="31"/>
      <c r="O62" s="31"/>
      <c r="P62" s="31"/>
      <c r="Q62" s="31"/>
      <c r="R62" s="31"/>
    </row>
    <row r="63" spans="1:18" x14ac:dyDescent="0.2">
      <c r="A63" s="31" t="str">
        <f ca="1">IFERROR(__xludf.DUMMYFUNCTION("""COMPUTED_VALUE"""),"J.K. Dobbins")</f>
        <v>J.K. Dobbins</v>
      </c>
      <c r="B63" s="31" t="str">
        <f ca="1">IFERROR(__xludf.DUMMYFUNCTION("""COMPUTED_VALUE"""),"Velus Jones")</f>
        <v>Velus Jones</v>
      </c>
      <c r="C63" s="31"/>
      <c r="D63" s="31"/>
      <c r="E63" s="31"/>
      <c r="F63" s="31"/>
      <c r="G63" s="31"/>
      <c r="H63" s="31"/>
      <c r="I63" s="31"/>
      <c r="J63" s="31"/>
      <c r="K63" s="31"/>
      <c r="L63" s="31"/>
      <c r="M63" s="31"/>
      <c r="N63" s="31"/>
      <c r="O63" s="31"/>
      <c r="P63" s="31"/>
      <c r="Q63" s="31"/>
      <c r="R63" s="31"/>
    </row>
    <row r="64" spans="1:18" x14ac:dyDescent="0.2">
      <c r="A64" s="31" t="str">
        <f ca="1">IFERROR(__xludf.DUMMYFUNCTION("""COMPUTED_VALUE"""),"Kenny Gainwell")</f>
        <v>Kenny Gainwell</v>
      </c>
      <c r="B64" s="31" t="str">
        <f ca="1">IFERROR(__xludf.DUMMYFUNCTION("""COMPUTED_VALUE"""),"Gunner Olszewski")</f>
        <v>Gunner Olszewski</v>
      </c>
      <c r="C64" s="31"/>
      <c r="D64" s="31"/>
      <c r="E64" s="31"/>
      <c r="F64" s="31"/>
      <c r="G64" s="31"/>
      <c r="H64" s="31"/>
      <c r="I64" s="31"/>
      <c r="J64" s="31"/>
      <c r="K64" s="31"/>
      <c r="L64" s="31"/>
      <c r="M64" s="31"/>
      <c r="N64" s="31"/>
      <c r="O64" s="31"/>
      <c r="P64" s="31"/>
      <c r="Q64" s="31"/>
      <c r="R64" s="31"/>
    </row>
    <row r="65" spans="1:18" x14ac:dyDescent="0.2">
      <c r="A65" s="31" t="str">
        <f ca="1">IFERROR(__xludf.DUMMYFUNCTION("""COMPUTED_VALUE"""),"Samaje Perine")</f>
        <v>Samaje Perine</v>
      </c>
      <c r="B65" s="31" t="str">
        <f ca="1">IFERROR(__xludf.DUMMYFUNCTION("""COMPUTED_VALUE"""),"Brandon Powell")</f>
        <v>Brandon Powell</v>
      </c>
      <c r="C65" s="31"/>
      <c r="D65" s="31"/>
      <c r="E65" s="31"/>
      <c r="F65" s="31"/>
      <c r="G65" s="31"/>
      <c r="H65" s="31"/>
      <c r="I65" s="31"/>
      <c r="J65" s="31"/>
      <c r="K65" s="31"/>
      <c r="L65" s="31"/>
      <c r="M65" s="31"/>
      <c r="N65" s="31"/>
      <c r="O65" s="31"/>
      <c r="P65" s="31"/>
      <c r="Q65" s="31"/>
      <c r="R65" s="31"/>
    </row>
    <row r="66" spans="1:18" x14ac:dyDescent="0.2">
      <c r="A66" s="31" t="str">
        <f ca="1">IFERROR(__xludf.DUMMYFUNCTION("""COMPUTED_VALUE"""),"Khalil Herbert")</f>
        <v>Khalil Herbert</v>
      </c>
      <c r="B66" s="31"/>
      <c r="C66" s="31"/>
      <c r="D66" s="31"/>
      <c r="E66" s="31"/>
      <c r="F66" s="31"/>
      <c r="G66" s="31"/>
      <c r="H66" s="31"/>
      <c r="I66" s="31"/>
      <c r="J66" s="31"/>
      <c r="K66" s="31"/>
      <c r="L66" s="31"/>
      <c r="M66" s="31"/>
      <c r="N66" s="31"/>
      <c r="O66" s="31"/>
      <c r="P66" s="31"/>
      <c r="Q66" s="31"/>
      <c r="R66" s="31"/>
    </row>
    <row r="67" spans="1:18" x14ac:dyDescent="0.2">
      <c r="A67" s="31" t="str">
        <f ca="1">IFERROR(__xludf.DUMMYFUNCTION("""COMPUTED_VALUE"""),"Kenneth Walker")</f>
        <v>Kenneth Walker</v>
      </c>
      <c r="B67" s="31"/>
      <c r="C67" s="31"/>
      <c r="D67" s="31"/>
      <c r="E67" s="31"/>
      <c r="F67" s="31"/>
      <c r="G67" s="31"/>
      <c r="H67" s="31"/>
      <c r="I67" s="31"/>
      <c r="J67" s="31"/>
      <c r="K67" s="31"/>
      <c r="L67" s="31"/>
      <c r="M67" s="31"/>
      <c r="N67" s="31"/>
      <c r="O67" s="31"/>
      <c r="P67" s="31"/>
      <c r="Q67" s="31"/>
      <c r="R67" s="31"/>
    </row>
    <row r="68" spans="1:18" x14ac:dyDescent="0.2">
      <c r="A68" s="31" t="str">
        <f ca="1">IFERROR(__xludf.DUMMYFUNCTION("""COMPUTED_VALUE"""),"Saquon Barkley")</f>
        <v>Saquon Barkley</v>
      </c>
      <c r="B68" s="31"/>
      <c r="C68" s="31"/>
      <c r="D68" s="31"/>
      <c r="E68" s="31"/>
      <c r="F68" s="31"/>
      <c r="G68" s="31"/>
      <c r="H68" s="31"/>
      <c r="I68" s="31"/>
      <c r="J68" s="31"/>
      <c r="K68" s="31"/>
      <c r="L68" s="31"/>
      <c r="M68" s="31"/>
      <c r="N68" s="31"/>
      <c r="O68" s="31"/>
      <c r="P68" s="31"/>
      <c r="Q68" s="31"/>
      <c r="R68" s="31"/>
    </row>
    <row r="69" spans="1:18" x14ac:dyDescent="0.2">
      <c r="A69" s="31" t="str">
        <f ca="1">IFERROR(__xludf.DUMMYFUNCTION("""COMPUTED_VALUE"""),"James Cook")</f>
        <v>James Cook</v>
      </c>
      <c r="B69" s="31"/>
      <c r="C69" s="31"/>
      <c r="D69" s="31"/>
      <c r="E69" s="31"/>
      <c r="F69" s="31"/>
      <c r="G69" s="31"/>
      <c r="H69" s="31"/>
      <c r="I69" s="31"/>
      <c r="J69" s="31"/>
      <c r="K69" s="31"/>
      <c r="L69" s="31"/>
      <c r="M69" s="31"/>
      <c r="N69" s="31"/>
      <c r="O69" s="31"/>
      <c r="P69" s="31"/>
      <c r="Q69" s="31"/>
      <c r="R69" s="31"/>
    </row>
    <row r="70" spans="1:18" x14ac:dyDescent="0.2">
      <c r="A70" s="31" t="str">
        <f ca="1">IFERROR(__xludf.DUMMYFUNCTION("""COMPUTED_VALUE"""),"Joe Mixon")</f>
        <v>Joe Mixon</v>
      </c>
      <c r="B70" s="31"/>
      <c r="C70" s="31"/>
      <c r="D70" s="31"/>
      <c r="E70" s="31"/>
      <c r="F70" s="31"/>
      <c r="G70" s="31"/>
      <c r="H70" s="31"/>
      <c r="I70" s="31"/>
      <c r="J70" s="31"/>
      <c r="K70" s="31"/>
      <c r="L70" s="31"/>
      <c r="M70" s="31"/>
      <c r="N70" s="31"/>
      <c r="O70" s="31"/>
      <c r="P70" s="31"/>
      <c r="Q70" s="31"/>
      <c r="R70" s="31"/>
    </row>
    <row r="71" spans="1:18" x14ac:dyDescent="0.2">
      <c r="A71" s="31" t="str">
        <f ca="1">IFERROR(__xludf.DUMMYFUNCTION("""COMPUTED_VALUE"""),"Isiah Pacheco")</f>
        <v>Isiah Pacheco</v>
      </c>
      <c r="B71" s="31"/>
      <c r="C71" s="31"/>
      <c r="D71" s="31"/>
      <c r="E71" s="31"/>
      <c r="F71" s="31"/>
      <c r="G71" s="31"/>
      <c r="H71" s="31"/>
      <c r="I71" s="31"/>
      <c r="J71" s="31"/>
      <c r="K71" s="31"/>
      <c r="L71" s="31"/>
      <c r="M71" s="31"/>
      <c r="N71" s="31"/>
      <c r="O71" s="31"/>
      <c r="P71" s="31"/>
      <c r="Q71" s="31"/>
      <c r="R71" s="31"/>
    </row>
    <row r="72" spans="1:18" x14ac:dyDescent="0.2">
      <c r="A72" s="31" t="str">
        <f ca="1">IFERROR(__xludf.DUMMYFUNCTION("""COMPUTED_VALUE"""),"Javonte Williams")</f>
        <v>Javonte Williams</v>
      </c>
      <c r="B72" s="31"/>
      <c r="C72" s="31"/>
      <c r="D72" s="31"/>
      <c r="E72" s="31"/>
      <c r="F72" s="31"/>
      <c r="G72" s="31"/>
      <c r="H72" s="31"/>
      <c r="I72" s="31"/>
      <c r="J72" s="31"/>
      <c r="K72" s="31"/>
      <c r="L72" s="31"/>
      <c r="M72" s="31"/>
      <c r="N72" s="31"/>
      <c r="O72" s="31"/>
      <c r="P72" s="31"/>
      <c r="Q72" s="31"/>
      <c r="R72" s="31"/>
    </row>
    <row r="73" spans="1:18" x14ac:dyDescent="0.2">
      <c r="A73" s="31" t="str">
        <f ca="1">IFERROR(__xludf.DUMMYFUNCTION("""COMPUTED_VALUE"""),"Cam Akers")</f>
        <v>Cam Akers</v>
      </c>
      <c r="B73" s="31"/>
      <c r="C73" s="31"/>
      <c r="D73" s="31"/>
      <c r="E73" s="31"/>
      <c r="F73" s="31"/>
      <c r="G73" s="31"/>
      <c r="H73" s="31"/>
      <c r="I73" s="31"/>
      <c r="J73" s="31"/>
      <c r="K73" s="31"/>
      <c r="L73" s="31"/>
      <c r="M73" s="31"/>
      <c r="N73" s="31"/>
      <c r="O73" s="31"/>
      <c r="P73" s="31"/>
      <c r="Q73" s="31"/>
      <c r="R73" s="31"/>
    </row>
    <row r="74" spans="1:18" x14ac:dyDescent="0.2">
      <c r="A74" s="31" t="str">
        <f ca="1">IFERROR(__xludf.DUMMYFUNCTION("""COMPUTED_VALUE"""),"Dalvin Cook")</f>
        <v>Dalvin Cook</v>
      </c>
      <c r="B74" s="31"/>
      <c r="C74" s="31"/>
      <c r="D74" s="31"/>
      <c r="E74" s="31"/>
      <c r="F74" s="31"/>
      <c r="G74" s="31"/>
      <c r="H74" s="31"/>
      <c r="I74" s="31"/>
      <c r="J74" s="31"/>
      <c r="K74" s="31"/>
      <c r="L74" s="31"/>
      <c r="M74" s="31"/>
      <c r="N74" s="31"/>
      <c r="O74" s="31"/>
      <c r="P74" s="31"/>
      <c r="Q74" s="31"/>
      <c r="R74" s="31"/>
    </row>
    <row r="75" spans="1:18" x14ac:dyDescent="0.2">
      <c r="A75" s="31" t="str">
        <f ca="1">IFERROR(__xludf.DUMMYFUNCTION("""COMPUTED_VALUE"""),"Chuba Hubbard")</f>
        <v>Chuba Hubbard</v>
      </c>
      <c r="B75" s="31"/>
      <c r="C75" s="31"/>
      <c r="D75" s="31"/>
      <c r="E75" s="31"/>
      <c r="F75" s="31"/>
      <c r="G75" s="31"/>
      <c r="H75" s="31"/>
      <c r="I75" s="31"/>
      <c r="J75" s="31"/>
      <c r="K75" s="31"/>
      <c r="L75" s="31"/>
      <c r="M75" s="31"/>
      <c r="N75" s="31"/>
      <c r="O75" s="31"/>
      <c r="P75" s="31"/>
      <c r="Q75" s="31"/>
      <c r="R75" s="31"/>
    </row>
    <row r="76" spans="1:18" x14ac:dyDescent="0.2">
      <c r="A76" s="31" t="str">
        <f ca="1">IFERROR(__xludf.DUMMYFUNCTION("""COMPUTED_VALUE"""),"Josh Jacobs")</f>
        <v>Josh Jacobs</v>
      </c>
      <c r="B76" s="31"/>
      <c r="C76" s="31"/>
      <c r="D76" s="31"/>
      <c r="E76" s="31"/>
      <c r="F76" s="31"/>
      <c r="G76" s="31"/>
      <c r="H76" s="31"/>
      <c r="I76" s="31"/>
      <c r="J76" s="31"/>
      <c r="K76" s="31"/>
      <c r="L76" s="31"/>
      <c r="M76" s="31"/>
      <c r="N76" s="31"/>
      <c r="O76" s="31"/>
      <c r="P76" s="31"/>
      <c r="Q76" s="31"/>
      <c r="R76" s="31"/>
    </row>
    <row r="77" spans="1:18" x14ac:dyDescent="0.2">
      <c r="A77" s="31" t="str">
        <f ca="1">IFERROR(__xludf.DUMMYFUNCTION("""COMPUTED_VALUE"""),"Ezekiel Elliott")</f>
        <v>Ezekiel Elliott</v>
      </c>
      <c r="B77" s="31"/>
      <c r="C77" s="31"/>
      <c r="D77" s="31"/>
      <c r="E77" s="31"/>
      <c r="F77" s="31"/>
      <c r="G77" s="31"/>
      <c r="H77" s="31"/>
      <c r="I77" s="31"/>
      <c r="J77" s="31"/>
      <c r="K77" s="31"/>
      <c r="L77" s="31"/>
      <c r="M77" s="31"/>
      <c r="N77" s="31"/>
      <c r="O77" s="31"/>
      <c r="P77" s="31"/>
      <c r="Q77" s="31"/>
      <c r="R77" s="31"/>
    </row>
    <row r="78" spans="1:18" x14ac:dyDescent="0.2">
      <c r="A78" s="31" t="str">
        <f ca="1">IFERROR(__xludf.DUMMYFUNCTION("""COMPUTED_VALUE"""),"Jahmyr Gibbs")</f>
        <v>Jahmyr Gibbs</v>
      </c>
      <c r="B78" s="31"/>
      <c r="C78" s="31"/>
      <c r="D78" s="31"/>
      <c r="E78" s="31"/>
      <c r="F78" s="31"/>
      <c r="G78" s="31"/>
      <c r="H78" s="31"/>
      <c r="I78" s="31"/>
      <c r="J78" s="31"/>
      <c r="K78" s="31"/>
      <c r="L78" s="31"/>
      <c r="M78" s="31"/>
      <c r="N78" s="31"/>
      <c r="O78" s="31"/>
      <c r="P78" s="31"/>
      <c r="Q78" s="31"/>
      <c r="R78" s="31"/>
    </row>
    <row r="79" spans="1:18" x14ac:dyDescent="0.2">
      <c r="A79" s="31" t="str">
        <f ca="1">IFERROR(__xludf.DUMMYFUNCTION("""COMPUTED_VALUE"""),"Cartavious Bigsby")</f>
        <v>Cartavious Bigsby</v>
      </c>
      <c r="B79" s="31"/>
      <c r="C79" s="31"/>
      <c r="D79" s="31"/>
      <c r="E79" s="31"/>
      <c r="F79" s="31"/>
      <c r="G79" s="31"/>
      <c r="H79" s="31"/>
      <c r="I79" s="31"/>
      <c r="J79" s="31"/>
      <c r="K79" s="31"/>
      <c r="L79" s="31"/>
      <c r="M79" s="31"/>
      <c r="N79" s="31"/>
      <c r="O79" s="31"/>
      <c r="P79" s="31"/>
      <c r="Q79" s="31"/>
      <c r="R79" s="31"/>
    </row>
    <row r="80" spans="1:18" x14ac:dyDescent="0.2">
      <c r="A80" s="31" t="str">
        <f ca="1">IFERROR(__xludf.DUMMYFUNCTION("""COMPUTED_VALUE"""),"Jaylen Warren")</f>
        <v>Jaylen Warren</v>
      </c>
      <c r="B80" s="31"/>
      <c r="C80" s="31"/>
      <c r="D80" s="31"/>
      <c r="E80" s="31"/>
      <c r="F80" s="31"/>
      <c r="G80" s="31"/>
      <c r="H80" s="31"/>
      <c r="I80" s="31"/>
      <c r="J80" s="31"/>
      <c r="K80" s="31"/>
      <c r="L80" s="31"/>
      <c r="M80" s="31"/>
      <c r="N80" s="31"/>
      <c r="O80" s="31"/>
      <c r="P80" s="31"/>
      <c r="Q80" s="31"/>
      <c r="R80" s="31"/>
    </row>
    <row r="81" spans="1:18" x14ac:dyDescent="0.2">
      <c r="A81" s="31" t="str">
        <f ca="1">IFERROR(__xludf.DUMMYFUNCTION("""COMPUTED_VALUE"""),"Rachaad White")</f>
        <v>Rachaad White</v>
      </c>
      <c r="B81" s="31"/>
      <c r="C81" s="31"/>
      <c r="D81" s="31"/>
      <c r="E81" s="31"/>
      <c r="F81" s="31"/>
      <c r="G81" s="31"/>
      <c r="H81" s="31"/>
      <c r="I81" s="31"/>
      <c r="J81" s="31"/>
      <c r="K81" s="31"/>
      <c r="L81" s="31"/>
      <c r="M81" s="31"/>
      <c r="N81" s="31"/>
      <c r="O81" s="31"/>
      <c r="P81" s="31"/>
      <c r="Q81" s="31"/>
      <c r="R81" s="31"/>
    </row>
    <row r="82" spans="1:18" x14ac:dyDescent="0.2">
      <c r="A82" s="31" t="str">
        <f ca="1">IFERROR(__xludf.DUMMYFUNCTION("""COMPUTED_VALUE"""),"Jamaal Williams")</f>
        <v>Jamaal Williams</v>
      </c>
      <c r="B82" s="31"/>
      <c r="C82" s="31"/>
      <c r="D82" s="31"/>
      <c r="E82" s="31"/>
      <c r="F82" s="31"/>
      <c r="G82" s="31"/>
      <c r="H82" s="31"/>
      <c r="I82" s="31"/>
      <c r="J82" s="31"/>
      <c r="K82" s="31"/>
      <c r="L82" s="31"/>
      <c r="M82" s="31"/>
      <c r="N82" s="31"/>
      <c r="O82" s="31"/>
      <c r="P82" s="31"/>
      <c r="Q82" s="31"/>
      <c r="R82" s="31"/>
    </row>
    <row r="83" spans="1:18" x14ac:dyDescent="0.2">
      <c r="A83" s="31" t="str">
        <f ca="1">IFERROR(__xludf.DUMMYFUNCTION("""COMPUTED_VALUE"""),"Gus Edwards")</f>
        <v>Gus Edwards</v>
      </c>
      <c r="B83" s="31"/>
      <c r="C83" s="31"/>
      <c r="D83" s="31"/>
      <c r="E83" s="31"/>
      <c r="F83" s="31"/>
      <c r="G83" s="31"/>
      <c r="H83" s="31"/>
      <c r="I83" s="31"/>
      <c r="J83" s="31"/>
      <c r="K83" s="31"/>
      <c r="L83" s="31"/>
      <c r="M83" s="31"/>
      <c r="N83" s="31"/>
      <c r="O83" s="31"/>
      <c r="P83" s="31"/>
      <c r="Q83" s="31"/>
      <c r="R83" s="31"/>
    </row>
    <row r="84" spans="1:18" x14ac:dyDescent="0.2">
      <c r="A84" s="31" t="str">
        <f ca="1">IFERROR(__xludf.DUMMYFUNCTION("""COMPUTED_VALUE"""),"Najee Harris")</f>
        <v>Najee Harris</v>
      </c>
      <c r="B84" s="31"/>
      <c r="C84" s="31"/>
      <c r="D84" s="31"/>
      <c r="E84" s="31"/>
      <c r="F84" s="31"/>
      <c r="G84" s="31"/>
      <c r="H84" s="31"/>
      <c r="I84" s="31"/>
      <c r="J84" s="31"/>
      <c r="K84" s="31"/>
      <c r="L84" s="31"/>
      <c r="M84" s="31"/>
      <c r="N84" s="31"/>
      <c r="O84" s="31"/>
      <c r="P84" s="31"/>
      <c r="Q84" s="31"/>
      <c r="R84" s="31"/>
    </row>
    <row r="85" spans="1:18" x14ac:dyDescent="0.2">
      <c r="A85" s="31" t="str">
        <f ca="1">IFERROR(__xludf.DUMMYFUNCTION("""COMPUTED_VALUE"""),"Alec Ingold")</f>
        <v>Alec Ingold</v>
      </c>
      <c r="B85" s="31"/>
      <c r="C85" s="31"/>
      <c r="D85" s="31"/>
      <c r="E85" s="31"/>
      <c r="F85" s="31"/>
      <c r="G85" s="31"/>
      <c r="H85" s="31"/>
      <c r="I85" s="31"/>
      <c r="J85" s="31"/>
      <c r="K85" s="31"/>
      <c r="L85" s="31"/>
      <c r="M85" s="31"/>
      <c r="N85" s="31"/>
      <c r="O85" s="31"/>
      <c r="P85" s="31"/>
      <c r="Q85" s="31"/>
      <c r="R85" s="31"/>
    </row>
    <row r="86" spans="1:18" x14ac:dyDescent="0.2">
      <c r="A86" s="31" t="str">
        <f ca="1">IFERROR(__xludf.DUMMYFUNCTION("""COMPUTED_VALUE"""),"Deon Jackson")</f>
        <v>Deon Jackson</v>
      </c>
      <c r="B86" s="31"/>
      <c r="C86" s="31"/>
      <c r="D86" s="31"/>
      <c r="E86" s="31"/>
      <c r="F86" s="31"/>
      <c r="G86" s="31"/>
      <c r="H86" s="31"/>
      <c r="I86" s="31"/>
      <c r="J86" s="31"/>
      <c r="K86" s="31"/>
      <c r="L86" s="31"/>
      <c r="M86" s="31"/>
      <c r="N86" s="31"/>
      <c r="O86" s="31"/>
      <c r="P86" s="31"/>
      <c r="Q86" s="31"/>
      <c r="R86" s="31"/>
    </row>
    <row r="87" spans="1:18" x14ac:dyDescent="0.2">
      <c r="A87" s="31" t="str">
        <f ca="1">IFERROR(__xludf.DUMMYFUNCTION("""COMPUTED_VALUE"""),"Dameon Pierce")</f>
        <v>Dameon Pierce</v>
      </c>
      <c r="B87" s="31"/>
      <c r="C87" s="31"/>
      <c r="D87" s="31"/>
      <c r="E87" s="31"/>
      <c r="F87" s="31"/>
      <c r="G87" s="31"/>
      <c r="H87" s="31"/>
      <c r="I87" s="31"/>
      <c r="J87" s="31"/>
      <c r="K87" s="31"/>
      <c r="L87" s="31"/>
      <c r="M87" s="31"/>
      <c r="N87" s="31"/>
      <c r="O87" s="31"/>
      <c r="P87" s="31"/>
      <c r="Q87" s="31"/>
      <c r="R87" s="31"/>
    </row>
    <row r="88" spans="1:18" x14ac:dyDescent="0.2">
      <c r="A88" s="31" t="str">
        <f ca="1">IFERROR(__xludf.DUMMYFUNCTION("""COMPUTED_VALUE"""),"Mike Boone")</f>
        <v>Mike Boone</v>
      </c>
      <c r="B88" s="31"/>
      <c r="C88" s="31"/>
      <c r="D88" s="31"/>
      <c r="E88" s="31"/>
      <c r="F88" s="31"/>
      <c r="G88" s="31"/>
      <c r="H88" s="31"/>
      <c r="I88" s="31"/>
      <c r="J88" s="31"/>
      <c r="K88" s="31"/>
      <c r="L88" s="31"/>
      <c r="M88" s="31"/>
      <c r="N88" s="31"/>
      <c r="O88" s="31"/>
      <c r="P88" s="31"/>
      <c r="Q88" s="31"/>
      <c r="R88" s="31"/>
    </row>
    <row r="89" spans="1:18" x14ac:dyDescent="0.2">
      <c r="A89" s="31" t="str">
        <f ca="1">IFERROR(__xludf.DUMMYFUNCTION("""COMPUTED_VALUE"""),"AJ Dillon")</f>
        <v>AJ Dillon</v>
      </c>
      <c r="B89" s="31"/>
      <c r="C89" s="31"/>
      <c r="D89" s="31"/>
      <c r="E89" s="31"/>
      <c r="F89" s="31"/>
      <c r="G89" s="31"/>
      <c r="H89" s="31"/>
      <c r="I89" s="31"/>
      <c r="J89" s="31"/>
      <c r="K89" s="31"/>
      <c r="L89" s="31"/>
      <c r="M89" s="31"/>
      <c r="N89" s="31"/>
      <c r="O89" s="31"/>
      <c r="P89" s="31"/>
      <c r="Q89" s="31"/>
      <c r="R89" s="31"/>
    </row>
    <row r="90" spans="1:18" x14ac:dyDescent="0.2">
      <c r="A90" s="31" t="str">
        <f ca="1">IFERROR(__xludf.DUMMYFUNCTION("""COMPUTED_VALUE"""),"Michael Carter")</f>
        <v>Michael Carter</v>
      </c>
      <c r="B90" s="31"/>
      <c r="C90" s="31"/>
      <c r="D90" s="31"/>
      <c r="E90" s="31"/>
      <c r="F90" s="31"/>
      <c r="G90" s="31"/>
      <c r="H90" s="31"/>
      <c r="I90" s="31"/>
      <c r="J90" s="31"/>
      <c r="K90" s="31"/>
      <c r="L90" s="31"/>
      <c r="M90" s="31"/>
      <c r="N90" s="31"/>
      <c r="O90" s="31"/>
      <c r="P90" s="31"/>
      <c r="Q90" s="31"/>
      <c r="R90" s="31"/>
    </row>
    <row r="91" spans="1:18" x14ac:dyDescent="0.2">
      <c r="A91" s="31" t="str">
        <f ca="1">IFERROR(__xludf.DUMMYFUNCTION("""COMPUTED_VALUE"""),"Clyde Edwards-Helaire")</f>
        <v>Clyde Edwards-Helaire</v>
      </c>
      <c r="B91" s="31"/>
      <c r="C91" s="31"/>
      <c r="D91" s="31"/>
      <c r="E91" s="31"/>
      <c r="F91" s="31"/>
      <c r="G91" s="31"/>
      <c r="H91" s="31"/>
      <c r="I91" s="31"/>
      <c r="J91" s="31"/>
      <c r="K91" s="31"/>
      <c r="L91" s="31"/>
      <c r="M91" s="31"/>
      <c r="N91" s="31"/>
      <c r="O91" s="31"/>
      <c r="P91" s="31"/>
      <c r="Q91" s="31"/>
      <c r="R91" s="31"/>
    </row>
    <row r="92" spans="1:18" x14ac:dyDescent="0.2">
      <c r="A92" s="31" t="str">
        <f ca="1">IFERROR(__xludf.DUMMYFUNCTION("""COMPUTED_VALUE"""),"D'Onta Foreman")</f>
        <v>D'Onta Foreman</v>
      </c>
      <c r="B92" s="31"/>
      <c r="C92" s="31"/>
      <c r="D92" s="31"/>
      <c r="E92" s="31"/>
      <c r="F92" s="31"/>
      <c r="G92" s="31"/>
      <c r="H92" s="31"/>
      <c r="I92" s="31"/>
      <c r="J92" s="31"/>
      <c r="K92" s="31"/>
      <c r="L92" s="31"/>
      <c r="M92" s="31"/>
      <c r="N92" s="31"/>
      <c r="O92" s="31"/>
      <c r="P92" s="31"/>
      <c r="Q92" s="31"/>
      <c r="R92" s="31"/>
    </row>
    <row r="93" spans="1:18" x14ac:dyDescent="0.2">
      <c r="A93" s="31" t="str">
        <f ca="1">IFERROR(__xludf.DUMMYFUNCTION("""COMPUTED_VALUE"""),"Jake Funk")</f>
        <v>Jake Funk</v>
      </c>
      <c r="B93" s="31"/>
      <c r="C93" s="31"/>
      <c r="D93" s="31"/>
      <c r="E93" s="31"/>
      <c r="F93" s="31"/>
      <c r="G93" s="31"/>
      <c r="H93" s="31"/>
      <c r="I93" s="31"/>
      <c r="J93" s="31"/>
      <c r="K93" s="31"/>
      <c r="L93" s="31"/>
      <c r="M93" s="31"/>
      <c r="N93" s="31"/>
      <c r="O93" s="31"/>
      <c r="P93" s="31"/>
      <c r="Q93" s="31"/>
      <c r="R93" s="31"/>
    </row>
    <row r="94" spans="1:18" x14ac:dyDescent="0.2">
      <c r="A94" s="31" t="str">
        <f ca="1">IFERROR(__xludf.DUMMYFUNCTION("""COMPUTED_VALUE"""),"Damien Harris")</f>
        <v>Damien Harris</v>
      </c>
      <c r="B94" s="31"/>
      <c r="C94" s="31"/>
      <c r="D94" s="31"/>
      <c r="E94" s="31"/>
      <c r="F94" s="31"/>
      <c r="G94" s="31"/>
      <c r="H94" s="31"/>
      <c r="I94" s="31"/>
      <c r="J94" s="31"/>
      <c r="K94" s="31"/>
      <c r="L94" s="31"/>
      <c r="M94" s="31"/>
      <c r="N94" s="31"/>
      <c r="O94" s="31"/>
      <c r="P94" s="31"/>
      <c r="Q94" s="31"/>
      <c r="R94" s="31"/>
    </row>
    <row r="95" spans="1:18" x14ac:dyDescent="0.2">
      <c r="A95" s="31" t="str">
        <f ca="1">IFERROR(__xludf.DUMMYFUNCTION("""COMPUTED_VALUE"""),"Anthony McFarland")</f>
        <v>Anthony McFarland</v>
      </c>
      <c r="B95" s="31"/>
      <c r="C95" s="31"/>
      <c r="D95" s="31"/>
      <c r="E95" s="31"/>
      <c r="F95" s="31"/>
      <c r="G95" s="31"/>
      <c r="H95" s="31"/>
      <c r="I95" s="31"/>
      <c r="J95" s="31"/>
      <c r="K95" s="31"/>
      <c r="L95" s="31"/>
      <c r="M95" s="31"/>
      <c r="N95" s="31"/>
      <c r="O95" s="31"/>
      <c r="P95" s="31"/>
      <c r="Q95" s="31"/>
      <c r="R95" s="31"/>
    </row>
    <row r="96" spans="1:18" x14ac:dyDescent="0.2">
      <c r="A96" s="31" t="str">
        <f ca="1">IFERROR(__xludf.DUMMYFUNCTION("""COMPUTED_VALUE"""),"Tyjae Spears")</f>
        <v>Tyjae Spears</v>
      </c>
      <c r="B96" s="31"/>
      <c r="C96" s="31"/>
      <c r="D96" s="31"/>
      <c r="E96" s="31"/>
      <c r="F96" s="31"/>
      <c r="G96" s="31"/>
      <c r="H96" s="31"/>
      <c r="I96" s="31"/>
      <c r="J96" s="31"/>
      <c r="K96" s="31"/>
      <c r="L96" s="31"/>
      <c r="M96" s="31"/>
      <c r="N96" s="31"/>
      <c r="O96" s="31"/>
      <c r="P96" s="31"/>
      <c r="Q96" s="31"/>
      <c r="R96" s="31"/>
    </row>
    <row r="97" spans="1:18" x14ac:dyDescent="0.2">
      <c r="A97" s="31" t="str">
        <f ca="1">IFERROR(__xludf.DUMMYFUNCTION("""COMPUTED_VALUE"""),"Sean Tucker")</f>
        <v>Sean Tucker</v>
      </c>
      <c r="B97" s="31"/>
      <c r="C97" s="31"/>
      <c r="D97" s="31"/>
      <c r="E97" s="31"/>
      <c r="F97" s="31"/>
      <c r="G97" s="31"/>
      <c r="H97" s="31"/>
      <c r="I97" s="31"/>
      <c r="J97" s="31"/>
      <c r="K97" s="31"/>
      <c r="L97" s="31"/>
      <c r="M97" s="31"/>
      <c r="N97" s="31"/>
      <c r="O97" s="31"/>
      <c r="P97" s="31"/>
      <c r="Q97" s="31"/>
      <c r="R97" s="31"/>
    </row>
    <row r="98" spans="1:18" x14ac:dyDescent="0.2">
      <c r="A98" s="31" t="str">
        <f ca="1">IFERROR(__xludf.DUMMYFUNCTION("""COMPUTED_VALUE"""),"Gary Brightwell")</f>
        <v>Gary Brightwell</v>
      </c>
      <c r="B98" s="31"/>
      <c r="C98" s="31"/>
      <c r="D98" s="31"/>
      <c r="E98" s="31"/>
      <c r="F98" s="31"/>
      <c r="G98" s="31"/>
      <c r="H98" s="31"/>
      <c r="I98" s="31"/>
      <c r="J98" s="31"/>
      <c r="K98" s="31"/>
      <c r="L98" s="31"/>
      <c r="M98" s="31"/>
      <c r="N98" s="31"/>
      <c r="O98" s="31"/>
      <c r="P98" s="31"/>
      <c r="Q98" s="31"/>
      <c r="R98" s="31"/>
    </row>
    <row r="99" spans="1:18" x14ac:dyDescent="0.2">
      <c r="A99" s="31" t="str">
        <f ca="1">IFERROR(__xludf.DUMMYFUNCTION("""COMPUTED_VALUE"""),"Ty Chandler")</f>
        <v>Ty Chandler</v>
      </c>
      <c r="B99" s="31"/>
      <c r="C99" s="31"/>
      <c r="D99" s="31"/>
      <c r="E99" s="31"/>
      <c r="F99" s="31"/>
      <c r="G99" s="31"/>
      <c r="H99" s="31"/>
      <c r="I99" s="31"/>
      <c r="J99" s="31"/>
      <c r="K99" s="31"/>
      <c r="L99" s="31"/>
      <c r="M99" s="31"/>
      <c r="N99" s="31"/>
      <c r="O99" s="31"/>
      <c r="P99" s="31"/>
      <c r="Q99" s="31"/>
      <c r="R99" s="31"/>
    </row>
    <row r="100" spans="1:18" x14ac:dyDescent="0.2">
      <c r="A100" s="31" t="str">
        <f ca="1">IFERROR(__xludf.DUMMYFUNCTION("""COMPUTED_VALUE"""),"DeeJay Dallas")</f>
        <v>DeeJay Dallas</v>
      </c>
      <c r="B100" s="31"/>
      <c r="C100" s="31"/>
      <c r="D100" s="31"/>
      <c r="E100" s="31"/>
      <c r="F100" s="31"/>
      <c r="G100" s="31"/>
      <c r="H100" s="31"/>
      <c r="I100" s="31"/>
      <c r="J100" s="31"/>
      <c r="K100" s="31"/>
      <c r="L100" s="31"/>
      <c r="M100" s="31"/>
      <c r="N100" s="31"/>
      <c r="O100" s="31"/>
      <c r="P100" s="31"/>
      <c r="Q100" s="31"/>
      <c r="R100" s="31"/>
    </row>
    <row r="101" spans="1:18" x14ac:dyDescent="0.2">
      <c r="A101" s="31" t="str">
        <f ca="1">IFERROR(__xludf.DUMMYFUNCTION("""COMPUTED_VALUE"""),"Rico Dowdle")</f>
        <v>Rico Dowdle</v>
      </c>
      <c r="B101" s="31"/>
      <c r="C101" s="31"/>
      <c r="D101" s="31"/>
      <c r="E101" s="31"/>
      <c r="F101" s="31"/>
      <c r="G101" s="31"/>
      <c r="H101" s="31"/>
      <c r="I101" s="31"/>
      <c r="J101" s="31"/>
      <c r="K101" s="31"/>
      <c r="L101" s="31"/>
      <c r="M101" s="31"/>
      <c r="N101" s="31"/>
      <c r="O101" s="31"/>
      <c r="P101" s="31"/>
      <c r="Q101" s="31"/>
      <c r="R101" s="31"/>
    </row>
    <row r="102" spans="1:18" x14ac:dyDescent="0.2">
      <c r="A102" s="31" t="str">
        <f ca="1">IFERROR(__xludf.DUMMYFUNCTION("""COMPUTED_VALUE"""),"Chris Evans")</f>
        <v>Chris Evans</v>
      </c>
      <c r="B102" s="31"/>
      <c r="C102" s="31"/>
      <c r="D102" s="31"/>
      <c r="E102" s="31"/>
      <c r="F102" s="31"/>
      <c r="G102" s="31"/>
      <c r="H102" s="31"/>
      <c r="I102" s="31"/>
      <c r="J102" s="31"/>
      <c r="K102" s="31"/>
      <c r="L102" s="31"/>
      <c r="M102" s="31"/>
      <c r="N102" s="31"/>
      <c r="O102" s="31"/>
      <c r="P102" s="31"/>
      <c r="Q102" s="31"/>
      <c r="R102" s="31"/>
    </row>
    <row r="103" spans="1:18" x14ac:dyDescent="0.2">
      <c r="A103" s="31" t="str">
        <f ca="1">IFERROR(__xludf.DUMMYFUNCTION("""COMPUTED_VALUE"""),"Jerome Ford")</f>
        <v>Jerome Ford</v>
      </c>
      <c r="B103" s="31"/>
      <c r="C103" s="31"/>
      <c r="D103" s="31"/>
      <c r="E103" s="31"/>
      <c r="F103" s="31"/>
      <c r="G103" s="31"/>
      <c r="H103" s="31"/>
      <c r="I103" s="31"/>
      <c r="J103" s="31"/>
      <c r="K103" s="31"/>
      <c r="L103" s="31"/>
      <c r="M103" s="31"/>
      <c r="N103" s="31"/>
      <c r="O103" s="31"/>
      <c r="P103" s="31"/>
      <c r="Q103" s="31"/>
      <c r="R103" s="31"/>
    </row>
    <row r="104" spans="1:18" x14ac:dyDescent="0.2">
      <c r="A104" s="31" t="str">
        <f ca="1">IFERROR(__xludf.DUMMYFUNCTION("""COMPUTED_VALUE"""),"C.J. Ham")</f>
        <v>C.J. Ham</v>
      </c>
      <c r="B104" s="31"/>
      <c r="C104" s="31"/>
      <c r="D104" s="31"/>
      <c r="E104" s="31"/>
      <c r="F104" s="31"/>
      <c r="G104" s="31"/>
      <c r="H104" s="31"/>
      <c r="I104" s="31"/>
      <c r="J104" s="31"/>
      <c r="K104" s="31"/>
      <c r="L104" s="31"/>
      <c r="M104" s="31"/>
      <c r="N104" s="31"/>
      <c r="O104" s="31"/>
      <c r="P104" s="31"/>
      <c r="Q104" s="31"/>
      <c r="R104" s="31"/>
    </row>
    <row r="105" spans="1:18" x14ac:dyDescent="0.2">
      <c r="A105" s="31" t="str">
        <f ca="1">IFERROR(__xludf.DUMMYFUNCTION("""COMPUTED_VALUE"""),"Jerick McKinnon")</f>
        <v>Jerick McKinnon</v>
      </c>
      <c r="B105" s="31"/>
      <c r="C105" s="31"/>
      <c r="D105" s="31"/>
      <c r="E105" s="31"/>
      <c r="F105" s="31"/>
      <c r="G105" s="31"/>
      <c r="H105" s="31"/>
      <c r="I105" s="31"/>
      <c r="J105" s="31"/>
      <c r="K105" s="31"/>
      <c r="L105" s="31"/>
      <c r="M105" s="31"/>
      <c r="N105" s="31"/>
      <c r="O105" s="31"/>
      <c r="P105" s="31"/>
      <c r="Q105" s="31"/>
      <c r="R105" s="31"/>
    </row>
    <row r="106" spans="1:18" x14ac:dyDescent="0.2">
      <c r="A106" s="31" t="str">
        <f ca="1">IFERROR(__xludf.DUMMYFUNCTION("""COMPUTED_VALUE"""),"Ty Montgomery")</f>
        <v>Ty Montgomery</v>
      </c>
      <c r="B106" s="31"/>
      <c r="C106" s="31"/>
      <c r="D106" s="31"/>
      <c r="E106" s="31"/>
      <c r="F106" s="31"/>
      <c r="G106" s="31"/>
      <c r="H106" s="31"/>
      <c r="I106" s="31"/>
      <c r="J106" s="31"/>
      <c r="K106" s="31"/>
      <c r="L106" s="31"/>
      <c r="M106" s="31"/>
      <c r="N106" s="31"/>
      <c r="O106" s="31"/>
      <c r="P106" s="31"/>
      <c r="Q106" s="31"/>
      <c r="R106" s="31"/>
    </row>
    <row r="107" spans="1:18" x14ac:dyDescent="0.2">
      <c r="A107" s="31" t="str">
        <f ca="1">IFERROR(__xludf.DUMMYFUNCTION("""COMPUTED_VALUE"""),"Patrick Taylor")</f>
        <v>Patrick Taylor</v>
      </c>
      <c r="B107" s="31"/>
      <c r="C107" s="31"/>
      <c r="D107" s="31"/>
      <c r="E107" s="31"/>
      <c r="F107" s="31"/>
      <c r="G107" s="31"/>
      <c r="H107" s="31"/>
      <c r="I107" s="31"/>
      <c r="J107" s="31"/>
      <c r="K107" s="31"/>
      <c r="L107" s="31"/>
      <c r="M107" s="31"/>
      <c r="N107" s="31"/>
      <c r="O107" s="31"/>
      <c r="P107" s="31"/>
      <c r="Q107" s="31"/>
      <c r="R107" s="31"/>
    </row>
    <row r="108" spans="1:18" x14ac:dyDescent="0.2">
      <c r="A108" s="31" t="str">
        <f ca="1">IFERROR(__xludf.DUMMYFUNCTION("""COMPUTED_VALUE"""),"Salvon Ahmed")</f>
        <v>Salvon Ahmed</v>
      </c>
      <c r="B108" s="31"/>
      <c r="C108" s="31"/>
      <c r="D108" s="31"/>
      <c r="E108" s="31"/>
      <c r="F108" s="31"/>
      <c r="G108" s="31"/>
      <c r="H108" s="31"/>
      <c r="I108" s="31"/>
      <c r="J108" s="31"/>
      <c r="K108" s="31"/>
      <c r="L108" s="31"/>
      <c r="M108" s="31"/>
      <c r="N108" s="31"/>
      <c r="O108" s="31"/>
      <c r="P108" s="31"/>
      <c r="Q108" s="31"/>
      <c r="R108" s="31"/>
    </row>
    <row r="109" spans="1:18" x14ac:dyDescent="0.2">
      <c r="A109" s="31" t="str">
        <f ca="1">IFERROR(__xludf.DUMMYFUNCTION("""COMPUTED_VALUE"""),"Matt Breida")</f>
        <v>Matt Breida</v>
      </c>
      <c r="B109" s="31"/>
      <c r="C109" s="31"/>
      <c r="D109" s="31"/>
      <c r="E109" s="31"/>
      <c r="F109" s="31"/>
      <c r="G109" s="31"/>
      <c r="H109" s="31"/>
      <c r="I109" s="31"/>
      <c r="J109" s="31"/>
      <c r="K109" s="31"/>
      <c r="L109" s="31"/>
      <c r="M109" s="31"/>
      <c r="N109" s="31"/>
      <c r="O109" s="31"/>
      <c r="P109" s="31"/>
      <c r="Q109" s="31"/>
      <c r="R109" s="31"/>
    </row>
    <row r="110" spans="1:18" x14ac:dyDescent="0.2">
      <c r="A110" s="31" t="str">
        <f ca="1">IFERROR(__xludf.DUMMYFUNCTION("""COMPUTED_VALUE"""),"Michael Burton")</f>
        <v>Michael Burton</v>
      </c>
      <c r="B110" s="31"/>
      <c r="C110" s="31"/>
      <c r="D110" s="31"/>
      <c r="E110" s="31"/>
      <c r="F110" s="31"/>
      <c r="G110" s="31"/>
      <c r="H110" s="31"/>
      <c r="I110" s="31"/>
      <c r="J110" s="31"/>
      <c r="K110" s="31"/>
      <c r="L110" s="31"/>
      <c r="M110" s="31"/>
      <c r="N110" s="31"/>
      <c r="O110" s="31"/>
      <c r="P110" s="31"/>
      <c r="Q110" s="31"/>
      <c r="R110" s="31"/>
    </row>
    <row r="111" spans="1:18" x14ac:dyDescent="0.2">
      <c r="A111" s="31" t="str">
        <f ca="1">IFERROR(__xludf.DUMMYFUNCTION("""COMPUTED_VALUE"""),"Zach Charbonnet")</f>
        <v>Zach Charbonnet</v>
      </c>
      <c r="B111" s="31"/>
      <c r="C111" s="31"/>
      <c r="D111" s="31"/>
      <c r="E111" s="31"/>
      <c r="F111" s="31"/>
      <c r="G111" s="31"/>
      <c r="H111" s="31"/>
      <c r="I111" s="31"/>
      <c r="J111" s="31"/>
      <c r="K111" s="31"/>
      <c r="L111" s="31"/>
      <c r="M111" s="31"/>
      <c r="N111" s="31"/>
      <c r="O111" s="31"/>
      <c r="P111" s="31"/>
      <c r="Q111" s="31"/>
      <c r="R111" s="31"/>
    </row>
    <row r="112" spans="1:18" x14ac:dyDescent="0.2">
      <c r="A112" s="31" t="str">
        <f ca="1">IFERROR(__xludf.DUMMYFUNCTION("""COMPUTED_VALUE"""),"Antonio Gibson")</f>
        <v>Antonio Gibson</v>
      </c>
      <c r="B112" s="31"/>
      <c r="C112" s="31"/>
      <c r="D112" s="31"/>
      <c r="E112" s="31"/>
      <c r="F112" s="31"/>
      <c r="G112" s="31"/>
      <c r="H112" s="31"/>
      <c r="I112" s="31"/>
      <c r="J112" s="31"/>
      <c r="K112" s="31"/>
      <c r="L112" s="31"/>
      <c r="M112" s="31"/>
      <c r="N112" s="31"/>
      <c r="O112" s="31"/>
      <c r="P112" s="31"/>
      <c r="Q112" s="31"/>
      <c r="R112" s="31"/>
    </row>
    <row r="113" spans="1:18" x14ac:dyDescent="0.2">
      <c r="A113" s="31" t="str">
        <f ca="1">IFERROR(__xludf.DUMMYFUNCTION("""COMPUTED_VALUE"""),"Evan Hull")</f>
        <v>Evan Hull</v>
      </c>
      <c r="B113" s="31"/>
      <c r="C113" s="31"/>
      <c r="D113" s="31"/>
      <c r="E113" s="31"/>
      <c r="F113" s="31"/>
      <c r="G113" s="31"/>
      <c r="H113" s="31"/>
      <c r="I113" s="31"/>
      <c r="J113" s="31"/>
      <c r="K113" s="31"/>
      <c r="L113" s="31"/>
      <c r="M113" s="31"/>
      <c r="N113" s="31"/>
      <c r="O113" s="31"/>
      <c r="P113" s="31"/>
      <c r="Q113" s="31"/>
      <c r="R113" s="31"/>
    </row>
    <row r="114" spans="1:18" x14ac:dyDescent="0.2">
      <c r="A114" s="31" t="str">
        <f ca="1">IFERROR(__xludf.DUMMYFUNCTION("""COMPUTED_VALUE"""),"Jaleel McLaughlin")</f>
        <v>Jaleel McLaughlin</v>
      </c>
      <c r="B114" s="31"/>
      <c r="C114" s="31"/>
      <c r="D114" s="31"/>
      <c r="E114" s="31"/>
      <c r="F114" s="31"/>
      <c r="G114" s="31"/>
      <c r="H114" s="31"/>
      <c r="I114" s="31"/>
      <c r="J114" s="31"/>
      <c r="K114" s="31"/>
      <c r="L114" s="31"/>
      <c r="M114" s="31"/>
      <c r="N114" s="31"/>
      <c r="O114" s="31"/>
      <c r="P114" s="31"/>
      <c r="Q114" s="31"/>
      <c r="R114" s="31"/>
    </row>
    <row r="115" spans="1:18" x14ac:dyDescent="0.2">
      <c r="A115" s="31" t="str">
        <f ca="1">IFERROR(__xludf.DUMMYFUNCTION("""COMPUTED_VALUE"""),"Elijah Mitchell")</f>
        <v>Elijah Mitchell</v>
      </c>
      <c r="B115" s="31"/>
      <c r="C115" s="31"/>
      <c r="D115" s="31"/>
      <c r="E115" s="31"/>
      <c r="F115" s="31"/>
      <c r="G115" s="31"/>
      <c r="H115" s="31"/>
      <c r="I115" s="31"/>
      <c r="J115" s="31"/>
      <c r="K115" s="31"/>
      <c r="L115" s="31"/>
      <c r="M115" s="31"/>
      <c r="N115" s="31"/>
      <c r="O115" s="31"/>
      <c r="P115" s="31"/>
      <c r="Q115" s="31"/>
      <c r="R115" s="31"/>
    </row>
    <row r="116" spans="1:18" x14ac:dyDescent="0.2">
      <c r="A116" s="31" t="str">
        <f ca="1">IFERROR(__xludf.DUMMYFUNCTION("""COMPUTED_VALUE"""),"Latavius Murray")</f>
        <v>Latavius Murray</v>
      </c>
      <c r="B116" s="31"/>
      <c r="C116" s="31"/>
      <c r="D116" s="31"/>
      <c r="E116" s="31"/>
      <c r="F116" s="31"/>
      <c r="G116" s="31"/>
      <c r="H116" s="31"/>
      <c r="I116" s="31"/>
      <c r="J116" s="31"/>
      <c r="K116" s="31"/>
      <c r="L116" s="31"/>
      <c r="M116" s="31"/>
      <c r="N116" s="31"/>
      <c r="O116" s="31"/>
      <c r="P116" s="31"/>
      <c r="Q116" s="31"/>
      <c r="R116" s="31"/>
    </row>
    <row r="117" spans="1:18" x14ac:dyDescent="0.2">
      <c r="A117" s="31" t="str">
        <f ca="1">IFERROR(__xludf.DUMMYFUNCTION("""COMPUTED_VALUE"""),"Boston Scott")</f>
        <v>Boston Scott</v>
      </c>
      <c r="B117" s="31"/>
      <c r="C117" s="31"/>
      <c r="D117" s="31"/>
      <c r="E117" s="31"/>
      <c r="F117" s="31"/>
      <c r="G117" s="31"/>
      <c r="H117" s="31"/>
      <c r="I117" s="31"/>
      <c r="J117" s="31"/>
      <c r="K117" s="31"/>
      <c r="L117" s="31"/>
      <c r="M117" s="31"/>
      <c r="N117" s="31"/>
      <c r="O117" s="31"/>
      <c r="P117" s="31"/>
      <c r="Q117" s="31"/>
      <c r="R117" s="31"/>
    </row>
    <row r="118" spans="1:18" x14ac:dyDescent="0.2">
      <c r="A118" s="31" t="str">
        <f ca="1">IFERROR(__xludf.DUMMYFUNCTION("""COMPUTED_VALUE"""),"Devin Singletary")</f>
        <v>Devin Singletary</v>
      </c>
      <c r="B118" s="31"/>
      <c r="C118" s="31"/>
      <c r="D118" s="31"/>
      <c r="E118" s="31"/>
      <c r="F118" s="31"/>
      <c r="G118" s="31"/>
      <c r="H118" s="31"/>
      <c r="I118" s="31"/>
      <c r="J118" s="31"/>
      <c r="K118" s="31"/>
      <c r="L118" s="31"/>
      <c r="M118" s="31"/>
      <c r="N118" s="31"/>
      <c r="O118" s="31"/>
      <c r="P118" s="31"/>
      <c r="Q118" s="31"/>
      <c r="R118" s="31"/>
    </row>
    <row r="119" spans="1:18" x14ac:dyDescent="0.2">
      <c r="A119" s="31" t="str">
        <f ca="1">IFERROR(__xludf.DUMMYFUNCTION("""COMPUTED_VALUE"""),"D'Andre Swift")</f>
        <v>D'Andre Swift</v>
      </c>
      <c r="B119" s="31"/>
      <c r="C119" s="31"/>
      <c r="D119" s="31"/>
      <c r="E119" s="31"/>
      <c r="F119" s="31"/>
      <c r="G119" s="31"/>
      <c r="H119" s="31"/>
      <c r="I119" s="31"/>
      <c r="J119" s="31"/>
      <c r="K119" s="31"/>
      <c r="L119" s="31"/>
      <c r="M119" s="31"/>
      <c r="N119" s="31"/>
      <c r="O119" s="31"/>
      <c r="P119" s="31"/>
      <c r="Q119" s="31"/>
      <c r="R119" s="31"/>
    </row>
    <row r="120" spans="1:18" x14ac:dyDescent="0.2">
      <c r="A120" s="31" t="str">
        <f ca="1">IFERROR(__xludf.DUMMYFUNCTION("""COMPUTED_VALUE"""),"Zamir White")</f>
        <v>Zamir White</v>
      </c>
      <c r="B120" s="31"/>
      <c r="C120" s="31"/>
      <c r="D120" s="31"/>
      <c r="E120" s="31"/>
      <c r="F120" s="31"/>
      <c r="G120" s="31"/>
      <c r="H120" s="31"/>
      <c r="I120" s="31"/>
      <c r="J120" s="31"/>
      <c r="K120" s="31"/>
      <c r="L120" s="31"/>
      <c r="M120" s="31"/>
      <c r="N120" s="31"/>
      <c r="O120" s="31"/>
      <c r="P120" s="31"/>
      <c r="Q120" s="31"/>
      <c r="R120" s="31"/>
    </row>
    <row r="121" spans="1:18" x14ac:dyDescent="0.2">
      <c r="A121" s="31" t="str">
        <f ca="1">IFERROR(__xludf.DUMMYFUNCTION("""COMPUTED_VALUE"""),"Chase Edmonds")</f>
        <v>Chase Edmonds</v>
      </c>
      <c r="B121" s="31"/>
      <c r="C121" s="31"/>
      <c r="D121" s="31"/>
      <c r="E121" s="31"/>
      <c r="F121" s="31"/>
      <c r="G121" s="31"/>
      <c r="H121" s="31"/>
      <c r="I121" s="31"/>
      <c r="J121" s="31"/>
      <c r="K121" s="31"/>
      <c r="L121" s="31"/>
      <c r="M121" s="31"/>
      <c r="N121" s="31"/>
      <c r="O121" s="31"/>
      <c r="P121" s="31"/>
      <c r="Q121" s="31"/>
      <c r="R121" s="31"/>
    </row>
    <row r="122" spans="1:18" x14ac:dyDescent="0.2">
      <c r="A122" s="31" t="str">
        <f ca="1">IFERROR(__xludf.DUMMYFUNCTION("""COMPUTED_VALUE"""),"Keaontay Ingram")</f>
        <v>Keaontay Ingram</v>
      </c>
      <c r="B122" s="31"/>
      <c r="C122" s="31"/>
      <c r="D122" s="31"/>
      <c r="E122" s="31"/>
      <c r="F122" s="31"/>
      <c r="G122" s="31"/>
      <c r="H122" s="31"/>
      <c r="I122" s="31"/>
      <c r="J122" s="31"/>
      <c r="K122" s="31"/>
      <c r="L122" s="31"/>
      <c r="M122" s="31"/>
      <c r="N122" s="31"/>
      <c r="O122" s="31"/>
      <c r="P122" s="31"/>
      <c r="Q122" s="31"/>
      <c r="R122" s="31"/>
    </row>
    <row r="123" spans="1:18" x14ac:dyDescent="0.2">
      <c r="A123" s="31" t="str">
        <f ca="1">IFERROR(__xludf.DUMMYFUNCTION("""COMPUTED_VALUE"""),"D'Ernest Johnson")</f>
        <v>D'Ernest Johnson</v>
      </c>
      <c r="B123" s="31"/>
      <c r="C123" s="31"/>
      <c r="D123" s="31"/>
      <c r="E123" s="31"/>
      <c r="F123" s="31"/>
      <c r="G123" s="31"/>
      <c r="H123" s="31"/>
      <c r="I123" s="31"/>
      <c r="J123" s="31"/>
      <c r="K123" s="31"/>
      <c r="L123" s="31"/>
      <c r="M123" s="31"/>
      <c r="N123" s="31"/>
      <c r="O123" s="31"/>
      <c r="P123" s="31"/>
      <c r="Q123" s="31"/>
      <c r="R123" s="31"/>
    </row>
    <row r="124" spans="1:18" x14ac:dyDescent="0.2">
      <c r="A124" s="31" t="str">
        <f ca="1">IFERROR(__xludf.DUMMYFUNCTION("""COMPUTED_VALUE"""),"Tony Jones")</f>
        <v>Tony Jones</v>
      </c>
      <c r="B124" s="31"/>
      <c r="C124" s="31"/>
      <c r="D124" s="31"/>
      <c r="E124" s="31"/>
      <c r="F124" s="31"/>
      <c r="G124" s="31"/>
      <c r="H124" s="31"/>
      <c r="I124" s="31"/>
      <c r="J124" s="31"/>
      <c r="K124" s="31"/>
      <c r="L124" s="31"/>
      <c r="M124" s="31"/>
      <c r="N124" s="31"/>
      <c r="O124" s="31"/>
      <c r="P124" s="31"/>
      <c r="Q124" s="31"/>
      <c r="R124" s="31"/>
    </row>
    <row r="125" spans="1:18" x14ac:dyDescent="0.2">
      <c r="A125" s="31" t="str">
        <f ca="1">IFERROR(__xludf.DUMMYFUNCTION("""COMPUTED_VALUE"""),"Christopher Rodriguez")</f>
        <v>Christopher Rodriguez</v>
      </c>
      <c r="B125" s="31"/>
      <c r="C125" s="31"/>
      <c r="D125" s="31"/>
      <c r="E125" s="31"/>
      <c r="F125" s="31"/>
      <c r="G125" s="31"/>
      <c r="H125" s="31"/>
      <c r="I125" s="31"/>
      <c r="J125" s="31"/>
      <c r="K125" s="31"/>
      <c r="L125" s="31"/>
      <c r="M125" s="31"/>
      <c r="N125" s="31"/>
      <c r="O125" s="31"/>
      <c r="P125" s="31"/>
      <c r="Q125" s="31"/>
      <c r="R125" s="31"/>
    </row>
    <row r="126" spans="1:18" x14ac:dyDescent="0.2">
      <c r="A126" s="31" t="str">
        <f ca="1">IFERROR(__xludf.DUMMYFUNCTION("""COMPUTED_VALUE"""),"Deuce Vaughn")</f>
        <v>Deuce Vaughn</v>
      </c>
      <c r="B126" s="31"/>
      <c r="C126" s="31"/>
      <c r="D126" s="31"/>
      <c r="E126" s="31"/>
      <c r="F126" s="31"/>
      <c r="G126" s="31"/>
      <c r="H126" s="31"/>
      <c r="I126" s="31"/>
      <c r="J126" s="31"/>
      <c r="K126" s="31"/>
      <c r="L126" s="31"/>
      <c r="M126" s="31"/>
      <c r="N126" s="31"/>
      <c r="O126" s="31"/>
      <c r="P126" s="31"/>
      <c r="Q126" s="31"/>
      <c r="R126" s="31"/>
    </row>
    <row r="127" spans="1:18" x14ac:dyDescent="0.2">
      <c r="A127" s="31" t="str">
        <f ca="1">IFERROR(__xludf.DUMMYFUNCTION("""COMPUTED_VALUE"""),"Trayveon Williams")</f>
        <v>Trayveon Williams</v>
      </c>
      <c r="B127" s="31"/>
      <c r="C127" s="31"/>
      <c r="D127" s="31"/>
      <c r="E127" s="31"/>
      <c r="F127" s="31"/>
      <c r="G127" s="31"/>
      <c r="H127" s="31"/>
      <c r="I127" s="31"/>
      <c r="J127" s="31"/>
      <c r="K127" s="31"/>
      <c r="L127" s="31"/>
      <c r="M127" s="31"/>
      <c r="N127" s="31"/>
      <c r="O127" s="31"/>
      <c r="P127" s="31"/>
      <c r="Q127" s="31"/>
      <c r="R127" s="31"/>
    </row>
    <row r="128" spans="1:18" x14ac:dyDescent="0.2">
      <c r="A128" s="31" t="str">
        <f ca="1">IFERROR(__xludf.DUMMYFUNCTION("""COMPUTED_VALUE"""),"Tyreek Hill")</f>
        <v>Tyreek Hill</v>
      </c>
      <c r="B128" s="31"/>
      <c r="C128" s="31"/>
      <c r="D128" s="31"/>
      <c r="E128" s="31"/>
      <c r="F128" s="31"/>
      <c r="G128" s="31"/>
      <c r="H128" s="31"/>
      <c r="I128" s="31"/>
      <c r="J128" s="31"/>
      <c r="K128" s="31"/>
      <c r="L128" s="31"/>
      <c r="M128" s="31"/>
      <c r="N128" s="31"/>
      <c r="O128" s="31"/>
      <c r="P128" s="31"/>
      <c r="Q128" s="31"/>
      <c r="R128" s="31"/>
    </row>
    <row r="129" spans="1:18" x14ac:dyDescent="0.2">
      <c r="A129" s="31" t="str">
        <f ca="1">IFERROR(__xludf.DUMMYFUNCTION("""COMPUTED_VALUE"""),"Brandon Aiyuk")</f>
        <v>Brandon Aiyuk</v>
      </c>
      <c r="B129" s="31"/>
      <c r="C129" s="31"/>
      <c r="D129" s="31"/>
      <c r="E129" s="31"/>
      <c r="F129" s="31"/>
      <c r="G129" s="31"/>
      <c r="H129" s="31"/>
      <c r="I129" s="31"/>
      <c r="J129" s="31"/>
      <c r="K129" s="31"/>
      <c r="L129" s="31"/>
      <c r="M129" s="31"/>
      <c r="N129" s="31"/>
      <c r="O129" s="31"/>
      <c r="P129" s="31"/>
      <c r="Q129" s="31"/>
      <c r="R129" s="31"/>
    </row>
    <row r="130" spans="1:18" x14ac:dyDescent="0.2">
      <c r="A130" s="31" t="str">
        <f ca="1">IFERROR(__xludf.DUMMYFUNCTION("""COMPUTED_VALUE"""),"Jakobi Meyers")</f>
        <v>Jakobi Meyers</v>
      </c>
      <c r="B130" s="31"/>
      <c r="C130" s="31"/>
      <c r="D130" s="31"/>
      <c r="E130" s="31"/>
      <c r="F130" s="31"/>
      <c r="G130" s="31"/>
      <c r="H130" s="31"/>
      <c r="I130" s="31"/>
      <c r="J130" s="31"/>
      <c r="K130" s="31"/>
      <c r="L130" s="31"/>
      <c r="M130" s="31"/>
      <c r="N130" s="31"/>
      <c r="O130" s="31"/>
      <c r="P130" s="31"/>
      <c r="Q130" s="31"/>
      <c r="R130" s="31"/>
    </row>
    <row r="131" spans="1:18" x14ac:dyDescent="0.2">
      <c r="A131" s="31" t="str">
        <f ca="1">IFERROR(__xludf.DUMMYFUNCTION("""COMPUTED_VALUE"""),"Stefon Diggs")</f>
        <v>Stefon Diggs</v>
      </c>
      <c r="B131" s="31"/>
      <c r="C131" s="31"/>
      <c r="D131" s="31"/>
      <c r="E131" s="31"/>
      <c r="F131" s="31"/>
      <c r="G131" s="31"/>
      <c r="H131" s="31"/>
      <c r="I131" s="31"/>
      <c r="J131" s="31"/>
      <c r="K131" s="31"/>
      <c r="L131" s="31"/>
      <c r="M131" s="31"/>
      <c r="N131" s="31"/>
      <c r="O131" s="31"/>
      <c r="P131" s="31"/>
      <c r="Q131" s="31"/>
      <c r="R131" s="31"/>
    </row>
    <row r="132" spans="1:18" x14ac:dyDescent="0.2">
      <c r="A132" s="31" t="str">
        <f ca="1">IFERROR(__xludf.DUMMYFUNCTION("""COMPUTED_VALUE"""),"Kendrick Bourne")</f>
        <v>Kendrick Bourne</v>
      </c>
      <c r="B132" s="31"/>
      <c r="C132" s="31"/>
      <c r="D132" s="31"/>
      <c r="E132" s="31"/>
      <c r="F132" s="31"/>
      <c r="G132" s="31"/>
      <c r="H132" s="31"/>
      <c r="I132" s="31"/>
      <c r="J132" s="31"/>
      <c r="K132" s="31"/>
      <c r="L132" s="31"/>
      <c r="M132" s="31"/>
      <c r="N132" s="31"/>
      <c r="O132" s="31"/>
      <c r="P132" s="31"/>
      <c r="Q132" s="31"/>
      <c r="R132" s="31"/>
    </row>
    <row r="133" spans="1:18" x14ac:dyDescent="0.2">
      <c r="A133" s="31" t="str">
        <f ca="1">IFERROR(__xludf.DUMMYFUNCTION("""COMPUTED_VALUE"""),"Justin Jefferson")</f>
        <v>Justin Jefferson</v>
      </c>
      <c r="B133" s="31"/>
      <c r="C133" s="31"/>
      <c r="D133" s="31"/>
      <c r="E133" s="31"/>
      <c r="F133" s="31"/>
      <c r="G133" s="31"/>
      <c r="H133" s="31"/>
      <c r="I133" s="31"/>
      <c r="J133" s="31"/>
      <c r="K133" s="31"/>
      <c r="L133" s="31"/>
      <c r="M133" s="31"/>
      <c r="N133" s="31"/>
      <c r="O133" s="31"/>
      <c r="P133" s="31"/>
      <c r="Q133" s="31"/>
      <c r="R133" s="31"/>
    </row>
    <row r="134" spans="1:18" x14ac:dyDescent="0.2">
      <c r="A134" s="31" t="str">
        <f ca="1">IFERROR(__xludf.DUMMYFUNCTION("""COMPUTED_VALUE"""),"Calvin Ridley")</f>
        <v>Calvin Ridley</v>
      </c>
      <c r="B134" s="31"/>
      <c r="C134" s="31"/>
      <c r="D134" s="31"/>
      <c r="E134" s="31"/>
      <c r="F134" s="31"/>
      <c r="G134" s="31"/>
      <c r="H134" s="31"/>
      <c r="I134" s="31"/>
      <c r="J134" s="31"/>
      <c r="K134" s="31"/>
      <c r="L134" s="31"/>
      <c r="M134" s="31"/>
      <c r="N134" s="31"/>
      <c r="O134" s="31"/>
      <c r="P134" s="31"/>
      <c r="Q134" s="31"/>
      <c r="R134" s="31"/>
    </row>
    <row r="135" spans="1:18" x14ac:dyDescent="0.2">
      <c r="A135" s="31" t="str">
        <f ca="1">IFERROR(__xludf.DUMMYFUNCTION("""COMPUTED_VALUE"""),"Michael Pittman")</f>
        <v>Michael Pittman</v>
      </c>
      <c r="B135" s="31"/>
      <c r="C135" s="31"/>
      <c r="D135" s="31"/>
      <c r="E135" s="31"/>
      <c r="F135" s="31"/>
      <c r="G135" s="31"/>
      <c r="H135" s="31"/>
      <c r="I135" s="31"/>
      <c r="J135" s="31"/>
      <c r="K135" s="31"/>
      <c r="L135" s="31"/>
      <c r="M135" s="31"/>
      <c r="N135" s="31"/>
      <c r="O135" s="31"/>
      <c r="P135" s="31"/>
      <c r="Q135" s="31"/>
      <c r="R135" s="31"/>
    </row>
    <row r="136" spans="1:18" x14ac:dyDescent="0.2">
      <c r="A136" s="31" t="str">
        <f ca="1">IFERROR(__xludf.DUMMYFUNCTION("""COMPUTED_VALUE"""),"Puka Nacua")</f>
        <v>Puka Nacua</v>
      </c>
      <c r="B136" s="31"/>
      <c r="C136" s="31"/>
      <c r="D136" s="31"/>
      <c r="E136" s="31"/>
      <c r="F136" s="31"/>
      <c r="G136" s="31"/>
      <c r="H136" s="31"/>
      <c r="I136" s="31"/>
      <c r="J136" s="31"/>
      <c r="K136" s="31"/>
      <c r="L136" s="31"/>
      <c r="M136" s="31"/>
      <c r="N136" s="31"/>
      <c r="O136" s="31"/>
      <c r="P136" s="31"/>
      <c r="Q136" s="31"/>
      <c r="R136" s="31"/>
    </row>
    <row r="137" spans="1:18" x14ac:dyDescent="0.2">
      <c r="A137" s="31" t="str">
        <f ca="1">IFERROR(__xludf.DUMMYFUNCTION("""COMPUTED_VALUE"""),"Chris Olave")</f>
        <v>Chris Olave</v>
      </c>
      <c r="B137" s="31"/>
      <c r="C137" s="31"/>
      <c r="D137" s="31"/>
      <c r="E137" s="31"/>
      <c r="F137" s="31"/>
      <c r="G137" s="31"/>
      <c r="H137" s="31"/>
      <c r="I137" s="31"/>
      <c r="J137" s="31"/>
      <c r="K137" s="31"/>
      <c r="L137" s="31"/>
      <c r="M137" s="31"/>
      <c r="N137" s="31"/>
      <c r="O137" s="31"/>
      <c r="P137" s="31"/>
      <c r="Q137" s="31"/>
      <c r="R137" s="31"/>
    </row>
    <row r="138" spans="1:18" x14ac:dyDescent="0.2">
      <c r="A138" s="31" t="str">
        <f ca="1">IFERROR(__xludf.DUMMYFUNCTION("""COMPUTED_VALUE"""),"Rashid Shaheed")</f>
        <v>Rashid Shaheed</v>
      </c>
      <c r="B138" s="31"/>
      <c r="C138" s="31"/>
      <c r="D138" s="31"/>
      <c r="E138" s="31"/>
      <c r="F138" s="31"/>
      <c r="G138" s="31"/>
      <c r="H138" s="31"/>
      <c r="I138" s="31"/>
      <c r="J138" s="31"/>
      <c r="K138" s="31"/>
      <c r="L138" s="31"/>
      <c r="M138" s="31"/>
      <c r="N138" s="31"/>
      <c r="O138" s="31"/>
      <c r="P138" s="31"/>
      <c r="Q138" s="31"/>
      <c r="R138" s="31"/>
    </row>
    <row r="139" spans="1:18" x14ac:dyDescent="0.2">
      <c r="A139" s="31" t="str">
        <f ca="1">IFERROR(__xludf.DUMMYFUNCTION("""COMPUTED_VALUE"""),"Amon-Ra St. Brown")</f>
        <v>Amon-Ra St. Brown</v>
      </c>
      <c r="B139" s="31"/>
      <c r="C139" s="31"/>
      <c r="D139" s="31"/>
      <c r="E139" s="31"/>
      <c r="F139" s="31"/>
      <c r="G139" s="31"/>
      <c r="H139" s="31"/>
      <c r="I139" s="31"/>
      <c r="J139" s="31"/>
      <c r="K139" s="31"/>
      <c r="L139" s="31"/>
      <c r="M139" s="31"/>
      <c r="N139" s="31"/>
      <c r="O139" s="31"/>
      <c r="P139" s="31"/>
      <c r="Q139" s="31"/>
      <c r="R139" s="31"/>
    </row>
    <row r="140" spans="1:18" x14ac:dyDescent="0.2">
      <c r="A140" s="31" t="str">
        <f ca="1">IFERROR(__xludf.DUMMYFUNCTION("""COMPUTED_VALUE"""),"Romeo Doubs")</f>
        <v>Romeo Doubs</v>
      </c>
      <c r="B140" s="31"/>
      <c r="C140" s="31"/>
      <c r="D140" s="31"/>
      <c r="E140" s="31"/>
      <c r="F140" s="31"/>
      <c r="G140" s="31"/>
      <c r="H140" s="31"/>
      <c r="I140" s="31"/>
      <c r="J140" s="31"/>
      <c r="K140" s="31"/>
      <c r="L140" s="31"/>
      <c r="M140" s="31"/>
      <c r="N140" s="31"/>
      <c r="O140" s="31"/>
      <c r="P140" s="31"/>
      <c r="Q140" s="31"/>
      <c r="R140" s="31"/>
    </row>
    <row r="141" spans="1:18" x14ac:dyDescent="0.2">
      <c r="A141" s="31" t="str">
        <f ca="1">IFERROR(__xludf.DUMMYFUNCTION("""COMPUTED_VALUE"""),"Mike Evans")</f>
        <v>Mike Evans</v>
      </c>
      <c r="B141" s="31"/>
      <c r="C141" s="31"/>
      <c r="D141" s="31"/>
      <c r="E141" s="31"/>
      <c r="F141" s="31"/>
      <c r="G141" s="31"/>
      <c r="H141" s="31"/>
      <c r="I141" s="31"/>
      <c r="J141" s="31"/>
      <c r="K141" s="31"/>
      <c r="L141" s="31"/>
      <c r="M141" s="31"/>
      <c r="N141" s="31"/>
      <c r="O141" s="31"/>
      <c r="P141" s="31"/>
      <c r="Q141" s="31"/>
      <c r="R141" s="31"/>
    </row>
    <row r="142" spans="1:18" x14ac:dyDescent="0.2">
      <c r="A142" s="31" t="str">
        <f ca="1">IFERROR(__xludf.DUMMYFUNCTION("""COMPUTED_VALUE"""),"Chatarius Atwell")</f>
        <v>Chatarius Atwell</v>
      </c>
      <c r="B142" s="31"/>
      <c r="C142" s="31"/>
      <c r="D142" s="31"/>
      <c r="E142" s="31"/>
      <c r="F142" s="31"/>
      <c r="G142" s="31"/>
      <c r="H142" s="31"/>
      <c r="I142" s="31"/>
      <c r="J142" s="31"/>
      <c r="K142" s="31"/>
      <c r="L142" s="31"/>
      <c r="M142" s="31"/>
      <c r="N142" s="31"/>
      <c r="O142" s="31"/>
      <c r="P142" s="31"/>
      <c r="Q142" s="31"/>
      <c r="R142" s="31"/>
    </row>
    <row r="143" spans="1:18" x14ac:dyDescent="0.2">
      <c r="A143" s="31" t="str">
        <f ca="1">IFERROR(__xludf.DUMMYFUNCTION("""COMPUTED_VALUE"""),"DeVonta Smith")</f>
        <v>DeVonta Smith</v>
      </c>
      <c r="B143" s="31"/>
      <c r="C143" s="31"/>
      <c r="D143" s="31"/>
      <c r="E143" s="31"/>
      <c r="F143" s="31"/>
      <c r="G143" s="31"/>
      <c r="H143" s="31"/>
      <c r="I143" s="31"/>
      <c r="J143" s="31"/>
      <c r="K143" s="31"/>
      <c r="L143" s="31"/>
      <c r="M143" s="31"/>
      <c r="N143" s="31"/>
      <c r="O143" s="31"/>
      <c r="P143" s="31"/>
      <c r="Q143" s="31"/>
      <c r="R143" s="31"/>
    </row>
    <row r="144" spans="1:18" x14ac:dyDescent="0.2">
      <c r="A144" s="31" t="str">
        <f ca="1">IFERROR(__xludf.DUMMYFUNCTION("""COMPUTED_VALUE"""),"Jordan Addison")</f>
        <v>Jordan Addison</v>
      </c>
      <c r="B144" s="31"/>
      <c r="C144" s="31"/>
      <c r="D144" s="31"/>
      <c r="E144" s="31"/>
      <c r="F144" s="31"/>
      <c r="G144" s="31"/>
      <c r="H144" s="31"/>
      <c r="I144" s="31"/>
      <c r="J144" s="31"/>
      <c r="K144" s="31"/>
      <c r="L144" s="31"/>
      <c r="M144" s="31"/>
      <c r="N144" s="31"/>
      <c r="O144" s="31"/>
      <c r="P144" s="31"/>
      <c r="Q144" s="31"/>
      <c r="R144" s="31"/>
    </row>
    <row r="145" spans="1:18" x14ac:dyDescent="0.2">
      <c r="A145" s="31" t="str">
        <f ca="1">IFERROR(__xludf.DUMMYFUNCTION("""COMPUTED_VALUE"""),"Zay Flowers")</f>
        <v>Zay Flowers</v>
      </c>
      <c r="B145" s="31"/>
      <c r="C145" s="31"/>
      <c r="D145" s="31"/>
      <c r="E145" s="31"/>
      <c r="F145" s="31"/>
      <c r="G145" s="31"/>
      <c r="H145" s="31"/>
      <c r="I145" s="31"/>
      <c r="J145" s="31"/>
      <c r="K145" s="31"/>
      <c r="L145" s="31"/>
      <c r="M145" s="31"/>
      <c r="N145" s="31"/>
      <c r="O145" s="31"/>
      <c r="P145" s="31"/>
      <c r="Q145" s="31"/>
      <c r="R145" s="31"/>
    </row>
    <row r="146" spans="1:18" x14ac:dyDescent="0.2">
      <c r="A146" s="31" t="str">
        <f ca="1">IFERROR(__xludf.DUMMYFUNCTION("""COMPUTED_VALUE"""),"Zay Jones")</f>
        <v>Zay Jones</v>
      </c>
      <c r="B146" s="31"/>
      <c r="C146" s="31"/>
      <c r="D146" s="31"/>
      <c r="E146" s="31"/>
      <c r="F146" s="31"/>
      <c r="G146" s="31"/>
      <c r="H146" s="31"/>
      <c r="I146" s="31"/>
      <c r="J146" s="31"/>
      <c r="K146" s="31"/>
      <c r="L146" s="31"/>
      <c r="M146" s="31"/>
      <c r="N146" s="31"/>
      <c r="O146" s="31"/>
      <c r="P146" s="31"/>
      <c r="Q146" s="31"/>
      <c r="R146" s="31"/>
    </row>
    <row r="147" spans="1:18" x14ac:dyDescent="0.2">
      <c r="A147" s="31" t="str">
        <f ca="1">IFERROR(__xludf.DUMMYFUNCTION("""COMPUTED_VALUE"""),"Darnell Mooney")</f>
        <v>Darnell Mooney</v>
      </c>
      <c r="B147" s="31"/>
      <c r="C147" s="31"/>
      <c r="D147" s="31"/>
      <c r="E147" s="31"/>
      <c r="F147" s="31"/>
      <c r="G147" s="31"/>
      <c r="H147" s="31"/>
      <c r="I147" s="31"/>
      <c r="J147" s="31"/>
      <c r="K147" s="31"/>
      <c r="L147" s="31"/>
      <c r="M147" s="31"/>
      <c r="N147" s="31"/>
      <c r="O147" s="31"/>
      <c r="P147" s="31"/>
      <c r="Q147" s="31"/>
      <c r="R147" s="31"/>
    </row>
    <row r="148" spans="1:18" x14ac:dyDescent="0.2">
      <c r="A148" s="31" t="str">
        <f ca="1">IFERROR(__xludf.DUMMYFUNCTION("""COMPUTED_VALUE"""),"A.J. Brown")</f>
        <v>A.J. Brown</v>
      </c>
      <c r="B148" s="31"/>
      <c r="C148" s="31"/>
      <c r="D148" s="31"/>
      <c r="E148" s="31"/>
      <c r="F148" s="31"/>
      <c r="G148" s="31"/>
      <c r="H148" s="31"/>
      <c r="I148" s="31"/>
      <c r="J148" s="31"/>
      <c r="K148" s="31"/>
      <c r="L148" s="31"/>
      <c r="M148" s="31"/>
      <c r="N148" s="31"/>
      <c r="O148" s="31"/>
      <c r="P148" s="31"/>
      <c r="Q148" s="31"/>
      <c r="R148" s="31"/>
    </row>
    <row r="149" spans="1:18" x14ac:dyDescent="0.2">
      <c r="A149" s="31" t="str">
        <f ca="1">IFERROR(__xludf.DUMMYFUNCTION("""COMPUTED_VALUE"""),"Nico Collins")</f>
        <v>Nico Collins</v>
      </c>
      <c r="B149" s="31"/>
      <c r="C149" s="31"/>
      <c r="D149" s="31"/>
      <c r="E149" s="31"/>
      <c r="F149" s="31"/>
      <c r="G149" s="31"/>
      <c r="H149" s="31"/>
      <c r="I149" s="31"/>
      <c r="J149" s="31"/>
      <c r="K149" s="31"/>
      <c r="L149" s="31"/>
      <c r="M149" s="31"/>
      <c r="N149" s="31"/>
      <c r="O149" s="31"/>
      <c r="P149" s="31"/>
      <c r="Q149" s="31"/>
      <c r="R149" s="31"/>
    </row>
    <row r="150" spans="1:18" x14ac:dyDescent="0.2">
      <c r="A150" s="31" t="str">
        <f ca="1">IFERROR(__xludf.DUMMYFUNCTION("""COMPUTED_VALUE"""),"Garrett Wilson")</f>
        <v>Garrett Wilson</v>
      </c>
      <c r="B150" s="31"/>
      <c r="C150" s="31"/>
      <c r="D150" s="31"/>
      <c r="E150" s="31"/>
      <c r="F150" s="31"/>
      <c r="G150" s="31"/>
      <c r="H150" s="31"/>
      <c r="I150" s="31"/>
      <c r="J150" s="31"/>
      <c r="K150" s="31"/>
      <c r="L150" s="31"/>
      <c r="M150" s="31"/>
      <c r="N150" s="31"/>
      <c r="O150" s="31"/>
      <c r="P150" s="31"/>
      <c r="Q150" s="31"/>
      <c r="R150" s="31"/>
    </row>
    <row r="151" spans="1:18" x14ac:dyDescent="0.2">
      <c r="A151" s="31" t="str">
        <f ca="1">IFERROR(__xludf.DUMMYFUNCTION("""COMPUTED_VALUE"""),"Keenan Allen")</f>
        <v>Keenan Allen</v>
      </c>
      <c r="B151" s="31"/>
      <c r="C151" s="31"/>
      <c r="D151" s="31"/>
      <c r="E151" s="31"/>
      <c r="F151" s="31"/>
      <c r="G151" s="31"/>
      <c r="H151" s="31"/>
      <c r="I151" s="31"/>
      <c r="J151" s="31"/>
      <c r="K151" s="31"/>
      <c r="L151" s="31"/>
      <c r="M151" s="31"/>
      <c r="N151" s="31"/>
      <c r="O151" s="31"/>
      <c r="P151" s="31"/>
      <c r="Q151" s="31"/>
      <c r="R151" s="31"/>
    </row>
    <row r="152" spans="1:18" x14ac:dyDescent="0.2">
      <c r="A152" s="31" t="str">
        <f ca="1">IFERROR(__xludf.DUMMYFUNCTION("""COMPUTED_VALUE"""),"River Cracraft")</f>
        <v>River Cracraft</v>
      </c>
      <c r="B152" s="31"/>
      <c r="C152" s="31"/>
      <c r="D152" s="31"/>
      <c r="E152" s="31"/>
      <c r="F152" s="31"/>
      <c r="G152" s="31"/>
      <c r="H152" s="31"/>
      <c r="I152" s="31"/>
      <c r="J152" s="31"/>
      <c r="K152" s="31"/>
      <c r="L152" s="31"/>
      <c r="M152" s="31"/>
      <c r="N152" s="31"/>
      <c r="O152" s="31"/>
      <c r="P152" s="31"/>
      <c r="Q152" s="31"/>
      <c r="R152" s="31"/>
    </row>
    <row r="153" spans="1:18" x14ac:dyDescent="0.2">
      <c r="A153" s="31" t="str">
        <f ca="1">IFERROR(__xludf.DUMMYFUNCTION("""COMPUTED_VALUE"""),"DeAndre Hopkins")</f>
        <v>DeAndre Hopkins</v>
      </c>
      <c r="B153" s="31"/>
      <c r="C153" s="31"/>
      <c r="D153" s="31"/>
      <c r="E153" s="31"/>
      <c r="F153" s="31"/>
      <c r="G153" s="31"/>
      <c r="H153" s="31"/>
      <c r="I153" s="31"/>
      <c r="J153" s="31"/>
      <c r="K153" s="31"/>
      <c r="L153" s="31"/>
      <c r="M153" s="31"/>
      <c r="N153" s="31"/>
      <c r="O153" s="31"/>
      <c r="P153" s="31"/>
      <c r="Q153" s="31"/>
      <c r="R153" s="31"/>
    </row>
    <row r="154" spans="1:18" x14ac:dyDescent="0.2">
      <c r="A154" s="31" t="str">
        <f ca="1">IFERROR(__xludf.DUMMYFUNCTION("""COMPUTED_VALUE"""),"D.K. Metcalf")</f>
        <v>D.K. Metcalf</v>
      </c>
      <c r="B154" s="31"/>
      <c r="C154" s="31"/>
      <c r="D154" s="31"/>
      <c r="E154" s="31"/>
      <c r="F154" s="31"/>
      <c r="G154" s="31"/>
      <c r="H154" s="31"/>
      <c r="I154" s="31"/>
      <c r="J154" s="31"/>
      <c r="K154" s="31"/>
      <c r="L154" s="31"/>
      <c r="M154" s="31"/>
      <c r="N154" s="31"/>
      <c r="O154" s="31"/>
      <c r="P154" s="31"/>
      <c r="Q154" s="31"/>
      <c r="R154" s="31"/>
    </row>
    <row r="155" spans="1:18" x14ac:dyDescent="0.2">
      <c r="A155" s="31" t="str">
        <f ca="1">IFERROR(__xludf.DUMMYFUNCTION("""COMPUTED_VALUE"""),"Courtland Sutton")</f>
        <v>Courtland Sutton</v>
      </c>
      <c r="B155" s="31"/>
      <c r="C155" s="31"/>
      <c r="D155" s="31"/>
      <c r="E155" s="31"/>
      <c r="F155" s="31"/>
      <c r="G155" s="31"/>
      <c r="H155" s="31"/>
      <c r="I155" s="31"/>
      <c r="J155" s="31"/>
      <c r="K155" s="31"/>
      <c r="L155" s="31"/>
      <c r="M155" s="31"/>
      <c r="N155" s="31"/>
      <c r="O155" s="31"/>
      <c r="P155" s="31"/>
      <c r="Q155" s="31"/>
      <c r="R155" s="31"/>
    </row>
    <row r="156" spans="1:18" x14ac:dyDescent="0.2">
      <c r="A156" s="31" t="str">
        <f ca="1">IFERROR(__xludf.DUMMYFUNCTION("""COMPUTED_VALUE"""),"Davante Adams")</f>
        <v>Davante Adams</v>
      </c>
      <c r="B156" s="31"/>
      <c r="C156" s="31"/>
      <c r="D156" s="31"/>
      <c r="E156" s="31"/>
      <c r="F156" s="31"/>
      <c r="G156" s="31"/>
      <c r="H156" s="31"/>
      <c r="I156" s="31"/>
      <c r="J156" s="31"/>
      <c r="K156" s="31"/>
      <c r="L156" s="31"/>
      <c r="M156" s="31"/>
      <c r="N156" s="31"/>
      <c r="O156" s="31"/>
      <c r="P156" s="31"/>
      <c r="Q156" s="31"/>
      <c r="R156" s="31"/>
    </row>
    <row r="157" spans="1:18" x14ac:dyDescent="0.2">
      <c r="A157" s="31" t="str">
        <f ca="1">IFERROR(__xludf.DUMMYFUNCTION("""COMPUTED_VALUE"""),"Josh Reynolds")</f>
        <v>Josh Reynolds</v>
      </c>
      <c r="B157" s="31"/>
      <c r="C157" s="31"/>
      <c r="D157" s="31"/>
      <c r="E157" s="31"/>
      <c r="F157" s="31"/>
      <c r="G157" s="31"/>
      <c r="H157" s="31"/>
      <c r="I157" s="31"/>
      <c r="J157" s="31"/>
      <c r="K157" s="31"/>
      <c r="L157" s="31"/>
      <c r="M157" s="31"/>
      <c r="N157" s="31"/>
      <c r="O157" s="31"/>
      <c r="P157" s="31"/>
      <c r="Q157" s="31"/>
      <c r="R157" s="31"/>
    </row>
    <row r="158" spans="1:18" x14ac:dyDescent="0.2">
      <c r="A158" s="31" t="str">
        <f ca="1">IFERROR(__xludf.DUMMYFUNCTION("""COMPUTED_VALUE"""),"CeeDee Lamb")</f>
        <v>CeeDee Lamb</v>
      </c>
      <c r="B158" s="31"/>
      <c r="C158" s="31"/>
      <c r="D158" s="31"/>
      <c r="E158" s="31"/>
      <c r="F158" s="31"/>
      <c r="G158" s="31"/>
      <c r="H158" s="31"/>
      <c r="I158" s="31"/>
      <c r="J158" s="31"/>
      <c r="K158" s="31"/>
      <c r="L158" s="31"/>
      <c r="M158" s="31"/>
      <c r="N158" s="31"/>
      <c r="O158" s="31"/>
      <c r="P158" s="31"/>
      <c r="Q158" s="31"/>
      <c r="R158" s="31"/>
    </row>
    <row r="159" spans="1:18" x14ac:dyDescent="0.2">
      <c r="A159" s="31" t="str">
        <f ca="1">IFERROR(__xludf.DUMMYFUNCTION("""COMPUTED_VALUE"""),"Rashee Rice")</f>
        <v>Rashee Rice</v>
      </c>
      <c r="B159" s="31"/>
      <c r="C159" s="31"/>
      <c r="D159" s="31"/>
      <c r="E159" s="31"/>
      <c r="F159" s="31"/>
      <c r="G159" s="31"/>
      <c r="H159" s="31"/>
      <c r="I159" s="31"/>
      <c r="J159" s="31"/>
      <c r="K159" s="31"/>
      <c r="L159" s="31"/>
      <c r="M159" s="31"/>
      <c r="N159" s="31"/>
      <c r="O159" s="31"/>
      <c r="P159" s="31"/>
      <c r="Q159" s="31"/>
      <c r="R159" s="31"/>
    </row>
    <row r="160" spans="1:18" x14ac:dyDescent="0.2">
      <c r="A160" s="31" t="str">
        <f ca="1">IFERROR(__xludf.DUMMYFUNCTION("""COMPUTED_VALUE"""),"Allen Robinson")</f>
        <v>Allen Robinson</v>
      </c>
      <c r="B160" s="31"/>
      <c r="C160" s="31"/>
      <c r="D160" s="31"/>
      <c r="E160" s="31"/>
      <c r="F160" s="31"/>
      <c r="G160" s="31"/>
      <c r="H160" s="31"/>
      <c r="I160" s="31"/>
      <c r="J160" s="31"/>
      <c r="K160" s="31"/>
      <c r="L160" s="31"/>
      <c r="M160" s="31"/>
      <c r="N160" s="31"/>
      <c r="O160" s="31"/>
      <c r="P160" s="31"/>
      <c r="Q160" s="31"/>
      <c r="R160" s="31"/>
    </row>
    <row r="161" spans="1:18" x14ac:dyDescent="0.2">
      <c r="A161" s="31" t="str">
        <f ca="1">IFERROR(__xludf.DUMMYFUNCTION("""COMPUTED_VALUE"""),"Michael Thomas")</f>
        <v>Michael Thomas</v>
      </c>
      <c r="B161" s="31"/>
      <c r="C161" s="31"/>
      <c r="D161" s="31"/>
      <c r="E161" s="31"/>
      <c r="F161" s="31"/>
      <c r="G161" s="31"/>
      <c r="H161" s="31"/>
      <c r="I161" s="31"/>
      <c r="J161" s="31"/>
      <c r="K161" s="31"/>
      <c r="L161" s="31"/>
      <c r="M161" s="31"/>
      <c r="N161" s="31"/>
      <c r="O161" s="31"/>
      <c r="P161" s="31"/>
      <c r="Q161" s="31"/>
      <c r="R161" s="31"/>
    </row>
    <row r="162" spans="1:18" x14ac:dyDescent="0.2">
      <c r="A162" s="31" t="str">
        <f ca="1">IFERROR(__xludf.DUMMYFUNCTION("""COMPUTED_VALUE"""),"Jaylen Waddle")</f>
        <v>Jaylen Waddle</v>
      </c>
      <c r="B162" s="31"/>
      <c r="C162" s="31"/>
      <c r="D162" s="31"/>
      <c r="E162" s="31"/>
      <c r="F162" s="31"/>
      <c r="G162" s="31"/>
      <c r="H162" s="31"/>
      <c r="I162" s="31"/>
      <c r="J162" s="31"/>
      <c r="K162" s="31"/>
      <c r="L162" s="31"/>
      <c r="M162" s="31"/>
      <c r="N162" s="31"/>
      <c r="O162" s="31"/>
      <c r="P162" s="31"/>
      <c r="Q162" s="31"/>
      <c r="R162" s="31"/>
    </row>
    <row r="163" spans="1:18" x14ac:dyDescent="0.2">
      <c r="A163" s="31" t="str">
        <f ca="1">IFERROR(__xludf.DUMMYFUNCTION("""COMPUTED_VALUE"""),"Robert Woods")</f>
        <v>Robert Woods</v>
      </c>
      <c r="B163" s="31"/>
      <c r="C163" s="31"/>
      <c r="D163" s="31"/>
      <c r="E163" s="31"/>
      <c r="F163" s="31"/>
      <c r="G163" s="31"/>
      <c r="H163" s="31"/>
      <c r="I163" s="31"/>
      <c r="J163" s="31"/>
      <c r="K163" s="31"/>
      <c r="L163" s="31"/>
      <c r="M163" s="31"/>
      <c r="N163" s="31"/>
      <c r="O163" s="31"/>
      <c r="P163" s="31"/>
      <c r="Q163" s="31"/>
      <c r="R163" s="31"/>
    </row>
    <row r="164" spans="1:18" x14ac:dyDescent="0.2">
      <c r="A164" s="31" t="str">
        <f ca="1">IFERROR(__xludf.DUMMYFUNCTION("""COMPUTED_VALUE"""),"Chris Godwin")</f>
        <v>Chris Godwin</v>
      </c>
      <c r="B164" s="31"/>
      <c r="C164" s="31"/>
      <c r="D164" s="31"/>
      <c r="E164" s="31"/>
      <c r="F164" s="31"/>
      <c r="G164" s="31"/>
      <c r="H164" s="31"/>
      <c r="I164" s="31"/>
      <c r="J164" s="31"/>
      <c r="K164" s="31"/>
      <c r="L164" s="31"/>
      <c r="M164" s="31"/>
      <c r="N164" s="31"/>
      <c r="O164" s="31"/>
      <c r="P164" s="31"/>
      <c r="Q164" s="31"/>
      <c r="R164" s="31"/>
    </row>
    <row r="165" spans="1:18" x14ac:dyDescent="0.2">
      <c r="A165" s="31" t="str">
        <f ca="1">IFERROR(__xludf.DUMMYFUNCTION("""COMPUTED_VALUE"""),"Curtis Samuel")</f>
        <v>Curtis Samuel</v>
      </c>
      <c r="B165" s="31"/>
      <c r="C165" s="31"/>
      <c r="D165" s="31"/>
      <c r="E165" s="31"/>
      <c r="F165" s="31"/>
      <c r="G165" s="31"/>
      <c r="H165" s="31"/>
      <c r="I165" s="31"/>
      <c r="J165" s="31"/>
      <c r="K165" s="31"/>
      <c r="L165" s="31"/>
      <c r="M165" s="31"/>
      <c r="N165" s="31"/>
      <c r="O165" s="31"/>
      <c r="P165" s="31"/>
      <c r="Q165" s="31"/>
      <c r="R165" s="31"/>
    </row>
    <row r="166" spans="1:18" x14ac:dyDescent="0.2">
      <c r="A166" s="31" t="str">
        <f ca="1">IFERROR(__xludf.DUMMYFUNCTION("""COMPUTED_VALUE"""),"Deebo Samuel")</f>
        <v>Deebo Samuel</v>
      </c>
      <c r="B166" s="31"/>
      <c r="C166" s="31"/>
      <c r="D166" s="31"/>
      <c r="E166" s="31"/>
      <c r="F166" s="31"/>
      <c r="G166" s="31"/>
      <c r="H166" s="31"/>
      <c r="I166" s="31"/>
      <c r="J166" s="31"/>
      <c r="K166" s="31"/>
      <c r="L166" s="31"/>
      <c r="M166" s="31"/>
      <c r="N166" s="31"/>
      <c r="O166" s="31"/>
      <c r="P166" s="31"/>
      <c r="Q166" s="31"/>
      <c r="R166" s="31"/>
    </row>
    <row r="167" spans="1:18" x14ac:dyDescent="0.2">
      <c r="A167" s="31" t="str">
        <f ca="1">IFERROR(__xludf.DUMMYFUNCTION("""COMPUTED_VALUE"""),"KaVontae Turpin")</f>
        <v>KaVontae Turpin</v>
      </c>
      <c r="B167" s="31"/>
      <c r="C167" s="31"/>
      <c r="D167" s="31"/>
      <c r="E167" s="31"/>
      <c r="F167" s="31"/>
      <c r="G167" s="31"/>
      <c r="H167" s="31"/>
      <c r="I167" s="31"/>
      <c r="J167" s="31"/>
      <c r="K167" s="31"/>
      <c r="L167" s="31"/>
      <c r="M167" s="31"/>
      <c r="N167" s="31"/>
      <c r="O167" s="31"/>
      <c r="P167" s="31"/>
      <c r="Q167" s="31"/>
      <c r="R167" s="31"/>
    </row>
    <row r="168" spans="1:18" x14ac:dyDescent="0.2">
      <c r="A168" s="31" t="str">
        <f ca="1">IFERROR(__xludf.DUMMYFUNCTION("""COMPUTED_VALUE"""),"Calvin Austin")</f>
        <v>Calvin Austin</v>
      </c>
      <c r="B168" s="31"/>
      <c r="C168" s="31"/>
      <c r="D168" s="31"/>
      <c r="E168" s="31"/>
      <c r="F168" s="31"/>
      <c r="G168" s="31"/>
      <c r="H168" s="31"/>
      <c r="I168" s="31"/>
      <c r="J168" s="31"/>
      <c r="K168" s="31"/>
      <c r="L168" s="31"/>
      <c r="M168" s="31"/>
      <c r="N168" s="31"/>
      <c r="O168" s="31"/>
      <c r="P168" s="31"/>
      <c r="Q168" s="31"/>
      <c r="R168" s="31"/>
    </row>
    <row r="169" spans="1:18" x14ac:dyDescent="0.2">
      <c r="A169" s="31" t="str">
        <f ca="1">IFERROR(__xludf.DUMMYFUNCTION("""COMPUTED_VALUE"""),"Jahan Dotson")</f>
        <v>Jahan Dotson</v>
      </c>
      <c r="B169" s="31"/>
      <c r="C169" s="31"/>
      <c r="D169" s="31"/>
      <c r="E169" s="31"/>
      <c r="F169" s="31"/>
      <c r="G169" s="31"/>
      <c r="H169" s="31"/>
      <c r="I169" s="31"/>
      <c r="J169" s="31"/>
      <c r="K169" s="31"/>
      <c r="L169" s="31"/>
      <c r="M169" s="31"/>
      <c r="N169" s="31"/>
      <c r="O169" s="31"/>
      <c r="P169" s="31"/>
      <c r="Q169" s="31"/>
      <c r="R169" s="31"/>
    </row>
    <row r="170" spans="1:18" x14ac:dyDescent="0.2">
      <c r="A170" s="31" t="str">
        <f ca="1">IFERROR(__xludf.DUMMYFUNCTION("""COMPUTED_VALUE"""),"Lil'Jordan Humphrey")</f>
        <v>Lil'Jordan Humphrey</v>
      </c>
      <c r="B170" s="31"/>
      <c r="C170" s="31"/>
      <c r="D170" s="31"/>
      <c r="E170" s="31"/>
      <c r="F170" s="31"/>
      <c r="G170" s="31"/>
      <c r="H170" s="31"/>
      <c r="I170" s="31"/>
      <c r="J170" s="31"/>
      <c r="K170" s="31"/>
      <c r="L170" s="31"/>
      <c r="M170" s="31"/>
      <c r="N170" s="31"/>
      <c r="O170" s="31"/>
      <c r="P170" s="31"/>
      <c r="Q170" s="31"/>
      <c r="R170" s="31"/>
    </row>
    <row r="171" spans="1:18" x14ac:dyDescent="0.2">
      <c r="A171" s="31" t="str">
        <f ca="1">IFERROR(__xludf.DUMMYFUNCTION("""COMPUTED_VALUE"""),"Nick Westbrook")</f>
        <v>Nick Westbrook</v>
      </c>
      <c r="B171" s="31"/>
      <c r="C171" s="31"/>
      <c r="D171" s="31"/>
      <c r="E171" s="31"/>
      <c r="F171" s="31"/>
      <c r="G171" s="31"/>
      <c r="H171" s="31"/>
      <c r="I171" s="31"/>
      <c r="J171" s="31"/>
      <c r="K171" s="31"/>
      <c r="L171" s="31"/>
      <c r="M171" s="31"/>
      <c r="N171" s="31"/>
      <c r="O171" s="31"/>
      <c r="P171" s="31"/>
      <c r="Q171" s="31"/>
      <c r="R171" s="31"/>
    </row>
    <row r="172" spans="1:18" x14ac:dyDescent="0.2">
      <c r="A172" s="31" t="str">
        <f ca="1">IFERROR(__xludf.DUMMYFUNCTION("""COMPUTED_VALUE"""),"Ja'Marr Chase")</f>
        <v>Ja'Marr Chase</v>
      </c>
      <c r="B172" s="31"/>
      <c r="C172" s="31"/>
      <c r="D172" s="31"/>
      <c r="E172" s="31"/>
      <c r="F172" s="31"/>
      <c r="G172" s="31"/>
      <c r="H172" s="31"/>
      <c r="I172" s="31"/>
      <c r="J172" s="31"/>
      <c r="K172" s="31"/>
      <c r="L172" s="31"/>
      <c r="M172" s="31"/>
      <c r="N172" s="31"/>
      <c r="O172" s="31"/>
      <c r="P172" s="31"/>
      <c r="Q172" s="31"/>
      <c r="R172" s="31"/>
    </row>
    <row r="173" spans="1:18" x14ac:dyDescent="0.2">
      <c r="A173" s="31" t="str">
        <f ca="1">IFERROR(__xludf.DUMMYFUNCTION("""COMPUTED_VALUE"""),"Demario Douglas")</f>
        <v>Demario Douglas</v>
      </c>
      <c r="B173" s="31"/>
      <c r="C173" s="31"/>
      <c r="D173" s="31"/>
      <c r="E173" s="31"/>
      <c r="F173" s="31"/>
      <c r="G173" s="31"/>
      <c r="H173" s="31"/>
      <c r="I173" s="31"/>
      <c r="J173" s="31"/>
      <c r="K173" s="31"/>
      <c r="L173" s="31"/>
      <c r="M173" s="31"/>
      <c r="N173" s="31"/>
      <c r="O173" s="31"/>
      <c r="P173" s="31"/>
      <c r="Q173" s="31"/>
      <c r="R173" s="31"/>
    </row>
    <row r="174" spans="1:18" x14ac:dyDescent="0.2">
      <c r="A174" s="31" t="str">
        <f ca="1">IFERROR(__xludf.DUMMYFUNCTION("""COMPUTED_VALUE"""),"Elijah Moore")</f>
        <v>Elijah Moore</v>
      </c>
      <c r="B174" s="31"/>
      <c r="C174" s="31"/>
      <c r="D174" s="31"/>
      <c r="E174" s="31"/>
      <c r="F174" s="31"/>
      <c r="G174" s="31"/>
      <c r="H174" s="31"/>
      <c r="I174" s="31"/>
      <c r="J174" s="31"/>
      <c r="K174" s="31"/>
      <c r="L174" s="31"/>
      <c r="M174" s="31"/>
      <c r="N174" s="31"/>
      <c r="O174" s="31"/>
      <c r="P174" s="31"/>
      <c r="Q174" s="31"/>
      <c r="R174" s="31"/>
    </row>
    <row r="175" spans="1:18" x14ac:dyDescent="0.2">
      <c r="A175" s="31" t="str">
        <f ca="1">IFERROR(__xludf.DUMMYFUNCTION("""COMPUTED_VALUE"""),"Trey Palmer")</f>
        <v>Trey Palmer</v>
      </c>
      <c r="B175" s="31"/>
      <c r="C175" s="31"/>
      <c r="D175" s="31"/>
      <c r="E175" s="31"/>
      <c r="F175" s="31"/>
      <c r="G175" s="31"/>
      <c r="H175" s="31"/>
      <c r="I175" s="31"/>
      <c r="J175" s="31"/>
      <c r="K175" s="31"/>
      <c r="L175" s="31"/>
      <c r="M175" s="31"/>
      <c r="N175" s="31"/>
      <c r="O175" s="31"/>
      <c r="P175" s="31"/>
      <c r="Q175" s="31"/>
      <c r="R175" s="31"/>
    </row>
    <row r="176" spans="1:18" x14ac:dyDescent="0.2">
      <c r="A176" s="31" t="str">
        <f ca="1">IFERROR(__xludf.DUMMYFUNCTION("""COMPUTED_VALUE"""),"George Pickens")</f>
        <v>George Pickens</v>
      </c>
      <c r="B176" s="31"/>
      <c r="C176" s="31"/>
      <c r="D176" s="31"/>
      <c r="E176" s="31"/>
      <c r="F176" s="31"/>
      <c r="G176" s="31"/>
      <c r="H176" s="31"/>
      <c r="I176" s="31"/>
      <c r="J176" s="31"/>
      <c r="K176" s="31"/>
      <c r="L176" s="31"/>
      <c r="M176" s="31"/>
      <c r="N176" s="31"/>
      <c r="O176" s="31"/>
      <c r="P176" s="31"/>
      <c r="Q176" s="31"/>
      <c r="R176" s="31"/>
    </row>
    <row r="177" spans="1:18" x14ac:dyDescent="0.2">
      <c r="A177" s="31" t="str">
        <f ca="1">IFERROR(__xludf.DUMMYFUNCTION("""COMPUTED_VALUE"""),"Mike Williams")</f>
        <v>Mike Williams</v>
      </c>
      <c r="B177" s="31"/>
      <c r="C177" s="31"/>
      <c r="D177" s="31"/>
      <c r="E177" s="31"/>
      <c r="F177" s="31"/>
      <c r="G177" s="31"/>
      <c r="H177" s="31"/>
      <c r="I177" s="31"/>
      <c r="J177" s="31"/>
      <c r="K177" s="31"/>
      <c r="L177" s="31"/>
      <c r="M177" s="31"/>
      <c r="N177" s="31"/>
      <c r="O177" s="31"/>
      <c r="P177" s="31"/>
      <c r="Q177" s="31"/>
      <c r="R177" s="31"/>
    </row>
    <row r="178" spans="1:18" x14ac:dyDescent="0.2">
      <c r="A178" s="31" t="str">
        <f ca="1">IFERROR(__xludf.DUMMYFUNCTION("""COMPUTED_VALUE"""),"Braxton Berrios")</f>
        <v>Braxton Berrios</v>
      </c>
      <c r="B178" s="31"/>
      <c r="C178" s="31"/>
      <c r="D178" s="31"/>
      <c r="E178" s="31"/>
      <c r="F178" s="31"/>
      <c r="G178" s="31"/>
      <c r="H178" s="31"/>
      <c r="I178" s="31"/>
      <c r="J178" s="31"/>
      <c r="K178" s="31"/>
      <c r="L178" s="31"/>
      <c r="M178" s="31"/>
      <c r="N178" s="31"/>
      <c r="O178" s="31"/>
      <c r="P178" s="31"/>
      <c r="Q178" s="31"/>
      <c r="R178" s="31"/>
    </row>
    <row r="179" spans="1:18" x14ac:dyDescent="0.2">
      <c r="A179" s="31" t="str">
        <f ca="1">IFERROR(__xludf.DUMMYFUNCTION("""COMPUTED_VALUE"""),"Marquise Brown")</f>
        <v>Marquise Brown</v>
      </c>
      <c r="B179" s="31"/>
      <c r="C179" s="31"/>
      <c r="D179" s="31"/>
      <c r="E179" s="31"/>
      <c r="F179" s="31"/>
      <c r="G179" s="31"/>
      <c r="H179" s="31"/>
      <c r="I179" s="31"/>
      <c r="J179" s="31"/>
      <c r="K179" s="31"/>
      <c r="L179" s="31"/>
      <c r="M179" s="31"/>
      <c r="N179" s="31"/>
      <c r="O179" s="31"/>
      <c r="P179" s="31"/>
      <c r="Q179" s="31"/>
      <c r="R179" s="31"/>
    </row>
    <row r="180" spans="1:18" x14ac:dyDescent="0.2">
      <c r="A180" s="31" t="str">
        <f ca="1">IFERROR(__xludf.DUMMYFUNCTION("""COMPUTED_VALUE"""),"Diontae Johnson")</f>
        <v>Diontae Johnson</v>
      </c>
      <c r="B180" s="31"/>
      <c r="C180" s="31"/>
      <c r="D180" s="31"/>
      <c r="E180" s="31"/>
      <c r="F180" s="31"/>
      <c r="G180" s="31"/>
      <c r="H180" s="31"/>
      <c r="I180" s="31"/>
      <c r="J180" s="31"/>
      <c r="K180" s="31"/>
      <c r="L180" s="31"/>
      <c r="M180" s="31"/>
      <c r="N180" s="31"/>
      <c r="O180" s="31"/>
      <c r="P180" s="31"/>
      <c r="Q180" s="31"/>
      <c r="R180" s="31"/>
    </row>
    <row r="181" spans="1:18" x14ac:dyDescent="0.2">
      <c r="A181" s="31" t="str">
        <f ca="1">IFERROR(__xludf.DUMMYFUNCTION("""COMPUTED_VALUE"""),"Rondale Moore")</f>
        <v>Rondale Moore</v>
      </c>
      <c r="B181" s="31"/>
      <c r="C181" s="31"/>
      <c r="D181" s="31"/>
      <c r="E181" s="31"/>
      <c r="F181" s="31"/>
      <c r="G181" s="31"/>
      <c r="H181" s="31"/>
      <c r="I181" s="31"/>
      <c r="J181" s="31"/>
      <c r="K181" s="31"/>
      <c r="L181" s="31"/>
      <c r="M181" s="31"/>
      <c r="N181" s="31"/>
      <c r="O181" s="31"/>
      <c r="P181" s="31"/>
      <c r="Q181" s="31"/>
      <c r="R181" s="31"/>
    </row>
    <row r="182" spans="1:18" x14ac:dyDescent="0.2">
      <c r="A182" s="31" t="str">
        <f ca="1">IFERROR(__xludf.DUMMYFUNCTION("""COMPUTED_VALUE"""),"JuJu Smith-Schuster")</f>
        <v>JuJu Smith-Schuster</v>
      </c>
      <c r="B182" s="31"/>
      <c r="C182" s="31"/>
      <c r="D182" s="31"/>
      <c r="E182" s="31"/>
      <c r="F182" s="31"/>
      <c r="G182" s="31"/>
      <c r="H182" s="31"/>
      <c r="I182" s="31"/>
      <c r="J182" s="31"/>
      <c r="K182" s="31"/>
      <c r="L182" s="31"/>
      <c r="M182" s="31"/>
      <c r="N182" s="31"/>
      <c r="O182" s="31"/>
      <c r="P182" s="31"/>
      <c r="Q182" s="31"/>
      <c r="R182" s="31"/>
    </row>
    <row r="183" spans="1:18" x14ac:dyDescent="0.2">
      <c r="A183" s="31" t="str">
        <f ca="1">IFERROR(__xludf.DUMMYFUNCTION("""COMPUTED_VALUE"""),"Rashod Bateman")</f>
        <v>Rashod Bateman</v>
      </c>
      <c r="B183" s="31"/>
      <c r="C183" s="31"/>
      <c r="D183" s="31"/>
      <c r="E183" s="31"/>
      <c r="F183" s="31"/>
      <c r="G183" s="31"/>
      <c r="H183" s="31"/>
      <c r="I183" s="31"/>
      <c r="J183" s="31"/>
      <c r="K183" s="31"/>
      <c r="L183" s="31"/>
      <c r="M183" s="31"/>
      <c r="N183" s="31"/>
      <c r="O183" s="31"/>
      <c r="P183" s="31"/>
      <c r="Q183" s="31"/>
      <c r="R183" s="31"/>
    </row>
    <row r="184" spans="1:18" x14ac:dyDescent="0.2">
      <c r="A184" s="31" t="str">
        <f ca="1">IFERROR(__xludf.DUMMYFUNCTION("""COMPUTED_VALUE"""),"Amari Cooper")</f>
        <v>Amari Cooper</v>
      </c>
      <c r="B184" s="31"/>
      <c r="C184" s="31"/>
      <c r="D184" s="31"/>
      <c r="E184" s="31"/>
      <c r="F184" s="31"/>
      <c r="G184" s="31"/>
      <c r="H184" s="31"/>
      <c r="I184" s="31"/>
      <c r="J184" s="31"/>
      <c r="K184" s="31"/>
      <c r="L184" s="31"/>
      <c r="M184" s="31"/>
      <c r="N184" s="31"/>
      <c r="O184" s="31"/>
      <c r="P184" s="31"/>
      <c r="Q184" s="31"/>
      <c r="R184" s="31"/>
    </row>
    <row r="185" spans="1:18" x14ac:dyDescent="0.2">
      <c r="A185" s="31" t="str">
        <f ca="1">IFERROR(__xludf.DUMMYFUNCTION("""COMPUTED_VALUE"""),"Nathaniel Dell")</f>
        <v>Nathaniel Dell</v>
      </c>
      <c r="B185" s="31"/>
      <c r="C185" s="31"/>
      <c r="D185" s="31"/>
      <c r="E185" s="31"/>
      <c r="F185" s="31"/>
      <c r="G185" s="31"/>
      <c r="H185" s="31"/>
      <c r="I185" s="31"/>
      <c r="J185" s="31"/>
      <c r="K185" s="31"/>
      <c r="L185" s="31"/>
      <c r="M185" s="31"/>
      <c r="N185" s="31"/>
      <c r="O185" s="31"/>
      <c r="P185" s="31"/>
      <c r="Q185" s="31"/>
      <c r="R185" s="31"/>
    </row>
    <row r="186" spans="1:18" x14ac:dyDescent="0.2">
      <c r="A186" s="31" t="str">
        <f ca="1">IFERROR(__xludf.DUMMYFUNCTION("""COMPUTED_VALUE"""),"Josh Downs")</f>
        <v>Josh Downs</v>
      </c>
      <c r="B186" s="31"/>
      <c r="C186" s="31"/>
      <c r="D186" s="31"/>
      <c r="E186" s="31"/>
      <c r="F186" s="31"/>
      <c r="G186" s="31"/>
      <c r="H186" s="31"/>
      <c r="I186" s="31"/>
      <c r="J186" s="31"/>
      <c r="K186" s="31"/>
      <c r="L186" s="31"/>
      <c r="M186" s="31"/>
      <c r="N186" s="31"/>
      <c r="O186" s="31"/>
      <c r="P186" s="31"/>
      <c r="Q186" s="31"/>
      <c r="R186" s="31"/>
    </row>
    <row r="187" spans="1:18" x14ac:dyDescent="0.2">
      <c r="A187" s="31" t="str">
        <f ca="1">IFERROR(__xludf.DUMMYFUNCTION("""COMPUTED_VALUE"""),"Mack Hollins")</f>
        <v>Mack Hollins</v>
      </c>
      <c r="B187" s="31"/>
      <c r="C187" s="31"/>
      <c r="D187" s="31"/>
      <c r="E187" s="31"/>
      <c r="F187" s="31"/>
      <c r="G187" s="31"/>
      <c r="H187" s="31"/>
      <c r="I187" s="31"/>
      <c r="J187" s="31"/>
      <c r="K187" s="31"/>
      <c r="L187" s="31"/>
      <c r="M187" s="31"/>
      <c r="N187" s="31"/>
      <c r="O187" s="31"/>
      <c r="P187" s="31"/>
      <c r="Q187" s="31"/>
      <c r="R187" s="31"/>
    </row>
    <row r="188" spans="1:18" x14ac:dyDescent="0.2">
      <c r="A188" s="31" t="str">
        <f ca="1">IFERROR(__xludf.DUMMYFUNCTION("""COMPUTED_VALUE"""),"Van Jefferson")</f>
        <v>Van Jefferson</v>
      </c>
      <c r="B188" s="31"/>
      <c r="C188" s="31"/>
      <c r="D188" s="31"/>
      <c r="E188" s="31"/>
      <c r="F188" s="31"/>
      <c r="G188" s="31"/>
      <c r="H188" s="31"/>
      <c r="I188" s="31"/>
      <c r="J188" s="31"/>
      <c r="K188" s="31"/>
      <c r="L188" s="31"/>
      <c r="M188" s="31"/>
      <c r="N188" s="31"/>
      <c r="O188" s="31"/>
      <c r="P188" s="31"/>
      <c r="Q188" s="31"/>
      <c r="R188" s="31"/>
    </row>
    <row r="189" spans="1:18" x14ac:dyDescent="0.2">
      <c r="A189" s="31" t="str">
        <f ca="1">IFERROR(__xludf.DUMMYFUNCTION("""COMPUTED_VALUE"""),"Allen Lazard")</f>
        <v>Allen Lazard</v>
      </c>
      <c r="B189" s="31"/>
      <c r="C189" s="31"/>
      <c r="D189" s="31"/>
      <c r="E189" s="31"/>
      <c r="F189" s="31"/>
      <c r="G189" s="31"/>
      <c r="H189" s="31"/>
      <c r="I189" s="31"/>
      <c r="J189" s="31"/>
      <c r="K189" s="31"/>
      <c r="L189" s="31"/>
      <c r="M189" s="31"/>
      <c r="N189" s="31"/>
      <c r="O189" s="31"/>
      <c r="P189" s="31"/>
      <c r="Q189" s="31"/>
      <c r="R189" s="31"/>
    </row>
    <row r="190" spans="1:18" x14ac:dyDescent="0.2">
      <c r="A190" s="31" t="str">
        <f ca="1">IFERROR(__xludf.DUMMYFUNCTION("""COMPUTED_VALUE"""),"K.J. Osborn")</f>
        <v>K.J. Osborn</v>
      </c>
      <c r="B190" s="31"/>
      <c r="C190" s="31"/>
      <c r="D190" s="31"/>
      <c r="E190" s="31"/>
      <c r="F190" s="31"/>
      <c r="G190" s="31"/>
      <c r="H190" s="31"/>
      <c r="I190" s="31"/>
      <c r="J190" s="31"/>
      <c r="K190" s="31"/>
      <c r="L190" s="31"/>
      <c r="M190" s="31"/>
      <c r="N190" s="31"/>
      <c r="O190" s="31"/>
      <c r="P190" s="31"/>
      <c r="Q190" s="31"/>
      <c r="R190" s="31"/>
    </row>
    <row r="191" spans="1:18" x14ac:dyDescent="0.2">
      <c r="A191" s="31" t="str">
        <f ca="1">IFERROR(__xludf.DUMMYFUNCTION("""COMPUTED_VALUE"""),"Jayden Reed")</f>
        <v>Jayden Reed</v>
      </c>
      <c r="B191" s="31"/>
      <c r="C191" s="31"/>
      <c r="D191" s="31"/>
      <c r="E191" s="31"/>
      <c r="F191" s="31"/>
      <c r="G191" s="31"/>
      <c r="H191" s="31"/>
      <c r="I191" s="31"/>
      <c r="J191" s="31"/>
      <c r="K191" s="31"/>
      <c r="L191" s="31"/>
      <c r="M191" s="31"/>
      <c r="N191" s="31"/>
      <c r="O191" s="31"/>
      <c r="P191" s="31"/>
      <c r="Q191" s="31"/>
      <c r="R191" s="31"/>
    </row>
    <row r="192" spans="1:18" x14ac:dyDescent="0.2">
      <c r="A192" s="31" t="str">
        <f ca="1">IFERROR(__xludf.DUMMYFUNCTION("""COMPUTED_VALUE"""),"Marquez Valdes-Scantling")</f>
        <v>Marquez Valdes-Scantling</v>
      </c>
      <c r="B192" s="31"/>
      <c r="C192" s="31"/>
      <c r="D192" s="31"/>
      <c r="E192" s="31"/>
      <c r="F192" s="31"/>
      <c r="G192" s="31"/>
      <c r="H192" s="31"/>
      <c r="I192" s="31"/>
      <c r="J192" s="31"/>
      <c r="K192" s="31"/>
      <c r="L192" s="31"/>
      <c r="M192" s="31"/>
      <c r="N192" s="31"/>
      <c r="O192" s="31"/>
      <c r="P192" s="31"/>
      <c r="Q192" s="31"/>
      <c r="R192" s="31"/>
    </row>
    <row r="193" spans="1:18" x14ac:dyDescent="0.2">
      <c r="A193" s="31" t="str">
        <f ca="1">IFERROR(__xludf.DUMMYFUNCTION("""COMPUTED_VALUE"""),"Justin Watson")</f>
        <v>Justin Watson</v>
      </c>
      <c r="B193" s="31"/>
      <c r="C193" s="31"/>
      <c r="D193" s="31"/>
      <c r="E193" s="31"/>
      <c r="F193" s="31"/>
      <c r="G193" s="31"/>
      <c r="H193" s="31"/>
      <c r="I193" s="31"/>
      <c r="J193" s="31"/>
      <c r="K193" s="31"/>
      <c r="L193" s="31"/>
      <c r="M193" s="31"/>
      <c r="N193" s="31"/>
      <c r="O193" s="31"/>
      <c r="P193" s="31"/>
      <c r="Q193" s="31"/>
      <c r="R193" s="31"/>
    </row>
    <row r="194" spans="1:18" x14ac:dyDescent="0.2">
      <c r="A194" s="31" t="str">
        <f ca="1">IFERROR(__xludf.DUMMYFUNCTION("""COMPUTED_VALUE"""),"Odell Beckham Jr.")</f>
        <v>Odell Beckham Jr.</v>
      </c>
      <c r="B194" s="31"/>
      <c r="C194" s="31"/>
      <c r="D194" s="31"/>
      <c r="E194" s="31"/>
      <c r="F194" s="31"/>
      <c r="G194" s="31"/>
      <c r="H194" s="31"/>
      <c r="I194" s="31"/>
      <c r="J194" s="31"/>
      <c r="K194" s="31"/>
      <c r="L194" s="31"/>
      <c r="M194" s="31"/>
      <c r="N194" s="31"/>
      <c r="O194" s="31"/>
      <c r="P194" s="31"/>
      <c r="Q194" s="31"/>
      <c r="R194" s="31"/>
    </row>
    <row r="195" spans="1:18" x14ac:dyDescent="0.2">
      <c r="A195" s="31" t="str">
        <f ca="1">IFERROR(__xludf.DUMMYFUNCTION("""COMPUTED_VALUE"""),"Noah Brown")</f>
        <v>Noah Brown</v>
      </c>
      <c r="B195" s="31"/>
      <c r="C195" s="31"/>
      <c r="D195" s="31"/>
      <c r="E195" s="31"/>
      <c r="F195" s="31"/>
      <c r="G195" s="31"/>
      <c r="H195" s="31"/>
      <c r="I195" s="31"/>
      <c r="J195" s="31"/>
      <c r="K195" s="31"/>
      <c r="L195" s="31"/>
      <c r="M195" s="31"/>
      <c r="N195" s="31"/>
      <c r="O195" s="31"/>
      <c r="P195" s="31"/>
      <c r="Q195" s="31"/>
      <c r="R195" s="31"/>
    </row>
    <row r="196" spans="1:18" x14ac:dyDescent="0.2">
      <c r="A196" s="31" t="str">
        <f ca="1">IFERROR(__xludf.DUMMYFUNCTION("""COMPUTED_VALUE"""),"Gabriel Davis")</f>
        <v>Gabriel Davis</v>
      </c>
      <c r="B196" s="31"/>
      <c r="C196" s="31"/>
      <c r="D196" s="31"/>
      <c r="E196" s="31"/>
      <c r="F196" s="31"/>
      <c r="G196" s="31"/>
      <c r="H196" s="31"/>
      <c r="I196" s="31"/>
      <c r="J196" s="31"/>
      <c r="K196" s="31"/>
      <c r="L196" s="31"/>
      <c r="M196" s="31"/>
      <c r="N196" s="31"/>
      <c r="O196" s="31"/>
      <c r="P196" s="31"/>
      <c r="Q196" s="31"/>
      <c r="R196" s="31"/>
    </row>
    <row r="197" spans="1:18" x14ac:dyDescent="0.2">
      <c r="A197" s="31" t="str">
        <f ca="1">IFERROR(__xludf.DUMMYFUNCTION("""COMPUTED_VALUE"""),"Brandon Johnson")</f>
        <v>Brandon Johnson</v>
      </c>
      <c r="B197" s="31"/>
      <c r="C197" s="31"/>
      <c r="D197" s="31"/>
      <c r="E197" s="31"/>
      <c r="F197" s="31"/>
      <c r="G197" s="31"/>
      <c r="H197" s="31"/>
      <c r="I197" s="31"/>
      <c r="J197" s="31"/>
      <c r="K197" s="31"/>
      <c r="L197" s="31"/>
      <c r="M197" s="31"/>
      <c r="N197" s="31"/>
      <c r="O197" s="31"/>
      <c r="P197" s="31"/>
      <c r="Q197" s="31"/>
      <c r="R197" s="31"/>
    </row>
    <row r="198" spans="1:18" x14ac:dyDescent="0.2">
      <c r="A198" s="31" t="str">
        <f ca="1">IFERROR(__xludf.DUMMYFUNCTION("""COMPUTED_VALUE"""),"Terry McLaurin")</f>
        <v>Terry McLaurin</v>
      </c>
      <c r="B198" s="31"/>
      <c r="C198" s="31"/>
      <c r="D198" s="31"/>
      <c r="E198" s="31"/>
      <c r="F198" s="31"/>
      <c r="G198" s="31"/>
      <c r="H198" s="31"/>
      <c r="I198" s="31"/>
      <c r="J198" s="31"/>
      <c r="K198" s="31"/>
      <c r="L198" s="31"/>
      <c r="M198" s="31"/>
      <c r="N198" s="31"/>
      <c r="O198" s="31"/>
      <c r="P198" s="31"/>
      <c r="Q198" s="31"/>
      <c r="R198" s="31"/>
    </row>
    <row r="199" spans="1:18" x14ac:dyDescent="0.2">
      <c r="A199" s="31" t="str">
        <f ca="1">IFERROR(__xludf.DUMMYFUNCTION("""COMPUTED_VALUE"""),"Brandin Cooks")</f>
        <v>Brandin Cooks</v>
      </c>
      <c r="B199" s="31"/>
      <c r="C199" s="31"/>
      <c r="D199" s="31"/>
      <c r="E199" s="31"/>
      <c r="F199" s="31"/>
      <c r="G199" s="31"/>
      <c r="H199" s="31"/>
      <c r="I199" s="31"/>
      <c r="J199" s="31"/>
      <c r="K199" s="31"/>
      <c r="L199" s="31"/>
      <c r="M199" s="31"/>
      <c r="N199" s="31"/>
      <c r="O199" s="31"/>
      <c r="P199" s="31"/>
      <c r="Q199" s="31"/>
      <c r="R199" s="31"/>
    </row>
    <row r="200" spans="1:18" x14ac:dyDescent="0.2">
      <c r="A200" s="31" t="str">
        <f ca="1">IFERROR(__xludf.DUMMYFUNCTION("""COMPUTED_VALUE"""),"Terrace Marshall")</f>
        <v>Terrace Marshall</v>
      </c>
      <c r="B200" s="31"/>
      <c r="C200" s="31"/>
      <c r="D200" s="31"/>
      <c r="E200" s="31"/>
      <c r="F200" s="31"/>
      <c r="G200" s="31"/>
      <c r="H200" s="31"/>
      <c r="I200" s="31"/>
      <c r="J200" s="31"/>
      <c r="K200" s="31"/>
      <c r="L200" s="31"/>
      <c r="M200" s="31"/>
      <c r="N200" s="31"/>
      <c r="O200" s="31"/>
      <c r="P200" s="31"/>
      <c r="Q200" s="31"/>
      <c r="R200" s="31"/>
    </row>
    <row r="201" spans="1:18" x14ac:dyDescent="0.2">
      <c r="A201" s="31" t="str">
        <f ca="1">IFERROR(__xludf.DUMMYFUNCTION("""COMPUTED_VALUE"""),"D.J. Moore")</f>
        <v>D.J. Moore</v>
      </c>
      <c r="B201" s="31"/>
      <c r="C201" s="31"/>
      <c r="D201" s="31"/>
      <c r="E201" s="31"/>
      <c r="F201" s="31"/>
      <c r="G201" s="31"/>
      <c r="H201" s="31"/>
      <c r="I201" s="31"/>
      <c r="J201" s="31"/>
      <c r="K201" s="31"/>
      <c r="L201" s="31"/>
      <c r="M201" s="31"/>
      <c r="N201" s="31"/>
      <c r="O201" s="31"/>
      <c r="P201" s="31"/>
      <c r="Q201" s="31"/>
      <c r="R201" s="31"/>
    </row>
    <row r="202" spans="1:18" x14ac:dyDescent="0.2">
      <c r="A202" s="31" t="str">
        <f ca="1">IFERROR(__xludf.DUMMYFUNCTION("""COMPUTED_VALUE"""),"Darius Slayton")</f>
        <v>Darius Slayton</v>
      </c>
      <c r="B202" s="31"/>
      <c r="C202" s="31"/>
      <c r="D202" s="31"/>
      <c r="E202" s="31"/>
      <c r="F202" s="31"/>
      <c r="G202" s="31"/>
      <c r="H202" s="31"/>
      <c r="I202" s="31"/>
      <c r="J202" s="31"/>
      <c r="K202" s="31"/>
      <c r="L202" s="31"/>
      <c r="M202" s="31"/>
      <c r="N202" s="31"/>
      <c r="O202" s="31"/>
      <c r="P202" s="31"/>
      <c r="Q202" s="31"/>
      <c r="R202" s="31"/>
    </row>
    <row r="203" spans="1:18" x14ac:dyDescent="0.2">
      <c r="A203" s="31" t="str">
        <f ca="1">IFERROR(__xludf.DUMMYFUNCTION("""COMPUTED_VALUE"""),"Jaxon Smith-Njigba")</f>
        <v>Jaxon Smith-Njigba</v>
      </c>
      <c r="B203" s="31"/>
      <c r="C203" s="31"/>
      <c r="D203" s="31"/>
      <c r="E203" s="31"/>
      <c r="F203" s="31"/>
      <c r="G203" s="31"/>
      <c r="H203" s="31"/>
      <c r="I203" s="31"/>
      <c r="J203" s="31"/>
      <c r="K203" s="31"/>
      <c r="L203" s="31"/>
      <c r="M203" s="31"/>
      <c r="N203" s="31"/>
      <c r="O203" s="31"/>
      <c r="P203" s="31"/>
      <c r="Q203" s="31"/>
      <c r="R203" s="31"/>
    </row>
    <row r="204" spans="1:18" x14ac:dyDescent="0.2">
      <c r="A204" s="31" t="str">
        <f ca="1">IFERROR(__xludf.DUMMYFUNCTION("""COMPUTED_VALUE"""),"Tyler Boyd")</f>
        <v>Tyler Boyd</v>
      </c>
      <c r="B204" s="31"/>
      <c r="C204" s="31"/>
      <c r="D204" s="31"/>
      <c r="E204" s="31"/>
      <c r="F204" s="31"/>
      <c r="G204" s="31"/>
      <c r="H204" s="31"/>
      <c r="I204" s="31"/>
      <c r="J204" s="31"/>
      <c r="K204" s="31"/>
      <c r="L204" s="31"/>
      <c r="M204" s="31"/>
      <c r="N204" s="31"/>
      <c r="O204" s="31"/>
      <c r="P204" s="31"/>
      <c r="Q204" s="31"/>
      <c r="R204" s="31"/>
    </row>
    <row r="205" spans="1:18" x14ac:dyDescent="0.2">
      <c r="A205" s="31" t="str">
        <f ca="1">IFERROR(__xludf.DUMMYFUNCTION("""COMPUTED_VALUE"""),"Treylon Burks")</f>
        <v>Treylon Burks</v>
      </c>
      <c r="B205" s="31"/>
      <c r="C205" s="31"/>
      <c r="D205" s="31"/>
      <c r="E205" s="31"/>
      <c r="F205" s="31"/>
      <c r="G205" s="31"/>
      <c r="H205" s="31"/>
      <c r="I205" s="31"/>
      <c r="J205" s="31"/>
      <c r="K205" s="31"/>
      <c r="L205" s="31"/>
      <c r="M205" s="31"/>
      <c r="N205" s="31"/>
      <c r="O205" s="31"/>
      <c r="P205" s="31"/>
      <c r="Q205" s="31"/>
      <c r="R205" s="31"/>
    </row>
    <row r="206" spans="1:18" x14ac:dyDescent="0.2">
      <c r="A206" s="31" t="str">
        <f ca="1">IFERROR(__xludf.DUMMYFUNCTION("""COMPUTED_VALUE"""),"Deonte Harty")</f>
        <v>Deonte Harty</v>
      </c>
      <c r="B206" s="31"/>
      <c r="C206" s="31"/>
      <c r="D206" s="31"/>
      <c r="E206" s="31"/>
      <c r="F206" s="31"/>
      <c r="G206" s="31"/>
      <c r="H206" s="31"/>
      <c r="I206" s="31"/>
      <c r="J206" s="31"/>
      <c r="K206" s="31"/>
      <c r="L206" s="31"/>
      <c r="M206" s="31"/>
      <c r="N206" s="31"/>
      <c r="O206" s="31"/>
      <c r="P206" s="31"/>
      <c r="Q206" s="31"/>
      <c r="R206" s="31"/>
    </row>
    <row r="207" spans="1:18" x14ac:dyDescent="0.2">
      <c r="A207" s="31" t="str">
        <f ca="1">IFERROR(__xludf.DUMMYFUNCTION("""COMPUTED_VALUE"""),"Tyler Lockett")</f>
        <v>Tyler Lockett</v>
      </c>
      <c r="B207" s="31"/>
      <c r="C207" s="31"/>
      <c r="D207" s="31"/>
      <c r="E207" s="31"/>
      <c r="F207" s="31"/>
      <c r="G207" s="31"/>
      <c r="H207" s="31"/>
      <c r="I207" s="31"/>
      <c r="J207" s="31"/>
      <c r="K207" s="31"/>
      <c r="L207" s="31"/>
      <c r="M207" s="31"/>
      <c r="N207" s="31"/>
      <c r="O207" s="31"/>
      <c r="P207" s="31"/>
      <c r="Q207" s="31"/>
      <c r="R207" s="31"/>
    </row>
    <row r="208" spans="1:18" x14ac:dyDescent="0.2">
      <c r="A208" s="31" t="str">
        <f ca="1">IFERROR(__xludf.DUMMYFUNCTION("""COMPUTED_VALUE"""),"Jonathan Mingo")</f>
        <v>Jonathan Mingo</v>
      </c>
      <c r="B208" s="31"/>
      <c r="C208" s="31"/>
      <c r="D208" s="31"/>
      <c r="E208" s="31"/>
      <c r="F208" s="31"/>
      <c r="G208" s="31"/>
      <c r="H208" s="31"/>
      <c r="I208" s="31"/>
      <c r="J208" s="31"/>
      <c r="K208" s="31"/>
      <c r="L208" s="31"/>
      <c r="M208" s="31"/>
      <c r="N208" s="31"/>
      <c r="O208" s="31"/>
      <c r="P208" s="31"/>
      <c r="Q208" s="31"/>
      <c r="R208" s="31"/>
    </row>
    <row r="209" spans="1:18" x14ac:dyDescent="0.2">
      <c r="A209" s="31" t="str">
        <f ca="1">IFERROR(__xludf.DUMMYFUNCTION("""COMPUTED_VALUE"""),"Kalif Raymond")</f>
        <v>Kalif Raymond</v>
      </c>
      <c r="B209" s="31"/>
      <c r="C209" s="31"/>
      <c r="D209" s="31"/>
      <c r="E209" s="31"/>
      <c r="F209" s="31"/>
      <c r="G209" s="31"/>
      <c r="H209" s="31"/>
      <c r="I209" s="31"/>
      <c r="J209" s="31"/>
      <c r="K209" s="31"/>
      <c r="L209" s="31"/>
      <c r="M209" s="31"/>
      <c r="N209" s="31"/>
      <c r="O209" s="31"/>
      <c r="P209" s="31"/>
      <c r="Q209" s="31"/>
      <c r="R209" s="31"/>
    </row>
    <row r="210" spans="1:18" x14ac:dyDescent="0.2">
      <c r="A210" s="31" t="str">
        <f ca="1">IFERROR(__xludf.DUMMYFUNCTION("""COMPUTED_VALUE"""),"Tyler Scott")</f>
        <v>Tyler Scott</v>
      </c>
      <c r="B210" s="31"/>
      <c r="C210" s="31"/>
      <c r="D210" s="31"/>
      <c r="E210" s="31"/>
      <c r="F210" s="31"/>
      <c r="G210" s="31"/>
      <c r="H210" s="31"/>
      <c r="I210" s="31"/>
      <c r="J210" s="31"/>
      <c r="K210" s="31"/>
      <c r="L210" s="31"/>
      <c r="M210" s="31"/>
      <c r="N210" s="31"/>
      <c r="O210" s="31"/>
      <c r="P210" s="31"/>
      <c r="Q210" s="31"/>
      <c r="R210" s="31"/>
    </row>
    <row r="211" spans="1:18" x14ac:dyDescent="0.2">
      <c r="A211" s="31" t="str">
        <f ca="1">IFERROR(__xludf.DUMMYFUNCTION("""COMPUTED_VALUE"""),"Laviska Shenault")</f>
        <v>Laviska Shenault</v>
      </c>
      <c r="B211" s="31"/>
      <c r="C211" s="31"/>
      <c r="D211" s="31"/>
      <c r="E211" s="31"/>
      <c r="F211" s="31"/>
      <c r="G211" s="31"/>
      <c r="H211" s="31"/>
      <c r="I211" s="31"/>
      <c r="J211" s="31"/>
      <c r="K211" s="31"/>
      <c r="L211" s="31"/>
      <c r="M211" s="31"/>
      <c r="N211" s="31"/>
      <c r="O211" s="31"/>
      <c r="P211" s="31"/>
      <c r="Q211" s="31"/>
      <c r="R211" s="31"/>
    </row>
    <row r="212" spans="1:18" x14ac:dyDescent="0.2">
      <c r="A212" s="31" t="str">
        <f ca="1">IFERROR(__xludf.DUMMYFUNCTION("""COMPUTED_VALUE"""),"Adam Thielen")</f>
        <v>Adam Thielen</v>
      </c>
      <c r="B212" s="31"/>
      <c r="C212" s="31"/>
      <c r="D212" s="31"/>
      <c r="E212" s="31"/>
      <c r="F212" s="31"/>
      <c r="G212" s="31"/>
      <c r="H212" s="31"/>
      <c r="I212" s="31"/>
      <c r="J212" s="31"/>
      <c r="K212" s="31"/>
      <c r="L212" s="31"/>
      <c r="M212" s="31"/>
      <c r="N212" s="31"/>
      <c r="O212" s="31"/>
      <c r="P212" s="31"/>
      <c r="Q212" s="31"/>
      <c r="R212" s="31"/>
    </row>
    <row r="213" spans="1:18" x14ac:dyDescent="0.2">
      <c r="A213" s="31" t="str">
        <f ca="1">IFERROR(__xludf.DUMMYFUNCTION("""COMPUTED_VALUE"""),"Deven Thompkins")</f>
        <v>Deven Thompkins</v>
      </c>
      <c r="B213" s="31"/>
      <c r="C213" s="31"/>
      <c r="D213" s="31"/>
      <c r="E213" s="31"/>
      <c r="F213" s="31"/>
      <c r="G213" s="31"/>
      <c r="H213" s="31"/>
      <c r="I213" s="31"/>
      <c r="J213" s="31"/>
      <c r="K213" s="31"/>
      <c r="L213" s="31"/>
      <c r="M213" s="31"/>
      <c r="N213" s="31"/>
      <c r="O213" s="31"/>
      <c r="P213" s="31"/>
      <c r="Q213" s="31"/>
      <c r="R213" s="31"/>
    </row>
    <row r="214" spans="1:18" x14ac:dyDescent="0.2">
      <c r="A214" s="31" t="str">
        <f ca="1">IFERROR(__xludf.DUMMYFUNCTION("""COMPUTED_VALUE"""),"Samori Toure")</f>
        <v>Samori Toure</v>
      </c>
      <c r="B214" s="31"/>
      <c r="C214" s="31"/>
      <c r="D214" s="31"/>
      <c r="E214" s="31"/>
      <c r="F214" s="31"/>
      <c r="G214" s="31"/>
      <c r="H214" s="31"/>
      <c r="I214" s="31"/>
      <c r="J214" s="31"/>
      <c r="K214" s="31"/>
      <c r="L214" s="31"/>
      <c r="M214" s="31"/>
      <c r="N214" s="31"/>
      <c r="O214" s="31"/>
      <c r="P214" s="31"/>
      <c r="Q214" s="31"/>
      <c r="R214" s="31"/>
    </row>
    <row r="215" spans="1:18" x14ac:dyDescent="0.2">
      <c r="A215" s="31" t="str">
        <f ca="1">IFERROR(__xludf.DUMMYFUNCTION("""COMPUTED_VALUE"""),"Quez Watkins")</f>
        <v>Quez Watkins</v>
      </c>
      <c r="B215" s="31"/>
      <c r="C215" s="31"/>
      <c r="D215" s="31"/>
      <c r="E215" s="31"/>
      <c r="F215" s="31"/>
      <c r="G215" s="31"/>
      <c r="H215" s="31"/>
      <c r="I215" s="31"/>
      <c r="J215" s="31"/>
      <c r="K215" s="31"/>
      <c r="L215" s="31"/>
      <c r="M215" s="31"/>
      <c r="N215" s="31"/>
      <c r="O215" s="31"/>
      <c r="P215" s="31"/>
      <c r="Q215" s="31"/>
      <c r="R215" s="31"/>
    </row>
    <row r="216" spans="1:18" x14ac:dyDescent="0.2">
      <c r="A216" s="31" t="str">
        <f ca="1">IFERROR(__xludf.DUMMYFUNCTION("""COMPUTED_VALUE"""),"Michael Wilson")</f>
        <v>Michael Wilson</v>
      </c>
      <c r="B216" s="31"/>
      <c r="C216" s="31"/>
      <c r="D216" s="31"/>
      <c r="E216" s="31"/>
      <c r="F216" s="31"/>
      <c r="G216" s="31"/>
      <c r="H216" s="31"/>
      <c r="I216" s="31"/>
      <c r="J216" s="31"/>
      <c r="K216" s="31"/>
      <c r="L216" s="31"/>
      <c r="M216" s="31"/>
      <c r="N216" s="31"/>
      <c r="O216" s="31"/>
      <c r="P216" s="31"/>
      <c r="Q216" s="31"/>
      <c r="R216" s="31"/>
    </row>
    <row r="217" spans="1:18" x14ac:dyDescent="0.2">
      <c r="A217" s="31" t="str">
        <f ca="1">IFERROR(__xludf.DUMMYFUNCTION("""COMPUTED_VALUE"""),"Michael Gallup")</f>
        <v>Michael Gallup</v>
      </c>
      <c r="B217" s="31"/>
      <c r="C217" s="31"/>
      <c r="D217" s="31"/>
      <c r="E217" s="31"/>
      <c r="F217" s="31"/>
      <c r="G217" s="31"/>
      <c r="H217" s="31"/>
      <c r="I217" s="31"/>
      <c r="J217" s="31"/>
      <c r="K217" s="31"/>
      <c r="L217" s="31"/>
      <c r="M217" s="31"/>
      <c r="N217" s="31"/>
      <c r="O217" s="31"/>
      <c r="P217" s="31"/>
      <c r="Q217" s="31"/>
      <c r="R217" s="31"/>
    </row>
    <row r="218" spans="1:18" x14ac:dyDescent="0.2">
      <c r="A218" s="31" t="str">
        <f ca="1">IFERROR(__xludf.DUMMYFUNCTION("""COMPUTED_VALUE"""),"Isaiah Hodgins")</f>
        <v>Isaiah Hodgins</v>
      </c>
      <c r="B218" s="31"/>
      <c r="C218" s="31"/>
      <c r="D218" s="31"/>
      <c r="E218" s="31"/>
      <c r="F218" s="31"/>
      <c r="G218" s="31"/>
      <c r="H218" s="31"/>
      <c r="I218" s="31"/>
      <c r="J218" s="31"/>
      <c r="K218" s="31"/>
      <c r="L218" s="31"/>
      <c r="M218" s="31"/>
      <c r="N218" s="31"/>
      <c r="O218" s="31"/>
      <c r="P218" s="31"/>
      <c r="Q218" s="31"/>
      <c r="R218" s="31"/>
    </row>
    <row r="219" spans="1:18" x14ac:dyDescent="0.2">
      <c r="A219" s="31" t="str">
        <f ca="1">IFERROR(__xludf.DUMMYFUNCTION("""COMPUTED_VALUE"""),"Quentin Johnston")</f>
        <v>Quentin Johnston</v>
      </c>
      <c r="B219" s="31"/>
      <c r="C219" s="31"/>
      <c r="D219" s="31"/>
      <c r="E219" s="31"/>
      <c r="F219" s="31"/>
      <c r="G219" s="31"/>
      <c r="H219" s="31"/>
      <c r="I219" s="31"/>
      <c r="J219" s="31"/>
      <c r="K219" s="31"/>
      <c r="L219" s="31"/>
      <c r="M219" s="31"/>
      <c r="N219" s="31"/>
      <c r="O219" s="31"/>
      <c r="P219" s="31"/>
      <c r="Q219" s="31"/>
      <c r="R219" s="31"/>
    </row>
    <row r="220" spans="1:18" x14ac:dyDescent="0.2">
      <c r="A220" s="31" t="str">
        <f ca="1">IFERROR(__xludf.DUMMYFUNCTION("""COMPUTED_VALUE"""),"Marvin Mims")</f>
        <v>Marvin Mims</v>
      </c>
      <c r="B220" s="31"/>
      <c r="C220" s="31"/>
      <c r="D220" s="31"/>
      <c r="E220" s="31"/>
      <c r="F220" s="31"/>
      <c r="G220" s="31"/>
      <c r="H220" s="31"/>
      <c r="I220" s="31"/>
      <c r="J220" s="31"/>
      <c r="K220" s="31"/>
      <c r="L220" s="31"/>
      <c r="M220" s="31"/>
      <c r="N220" s="31"/>
      <c r="O220" s="31"/>
      <c r="P220" s="31"/>
      <c r="Q220" s="31"/>
      <c r="R220" s="31"/>
    </row>
    <row r="221" spans="1:18" x14ac:dyDescent="0.2">
      <c r="A221" s="31" t="str">
        <f ca="1">IFERROR(__xludf.DUMMYFUNCTION("""COMPUTED_VALUE"""),"Donovan Peoples-Jones")</f>
        <v>Donovan Peoples-Jones</v>
      </c>
      <c r="B221" s="31"/>
      <c r="C221" s="31"/>
      <c r="D221" s="31"/>
      <c r="E221" s="31"/>
      <c r="F221" s="31"/>
      <c r="G221" s="31"/>
      <c r="H221" s="31"/>
      <c r="I221" s="31"/>
      <c r="J221" s="31"/>
      <c r="K221" s="31"/>
      <c r="L221" s="31"/>
      <c r="M221" s="31"/>
      <c r="N221" s="31"/>
      <c r="O221" s="31"/>
      <c r="P221" s="31"/>
      <c r="Q221" s="31"/>
      <c r="R221" s="31"/>
    </row>
    <row r="222" spans="1:18" x14ac:dyDescent="0.2">
      <c r="A222" s="31" t="str">
        <f ca="1">IFERROR(__xludf.DUMMYFUNCTION("""COMPUTED_VALUE"""),"Parris Campbell")</f>
        <v>Parris Campbell</v>
      </c>
      <c r="B222" s="31"/>
      <c r="C222" s="31"/>
      <c r="D222" s="31"/>
      <c r="E222" s="31"/>
      <c r="F222" s="31"/>
      <c r="G222" s="31"/>
      <c r="H222" s="31"/>
      <c r="I222" s="31"/>
      <c r="J222" s="31"/>
      <c r="K222" s="31"/>
      <c r="L222" s="31"/>
      <c r="M222" s="31"/>
      <c r="N222" s="31"/>
      <c r="O222" s="31"/>
      <c r="P222" s="31"/>
      <c r="Q222" s="31"/>
      <c r="R222" s="31"/>
    </row>
    <row r="223" spans="1:18" x14ac:dyDescent="0.2">
      <c r="A223" s="31" t="str">
        <f ca="1">IFERROR(__xludf.DUMMYFUNCTION("""COMPUTED_VALUE"""),"DeAndre Carter")</f>
        <v>DeAndre Carter</v>
      </c>
      <c r="B223" s="31"/>
      <c r="C223" s="31"/>
      <c r="D223" s="31"/>
      <c r="E223" s="31"/>
      <c r="F223" s="31"/>
      <c r="G223" s="31"/>
      <c r="H223" s="31"/>
      <c r="I223" s="31"/>
      <c r="J223" s="31"/>
      <c r="K223" s="31"/>
      <c r="L223" s="31"/>
      <c r="M223" s="31"/>
      <c r="N223" s="31"/>
      <c r="O223" s="31"/>
      <c r="P223" s="31"/>
      <c r="Q223" s="31"/>
      <c r="R223" s="31"/>
    </row>
    <row r="224" spans="1:18" x14ac:dyDescent="0.2">
      <c r="A224" s="31" t="str">
        <f ca="1">IFERROR(__xludf.DUMMYFUNCTION("""COMPUTED_VALUE"""),"Derius Davis")</f>
        <v>Derius Davis</v>
      </c>
      <c r="B224" s="31"/>
      <c r="C224" s="31"/>
      <c r="D224" s="31"/>
      <c r="E224" s="31"/>
      <c r="F224" s="31"/>
      <c r="G224" s="31"/>
      <c r="H224" s="31"/>
      <c r="I224" s="31"/>
      <c r="J224" s="31"/>
      <c r="K224" s="31"/>
      <c r="L224" s="31"/>
      <c r="M224" s="31"/>
      <c r="N224" s="31"/>
      <c r="O224" s="31"/>
      <c r="P224" s="31"/>
      <c r="Q224" s="31"/>
      <c r="R224" s="31"/>
    </row>
    <row r="225" spans="1:18" x14ac:dyDescent="0.2">
      <c r="A225" s="31" t="str">
        <f ca="1">IFERROR(__xludf.DUMMYFUNCTION("""COMPUTED_VALUE"""),"Erik Ezukanma")</f>
        <v>Erik Ezukanma</v>
      </c>
      <c r="B225" s="31"/>
      <c r="C225" s="31"/>
      <c r="D225" s="31"/>
      <c r="E225" s="31"/>
      <c r="F225" s="31"/>
      <c r="G225" s="31"/>
      <c r="H225" s="31"/>
      <c r="I225" s="31"/>
      <c r="J225" s="31"/>
      <c r="K225" s="31"/>
      <c r="L225" s="31"/>
      <c r="M225" s="31"/>
      <c r="N225" s="31"/>
      <c r="O225" s="31"/>
      <c r="P225" s="31"/>
      <c r="Q225" s="31"/>
      <c r="R225" s="31"/>
    </row>
    <row r="226" spans="1:18" x14ac:dyDescent="0.2">
      <c r="A226" s="31" t="str">
        <f ca="1">IFERROR(__xludf.DUMMYFUNCTION("""COMPUTED_VALUE"""),"Xavier Hutchinson")</f>
        <v>Xavier Hutchinson</v>
      </c>
      <c r="B226" s="31"/>
      <c r="C226" s="31"/>
      <c r="D226" s="31"/>
      <c r="E226" s="31"/>
      <c r="F226" s="31"/>
      <c r="G226" s="31"/>
      <c r="H226" s="31"/>
      <c r="I226" s="31"/>
      <c r="J226" s="31"/>
      <c r="K226" s="31"/>
      <c r="L226" s="31"/>
      <c r="M226" s="31"/>
      <c r="N226" s="31"/>
      <c r="O226" s="31"/>
      <c r="P226" s="31"/>
      <c r="Q226" s="31"/>
      <c r="R226" s="31"/>
    </row>
    <row r="227" spans="1:18" x14ac:dyDescent="0.2">
      <c r="A227" s="31" t="str">
        <f ca="1">IFERROR(__xludf.DUMMYFUNCTION("""COMPUTED_VALUE"""),"Richie James")</f>
        <v>Richie James</v>
      </c>
      <c r="B227" s="31"/>
      <c r="C227" s="31"/>
      <c r="D227" s="31"/>
      <c r="E227" s="31"/>
      <c r="F227" s="31"/>
      <c r="G227" s="31"/>
      <c r="H227" s="31"/>
      <c r="I227" s="31"/>
      <c r="J227" s="31"/>
      <c r="K227" s="31"/>
      <c r="L227" s="31"/>
      <c r="M227" s="31"/>
      <c r="N227" s="31"/>
      <c r="O227" s="31"/>
      <c r="P227" s="31"/>
      <c r="Q227" s="31"/>
      <c r="R227" s="31"/>
    </row>
    <row r="228" spans="1:18" x14ac:dyDescent="0.2">
      <c r="A228" s="31" t="str">
        <f ca="1">IFERROR(__xludf.DUMMYFUNCTION("""COMPUTED_VALUE"""),"Marvin Jones")</f>
        <v>Marvin Jones</v>
      </c>
      <c r="B228" s="31"/>
      <c r="C228" s="31"/>
      <c r="D228" s="31"/>
      <c r="E228" s="31"/>
      <c r="F228" s="31"/>
      <c r="G228" s="31"/>
      <c r="H228" s="31"/>
      <c r="I228" s="31"/>
      <c r="J228" s="31"/>
      <c r="K228" s="31"/>
      <c r="L228" s="31"/>
      <c r="M228" s="31"/>
      <c r="N228" s="31"/>
      <c r="O228" s="31"/>
      <c r="P228" s="31"/>
      <c r="Q228" s="31"/>
      <c r="R228" s="31"/>
    </row>
    <row r="229" spans="1:18" x14ac:dyDescent="0.2">
      <c r="A229" s="31" t="str">
        <f ca="1">IFERROR(__xludf.DUMMYFUNCTION("""COMPUTED_VALUE"""),"Christian Kirk")</f>
        <v>Christian Kirk</v>
      </c>
      <c r="B229" s="31"/>
      <c r="C229" s="31"/>
      <c r="D229" s="31"/>
      <c r="E229" s="31"/>
      <c r="F229" s="31"/>
      <c r="G229" s="31"/>
      <c r="H229" s="31"/>
      <c r="I229" s="31"/>
      <c r="J229" s="31"/>
      <c r="K229" s="31"/>
      <c r="L229" s="31"/>
      <c r="M229" s="31"/>
      <c r="N229" s="31"/>
      <c r="O229" s="31"/>
      <c r="P229" s="31"/>
      <c r="Q229" s="31"/>
      <c r="R229" s="31"/>
    </row>
    <row r="230" spans="1:18" x14ac:dyDescent="0.2">
      <c r="A230" s="31" t="str">
        <f ca="1">IFERROR(__xludf.DUMMYFUNCTION("""COMPUTED_VALUE"""),"Josh Palmer")</f>
        <v>Josh Palmer</v>
      </c>
      <c r="B230" s="31"/>
      <c r="C230" s="31"/>
      <c r="D230" s="31"/>
      <c r="E230" s="31"/>
      <c r="F230" s="31"/>
      <c r="G230" s="31"/>
      <c r="H230" s="31"/>
      <c r="I230" s="31"/>
      <c r="J230" s="31"/>
      <c r="K230" s="31"/>
      <c r="L230" s="31"/>
      <c r="M230" s="31"/>
      <c r="N230" s="31"/>
      <c r="O230" s="31"/>
      <c r="P230" s="31"/>
      <c r="Q230" s="31"/>
      <c r="R230" s="31"/>
    </row>
    <row r="231" spans="1:18" x14ac:dyDescent="0.2">
      <c r="A231" s="31" t="str">
        <f ca="1">IFERROR(__xludf.DUMMYFUNCTION("""COMPUTED_VALUE"""),"Alec Pierce")</f>
        <v>Alec Pierce</v>
      </c>
      <c r="B231" s="31"/>
      <c r="C231" s="31"/>
      <c r="D231" s="31"/>
      <c r="E231" s="31"/>
      <c r="F231" s="31"/>
      <c r="G231" s="31"/>
      <c r="H231" s="31"/>
      <c r="I231" s="31"/>
      <c r="J231" s="31"/>
      <c r="K231" s="31"/>
      <c r="L231" s="31"/>
      <c r="M231" s="31"/>
      <c r="N231" s="31"/>
      <c r="O231" s="31"/>
      <c r="P231" s="31"/>
      <c r="Q231" s="31"/>
      <c r="R231" s="31"/>
    </row>
    <row r="232" spans="1:18" x14ac:dyDescent="0.2">
      <c r="A232" s="31" t="str">
        <f ca="1">IFERROR(__xludf.DUMMYFUNCTION("""COMPUTED_VALUE"""),"Justyn Ross")</f>
        <v>Justyn Ross</v>
      </c>
      <c r="B232" s="31"/>
      <c r="C232" s="31"/>
      <c r="D232" s="31"/>
      <c r="E232" s="31"/>
      <c r="F232" s="31"/>
      <c r="G232" s="31"/>
      <c r="H232" s="31"/>
      <c r="I232" s="31"/>
      <c r="J232" s="31"/>
      <c r="K232" s="31"/>
      <c r="L232" s="31"/>
      <c r="M232" s="31"/>
      <c r="N232" s="31"/>
      <c r="O232" s="31"/>
      <c r="P232" s="31"/>
      <c r="Q232" s="31"/>
      <c r="R232" s="31"/>
    </row>
    <row r="233" spans="1:18" x14ac:dyDescent="0.2">
      <c r="A233" s="31" t="str">
        <f ca="1">IFERROR(__xludf.DUMMYFUNCTION("""COMPUTED_VALUE"""),"Kadarius Toney")</f>
        <v>Kadarius Toney</v>
      </c>
      <c r="B233" s="31"/>
      <c r="C233" s="31"/>
      <c r="D233" s="31"/>
      <c r="E233" s="31"/>
      <c r="F233" s="31"/>
      <c r="G233" s="31"/>
      <c r="H233" s="31"/>
      <c r="I233" s="31"/>
      <c r="J233" s="31"/>
      <c r="K233" s="31"/>
      <c r="L233" s="31"/>
      <c r="M233" s="31"/>
      <c r="N233" s="31"/>
      <c r="O233" s="31"/>
      <c r="P233" s="31"/>
      <c r="Q233" s="31"/>
      <c r="R233" s="31"/>
    </row>
    <row r="234" spans="1:18" x14ac:dyDescent="0.2">
      <c r="A234" s="31" t="str">
        <f ca="1">IFERROR(__xludf.DUMMYFUNCTION("""COMPUTED_VALUE"""),"Jamal Agnew")</f>
        <v>Jamal Agnew</v>
      </c>
      <c r="B234" s="31"/>
      <c r="C234" s="31"/>
      <c r="D234" s="31"/>
      <c r="E234" s="31"/>
      <c r="F234" s="31"/>
      <c r="G234" s="31"/>
      <c r="H234" s="31"/>
      <c r="I234" s="31"/>
      <c r="J234" s="31"/>
      <c r="K234" s="31"/>
      <c r="L234" s="31"/>
      <c r="M234" s="31"/>
      <c r="N234" s="31"/>
      <c r="O234" s="31"/>
      <c r="P234" s="31"/>
      <c r="Q234" s="31"/>
      <c r="R234" s="31"/>
    </row>
    <row r="235" spans="1:18" x14ac:dyDescent="0.2">
      <c r="A235" s="31" t="str">
        <f ca="1">IFERROR(__xludf.DUMMYFUNCTION("""COMPUTED_VALUE"""),"Rakim Jarrett")</f>
        <v>Rakim Jarrett</v>
      </c>
      <c r="B235" s="31"/>
      <c r="C235" s="31"/>
      <c r="D235" s="31"/>
      <c r="E235" s="31"/>
      <c r="F235" s="31"/>
      <c r="G235" s="31"/>
      <c r="H235" s="31"/>
      <c r="I235" s="31"/>
      <c r="J235" s="31"/>
      <c r="K235" s="31"/>
      <c r="L235" s="31"/>
      <c r="M235" s="31"/>
      <c r="N235" s="31"/>
      <c r="O235" s="31"/>
      <c r="P235" s="31"/>
      <c r="Q235" s="31"/>
      <c r="R235" s="31"/>
    </row>
    <row r="236" spans="1:18" x14ac:dyDescent="0.2">
      <c r="A236" s="31" t="str">
        <f ca="1">IFERROR(__xludf.DUMMYFUNCTION("""COMPUTED_VALUE"""),"Skyy Moore")</f>
        <v>Skyy Moore</v>
      </c>
      <c r="B236" s="31"/>
      <c r="C236" s="31"/>
      <c r="D236" s="31"/>
      <c r="E236" s="31"/>
      <c r="F236" s="31"/>
      <c r="G236" s="31"/>
      <c r="H236" s="31"/>
      <c r="I236" s="31"/>
      <c r="J236" s="31"/>
      <c r="K236" s="31"/>
      <c r="L236" s="31"/>
      <c r="M236" s="31"/>
      <c r="N236" s="31"/>
      <c r="O236" s="31"/>
      <c r="P236" s="31"/>
      <c r="Q236" s="31"/>
      <c r="R236" s="31"/>
    </row>
    <row r="237" spans="1:18" x14ac:dyDescent="0.2">
      <c r="A237" s="31" t="str">
        <f ca="1">IFERROR(__xludf.DUMMYFUNCTION("""COMPUTED_VALUE"""),"Hunter Henry")</f>
        <v>Hunter Henry</v>
      </c>
      <c r="B237" s="31"/>
      <c r="C237" s="31"/>
      <c r="D237" s="31"/>
      <c r="E237" s="31"/>
      <c r="F237" s="31"/>
      <c r="G237" s="31"/>
      <c r="H237" s="31"/>
      <c r="I237" s="31"/>
      <c r="J237" s="31"/>
      <c r="K237" s="31"/>
      <c r="L237" s="31"/>
      <c r="M237" s="31"/>
      <c r="N237" s="31"/>
      <c r="O237" s="31"/>
      <c r="P237" s="31"/>
      <c r="Q237" s="31"/>
      <c r="R237" s="31"/>
    </row>
    <row r="238" spans="1:18" x14ac:dyDescent="0.2">
      <c r="A238" s="31" t="str">
        <f ca="1">IFERROR(__xludf.DUMMYFUNCTION("""COMPUTED_VALUE"""),"Hayden Hurst")</f>
        <v>Hayden Hurst</v>
      </c>
      <c r="B238" s="31"/>
      <c r="C238" s="31"/>
      <c r="D238" s="31"/>
      <c r="E238" s="31"/>
      <c r="F238" s="31"/>
      <c r="G238" s="31"/>
      <c r="H238" s="31"/>
      <c r="I238" s="31"/>
      <c r="J238" s="31"/>
      <c r="K238" s="31"/>
      <c r="L238" s="31"/>
      <c r="M238" s="31"/>
      <c r="N238" s="31"/>
      <c r="O238" s="31"/>
      <c r="P238" s="31"/>
      <c r="Q238" s="31"/>
      <c r="R238" s="31"/>
    </row>
    <row r="239" spans="1:18" x14ac:dyDescent="0.2">
      <c r="A239" s="31" t="str">
        <f ca="1">IFERROR(__xludf.DUMMYFUNCTION("""COMPUTED_VALUE"""),"T.J. Hockenson")</f>
        <v>T.J. Hockenson</v>
      </c>
      <c r="B239" s="31"/>
      <c r="C239" s="31"/>
      <c r="D239" s="31"/>
      <c r="E239" s="31"/>
      <c r="F239" s="31"/>
      <c r="G239" s="31"/>
      <c r="H239" s="31"/>
      <c r="I239" s="31"/>
      <c r="J239" s="31"/>
      <c r="K239" s="31"/>
      <c r="L239" s="31"/>
      <c r="M239" s="31"/>
      <c r="N239" s="31"/>
      <c r="O239" s="31"/>
      <c r="P239" s="31"/>
      <c r="Q239" s="31"/>
      <c r="R239" s="31"/>
    </row>
    <row r="240" spans="1:18" x14ac:dyDescent="0.2">
      <c r="A240" s="31" t="str">
        <f ca="1">IFERROR(__xludf.DUMMYFUNCTION("""COMPUTED_VALUE"""),"Donald Parham")</f>
        <v>Donald Parham</v>
      </c>
      <c r="B240" s="31"/>
      <c r="C240" s="31"/>
      <c r="D240" s="31"/>
      <c r="E240" s="31"/>
      <c r="F240" s="31"/>
      <c r="G240" s="31"/>
      <c r="H240" s="31"/>
      <c r="I240" s="31"/>
      <c r="J240" s="31"/>
      <c r="K240" s="31"/>
      <c r="L240" s="31"/>
      <c r="M240" s="31"/>
      <c r="N240" s="31"/>
      <c r="O240" s="31"/>
      <c r="P240" s="31"/>
      <c r="Q240" s="31"/>
      <c r="R240" s="31"/>
    </row>
    <row r="241" spans="1:18" x14ac:dyDescent="0.2">
      <c r="A241" s="31" t="str">
        <f ca="1">IFERROR(__xludf.DUMMYFUNCTION("""COMPUTED_VALUE"""),"Blake Bell")</f>
        <v>Blake Bell</v>
      </c>
      <c r="B241" s="31"/>
      <c r="C241" s="31"/>
      <c r="D241" s="31"/>
      <c r="E241" s="31"/>
      <c r="F241" s="31"/>
      <c r="G241" s="31"/>
      <c r="H241" s="31"/>
      <c r="I241" s="31"/>
      <c r="J241" s="31"/>
      <c r="K241" s="31"/>
      <c r="L241" s="31"/>
      <c r="M241" s="31"/>
      <c r="N241" s="31"/>
      <c r="O241" s="31"/>
      <c r="P241" s="31"/>
      <c r="Q241" s="31"/>
      <c r="R241" s="31"/>
    </row>
    <row r="242" spans="1:18" x14ac:dyDescent="0.2">
      <c r="A242" s="31" t="str">
        <f ca="1">IFERROR(__xludf.DUMMYFUNCTION("""COMPUTED_VALUE"""),"Evan Engram")</f>
        <v>Evan Engram</v>
      </c>
      <c r="B242" s="31"/>
      <c r="C242" s="31"/>
      <c r="D242" s="31"/>
      <c r="E242" s="31"/>
      <c r="F242" s="31"/>
      <c r="G242" s="31"/>
      <c r="H242" s="31"/>
      <c r="I242" s="31"/>
      <c r="J242" s="31"/>
      <c r="K242" s="31"/>
      <c r="L242" s="31"/>
      <c r="M242" s="31"/>
      <c r="N242" s="31"/>
      <c r="O242" s="31"/>
      <c r="P242" s="31"/>
      <c r="Q242" s="31"/>
      <c r="R242" s="31"/>
    </row>
    <row r="243" spans="1:18" x14ac:dyDescent="0.2">
      <c r="A243" s="31" t="str">
        <f ca="1">IFERROR(__xludf.DUMMYFUNCTION("""COMPUTED_VALUE"""),"Cole Kmet")</f>
        <v>Cole Kmet</v>
      </c>
      <c r="B243" s="31"/>
      <c r="C243" s="31"/>
      <c r="D243" s="31"/>
      <c r="E243" s="31"/>
      <c r="F243" s="31"/>
      <c r="G243" s="31"/>
      <c r="H243" s="31"/>
      <c r="I243" s="31"/>
      <c r="J243" s="31"/>
      <c r="K243" s="31"/>
      <c r="L243" s="31"/>
      <c r="M243" s="31"/>
      <c r="N243" s="31"/>
      <c r="O243" s="31"/>
      <c r="P243" s="31"/>
      <c r="Q243" s="31"/>
      <c r="R243" s="31"/>
    </row>
    <row r="244" spans="1:18" x14ac:dyDescent="0.2">
      <c r="A244" s="31" t="str">
        <f ca="1">IFERROR(__xludf.DUMMYFUNCTION("""COMPUTED_VALUE"""),"Harrison Bryant")</f>
        <v>Harrison Bryant</v>
      </c>
      <c r="B244" s="31"/>
      <c r="C244" s="31"/>
      <c r="D244" s="31"/>
      <c r="E244" s="31"/>
      <c r="F244" s="31"/>
      <c r="G244" s="31"/>
      <c r="H244" s="31"/>
      <c r="I244" s="31"/>
      <c r="J244" s="31"/>
      <c r="K244" s="31"/>
      <c r="L244" s="31"/>
      <c r="M244" s="31"/>
      <c r="N244" s="31"/>
      <c r="O244" s="31"/>
      <c r="P244" s="31"/>
      <c r="Q244" s="31"/>
      <c r="R244" s="31"/>
    </row>
    <row r="245" spans="1:18" x14ac:dyDescent="0.2">
      <c r="A245" s="31" t="str">
        <f ca="1">IFERROR(__xludf.DUMMYFUNCTION("""COMPUTED_VALUE"""),"Zach Ertz")</f>
        <v>Zach Ertz</v>
      </c>
      <c r="B245" s="31"/>
      <c r="C245" s="31"/>
      <c r="D245" s="31"/>
      <c r="E245" s="31"/>
      <c r="F245" s="31"/>
      <c r="G245" s="31"/>
      <c r="H245" s="31"/>
      <c r="I245" s="31"/>
      <c r="J245" s="31"/>
      <c r="K245" s="31"/>
      <c r="L245" s="31"/>
      <c r="M245" s="31"/>
      <c r="N245" s="31"/>
      <c r="O245" s="31"/>
      <c r="P245" s="31"/>
      <c r="Q245" s="31"/>
      <c r="R245" s="31"/>
    </row>
    <row r="246" spans="1:18" x14ac:dyDescent="0.2">
      <c r="A246" s="31" t="str">
        <f ca="1">IFERROR(__xludf.DUMMYFUNCTION("""COMPUTED_VALUE"""),"Sam LaPorta")</f>
        <v>Sam LaPorta</v>
      </c>
      <c r="B246" s="31"/>
      <c r="C246" s="31"/>
      <c r="D246" s="31"/>
      <c r="E246" s="31"/>
      <c r="F246" s="31"/>
      <c r="G246" s="31"/>
      <c r="H246" s="31"/>
      <c r="I246" s="31"/>
      <c r="J246" s="31"/>
      <c r="K246" s="31"/>
      <c r="L246" s="31"/>
      <c r="M246" s="31"/>
      <c r="N246" s="31"/>
      <c r="O246" s="31"/>
      <c r="P246" s="31"/>
      <c r="Q246" s="31"/>
      <c r="R246" s="31"/>
    </row>
    <row r="247" spans="1:18" x14ac:dyDescent="0.2">
      <c r="A247" s="31" t="str">
        <f ca="1">IFERROR(__xludf.DUMMYFUNCTION("""COMPUTED_VALUE"""),"Luke Musgrave")</f>
        <v>Luke Musgrave</v>
      </c>
      <c r="B247" s="31"/>
      <c r="C247" s="31"/>
      <c r="D247" s="31"/>
      <c r="E247" s="31"/>
      <c r="F247" s="31"/>
      <c r="G247" s="31"/>
      <c r="H247" s="31"/>
      <c r="I247" s="31"/>
      <c r="J247" s="31"/>
      <c r="K247" s="31"/>
      <c r="L247" s="31"/>
      <c r="M247" s="31"/>
      <c r="N247" s="31"/>
      <c r="O247" s="31"/>
      <c r="P247" s="31"/>
      <c r="Q247" s="31"/>
      <c r="R247" s="31"/>
    </row>
    <row r="248" spans="1:18" x14ac:dyDescent="0.2">
      <c r="A248" s="31" t="str">
        <f ca="1">IFERROR(__xludf.DUMMYFUNCTION("""COMPUTED_VALUE"""),"Logan Thomas")</f>
        <v>Logan Thomas</v>
      </c>
      <c r="B248" s="31"/>
      <c r="C248" s="31"/>
      <c r="D248" s="31"/>
      <c r="E248" s="31"/>
      <c r="F248" s="31"/>
      <c r="G248" s="31"/>
      <c r="H248" s="31"/>
      <c r="I248" s="31"/>
      <c r="J248" s="31"/>
      <c r="K248" s="31"/>
      <c r="L248" s="31"/>
      <c r="M248" s="31"/>
      <c r="N248" s="31"/>
      <c r="O248" s="31"/>
      <c r="P248" s="31"/>
      <c r="Q248" s="31"/>
      <c r="R248" s="31"/>
    </row>
    <row r="249" spans="1:18" x14ac:dyDescent="0.2">
      <c r="A249" s="31" t="str">
        <f ca="1">IFERROR(__xludf.DUMMYFUNCTION("""COMPUTED_VALUE"""),"Adam Trautman")</f>
        <v>Adam Trautman</v>
      </c>
      <c r="B249" s="31"/>
      <c r="C249" s="31"/>
      <c r="D249" s="31"/>
      <c r="E249" s="31"/>
      <c r="F249" s="31"/>
      <c r="G249" s="31"/>
      <c r="H249" s="31"/>
      <c r="I249" s="31"/>
      <c r="J249" s="31"/>
      <c r="K249" s="31"/>
      <c r="L249" s="31"/>
      <c r="M249" s="31"/>
      <c r="N249" s="31"/>
      <c r="O249" s="31"/>
      <c r="P249" s="31"/>
      <c r="Q249" s="31"/>
      <c r="R249" s="31"/>
    </row>
    <row r="250" spans="1:18" x14ac:dyDescent="0.2">
      <c r="A250" s="31" t="str">
        <f ca="1">IFERROR(__xludf.DUMMYFUNCTION("""COMPUTED_VALUE"""),"Pat Freiermuth")</f>
        <v>Pat Freiermuth</v>
      </c>
      <c r="B250" s="31"/>
      <c r="C250" s="31"/>
      <c r="D250" s="31"/>
      <c r="E250" s="31"/>
      <c r="F250" s="31"/>
      <c r="G250" s="31"/>
      <c r="H250" s="31"/>
      <c r="I250" s="31"/>
      <c r="J250" s="31"/>
      <c r="K250" s="31"/>
      <c r="L250" s="31"/>
      <c r="M250" s="31"/>
      <c r="N250" s="31"/>
      <c r="O250" s="31"/>
      <c r="P250" s="31"/>
      <c r="Q250" s="31"/>
      <c r="R250" s="31"/>
    </row>
    <row r="251" spans="1:18" x14ac:dyDescent="0.2">
      <c r="A251" s="31" t="str">
        <f ca="1">IFERROR(__xludf.DUMMYFUNCTION("""COMPUTED_VALUE"""),"Kylen Granson")</f>
        <v>Kylen Granson</v>
      </c>
      <c r="B251" s="31"/>
      <c r="C251" s="31"/>
      <c r="D251" s="31"/>
      <c r="E251" s="31"/>
      <c r="F251" s="31"/>
      <c r="G251" s="31"/>
      <c r="H251" s="31"/>
      <c r="I251" s="31"/>
      <c r="J251" s="31"/>
      <c r="K251" s="31"/>
      <c r="L251" s="31"/>
      <c r="M251" s="31"/>
      <c r="N251" s="31"/>
      <c r="O251" s="31"/>
      <c r="P251" s="31"/>
      <c r="Q251" s="31"/>
      <c r="R251" s="31"/>
    </row>
    <row r="252" spans="1:18" x14ac:dyDescent="0.2">
      <c r="A252" s="31" t="str">
        <f ca="1">IFERROR(__xludf.DUMMYFUNCTION("""COMPUTED_VALUE"""),"Tyler Higbee")</f>
        <v>Tyler Higbee</v>
      </c>
      <c r="B252" s="31"/>
      <c r="C252" s="31"/>
      <c r="D252" s="31"/>
      <c r="E252" s="31"/>
      <c r="F252" s="31"/>
      <c r="G252" s="31"/>
      <c r="H252" s="31"/>
      <c r="I252" s="31"/>
      <c r="J252" s="31"/>
      <c r="K252" s="31"/>
      <c r="L252" s="31"/>
      <c r="M252" s="31"/>
      <c r="N252" s="31"/>
      <c r="O252" s="31"/>
      <c r="P252" s="31"/>
      <c r="Q252" s="31"/>
      <c r="R252" s="31"/>
    </row>
    <row r="253" spans="1:18" x14ac:dyDescent="0.2">
      <c r="A253" s="31" t="str">
        <f ca="1">IFERROR(__xludf.DUMMYFUNCTION("""COMPUTED_VALUE"""),"Durham Smythe")</f>
        <v>Durham Smythe</v>
      </c>
      <c r="B253" s="31"/>
      <c r="C253" s="31"/>
      <c r="D253" s="31"/>
      <c r="E253" s="31"/>
      <c r="F253" s="31"/>
      <c r="G253" s="31"/>
      <c r="H253" s="31"/>
      <c r="I253" s="31"/>
      <c r="J253" s="31"/>
      <c r="K253" s="31"/>
      <c r="L253" s="31"/>
      <c r="M253" s="31"/>
      <c r="N253" s="31"/>
      <c r="O253" s="31"/>
      <c r="P253" s="31"/>
      <c r="Q253" s="31"/>
      <c r="R253" s="31"/>
    </row>
    <row r="254" spans="1:18" x14ac:dyDescent="0.2">
      <c r="A254" s="31" t="str">
        <f ca="1">IFERROR(__xludf.DUMMYFUNCTION("""COMPUTED_VALUE"""),"Mike Gesicki")</f>
        <v>Mike Gesicki</v>
      </c>
      <c r="B254" s="31"/>
      <c r="C254" s="31"/>
      <c r="D254" s="31"/>
      <c r="E254" s="31"/>
      <c r="F254" s="31"/>
      <c r="G254" s="31"/>
      <c r="H254" s="31"/>
      <c r="I254" s="31"/>
      <c r="J254" s="31"/>
      <c r="K254" s="31"/>
      <c r="L254" s="31"/>
      <c r="M254" s="31"/>
      <c r="N254" s="31"/>
      <c r="O254" s="31"/>
      <c r="P254" s="31"/>
      <c r="Q254" s="31"/>
      <c r="R254" s="31"/>
    </row>
    <row r="255" spans="1:18" x14ac:dyDescent="0.2">
      <c r="A255" s="31" t="str">
        <f ca="1">IFERROR(__xludf.DUMMYFUNCTION("""COMPUTED_VALUE"""),"Noah Gray")</f>
        <v>Noah Gray</v>
      </c>
      <c r="B255" s="31"/>
      <c r="C255" s="31"/>
      <c r="D255" s="31"/>
      <c r="E255" s="31"/>
      <c r="F255" s="31"/>
      <c r="G255" s="31"/>
      <c r="H255" s="31"/>
      <c r="I255" s="31"/>
      <c r="J255" s="31"/>
      <c r="K255" s="31"/>
      <c r="L255" s="31"/>
      <c r="M255" s="31"/>
      <c r="N255" s="31"/>
      <c r="O255" s="31"/>
      <c r="P255" s="31"/>
      <c r="Q255" s="31"/>
      <c r="R255" s="31"/>
    </row>
    <row r="256" spans="1:18" x14ac:dyDescent="0.2">
      <c r="A256" s="31" t="str">
        <f ca="1">IFERROR(__xludf.DUMMYFUNCTION("""COMPUTED_VALUE"""),"Juwan Johnson")</f>
        <v>Juwan Johnson</v>
      </c>
      <c r="B256" s="31"/>
      <c r="C256" s="31"/>
      <c r="D256" s="31"/>
      <c r="E256" s="31"/>
      <c r="F256" s="31"/>
      <c r="G256" s="31"/>
      <c r="H256" s="31"/>
      <c r="I256" s="31"/>
      <c r="J256" s="31"/>
      <c r="K256" s="31"/>
      <c r="L256" s="31"/>
      <c r="M256" s="31"/>
      <c r="N256" s="31"/>
      <c r="O256" s="31"/>
      <c r="P256" s="31"/>
      <c r="Q256" s="31"/>
      <c r="R256" s="31"/>
    </row>
    <row r="257" spans="1:18" x14ac:dyDescent="0.2">
      <c r="A257" s="31" t="str">
        <f ca="1">IFERROR(__xludf.DUMMYFUNCTION("""COMPUTED_VALUE"""),"Dalton Kincaid")</f>
        <v>Dalton Kincaid</v>
      </c>
      <c r="B257" s="31"/>
      <c r="C257" s="31"/>
      <c r="D257" s="31"/>
      <c r="E257" s="31"/>
      <c r="F257" s="31"/>
      <c r="G257" s="31"/>
      <c r="H257" s="31"/>
      <c r="I257" s="31"/>
      <c r="J257" s="31"/>
      <c r="K257" s="31"/>
      <c r="L257" s="31"/>
      <c r="M257" s="31"/>
      <c r="N257" s="31"/>
      <c r="O257" s="31"/>
      <c r="P257" s="31"/>
      <c r="Q257" s="31"/>
      <c r="R257" s="31"/>
    </row>
    <row r="258" spans="1:18" x14ac:dyDescent="0.2">
      <c r="A258" s="31" t="str">
        <f ca="1">IFERROR(__xludf.DUMMYFUNCTION("""COMPUTED_VALUE"""),"Josh Oliver")</f>
        <v>Josh Oliver</v>
      </c>
      <c r="B258" s="31"/>
      <c r="C258" s="31"/>
      <c r="D258" s="31"/>
      <c r="E258" s="31"/>
      <c r="F258" s="31"/>
      <c r="G258" s="31"/>
      <c r="H258" s="31"/>
      <c r="I258" s="31"/>
      <c r="J258" s="31"/>
      <c r="K258" s="31"/>
      <c r="L258" s="31"/>
      <c r="M258" s="31"/>
      <c r="N258" s="31"/>
      <c r="O258" s="31"/>
      <c r="P258" s="31"/>
      <c r="Q258" s="31"/>
      <c r="R258" s="31"/>
    </row>
    <row r="259" spans="1:18" x14ac:dyDescent="0.2">
      <c r="A259" s="31" t="str">
        <f ca="1">IFERROR(__xludf.DUMMYFUNCTION("""COMPUTED_VALUE"""),"Kyle Pitts")</f>
        <v>Kyle Pitts</v>
      </c>
      <c r="B259" s="31"/>
      <c r="C259" s="31"/>
      <c r="D259" s="31"/>
      <c r="E259" s="31"/>
      <c r="F259" s="31"/>
      <c r="G259" s="31"/>
      <c r="H259" s="31"/>
      <c r="I259" s="31"/>
      <c r="J259" s="31"/>
      <c r="K259" s="31"/>
      <c r="L259" s="31"/>
      <c r="M259" s="31"/>
      <c r="N259" s="31"/>
      <c r="O259" s="31"/>
      <c r="P259" s="31"/>
      <c r="Q259" s="31"/>
      <c r="R259" s="31"/>
    </row>
    <row r="260" spans="1:18" x14ac:dyDescent="0.2">
      <c r="A260" s="31" t="str">
        <f ca="1">IFERROR(__xludf.DUMMYFUNCTION("""COMPUTED_VALUE"""),"Darren Waller")</f>
        <v>Darren Waller</v>
      </c>
      <c r="B260" s="31"/>
      <c r="C260" s="31"/>
      <c r="D260" s="31"/>
      <c r="E260" s="31"/>
      <c r="F260" s="31"/>
      <c r="G260" s="31"/>
      <c r="H260" s="31"/>
      <c r="I260" s="31"/>
      <c r="J260" s="31"/>
      <c r="K260" s="31"/>
      <c r="L260" s="31"/>
      <c r="M260" s="31"/>
      <c r="N260" s="31"/>
      <c r="O260" s="31"/>
      <c r="P260" s="31"/>
      <c r="Q260" s="31"/>
      <c r="R260" s="31"/>
    </row>
    <row r="261" spans="1:18" x14ac:dyDescent="0.2">
      <c r="A261" s="31" t="str">
        <f ca="1">IFERROR(__xludf.DUMMYFUNCTION("""COMPUTED_VALUE"""),"Dawson Knox")</f>
        <v>Dawson Knox</v>
      </c>
      <c r="B261" s="31"/>
      <c r="C261" s="31"/>
      <c r="D261" s="31"/>
      <c r="E261" s="31"/>
      <c r="F261" s="31"/>
      <c r="G261" s="31"/>
      <c r="H261" s="31"/>
      <c r="I261" s="31"/>
      <c r="J261" s="31"/>
      <c r="K261" s="31"/>
      <c r="L261" s="31"/>
      <c r="M261" s="31"/>
      <c r="N261" s="31"/>
      <c r="O261" s="31"/>
      <c r="P261" s="31"/>
      <c r="Q261" s="31"/>
      <c r="R261" s="31"/>
    </row>
    <row r="262" spans="1:18" x14ac:dyDescent="0.2">
      <c r="A262" s="31" t="str">
        <f ca="1">IFERROR(__xludf.DUMMYFUNCTION("""COMPUTED_VALUE"""),"Greg Dulcich")</f>
        <v>Greg Dulcich</v>
      </c>
      <c r="B262" s="31"/>
      <c r="C262" s="31"/>
      <c r="D262" s="31"/>
      <c r="E262" s="31"/>
      <c r="F262" s="31"/>
      <c r="G262" s="31"/>
      <c r="H262" s="31"/>
      <c r="I262" s="31"/>
      <c r="J262" s="31"/>
      <c r="K262" s="31"/>
      <c r="L262" s="31"/>
      <c r="M262" s="31"/>
      <c r="N262" s="31"/>
      <c r="O262" s="31"/>
      <c r="P262" s="31"/>
      <c r="Q262" s="31"/>
      <c r="R262" s="31"/>
    </row>
    <row r="263" spans="1:18" x14ac:dyDescent="0.2">
      <c r="A263" s="31" t="str">
        <f ca="1">IFERROR(__xludf.DUMMYFUNCTION("""COMPUTED_VALUE"""),"Gerald Everett")</f>
        <v>Gerald Everett</v>
      </c>
      <c r="B263" s="31"/>
      <c r="C263" s="31"/>
      <c r="D263" s="31"/>
      <c r="E263" s="31"/>
      <c r="F263" s="31"/>
      <c r="G263" s="31"/>
      <c r="H263" s="31"/>
      <c r="I263" s="31"/>
      <c r="J263" s="31"/>
      <c r="K263" s="31"/>
      <c r="L263" s="31"/>
      <c r="M263" s="31"/>
      <c r="N263" s="31"/>
      <c r="O263" s="31"/>
      <c r="P263" s="31"/>
      <c r="Q263" s="31"/>
      <c r="R263" s="31"/>
    </row>
    <row r="264" spans="1:18" x14ac:dyDescent="0.2">
      <c r="A264" s="31" t="str">
        <f ca="1">IFERROR(__xludf.DUMMYFUNCTION("""COMPUTED_VALUE"""),"George Kittle")</f>
        <v>George Kittle</v>
      </c>
      <c r="B264" s="31"/>
      <c r="C264" s="31"/>
      <c r="D264" s="31"/>
      <c r="E264" s="31"/>
      <c r="F264" s="31"/>
      <c r="G264" s="31"/>
      <c r="H264" s="31"/>
      <c r="I264" s="31"/>
      <c r="J264" s="31"/>
      <c r="K264" s="31"/>
      <c r="L264" s="31"/>
      <c r="M264" s="31"/>
      <c r="N264" s="31"/>
      <c r="O264" s="31"/>
      <c r="P264" s="31"/>
      <c r="Q264" s="31"/>
      <c r="R264" s="31"/>
    </row>
    <row r="265" spans="1:18" x14ac:dyDescent="0.2">
      <c r="A265" s="31" t="str">
        <f ca="1">IFERROR(__xludf.DUMMYFUNCTION("""COMPUTED_VALUE"""),"Trey McBride")</f>
        <v>Trey McBride</v>
      </c>
      <c r="B265" s="31"/>
      <c r="C265" s="31"/>
      <c r="D265" s="31"/>
      <c r="E265" s="31"/>
      <c r="F265" s="31"/>
      <c r="G265" s="31"/>
      <c r="H265" s="31"/>
      <c r="I265" s="31"/>
      <c r="J265" s="31"/>
      <c r="K265" s="31"/>
      <c r="L265" s="31"/>
      <c r="M265" s="31"/>
      <c r="N265" s="31"/>
      <c r="O265" s="31"/>
      <c r="P265" s="31"/>
      <c r="Q265" s="31"/>
      <c r="R265" s="31"/>
    </row>
    <row r="266" spans="1:18" x14ac:dyDescent="0.2">
      <c r="A266" s="31" t="str">
        <f ca="1">IFERROR(__xludf.DUMMYFUNCTION("""COMPUTED_VALUE"""),"David Njoku")</f>
        <v>David Njoku</v>
      </c>
      <c r="B266" s="31"/>
      <c r="C266" s="31"/>
      <c r="D266" s="31"/>
      <c r="E266" s="31"/>
      <c r="F266" s="31"/>
      <c r="G266" s="31"/>
      <c r="H266" s="31"/>
      <c r="I266" s="31"/>
      <c r="J266" s="31"/>
      <c r="K266" s="31"/>
      <c r="L266" s="31"/>
      <c r="M266" s="31"/>
      <c r="N266" s="31"/>
      <c r="O266" s="31"/>
      <c r="P266" s="31"/>
      <c r="Q266" s="31"/>
      <c r="R266" s="31"/>
    </row>
    <row r="267" spans="1:18" x14ac:dyDescent="0.2">
      <c r="A267" s="31" t="str">
        <f ca="1">IFERROR(__xludf.DUMMYFUNCTION("""COMPUTED_VALUE"""),"Irv Smith")</f>
        <v>Irv Smith</v>
      </c>
      <c r="B267" s="31"/>
      <c r="C267" s="31"/>
      <c r="D267" s="31"/>
      <c r="E267" s="31"/>
      <c r="F267" s="31"/>
      <c r="G267" s="31"/>
      <c r="H267" s="31"/>
      <c r="I267" s="31"/>
      <c r="J267" s="31"/>
      <c r="K267" s="31"/>
      <c r="L267" s="31"/>
      <c r="M267" s="31"/>
      <c r="N267" s="31"/>
      <c r="O267" s="31"/>
      <c r="P267" s="31"/>
      <c r="Q267" s="31"/>
      <c r="R267" s="31"/>
    </row>
    <row r="268" spans="1:18" x14ac:dyDescent="0.2">
      <c r="A268" s="31" t="str">
        <f ca="1">IFERROR(__xludf.DUMMYFUNCTION("""COMPUTED_VALUE"""),"Lawrence Cager")</f>
        <v>Lawrence Cager</v>
      </c>
      <c r="B268" s="31"/>
      <c r="C268" s="31"/>
      <c r="D268" s="31"/>
      <c r="E268" s="31"/>
      <c r="F268" s="31"/>
      <c r="G268" s="31"/>
      <c r="H268" s="31"/>
      <c r="I268" s="31"/>
      <c r="J268" s="31"/>
      <c r="K268" s="31"/>
      <c r="L268" s="31"/>
      <c r="M268" s="31"/>
      <c r="N268" s="31"/>
      <c r="O268" s="31"/>
      <c r="P268" s="31"/>
      <c r="Q268" s="31"/>
      <c r="R268" s="31"/>
    </row>
    <row r="269" spans="1:18" x14ac:dyDescent="0.2">
      <c r="A269" s="31" t="str">
        <f ca="1">IFERROR(__xludf.DUMMYFUNCTION("""COMPUTED_VALUE"""),"Will Dissly")</f>
        <v>Will Dissly</v>
      </c>
      <c r="B269" s="31"/>
      <c r="C269" s="31"/>
      <c r="D269" s="31"/>
      <c r="E269" s="31"/>
      <c r="F269" s="31"/>
      <c r="G269" s="31"/>
      <c r="H269" s="31"/>
      <c r="I269" s="31"/>
      <c r="J269" s="31"/>
      <c r="K269" s="31"/>
      <c r="L269" s="31"/>
      <c r="M269" s="31"/>
      <c r="N269" s="31"/>
      <c r="O269" s="31"/>
      <c r="P269" s="31"/>
      <c r="Q269" s="31"/>
      <c r="R269" s="31"/>
    </row>
    <row r="270" spans="1:18" x14ac:dyDescent="0.2">
      <c r="A270" s="31" t="str">
        <f ca="1">IFERROR(__xludf.DUMMYFUNCTION("""COMPUTED_VALUE"""),"Jake Ferguson")</f>
        <v>Jake Ferguson</v>
      </c>
      <c r="B270" s="31"/>
      <c r="C270" s="31"/>
      <c r="D270" s="31"/>
      <c r="E270" s="31"/>
      <c r="F270" s="31"/>
      <c r="G270" s="31"/>
      <c r="H270" s="31"/>
      <c r="I270" s="31"/>
      <c r="J270" s="31"/>
      <c r="K270" s="31"/>
      <c r="L270" s="31"/>
      <c r="M270" s="31"/>
      <c r="N270" s="31"/>
      <c r="O270" s="31"/>
      <c r="P270" s="31"/>
      <c r="Q270" s="31"/>
      <c r="R270" s="31"/>
    </row>
    <row r="271" spans="1:18" x14ac:dyDescent="0.2">
      <c r="A271" s="31" t="str">
        <f ca="1">IFERROR(__xludf.DUMMYFUNCTION("""COMPUTED_VALUE"""),"Connor Heyward")</f>
        <v>Connor Heyward</v>
      </c>
      <c r="B271" s="31"/>
      <c r="C271" s="31"/>
      <c r="D271" s="31"/>
      <c r="E271" s="31"/>
      <c r="F271" s="31"/>
      <c r="G271" s="31"/>
      <c r="H271" s="31"/>
      <c r="I271" s="31"/>
      <c r="J271" s="31"/>
      <c r="K271" s="31"/>
      <c r="L271" s="31"/>
      <c r="M271" s="31"/>
      <c r="N271" s="31"/>
      <c r="O271" s="31"/>
      <c r="P271" s="31"/>
      <c r="Q271" s="31"/>
      <c r="R271" s="31"/>
    </row>
    <row r="272" spans="1:18" x14ac:dyDescent="0.2">
      <c r="A272" s="31" t="str">
        <f ca="1">IFERROR(__xludf.DUMMYFUNCTION("""COMPUTED_VALUE"""),"Austin Hooper")</f>
        <v>Austin Hooper</v>
      </c>
      <c r="B272" s="31"/>
      <c r="C272" s="31"/>
      <c r="D272" s="31"/>
      <c r="E272" s="31"/>
      <c r="F272" s="31"/>
      <c r="G272" s="31"/>
      <c r="H272" s="31"/>
      <c r="I272" s="31"/>
      <c r="J272" s="31"/>
      <c r="K272" s="31"/>
      <c r="L272" s="31"/>
      <c r="M272" s="31"/>
      <c r="N272" s="31"/>
      <c r="O272" s="31"/>
      <c r="P272" s="31"/>
      <c r="Q272" s="31"/>
      <c r="R272" s="31"/>
    </row>
    <row r="273" spans="1:18" x14ac:dyDescent="0.2">
      <c r="A273" s="31" t="str">
        <f ca="1">IFERROR(__xludf.DUMMYFUNCTION("""COMPUTED_VALUE"""),"Brycen Hopkins")</f>
        <v>Brycen Hopkins</v>
      </c>
      <c r="B273" s="31"/>
      <c r="C273" s="31"/>
      <c r="D273" s="31"/>
      <c r="E273" s="31"/>
      <c r="F273" s="31"/>
      <c r="G273" s="31"/>
      <c r="H273" s="31"/>
      <c r="I273" s="31"/>
      <c r="J273" s="31"/>
      <c r="K273" s="31"/>
      <c r="L273" s="31"/>
      <c r="M273" s="31"/>
      <c r="N273" s="31"/>
      <c r="O273" s="31"/>
      <c r="P273" s="31"/>
      <c r="Q273" s="31"/>
      <c r="R273" s="31"/>
    </row>
    <row r="274" spans="1:18" x14ac:dyDescent="0.2">
      <c r="A274" s="31" t="str">
        <f ca="1">IFERROR(__xludf.DUMMYFUNCTION("""COMPUTED_VALUE"""),"Andrew Ogletree")</f>
        <v>Andrew Ogletree</v>
      </c>
      <c r="B274" s="31"/>
      <c r="C274" s="31"/>
      <c r="D274" s="31"/>
      <c r="E274" s="31"/>
      <c r="F274" s="31"/>
      <c r="G274" s="31"/>
      <c r="H274" s="31"/>
      <c r="I274" s="31"/>
      <c r="J274" s="31"/>
      <c r="K274" s="31"/>
      <c r="L274" s="31"/>
      <c r="M274" s="31"/>
      <c r="N274" s="31"/>
      <c r="O274" s="31"/>
      <c r="P274" s="31"/>
      <c r="Q274" s="31"/>
      <c r="R274" s="31"/>
    </row>
    <row r="275" spans="1:18" x14ac:dyDescent="0.2">
      <c r="A275" s="31" t="str">
        <f ca="1">IFERROR(__xludf.DUMMYFUNCTION("""COMPUTED_VALUE"""),"Cade Otton")</f>
        <v>Cade Otton</v>
      </c>
      <c r="B275" s="31"/>
      <c r="C275" s="31"/>
      <c r="D275" s="31"/>
      <c r="E275" s="31"/>
      <c r="F275" s="31"/>
      <c r="G275" s="31"/>
      <c r="H275" s="31"/>
      <c r="I275" s="31"/>
      <c r="J275" s="31"/>
      <c r="K275" s="31"/>
      <c r="L275" s="31"/>
      <c r="M275" s="31"/>
      <c r="N275" s="31"/>
      <c r="O275" s="31"/>
      <c r="P275" s="31"/>
      <c r="Q275" s="31"/>
      <c r="R275" s="31"/>
    </row>
    <row r="276" spans="1:18" x14ac:dyDescent="0.2">
      <c r="A276" s="31" t="str">
        <f ca="1">IFERROR(__xludf.DUMMYFUNCTION("""COMPUTED_VALUE"""),"Brock Wright")</f>
        <v>Brock Wright</v>
      </c>
      <c r="B276" s="31"/>
      <c r="C276" s="31"/>
      <c r="D276" s="31"/>
      <c r="E276" s="31"/>
      <c r="F276" s="31"/>
      <c r="G276" s="31"/>
      <c r="H276" s="31"/>
      <c r="I276" s="31"/>
      <c r="J276" s="31"/>
      <c r="K276" s="31"/>
      <c r="L276" s="31"/>
      <c r="M276" s="31"/>
      <c r="N276" s="31"/>
      <c r="O276" s="31"/>
      <c r="P276" s="31"/>
      <c r="Q276" s="31"/>
      <c r="R276" s="31"/>
    </row>
    <row r="277" spans="1:18" x14ac:dyDescent="0.2">
      <c r="A277" s="31" t="str">
        <f ca="1">IFERROR(__xludf.DUMMYFUNCTION("""COMPUTED_VALUE"""),"Jordan Akins")</f>
        <v>Jordan Akins</v>
      </c>
      <c r="B277" s="31"/>
      <c r="C277" s="31"/>
      <c r="D277" s="31"/>
      <c r="E277" s="31"/>
      <c r="F277" s="31"/>
      <c r="G277" s="31"/>
      <c r="H277" s="31"/>
      <c r="I277" s="31"/>
      <c r="J277" s="31"/>
      <c r="K277" s="31"/>
      <c r="L277" s="31"/>
      <c r="M277" s="31"/>
      <c r="N277" s="31"/>
      <c r="O277" s="31"/>
      <c r="P277" s="31"/>
      <c r="Q277" s="31"/>
      <c r="R277" s="31"/>
    </row>
    <row r="278" spans="1:18" x14ac:dyDescent="0.2">
      <c r="A278" s="31" t="str">
        <f ca="1">IFERROR(__xludf.DUMMYFUNCTION("""COMPUTED_VALUE"""),"Teagan Quitoriano")</f>
        <v>Teagan Quitoriano</v>
      </c>
      <c r="B278" s="31"/>
      <c r="C278" s="31"/>
      <c r="D278" s="31"/>
      <c r="E278" s="31"/>
      <c r="F278" s="31"/>
      <c r="G278" s="31"/>
      <c r="H278" s="31"/>
      <c r="I278" s="31"/>
      <c r="J278" s="31"/>
      <c r="K278" s="31"/>
      <c r="L278" s="31"/>
      <c r="M278" s="31"/>
      <c r="N278" s="31"/>
      <c r="O278" s="31"/>
      <c r="P278" s="31"/>
      <c r="Q278" s="31"/>
      <c r="R278" s="31"/>
    </row>
    <row r="279" spans="1:18" x14ac:dyDescent="0.2">
      <c r="A279" s="31" t="str">
        <f ca="1">IFERROR(__xludf.DUMMYFUNCTION("""COMPUTED_VALUE"""),"Dalton Schultz")</f>
        <v>Dalton Schultz</v>
      </c>
      <c r="B279" s="31"/>
      <c r="C279" s="31"/>
      <c r="D279" s="31"/>
      <c r="E279" s="31"/>
      <c r="F279" s="31"/>
      <c r="G279" s="31"/>
      <c r="H279" s="31"/>
      <c r="I279" s="31"/>
      <c r="J279" s="31"/>
      <c r="K279" s="31"/>
      <c r="L279" s="31"/>
      <c r="M279" s="31"/>
      <c r="N279" s="31"/>
      <c r="O279" s="31"/>
      <c r="P279" s="31"/>
      <c r="Q279" s="31"/>
      <c r="R279" s="31"/>
    </row>
    <row r="280" spans="1:18" x14ac:dyDescent="0.2">
      <c r="A280" s="31" t="str">
        <f ca="1">IFERROR(__xludf.DUMMYFUNCTION("""COMPUTED_VALUE"""),"Cole Turner")</f>
        <v>Cole Turner</v>
      </c>
      <c r="B280" s="31"/>
      <c r="C280" s="31"/>
      <c r="D280" s="31"/>
      <c r="E280" s="31"/>
      <c r="F280" s="31"/>
      <c r="G280" s="31"/>
      <c r="H280" s="31"/>
      <c r="I280" s="31"/>
      <c r="J280" s="31"/>
      <c r="K280" s="31"/>
      <c r="L280" s="31"/>
      <c r="M280" s="31"/>
      <c r="N280" s="31"/>
      <c r="O280" s="31"/>
      <c r="P280" s="31"/>
      <c r="Q280" s="31"/>
      <c r="R280" s="31"/>
    </row>
    <row r="281" spans="1:18" x14ac:dyDescent="0.2">
      <c r="A281" s="31" t="str">
        <f ca="1">IFERROR(__xludf.DUMMYFUNCTION("""COMPUTED_VALUE"""),"Daniel Bellinger")</f>
        <v>Daniel Bellinger</v>
      </c>
      <c r="B281" s="31"/>
      <c r="C281" s="31"/>
      <c r="D281" s="31"/>
      <c r="E281" s="31"/>
      <c r="F281" s="31"/>
      <c r="G281" s="31"/>
      <c r="H281" s="31"/>
      <c r="I281" s="31"/>
      <c r="J281" s="31"/>
      <c r="K281" s="31"/>
      <c r="L281" s="31"/>
      <c r="M281" s="31"/>
      <c r="N281" s="31"/>
      <c r="O281" s="31"/>
      <c r="P281" s="31"/>
      <c r="Q281" s="31"/>
      <c r="R281" s="31"/>
    </row>
    <row r="282" spans="1:18" x14ac:dyDescent="0.2">
      <c r="A282" s="31" t="str">
        <f ca="1">IFERROR(__xludf.DUMMYFUNCTION("""COMPUTED_VALUE"""),"Tyler Conklin")</f>
        <v>Tyler Conklin</v>
      </c>
      <c r="B282" s="31"/>
      <c r="C282" s="31"/>
      <c r="D282" s="31"/>
      <c r="E282" s="31"/>
      <c r="F282" s="31"/>
      <c r="G282" s="31"/>
      <c r="H282" s="31"/>
      <c r="I282" s="31"/>
      <c r="J282" s="31"/>
      <c r="K282" s="31"/>
      <c r="L282" s="31"/>
      <c r="M282" s="31"/>
      <c r="N282" s="31"/>
      <c r="O282" s="31"/>
      <c r="P282" s="31"/>
      <c r="Q282" s="31"/>
      <c r="R282" s="31"/>
    </row>
    <row r="283" spans="1:18" x14ac:dyDescent="0.2">
      <c r="A283" s="31" t="str">
        <f ca="1">IFERROR(__xludf.DUMMYFUNCTION("""COMPUTED_VALUE"""),"Isaiah Likely")</f>
        <v>Isaiah Likely</v>
      </c>
      <c r="B283" s="31"/>
      <c r="C283" s="31"/>
      <c r="D283" s="31"/>
      <c r="E283" s="31"/>
      <c r="F283" s="31"/>
      <c r="G283" s="31"/>
      <c r="H283" s="31"/>
      <c r="I283" s="31"/>
      <c r="J283" s="31"/>
      <c r="K283" s="31"/>
      <c r="L283" s="31"/>
      <c r="M283" s="31"/>
      <c r="N283" s="31"/>
      <c r="O283" s="31"/>
      <c r="P283" s="31"/>
      <c r="Q283" s="31"/>
      <c r="R283" s="31"/>
    </row>
    <row r="284" spans="1:18" x14ac:dyDescent="0.2">
      <c r="A284" s="31" t="str">
        <f ca="1">IFERROR(__xludf.DUMMYFUNCTION("""COMPUTED_VALUE"""),"Colby Parkinson")</f>
        <v>Colby Parkinson</v>
      </c>
      <c r="B284" s="31"/>
      <c r="C284" s="31"/>
      <c r="D284" s="31"/>
      <c r="E284" s="31"/>
      <c r="F284" s="31"/>
      <c r="G284" s="31"/>
      <c r="H284" s="31"/>
      <c r="I284" s="31"/>
      <c r="J284" s="31"/>
      <c r="K284" s="31"/>
      <c r="L284" s="31"/>
      <c r="M284" s="31"/>
      <c r="N284" s="31"/>
      <c r="O284" s="31"/>
      <c r="P284" s="31"/>
      <c r="Q284" s="31"/>
      <c r="R284" s="31"/>
    </row>
    <row r="285" spans="1:18" x14ac:dyDescent="0.2">
      <c r="A285" s="31" t="str">
        <f ca="1">IFERROR(__xludf.DUMMYFUNCTION("""COMPUTED_VALUE"""),"Giovanni Ricci")</f>
        <v>Giovanni Ricci</v>
      </c>
      <c r="B285" s="31"/>
      <c r="C285" s="31"/>
      <c r="D285" s="31"/>
      <c r="E285" s="31"/>
      <c r="F285" s="31"/>
      <c r="G285" s="31"/>
      <c r="H285" s="31"/>
      <c r="I285" s="31"/>
      <c r="J285" s="31"/>
      <c r="K285" s="31"/>
      <c r="L285" s="31"/>
      <c r="M285" s="31"/>
      <c r="N285" s="31"/>
      <c r="O285" s="31"/>
      <c r="P285" s="31"/>
      <c r="Q285" s="31"/>
      <c r="R285" s="31"/>
    </row>
    <row r="286" spans="1:18" x14ac:dyDescent="0.2">
      <c r="A286" s="31" t="str">
        <f ca="1">IFERROR(__xludf.DUMMYFUNCTION("""COMPUTED_VALUE"""),"N/A")</f>
        <v>N/A</v>
      </c>
      <c r="B286" s="31"/>
      <c r="C286" s="31"/>
      <c r="D286" s="31"/>
      <c r="E286" s="31"/>
      <c r="F286" s="31"/>
      <c r="G286" s="31"/>
      <c r="H286" s="31"/>
      <c r="I286" s="31"/>
      <c r="J286" s="31"/>
      <c r="K286" s="31"/>
      <c r="L286" s="31"/>
      <c r="M286" s="31"/>
      <c r="N286" s="31"/>
      <c r="O286" s="31"/>
      <c r="P286" s="31"/>
      <c r="Q286" s="31"/>
      <c r="R286" s="31"/>
    </row>
    <row r="287" spans="1:18" x14ac:dyDescent="0.2">
      <c r="A28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U550"/>
  <sheetViews>
    <sheetView workbookViewId="0">
      <pane ySplit="1" topLeftCell="A2" activePane="bottomLeft" state="frozen"/>
      <selection pane="bottomLeft" activeCell="B3" sqref="B3"/>
    </sheetView>
  </sheetViews>
  <sheetFormatPr defaultColWidth="12.5703125" defaultRowHeight="15.75" customHeight="1" x14ac:dyDescent="0.2"/>
  <cols>
    <col min="1" max="11" width="5.5703125" customWidth="1"/>
    <col min="12" max="18" width="5.42578125" customWidth="1"/>
    <col min="19" max="19" width="4.42578125" customWidth="1"/>
    <col min="20" max="20" width="20.85546875" customWidth="1"/>
    <col min="21" max="21" width="6.85546875" customWidth="1"/>
  </cols>
  <sheetData>
    <row r="1" spans="1:21" ht="12.75" x14ac:dyDescent="0.2">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t="s">
        <v>840</v>
      </c>
      <c r="T1" s="5" t="s">
        <v>841</v>
      </c>
      <c r="U1" s="5" t="s">
        <v>5</v>
      </c>
    </row>
    <row r="2" spans="1:21" ht="12.75" hidden="1" x14ac:dyDescent="0.2">
      <c r="A2" s="5" t="s">
        <v>4</v>
      </c>
      <c r="B2" s="5" t="s">
        <v>4</v>
      </c>
      <c r="C2" s="5" t="s">
        <v>4</v>
      </c>
      <c r="D2" s="5" t="s">
        <v>4</v>
      </c>
      <c r="E2" s="5" t="s">
        <v>4</v>
      </c>
      <c r="F2" s="5" t="s">
        <v>4</v>
      </c>
      <c r="G2" s="5" t="s">
        <v>4</v>
      </c>
      <c r="H2" s="5" t="s">
        <v>4</v>
      </c>
      <c r="I2" s="5" t="s">
        <v>4</v>
      </c>
      <c r="J2" s="5" t="s">
        <v>4</v>
      </c>
      <c r="K2" s="5" t="s">
        <v>4</v>
      </c>
      <c r="L2" s="5" t="s">
        <v>4</v>
      </c>
      <c r="M2" s="5" t="s">
        <v>4</v>
      </c>
      <c r="N2" s="5" t="s">
        <v>4</v>
      </c>
      <c r="O2" s="5" t="s">
        <v>4</v>
      </c>
      <c r="P2" s="5" t="s">
        <v>4</v>
      </c>
      <c r="Q2" s="5" t="s">
        <v>4</v>
      </c>
      <c r="R2" s="5" t="s">
        <v>4</v>
      </c>
      <c r="S2" s="5"/>
      <c r="T2" s="5"/>
      <c r="U2" s="32"/>
    </row>
    <row r="3" spans="1:21" ht="12.75" x14ac:dyDescent="0.2">
      <c r="A3" s="5" t="s">
        <v>16</v>
      </c>
      <c r="B3" s="5" t="s">
        <v>16</v>
      </c>
      <c r="C3" s="5" t="s">
        <v>16</v>
      </c>
      <c r="D3" s="5" t="s">
        <v>16</v>
      </c>
      <c r="E3" s="5" t="s">
        <v>16</v>
      </c>
      <c r="F3" s="5" t="s">
        <v>16</v>
      </c>
      <c r="G3" s="5" t="s">
        <v>16</v>
      </c>
      <c r="H3" s="5" t="s">
        <v>16</v>
      </c>
      <c r="I3" s="5" t="s">
        <v>16</v>
      </c>
      <c r="J3" s="5" t="s">
        <v>16</v>
      </c>
      <c r="K3" s="5" t="s">
        <v>16</v>
      </c>
      <c r="L3" s="5" t="s">
        <v>16</v>
      </c>
      <c r="M3" s="5" t="s">
        <v>16</v>
      </c>
      <c r="N3" s="5" t="s">
        <v>16</v>
      </c>
      <c r="O3" s="5" t="s">
        <v>16</v>
      </c>
      <c r="P3" s="5" t="s">
        <v>16</v>
      </c>
      <c r="Q3" s="5" t="s">
        <v>16</v>
      </c>
      <c r="R3" s="5" t="s">
        <v>16</v>
      </c>
      <c r="S3" s="5">
        <f t="shared" ref="S3:S257" si="0">1+COUNTBLANK(A3:R3)-COUNTBLANK(A$3:R$3)</f>
        <v>1</v>
      </c>
      <c r="T3" s="5" t="str">
        <f ca="1">IFERROR(__xludf.DUMMYFUNCTION("QUERY(transpose(A3:R3),""Select Col1 where Col1 is not null limit 1"",0)"),"Tua Tagovailoa")</f>
        <v>Tua Tagovailoa</v>
      </c>
      <c r="U3" s="32" t="e">
        <f t="shared" ref="U3:U257" ca="1" si="1">_xludf.IFNA(VLOOKUP($K3,INDIRECT("'W"&amp;$S3&amp;"'!$A$2:$T$500"),2,FALSE),0)</f>
        <v>#NAME?</v>
      </c>
    </row>
    <row r="4" spans="1:21" ht="12.75" x14ac:dyDescent="0.2">
      <c r="A4" s="5" t="s">
        <v>19</v>
      </c>
      <c r="B4" s="5" t="s">
        <v>19</v>
      </c>
      <c r="C4" s="5" t="s">
        <v>19</v>
      </c>
      <c r="D4" s="5" t="s">
        <v>19</v>
      </c>
      <c r="E4" s="5" t="s">
        <v>19</v>
      </c>
      <c r="F4" s="5" t="s">
        <v>19</v>
      </c>
      <c r="G4" s="5" t="s">
        <v>19</v>
      </c>
      <c r="H4" s="5" t="s">
        <v>19</v>
      </c>
      <c r="I4" s="5" t="s">
        <v>19</v>
      </c>
      <c r="J4" s="5" t="s">
        <v>19</v>
      </c>
      <c r="K4" s="5" t="s">
        <v>19</v>
      </c>
      <c r="L4" s="5" t="s">
        <v>19</v>
      </c>
      <c r="M4" s="5" t="s">
        <v>19</v>
      </c>
      <c r="N4" s="5" t="s">
        <v>19</v>
      </c>
      <c r="O4" s="5" t="s">
        <v>19</v>
      </c>
      <c r="P4" s="5" t="s">
        <v>19</v>
      </c>
      <c r="Q4" s="5" t="s">
        <v>19</v>
      </c>
      <c r="R4" s="5" t="s">
        <v>19</v>
      </c>
      <c r="S4" s="5">
        <f t="shared" si="0"/>
        <v>1</v>
      </c>
      <c r="T4" s="5" t="str">
        <f ca="1">IFERROR(__xludf.DUMMYFUNCTION("QUERY(transpose(A4:R4),""Select Col1 where Col1 is not null limit 1"",0)"),"Mac Jones")</f>
        <v>Mac Jones</v>
      </c>
      <c r="U4" s="32" t="e">
        <f t="shared" ca="1" si="1"/>
        <v>#NAME?</v>
      </c>
    </row>
    <row r="5" spans="1:21" ht="12.75" x14ac:dyDescent="0.2">
      <c r="A5" s="5" t="s">
        <v>21</v>
      </c>
      <c r="B5" s="5" t="s">
        <v>21</v>
      </c>
      <c r="C5" s="5" t="s">
        <v>21</v>
      </c>
      <c r="D5" s="5" t="s">
        <v>21</v>
      </c>
      <c r="E5" s="5" t="s">
        <v>21</v>
      </c>
      <c r="F5" s="5" t="s">
        <v>21</v>
      </c>
      <c r="G5" s="5" t="s">
        <v>21</v>
      </c>
      <c r="H5" s="5" t="s">
        <v>21</v>
      </c>
      <c r="I5" s="5" t="s">
        <v>21</v>
      </c>
      <c r="J5" s="5" t="s">
        <v>21</v>
      </c>
      <c r="K5" s="5" t="s">
        <v>21</v>
      </c>
      <c r="L5" s="5" t="s">
        <v>21</v>
      </c>
      <c r="M5" s="5" t="s">
        <v>21</v>
      </c>
      <c r="N5" s="5" t="s">
        <v>21</v>
      </c>
      <c r="O5" s="5" t="s">
        <v>21</v>
      </c>
      <c r="P5" s="5" t="s">
        <v>21</v>
      </c>
      <c r="Q5" s="5" t="s">
        <v>21</v>
      </c>
      <c r="R5" s="5" t="s">
        <v>21</v>
      </c>
      <c r="S5" s="5">
        <f t="shared" si="0"/>
        <v>1</v>
      </c>
      <c r="T5" s="5" t="str">
        <f ca="1">IFERROR(__xludf.DUMMYFUNCTION("QUERY(transpose(A5:R5),""Select Col1 where Col1 is not null limit 1"",0)"),"Jordan Love")</f>
        <v>Jordan Love</v>
      </c>
      <c r="U5" s="32" t="e">
        <f t="shared" ca="1" si="1"/>
        <v>#NAME?</v>
      </c>
    </row>
    <row r="6" spans="1:21" ht="12.75" x14ac:dyDescent="0.2">
      <c r="A6" s="5" t="s">
        <v>23</v>
      </c>
      <c r="B6" s="5" t="s">
        <v>23</v>
      </c>
      <c r="C6" s="5" t="s">
        <v>23</v>
      </c>
      <c r="D6" s="5" t="s">
        <v>23</v>
      </c>
      <c r="E6" s="5" t="s">
        <v>23</v>
      </c>
      <c r="F6" s="5" t="s">
        <v>23</v>
      </c>
      <c r="G6" s="5" t="s">
        <v>23</v>
      </c>
      <c r="H6" s="5" t="s">
        <v>23</v>
      </c>
      <c r="I6" s="5" t="s">
        <v>23</v>
      </c>
      <c r="J6" s="5" t="s">
        <v>23</v>
      </c>
      <c r="K6" s="5" t="s">
        <v>23</v>
      </c>
      <c r="L6" s="5" t="s">
        <v>23</v>
      </c>
      <c r="M6" s="5" t="s">
        <v>23</v>
      </c>
      <c r="N6" s="5" t="s">
        <v>23</v>
      </c>
      <c r="O6" s="5" t="s">
        <v>23</v>
      </c>
      <c r="P6" s="5" t="s">
        <v>23</v>
      </c>
      <c r="Q6" s="5" t="s">
        <v>23</v>
      </c>
      <c r="R6" s="5" t="s">
        <v>23</v>
      </c>
      <c r="S6" s="5">
        <f t="shared" si="0"/>
        <v>1</v>
      </c>
      <c r="T6" s="5" t="str">
        <f ca="1">IFERROR(__xludf.DUMMYFUNCTION("QUERY(transpose(A6:R6),""Select Col1 where Col1 is not null limit 1"",0)"),"Patrick Mahomes")</f>
        <v>Patrick Mahomes</v>
      </c>
      <c r="U6" s="32" t="e">
        <f t="shared" ca="1" si="1"/>
        <v>#NAME?</v>
      </c>
    </row>
    <row r="7" spans="1:21" ht="12.75" x14ac:dyDescent="0.2">
      <c r="A7" s="5" t="s">
        <v>25</v>
      </c>
      <c r="B7" s="5" t="s">
        <v>25</v>
      </c>
      <c r="C7" s="5" t="s">
        <v>25</v>
      </c>
      <c r="D7" s="5" t="s">
        <v>25</v>
      </c>
      <c r="E7" s="5" t="s">
        <v>25</v>
      </c>
      <c r="F7" s="5" t="s">
        <v>25</v>
      </c>
      <c r="G7" s="5" t="s">
        <v>25</v>
      </c>
      <c r="H7" s="5" t="s">
        <v>25</v>
      </c>
      <c r="I7" s="5" t="s">
        <v>25</v>
      </c>
      <c r="J7" s="5" t="s">
        <v>25</v>
      </c>
      <c r="K7" s="5" t="s">
        <v>25</v>
      </c>
      <c r="L7" s="5" t="s">
        <v>25</v>
      </c>
      <c r="M7" s="5" t="s">
        <v>25</v>
      </c>
      <c r="N7" s="5" t="s">
        <v>25</v>
      </c>
      <c r="O7" s="5" t="s">
        <v>25</v>
      </c>
      <c r="P7" s="5" t="s">
        <v>25</v>
      </c>
      <c r="Q7" s="5" t="s">
        <v>25</v>
      </c>
      <c r="R7" s="5" t="s">
        <v>25</v>
      </c>
      <c r="S7" s="5">
        <f t="shared" si="0"/>
        <v>1</v>
      </c>
      <c r="T7" s="5" t="str">
        <f ca="1">IFERROR(__xludf.DUMMYFUNCTION("QUERY(transpose(A7:R7),""Select Col1 where Col1 is not null limit 1"",0)"),"Justin Herbert")</f>
        <v>Justin Herbert</v>
      </c>
      <c r="U7" s="32" t="e">
        <f t="shared" ca="1" si="1"/>
        <v>#NAME?</v>
      </c>
    </row>
    <row r="8" spans="1:21" ht="12.75" x14ac:dyDescent="0.2">
      <c r="A8" s="5" t="s">
        <v>26</v>
      </c>
      <c r="B8" s="5" t="s">
        <v>26</v>
      </c>
      <c r="C8" s="5" t="s">
        <v>26</v>
      </c>
      <c r="D8" s="5" t="s">
        <v>26</v>
      </c>
      <c r="E8" s="5" t="s">
        <v>26</v>
      </c>
      <c r="F8" s="5" t="s">
        <v>26</v>
      </c>
      <c r="G8" s="5" t="s">
        <v>26</v>
      </c>
      <c r="H8" s="5" t="s">
        <v>26</v>
      </c>
      <c r="I8" s="5" t="s">
        <v>26</v>
      </c>
      <c r="J8" s="5" t="s">
        <v>26</v>
      </c>
      <c r="K8" s="5" t="s">
        <v>26</v>
      </c>
      <c r="L8" s="5" t="s">
        <v>26</v>
      </c>
      <c r="M8" s="5" t="s">
        <v>26</v>
      </c>
      <c r="N8" s="5" t="s">
        <v>26</v>
      </c>
      <c r="O8" s="5" t="s">
        <v>26</v>
      </c>
      <c r="P8" s="5" t="s">
        <v>26</v>
      </c>
      <c r="Q8" s="5" t="s">
        <v>26</v>
      </c>
      <c r="R8" s="5" t="s">
        <v>26</v>
      </c>
      <c r="S8" s="5">
        <f t="shared" si="0"/>
        <v>1</v>
      </c>
      <c r="T8" s="5" t="str">
        <f ca="1">IFERROR(__xludf.DUMMYFUNCTION("QUERY(transpose(A8:R8),""Select Col1 where Col1 is not null limit 1"",0)"),"Anthony Richardson")</f>
        <v>Anthony Richardson</v>
      </c>
      <c r="U8" s="32" t="e">
        <f t="shared" ca="1" si="1"/>
        <v>#NAME?</v>
      </c>
    </row>
    <row r="9" spans="1:21" ht="12.75" x14ac:dyDescent="0.2">
      <c r="A9" s="5" t="s">
        <v>28</v>
      </c>
      <c r="B9" s="5" t="s">
        <v>28</v>
      </c>
      <c r="C9" s="5" t="s">
        <v>28</v>
      </c>
      <c r="D9" s="5" t="s">
        <v>28</v>
      </c>
      <c r="E9" s="5" t="s">
        <v>28</v>
      </c>
      <c r="F9" s="5" t="s">
        <v>28</v>
      </c>
      <c r="G9" s="5" t="s">
        <v>28</v>
      </c>
      <c r="H9" s="5" t="s">
        <v>28</v>
      </c>
      <c r="I9" s="5" t="s">
        <v>28</v>
      </c>
      <c r="J9" s="5" t="s">
        <v>28</v>
      </c>
      <c r="K9" s="5" t="s">
        <v>28</v>
      </c>
      <c r="L9" s="5" t="s">
        <v>28</v>
      </c>
      <c r="M9" s="5" t="s">
        <v>28</v>
      </c>
      <c r="N9" s="5" t="s">
        <v>28</v>
      </c>
      <c r="O9" s="5" t="s">
        <v>28</v>
      </c>
      <c r="P9" s="5" t="s">
        <v>28</v>
      </c>
      <c r="Q9" s="5" t="s">
        <v>28</v>
      </c>
      <c r="R9" s="5" t="s">
        <v>28</v>
      </c>
      <c r="S9" s="5">
        <f t="shared" si="0"/>
        <v>1</v>
      </c>
      <c r="T9" s="5" t="str">
        <f ca="1">IFERROR(__xludf.DUMMYFUNCTION("QUERY(transpose(A9:R9),""Select Col1 where Col1 is not null limit 1"",0)"),"Deshaun Watson")</f>
        <v>Deshaun Watson</v>
      </c>
      <c r="U9" s="32" t="e">
        <f t="shared" ca="1" si="1"/>
        <v>#NAME?</v>
      </c>
    </row>
    <row r="10" spans="1:21" ht="12.75" x14ac:dyDescent="0.2">
      <c r="A10" s="5" t="s">
        <v>30</v>
      </c>
      <c r="B10" s="5" t="s">
        <v>30</v>
      </c>
      <c r="C10" s="5" t="s">
        <v>30</v>
      </c>
      <c r="D10" s="5" t="s">
        <v>30</v>
      </c>
      <c r="E10" s="5" t="s">
        <v>30</v>
      </c>
      <c r="F10" s="5" t="s">
        <v>30</v>
      </c>
      <c r="G10" s="5" t="s">
        <v>30</v>
      </c>
      <c r="H10" s="5" t="s">
        <v>30</v>
      </c>
      <c r="I10" s="5" t="s">
        <v>30</v>
      </c>
      <c r="J10" s="5" t="s">
        <v>30</v>
      </c>
      <c r="K10" s="5" t="s">
        <v>30</v>
      </c>
      <c r="L10" s="5" t="s">
        <v>30</v>
      </c>
      <c r="M10" s="5" t="s">
        <v>30</v>
      </c>
      <c r="N10" s="5" t="s">
        <v>30</v>
      </c>
      <c r="O10" s="5" t="s">
        <v>30</v>
      </c>
      <c r="P10" s="5" t="s">
        <v>30</v>
      </c>
      <c r="Q10" s="5" t="s">
        <v>30</v>
      </c>
      <c r="R10" s="5" t="s">
        <v>30</v>
      </c>
      <c r="S10" s="5">
        <f t="shared" si="0"/>
        <v>1</v>
      </c>
      <c r="T10" s="5" t="str">
        <f ca="1">IFERROR(__xludf.DUMMYFUNCTION("QUERY(transpose(A10:R10),""Select Col1 where Col1 is not null limit 1"",0)"),"Kirk Cousins")</f>
        <v>Kirk Cousins</v>
      </c>
      <c r="U10" s="32" t="e">
        <f t="shared" ca="1" si="1"/>
        <v>#NAME?</v>
      </c>
    </row>
    <row r="11" spans="1:21" ht="12.75" x14ac:dyDescent="0.2">
      <c r="A11" s="5" t="s">
        <v>32</v>
      </c>
      <c r="B11" s="5" t="s">
        <v>32</v>
      </c>
      <c r="C11" s="5" t="s">
        <v>32</v>
      </c>
      <c r="D11" s="5" t="s">
        <v>32</v>
      </c>
      <c r="E11" s="5" t="s">
        <v>32</v>
      </c>
      <c r="F11" s="5" t="s">
        <v>32</v>
      </c>
      <c r="G11" s="5" t="s">
        <v>32</v>
      </c>
      <c r="H11" s="5" t="s">
        <v>32</v>
      </c>
      <c r="I11" s="5" t="s">
        <v>32</v>
      </c>
      <c r="J11" s="5" t="s">
        <v>32</v>
      </c>
      <c r="K11" s="5" t="s">
        <v>32</v>
      </c>
      <c r="L11" s="5" t="s">
        <v>32</v>
      </c>
      <c r="M11" s="5" t="s">
        <v>32</v>
      </c>
      <c r="N11" s="5" t="s">
        <v>32</v>
      </c>
      <c r="O11" s="5" t="s">
        <v>32</v>
      </c>
      <c r="P11" s="5" t="s">
        <v>32</v>
      </c>
      <c r="Q11" s="5" t="s">
        <v>32</v>
      </c>
      <c r="R11" s="5" t="s">
        <v>32</v>
      </c>
      <c r="S11" s="5">
        <f t="shared" si="0"/>
        <v>1</v>
      </c>
      <c r="T11" s="5" t="str">
        <f ca="1">IFERROR(__xludf.DUMMYFUNCTION("QUERY(transpose(A11:R11),""Select Col1 where Col1 is not null limit 1"",0)"),"Trevor Lawrence")</f>
        <v>Trevor Lawrence</v>
      </c>
      <c r="U11" s="32" t="e">
        <f t="shared" ca="1" si="1"/>
        <v>#NAME?</v>
      </c>
    </row>
    <row r="12" spans="1:21" ht="12.75" x14ac:dyDescent="0.2">
      <c r="A12" s="5" t="s">
        <v>33</v>
      </c>
      <c r="B12" s="5" t="s">
        <v>33</v>
      </c>
      <c r="C12" s="5" t="s">
        <v>33</v>
      </c>
      <c r="D12" s="5" t="s">
        <v>33</v>
      </c>
      <c r="E12" s="5" t="s">
        <v>33</v>
      </c>
      <c r="F12" s="5" t="s">
        <v>33</v>
      </c>
      <c r="G12" s="5" t="s">
        <v>33</v>
      </c>
      <c r="H12" s="5" t="s">
        <v>33</v>
      </c>
      <c r="I12" s="5" t="s">
        <v>33</v>
      </c>
      <c r="J12" s="5" t="s">
        <v>33</v>
      </c>
      <c r="K12" s="5" t="s">
        <v>33</v>
      </c>
      <c r="L12" s="5" t="s">
        <v>33</v>
      </c>
      <c r="M12" s="5" t="s">
        <v>33</v>
      </c>
      <c r="N12" s="5" t="s">
        <v>33</v>
      </c>
      <c r="O12" s="5" t="s">
        <v>33</v>
      </c>
      <c r="P12" s="5" t="s">
        <v>33</v>
      </c>
      <c r="Q12" s="5" t="s">
        <v>33</v>
      </c>
      <c r="R12" s="5" t="s">
        <v>33</v>
      </c>
      <c r="S12" s="5">
        <f t="shared" si="0"/>
        <v>1</v>
      </c>
      <c r="T12" s="5" t="str">
        <f ca="1">IFERROR(__xludf.DUMMYFUNCTION("QUERY(transpose(A12:R12),""Select Col1 where Col1 is not null limit 1"",0)"),"Brock Purdy")</f>
        <v>Brock Purdy</v>
      </c>
      <c r="U12" s="32" t="e">
        <f t="shared" ca="1" si="1"/>
        <v>#NAME?</v>
      </c>
    </row>
    <row r="13" spans="1:21" ht="12.75" x14ac:dyDescent="0.2">
      <c r="A13" s="5" t="s">
        <v>35</v>
      </c>
      <c r="B13" s="5" t="s">
        <v>35</v>
      </c>
      <c r="C13" s="5" t="s">
        <v>35</v>
      </c>
      <c r="D13" s="5" t="s">
        <v>35</v>
      </c>
      <c r="E13" s="5" t="s">
        <v>35</v>
      </c>
      <c r="F13" s="5" t="s">
        <v>35</v>
      </c>
      <c r="G13" s="5" t="s">
        <v>35</v>
      </c>
      <c r="H13" s="5" t="s">
        <v>35</v>
      </c>
      <c r="I13" s="5" t="s">
        <v>35</v>
      </c>
      <c r="J13" s="5" t="s">
        <v>35</v>
      </c>
      <c r="K13" s="5" t="s">
        <v>35</v>
      </c>
      <c r="L13" s="5" t="s">
        <v>35</v>
      </c>
      <c r="M13" s="5" t="s">
        <v>35</v>
      </c>
      <c r="N13" s="5" t="s">
        <v>35</v>
      </c>
      <c r="O13" s="5" t="s">
        <v>35</v>
      </c>
      <c r="P13" s="5" t="s">
        <v>35</v>
      </c>
      <c r="Q13" s="5" t="s">
        <v>35</v>
      </c>
      <c r="R13" s="5" t="s">
        <v>35</v>
      </c>
      <c r="S13" s="5">
        <f t="shared" si="0"/>
        <v>1</v>
      </c>
      <c r="T13" s="5" t="str">
        <f ca="1">IFERROR(__xludf.DUMMYFUNCTION("QUERY(transpose(A13:R13),""Select Col1 where Col1 is not null limit 1"",0)"),"Jimmy Garoppolo")</f>
        <v>Jimmy Garoppolo</v>
      </c>
      <c r="U13" s="32" t="e">
        <f t="shared" ca="1" si="1"/>
        <v>#NAME?</v>
      </c>
    </row>
    <row r="14" spans="1:21" ht="12.75" x14ac:dyDescent="0.2">
      <c r="A14" s="5" t="s">
        <v>37</v>
      </c>
      <c r="B14" s="5" t="s">
        <v>37</v>
      </c>
      <c r="C14" s="5" t="s">
        <v>37</v>
      </c>
      <c r="D14" s="5" t="s">
        <v>37</v>
      </c>
      <c r="E14" s="5" t="s">
        <v>37</v>
      </c>
      <c r="F14" s="5" t="s">
        <v>37</v>
      </c>
      <c r="G14" s="5" t="s">
        <v>37</v>
      </c>
      <c r="H14" s="5" t="s">
        <v>37</v>
      </c>
      <c r="I14" s="5" t="s">
        <v>37</v>
      </c>
      <c r="J14" s="5" t="s">
        <v>37</v>
      </c>
      <c r="K14" s="5" t="s">
        <v>37</v>
      </c>
      <c r="L14" s="5" t="s">
        <v>37</v>
      </c>
      <c r="M14" s="5" t="s">
        <v>37</v>
      </c>
      <c r="N14" s="5" t="s">
        <v>37</v>
      </c>
      <c r="O14" s="5" t="s">
        <v>37</v>
      </c>
      <c r="P14" s="5" t="s">
        <v>37</v>
      </c>
      <c r="Q14" s="5" t="s">
        <v>37</v>
      </c>
      <c r="R14" s="5" t="s">
        <v>37</v>
      </c>
      <c r="S14" s="5">
        <f t="shared" si="0"/>
        <v>1</v>
      </c>
      <c r="T14" s="5" t="str">
        <f ca="1">IFERROR(__xludf.DUMMYFUNCTION("QUERY(transpose(A14:R14),""Select Col1 where Col1 is not null limit 1"",0)"),"Baker Mayfield")</f>
        <v>Baker Mayfield</v>
      </c>
      <c r="U14" s="32" t="e">
        <f t="shared" ca="1" si="1"/>
        <v>#NAME?</v>
      </c>
    </row>
    <row r="15" spans="1:21" ht="12.75" x14ac:dyDescent="0.2">
      <c r="A15" s="5" t="s">
        <v>38</v>
      </c>
      <c r="B15" s="5" t="s">
        <v>38</v>
      </c>
      <c r="C15" s="5" t="s">
        <v>38</v>
      </c>
      <c r="D15" s="5" t="s">
        <v>38</v>
      </c>
      <c r="E15" s="5" t="s">
        <v>38</v>
      </c>
      <c r="F15" s="5" t="s">
        <v>38</v>
      </c>
      <c r="G15" s="5" t="s">
        <v>38</v>
      </c>
      <c r="H15" s="5" t="s">
        <v>38</v>
      </c>
      <c r="I15" s="5" t="s">
        <v>38</v>
      </c>
      <c r="J15" s="5" t="s">
        <v>38</v>
      </c>
      <c r="K15" s="5" t="s">
        <v>38</v>
      </c>
      <c r="L15" s="5" t="s">
        <v>38</v>
      </c>
      <c r="M15" s="5" t="s">
        <v>38</v>
      </c>
      <c r="N15" s="5" t="s">
        <v>38</v>
      </c>
      <c r="O15" s="5" t="s">
        <v>38</v>
      </c>
      <c r="P15" s="5" t="s">
        <v>38</v>
      </c>
      <c r="Q15" s="5" t="s">
        <v>38</v>
      </c>
      <c r="R15" s="5" t="s">
        <v>38</v>
      </c>
      <c r="S15" s="5">
        <f t="shared" si="0"/>
        <v>1</v>
      </c>
      <c r="T15" s="5" t="str">
        <f ca="1">IFERROR(__xludf.DUMMYFUNCTION("QUERY(transpose(A15:R15),""Select Col1 where Col1 is not null limit 1"",0)"),"Russell Wilson")</f>
        <v>Russell Wilson</v>
      </c>
      <c r="U15" s="32" t="e">
        <f t="shared" ca="1" si="1"/>
        <v>#NAME?</v>
      </c>
    </row>
    <row r="16" spans="1:21" ht="12.75" x14ac:dyDescent="0.2">
      <c r="A16" s="5" t="s">
        <v>39</v>
      </c>
      <c r="B16" s="5" t="s">
        <v>39</v>
      </c>
      <c r="C16" s="5" t="s">
        <v>39</v>
      </c>
      <c r="D16" s="5" t="s">
        <v>39</v>
      </c>
      <c r="E16" s="5" t="s">
        <v>39</v>
      </c>
      <c r="F16" s="5" t="s">
        <v>39</v>
      </c>
      <c r="G16" s="5" t="s">
        <v>39</v>
      </c>
      <c r="H16" s="5" t="s">
        <v>39</v>
      </c>
      <c r="I16" s="5" t="s">
        <v>39</v>
      </c>
      <c r="J16" s="5" t="s">
        <v>39</v>
      </c>
      <c r="K16" s="5" t="s">
        <v>39</v>
      </c>
      <c r="L16" s="5" t="s">
        <v>39</v>
      </c>
      <c r="M16" s="5" t="s">
        <v>39</v>
      </c>
      <c r="N16" s="5" t="s">
        <v>39</v>
      </c>
      <c r="O16" s="5" t="s">
        <v>39</v>
      </c>
      <c r="P16" s="5" t="s">
        <v>39</v>
      </c>
      <c r="Q16" s="5" t="s">
        <v>39</v>
      </c>
      <c r="R16" s="5" t="s">
        <v>39</v>
      </c>
      <c r="S16" s="5">
        <f t="shared" si="0"/>
        <v>1</v>
      </c>
      <c r="T16" s="5" t="str">
        <f ca="1">IFERROR(__xludf.DUMMYFUNCTION("QUERY(transpose(A16:R16),""Select Col1 where Col1 is not null limit 1"",0)"),"Sam Howell")</f>
        <v>Sam Howell</v>
      </c>
      <c r="U16" s="32" t="e">
        <f t="shared" ca="1" si="1"/>
        <v>#NAME?</v>
      </c>
    </row>
    <row r="17" spans="1:21" ht="12.75" x14ac:dyDescent="0.2">
      <c r="A17" s="5" t="s">
        <v>41</v>
      </c>
      <c r="B17" s="5" t="s">
        <v>41</v>
      </c>
      <c r="C17" s="5" t="s">
        <v>41</v>
      </c>
      <c r="D17" s="5" t="s">
        <v>41</v>
      </c>
      <c r="E17" s="5" t="s">
        <v>41</v>
      </c>
      <c r="F17" s="5" t="s">
        <v>41</v>
      </c>
      <c r="G17" s="5" t="s">
        <v>41</v>
      </c>
      <c r="H17" s="5" t="s">
        <v>41</v>
      </c>
      <c r="I17" s="5" t="s">
        <v>41</v>
      </c>
      <c r="J17" s="5" t="s">
        <v>41</v>
      </c>
      <c r="K17" s="5" t="s">
        <v>41</v>
      </c>
      <c r="L17" s="5" t="s">
        <v>41</v>
      </c>
      <c r="M17" s="5" t="s">
        <v>41</v>
      </c>
      <c r="N17" s="5" t="s">
        <v>41</v>
      </c>
      <c r="O17" s="5" t="s">
        <v>41</v>
      </c>
      <c r="P17" s="5" t="s">
        <v>41</v>
      </c>
      <c r="Q17" s="5" t="s">
        <v>41</v>
      </c>
      <c r="R17" s="5" t="s">
        <v>41</v>
      </c>
      <c r="S17" s="5">
        <f t="shared" si="0"/>
        <v>1</v>
      </c>
      <c r="T17" s="5" t="str">
        <f ca="1">IFERROR(__xludf.DUMMYFUNCTION("QUERY(transpose(A17:R17),""Select Col1 where Col1 is not null limit 1"",0)"),"Derek Carr")</f>
        <v>Derek Carr</v>
      </c>
      <c r="U17" s="32" t="e">
        <f t="shared" ca="1" si="1"/>
        <v>#NAME?</v>
      </c>
    </row>
    <row r="18" spans="1:21" ht="12.75" x14ac:dyDescent="0.2">
      <c r="A18" s="5" t="s">
        <v>43</v>
      </c>
      <c r="B18" s="5" t="s">
        <v>43</v>
      </c>
      <c r="C18" s="5" t="s">
        <v>43</v>
      </c>
      <c r="D18" s="5" t="s">
        <v>43</v>
      </c>
      <c r="E18" s="5" t="s">
        <v>43</v>
      </c>
      <c r="F18" s="5" t="s">
        <v>43</v>
      </c>
      <c r="G18" s="5" t="s">
        <v>43</v>
      </c>
      <c r="H18" s="5" t="s">
        <v>43</v>
      </c>
      <c r="I18" s="5" t="s">
        <v>43</v>
      </c>
      <c r="J18" s="5" t="s">
        <v>43</v>
      </c>
      <c r="K18" s="5" t="s">
        <v>43</v>
      </c>
      <c r="L18" s="5" t="s">
        <v>43</v>
      </c>
      <c r="M18" s="5" t="s">
        <v>43</v>
      </c>
      <c r="N18" s="5" t="s">
        <v>43</v>
      </c>
      <c r="O18" s="5" t="s">
        <v>43</v>
      </c>
      <c r="P18" s="5" t="s">
        <v>43</v>
      </c>
      <c r="Q18" s="5" t="s">
        <v>43</v>
      </c>
      <c r="R18" s="5" t="s">
        <v>43</v>
      </c>
      <c r="S18" s="5">
        <f t="shared" si="0"/>
        <v>1</v>
      </c>
      <c r="T18" s="5" t="str">
        <f ca="1">IFERROR(__xludf.DUMMYFUNCTION("QUERY(transpose(A18:R18),""Select Col1 where Col1 is not null limit 1"",0)"),"Justin Fields")</f>
        <v>Justin Fields</v>
      </c>
      <c r="U18" s="32" t="e">
        <f t="shared" ca="1" si="1"/>
        <v>#NAME?</v>
      </c>
    </row>
    <row r="19" spans="1:21" ht="12.75" x14ac:dyDescent="0.2">
      <c r="A19" s="5" t="s">
        <v>44</v>
      </c>
      <c r="B19" s="5" t="s">
        <v>44</v>
      </c>
      <c r="C19" s="5" t="s">
        <v>44</v>
      </c>
      <c r="D19" s="5" t="s">
        <v>44</v>
      </c>
      <c r="E19" s="5" t="s">
        <v>44</v>
      </c>
      <c r="F19" s="5" t="s">
        <v>44</v>
      </c>
      <c r="G19" s="5" t="s">
        <v>44</v>
      </c>
      <c r="H19" s="5" t="s">
        <v>44</v>
      </c>
      <c r="I19" s="5" t="s">
        <v>44</v>
      </c>
      <c r="J19" s="5" t="s">
        <v>44</v>
      </c>
      <c r="K19" s="5" t="s">
        <v>44</v>
      </c>
      <c r="L19" s="5" t="s">
        <v>44</v>
      </c>
      <c r="M19" s="5" t="s">
        <v>44</v>
      </c>
      <c r="N19" s="5" t="s">
        <v>44</v>
      </c>
      <c r="O19" s="5" t="s">
        <v>44</v>
      </c>
      <c r="P19" s="5" t="s">
        <v>44</v>
      </c>
      <c r="Q19" s="5" t="s">
        <v>44</v>
      </c>
      <c r="R19" s="5" t="s">
        <v>44</v>
      </c>
      <c r="S19" s="5">
        <f t="shared" si="0"/>
        <v>1</v>
      </c>
      <c r="T19" s="5" t="str">
        <f ca="1">IFERROR(__xludf.DUMMYFUNCTION("QUERY(transpose(A19:R19),""Select Col1 where Col1 is not null limit 1"",0)"),"Jared Goff")</f>
        <v>Jared Goff</v>
      </c>
      <c r="U19" s="32" t="e">
        <f t="shared" ca="1" si="1"/>
        <v>#NAME?</v>
      </c>
    </row>
    <row r="20" spans="1:21" ht="12.75" x14ac:dyDescent="0.2">
      <c r="A20" s="5" t="s">
        <v>45</v>
      </c>
      <c r="B20" s="5" t="s">
        <v>45</v>
      </c>
      <c r="C20" s="5" t="s">
        <v>45</v>
      </c>
      <c r="D20" s="5" t="s">
        <v>45</v>
      </c>
      <c r="E20" s="5" t="s">
        <v>45</v>
      </c>
      <c r="F20" s="5" t="s">
        <v>45</v>
      </c>
      <c r="G20" s="5" t="s">
        <v>45</v>
      </c>
      <c r="H20" s="5" t="s">
        <v>45</v>
      </c>
      <c r="I20" s="5" t="s">
        <v>45</v>
      </c>
      <c r="J20" s="5" t="s">
        <v>45</v>
      </c>
      <c r="K20" s="5" t="s">
        <v>45</v>
      </c>
      <c r="L20" s="5" t="s">
        <v>45</v>
      </c>
      <c r="M20" s="5" t="s">
        <v>45</v>
      </c>
      <c r="N20" s="5" t="s">
        <v>45</v>
      </c>
      <c r="O20" s="5" t="s">
        <v>45</v>
      </c>
      <c r="P20" s="5" t="s">
        <v>45</v>
      </c>
      <c r="Q20" s="5" t="s">
        <v>45</v>
      </c>
      <c r="R20" s="5" t="s">
        <v>45</v>
      </c>
      <c r="S20" s="5">
        <f t="shared" si="0"/>
        <v>1</v>
      </c>
      <c r="T20" s="5" t="str">
        <f ca="1">IFERROR(__xludf.DUMMYFUNCTION("QUERY(transpose(A20:R20),""Select Col1 where Col1 is not null limit 1"",0)"),"Jalen Hurts")</f>
        <v>Jalen Hurts</v>
      </c>
      <c r="U20" s="32" t="e">
        <f t="shared" ca="1" si="1"/>
        <v>#NAME?</v>
      </c>
    </row>
    <row r="21" spans="1:21" ht="12.75" x14ac:dyDescent="0.2">
      <c r="A21" s="5" t="s">
        <v>46</v>
      </c>
      <c r="B21" s="5" t="s">
        <v>46</v>
      </c>
      <c r="C21" s="5" t="s">
        <v>46</v>
      </c>
      <c r="D21" s="5" t="s">
        <v>46</v>
      </c>
      <c r="E21" s="5" t="s">
        <v>46</v>
      </c>
      <c r="F21" s="5" t="s">
        <v>46</v>
      </c>
      <c r="G21" s="5" t="s">
        <v>46</v>
      </c>
      <c r="H21" s="5" t="s">
        <v>46</v>
      </c>
      <c r="I21" s="5" t="s">
        <v>46</v>
      </c>
      <c r="J21" s="5" t="s">
        <v>46</v>
      </c>
      <c r="K21" s="5" t="s">
        <v>46</v>
      </c>
      <c r="L21" s="5" t="s">
        <v>46</v>
      </c>
      <c r="M21" s="5" t="s">
        <v>46</v>
      </c>
      <c r="N21" s="5" t="s">
        <v>46</v>
      </c>
      <c r="O21" s="5" t="s">
        <v>46</v>
      </c>
      <c r="P21" s="5" t="s">
        <v>46</v>
      </c>
      <c r="Q21" s="5" t="s">
        <v>46</v>
      </c>
      <c r="R21" s="5" t="s">
        <v>46</v>
      </c>
      <c r="S21" s="5">
        <f t="shared" si="0"/>
        <v>1</v>
      </c>
      <c r="T21" s="5" t="str">
        <f ca="1">IFERROR(__xludf.DUMMYFUNCTION("QUERY(transpose(A21:R21),""Select Col1 where Col1 is not null limit 1"",0)"),"Matthew Stafford")</f>
        <v>Matthew Stafford</v>
      </c>
      <c r="U21" s="32" t="e">
        <f t="shared" ca="1" si="1"/>
        <v>#NAME?</v>
      </c>
    </row>
    <row r="22" spans="1:21" ht="12.75" x14ac:dyDescent="0.2">
      <c r="A22" s="5" t="s">
        <v>48</v>
      </c>
      <c r="B22" s="5" t="s">
        <v>48</v>
      </c>
      <c r="C22" s="5" t="s">
        <v>48</v>
      </c>
      <c r="D22" s="5" t="s">
        <v>48</v>
      </c>
      <c r="E22" s="5" t="s">
        <v>48</v>
      </c>
      <c r="F22" s="5" t="s">
        <v>48</v>
      </c>
      <c r="G22" s="5" t="s">
        <v>48</v>
      </c>
      <c r="H22" s="5" t="s">
        <v>48</v>
      </c>
      <c r="I22" s="5" t="s">
        <v>48</v>
      </c>
      <c r="J22" s="5" t="s">
        <v>48</v>
      </c>
      <c r="K22" s="5" t="s">
        <v>48</v>
      </c>
      <c r="L22" s="5" t="s">
        <v>48</v>
      </c>
      <c r="M22" s="5" t="s">
        <v>48</v>
      </c>
      <c r="N22" s="5" t="s">
        <v>48</v>
      </c>
      <c r="O22" s="5" t="s">
        <v>48</v>
      </c>
      <c r="P22" s="5" t="s">
        <v>48</v>
      </c>
      <c r="Q22" s="5" t="s">
        <v>48</v>
      </c>
      <c r="R22" s="5" t="s">
        <v>48</v>
      </c>
      <c r="S22" s="5">
        <f t="shared" si="0"/>
        <v>1</v>
      </c>
      <c r="T22" s="5" t="str">
        <f ca="1">IFERROR(__xludf.DUMMYFUNCTION("QUERY(transpose(A22:R22),""Select Col1 where Col1 is not null limit 1"",0)"),"Josh Allen")</f>
        <v>Josh Allen</v>
      </c>
      <c r="U22" s="32" t="e">
        <f t="shared" ca="1" si="1"/>
        <v>#NAME?</v>
      </c>
    </row>
    <row r="23" spans="1:21" ht="12.75" x14ac:dyDescent="0.2">
      <c r="A23" s="5" t="s">
        <v>50</v>
      </c>
      <c r="B23" s="5" t="s">
        <v>50</v>
      </c>
      <c r="C23" s="5" t="s">
        <v>50</v>
      </c>
      <c r="D23" s="5" t="s">
        <v>50</v>
      </c>
      <c r="E23" s="5" t="s">
        <v>50</v>
      </c>
      <c r="F23" s="5" t="s">
        <v>50</v>
      </c>
      <c r="G23" s="5" t="s">
        <v>50</v>
      </c>
      <c r="H23" s="5" t="s">
        <v>50</v>
      </c>
      <c r="I23" s="5" t="s">
        <v>50</v>
      </c>
      <c r="J23" s="5" t="s">
        <v>50</v>
      </c>
      <c r="K23" s="5" t="s">
        <v>50</v>
      </c>
      <c r="L23" s="5" t="s">
        <v>50</v>
      </c>
      <c r="M23" s="5" t="s">
        <v>50</v>
      </c>
      <c r="N23" s="5" t="s">
        <v>50</v>
      </c>
      <c r="O23" s="5" t="s">
        <v>50</v>
      </c>
      <c r="P23" s="5" t="s">
        <v>50</v>
      </c>
      <c r="Q23" s="5" t="s">
        <v>50</v>
      </c>
      <c r="R23" s="5" t="s">
        <v>50</v>
      </c>
      <c r="S23" s="5">
        <f t="shared" si="0"/>
        <v>1</v>
      </c>
      <c r="T23" s="5" t="str">
        <f ca="1">IFERROR(__xludf.DUMMYFUNCTION("QUERY(transpose(A23:R23),""Select Col1 where Col1 is not null limit 1"",0)"),"Kenny Pickett")</f>
        <v>Kenny Pickett</v>
      </c>
      <c r="U23" s="32" t="e">
        <f t="shared" ca="1" si="1"/>
        <v>#NAME?</v>
      </c>
    </row>
    <row r="24" spans="1:21" ht="12.75" x14ac:dyDescent="0.2">
      <c r="A24" s="5" t="s">
        <v>51</v>
      </c>
      <c r="B24" s="5" t="s">
        <v>51</v>
      </c>
      <c r="C24" s="5" t="s">
        <v>51</v>
      </c>
      <c r="D24" s="5" t="s">
        <v>51</v>
      </c>
      <c r="E24" s="5" t="s">
        <v>51</v>
      </c>
      <c r="F24" s="5" t="s">
        <v>51</v>
      </c>
      <c r="G24" s="5" t="s">
        <v>51</v>
      </c>
      <c r="H24" s="5" t="s">
        <v>51</v>
      </c>
      <c r="I24" s="5" t="s">
        <v>51</v>
      </c>
      <c r="J24" s="5" t="s">
        <v>51</v>
      </c>
      <c r="K24" s="5" t="s">
        <v>51</v>
      </c>
      <c r="L24" s="5" t="s">
        <v>51</v>
      </c>
      <c r="M24" s="5" t="s">
        <v>51</v>
      </c>
      <c r="N24" s="5" t="s">
        <v>51</v>
      </c>
      <c r="O24" s="5" t="s">
        <v>51</v>
      </c>
      <c r="P24" s="5" t="s">
        <v>51</v>
      </c>
      <c r="Q24" s="5" t="s">
        <v>51</v>
      </c>
      <c r="R24" s="5" t="s">
        <v>51</v>
      </c>
      <c r="S24" s="5">
        <f t="shared" si="0"/>
        <v>1</v>
      </c>
      <c r="T24" s="5" t="str">
        <f ca="1">IFERROR(__xludf.DUMMYFUNCTION("QUERY(transpose(A24:R24),""Select Col1 where Col1 is not null limit 1"",0)"),"Desmond Ridder")</f>
        <v>Desmond Ridder</v>
      </c>
      <c r="U24" s="32" t="e">
        <f t="shared" ca="1" si="1"/>
        <v>#NAME?</v>
      </c>
    </row>
    <row r="25" spans="1:21" ht="12.75" x14ac:dyDescent="0.2">
      <c r="A25" s="5" t="s">
        <v>53</v>
      </c>
      <c r="B25" s="5" t="s">
        <v>53</v>
      </c>
      <c r="C25" s="5" t="s">
        <v>53</v>
      </c>
      <c r="D25" s="5" t="s">
        <v>53</v>
      </c>
      <c r="E25" s="5" t="s">
        <v>53</v>
      </c>
      <c r="F25" s="5" t="s">
        <v>53</v>
      </c>
      <c r="G25" s="5" t="s">
        <v>53</v>
      </c>
      <c r="H25" s="5" t="s">
        <v>53</v>
      </c>
      <c r="I25" s="5" t="s">
        <v>53</v>
      </c>
      <c r="J25" s="5" t="s">
        <v>53</v>
      </c>
      <c r="K25" s="5" t="s">
        <v>53</v>
      </c>
      <c r="L25" s="5" t="s">
        <v>53</v>
      </c>
      <c r="M25" s="5" t="s">
        <v>53</v>
      </c>
      <c r="N25" s="5" t="s">
        <v>53</v>
      </c>
      <c r="O25" s="5" t="s">
        <v>53</v>
      </c>
      <c r="P25" s="5" t="s">
        <v>53</v>
      </c>
      <c r="Q25" s="5" t="s">
        <v>53</v>
      </c>
      <c r="R25" s="5" t="s">
        <v>53</v>
      </c>
      <c r="S25" s="5">
        <f t="shared" si="0"/>
        <v>1</v>
      </c>
      <c r="T25" s="5" t="str">
        <f ca="1">IFERROR(__xludf.DUMMYFUNCTION("QUERY(transpose(A25:R25),""Select Col1 where Col1 is not null limit 1"",0)"),"C.J. Stroud")</f>
        <v>C.J. Stroud</v>
      </c>
      <c r="U25" s="32" t="e">
        <f t="shared" ca="1" si="1"/>
        <v>#NAME?</v>
      </c>
    </row>
    <row r="26" spans="1:21" ht="12.75" x14ac:dyDescent="0.2">
      <c r="A26" s="5" t="s">
        <v>55</v>
      </c>
      <c r="B26" s="5" t="s">
        <v>55</v>
      </c>
      <c r="C26" s="5" t="s">
        <v>55</v>
      </c>
      <c r="D26" s="5" t="s">
        <v>55</v>
      </c>
      <c r="E26" s="5" t="s">
        <v>55</v>
      </c>
      <c r="F26" s="5" t="s">
        <v>55</v>
      </c>
      <c r="G26" s="5" t="s">
        <v>55</v>
      </c>
      <c r="H26" s="5" t="s">
        <v>55</v>
      </c>
      <c r="I26" s="5" t="s">
        <v>55</v>
      </c>
      <c r="J26" s="5" t="s">
        <v>55</v>
      </c>
      <c r="K26" s="5" t="s">
        <v>55</v>
      </c>
      <c r="L26" s="5" t="s">
        <v>55</v>
      </c>
      <c r="M26" s="5" t="s">
        <v>55</v>
      </c>
      <c r="N26" s="5" t="s">
        <v>55</v>
      </c>
      <c r="O26" s="5" t="s">
        <v>55</v>
      </c>
      <c r="P26" s="5" t="s">
        <v>55</v>
      </c>
      <c r="Q26" s="5" t="s">
        <v>55</v>
      </c>
      <c r="R26" s="5" t="s">
        <v>55</v>
      </c>
      <c r="S26" s="5">
        <f t="shared" si="0"/>
        <v>1</v>
      </c>
      <c r="T26" s="5" t="str">
        <f ca="1">IFERROR(__xludf.DUMMYFUNCTION("QUERY(transpose(A26:R26),""Select Col1 where Col1 is not null limit 1"",0)"),"Geno Smith")</f>
        <v>Geno Smith</v>
      </c>
      <c r="U26" s="32" t="e">
        <f t="shared" ca="1" si="1"/>
        <v>#NAME?</v>
      </c>
    </row>
    <row r="27" spans="1:21" ht="12.75" x14ac:dyDescent="0.2">
      <c r="A27" s="5" t="s">
        <v>56</v>
      </c>
      <c r="B27" s="5" t="s">
        <v>56</v>
      </c>
      <c r="C27" s="5" t="s">
        <v>56</v>
      </c>
      <c r="D27" s="5" t="s">
        <v>56</v>
      </c>
      <c r="E27" s="5" t="s">
        <v>56</v>
      </c>
      <c r="F27" s="5" t="s">
        <v>56</v>
      </c>
      <c r="G27" s="5" t="s">
        <v>56</v>
      </c>
      <c r="H27" s="5" t="s">
        <v>56</v>
      </c>
      <c r="I27" s="5" t="s">
        <v>56</v>
      </c>
      <c r="J27" s="5" t="s">
        <v>56</v>
      </c>
      <c r="K27" s="5" t="s">
        <v>56</v>
      </c>
      <c r="L27" s="5" t="s">
        <v>56</v>
      </c>
      <c r="M27" s="5" t="s">
        <v>56</v>
      </c>
      <c r="N27" s="5" t="s">
        <v>56</v>
      </c>
      <c r="O27" s="5" t="s">
        <v>56</v>
      </c>
      <c r="P27" s="5" t="s">
        <v>56</v>
      </c>
      <c r="Q27" s="5" t="s">
        <v>56</v>
      </c>
      <c r="R27" s="5" t="s">
        <v>56</v>
      </c>
      <c r="S27" s="5">
        <f t="shared" si="0"/>
        <v>1</v>
      </c>
      <c r="T27" s="5" t="str">
        <f ca="1">IFERROR(__xludf.DUMMYFUNCTION("QUERY(transpose(A27:R27),""Select Col1 where Col1 is not null limit 1"",0)"),"Zach Wilson")</f>
        <v>Zach Wilson</v>
      </c>
      <c r="U27" s="32" t="e">
        <f t="shared" ca="1" si="1"/>
        <v>#NAME?</v>
      </c>
    </row>
    <row r="28" spans="1:21" ht="12.75" x14ac:dyDescent="0.2">
      <c r="A28" s="5" t="s">
        <v>57</v>
      </c>
      <c r="B28" s="5" t="s">
        <v>57</v>
      </c>
      <c r="C28" s="5" t="s">
        <v>57</v>
      </c>
      <c r="D28" s="5" t="s">
        <v>57</v>
      </c>
      <c r="E28" s="5" t="s">
        <v>57</v>
      </c>
      <c r="F28" s="5" t="s">
        <v>57</v>
      </c>
      <c r="G28" s="5" t="s">
        <v>57</v>
      </c>
      <c r="H28" s="5" t="s">
        <v>57</v>
      </c>
      <c r="I28" s="5" t="s">
        <v>57</v>
      </c>
      <c r="J28" s="5" t="s">
        <v>57</v>
      </c>
      <c r="K28" s="5" t="s">
        <v>57</v>
      </c>
      <c r="L28" s="5" t="s">
        <v>57</v>
      </c>
      <c r="M28" s="5" t="s">
        <v>57</v>
      </c>
      <c r="N28" s="5" t="s">
        <v>57</v>
      </c>
      <c r="O28" s="5" t="s">
        <v>57</v>
      </c>
      <c r="P28" s="5" t="s">
        <v>57</v>
      </c>
      <c r="Q28" s="5" t="s">
        <v>57</v>
      </c>
      <c r="R28" s="5" t="s">
        <v>57</v>
      </c>
      <c r="S28" s="5">
        <f t="shared" si="0"/>
        <v>1</v>
      </c>
      <c r="T28" s="5" t="str">
        <f ca="1">IFERROR(__xludf.DUMMYFUNCTION("QUERY(transpose(A28:R28),""Select Col1 where Col1 is not null limit 1"",0)"),"Bryce Young")</f>
        <v>Bryce Young</v>
      </c>
      <c r="U28" s="32" t="e">
        <f t="shared" ca="1" si="1"/>
        <v>#NAME?</v>
      </c>
    </row>
    <row r="29" spans="1:21" ht="12.75" x14ac:dyDescent="0.2">
      <c r="A29" s="5" t="s">
        <v>58</v>
      </c>
      <c r="B29" s="5" t="s">
        <v>58</v>
      </c>
      <c r="C29" s="5" t="s">
        <v>58</v>
      </c>
      <c r="D29" s="5" t="s">
        <v>58</v>
      </c>
      <c r="E29" s="5" t="s">
        <v>58</v>
      </c>
      <c r="F29" s="5" t="s">
        <v>58</v>
      </c>
      <c r="G29" s="5" t="s">
        <v>58</v>
      </c>
      <c r="H29" s="5" t="s">
        <v>58</v>
      </c>
      <c r="I29" s="5" t="s">
        <v>58</v>
      </c>
      <c r="J29" s="5" t="s">
        <v>58</v>
      </c>
      <c r="K29" s="5" t="s">
        <v>58</v>
      </c>
      <c r="L29" s="5" t="s">
        <v>58</v>
      </c>
      <c r="M29" s="5" t="s">
        <v>58</v>
      </c>
      <c r="N29" s="5" t="s">
        <v>58</v>
      </c>
      <c r="O29" s="5" t="s">
        <v>58</v>
      </c>
      <c r="P29" s="5" t="s">
        <v>58</v>
      </c>
      <c r="Q29" s="5" t="s">
        <v>58</v>
      </c>
      <c r="R29" s="5" t="s">
        <v>58</v>
      </c>
      <c r="S29" s="5">
        <f t="shared" si="0"/>
        <v>1</v>
      </c>
      <c r="T29" s="5" t="str">
        <f ca="1">IFERROR(__xludf.DUMMYFUNCTION("QUERY(transpose(A29:R29),""Select Col1 where Col1 is not null limit 1"",0)"),"Lamar Jackson")</f>
        <v>Lamar Jackson</v>
      </c>
      <c r="U29" s="32" t="e">
        <f t="shared" ca="1" si="1"/>
        <v>#NAME?</v>
      </c>
    </row>
    <row r="30" spans="1:21" ht="12.75" x14ac:dyDescent="0.2">
      <c r="A30" s="5" t="s">
        <v>59</v>
      </c>
      <c r="B30" s="5" t="s">
        <v>59</v>
      </c>
      <c r="C30" s="5" t="s">
        <v>59</v>
      </c>
      <c r="D30" s="5" t="s">
        <v>59</v>
      </c>
      <c r="E30" s="5" t="s">
        <v>59</v>
      </c>
      <c r="F30" s="5" t="s">
        <v>59</v>
      </c>
      <c r="G30" s="5" t="s">
        <v>59</v>
      </c>
      <c r="H30" s="5" t="s">
        <v>59</v>
      </c>
      <c r="I30" s="5" t="s">
        <v>59</v>
      </c>
      <c r="J30" s="5" t="s">
        <v>59</v>
      </c>
      <c r="K30" s="5" t="s">
        <v>59</v>
      </c>
      <c r="L30" s="5" t="s">
        <v>59</v>
      </c>
      <c r="M30" s="5" t="s">
        <v>59</v>
      </c>
      <c r="N30" s="5" t="s">
        <v>59</v>
      </c>
      <c r="O30" s="5" t="s">
        <v>59</v>
      </c>
      <c r="P30" s="5" t="s">
        <v>59</v>
      </c>
      <c r="Q30" s="5" t="s">
        <v>59</v>
      </c>
      <c r="R30" s="5" t="s">
        <v>59</v>
      </c>
      <c r="S30" s="5">
        <f t="shared" si="0"/>
        <v>1</v>
      </c>
      <c r="T30" s="5" t="str">
        <f ca="1">IFERROR(__xludf.DUMMYFUNCTION("QUERY(transpose(A30:R30),""Select Col1 where Col1 is not null limit 1"",0)"),"Dak Prescott")</f>
        <v>Dak Prescott</v>
      </c>
      <c r="U30" s="32" t="e">
        <f t="shared" ca="1" si="1"/>
        <v>#NAME?</v>
      </c>
    </row>
    <row r="31" spans="1:21" ht="12.75" x14ac:dyDescent="0.2">
      <c r="A31" s="5" t="s">
        <v>61</v>
      </c>
      <c r="B31" s="5" t="s">
        <v>61</v>
      </c>
      <c r="C31" s="5" t="s">
        <v>61</v>
      </c>
      <c r="D31" s="5" t="s">
        <v>61</v>
      </c>
      <c r="E31" s="5" t="s">
        <v>61</v>
      </c>
      <c r="F31" s="5" t="s">
        <v>61</v>
      </c>
      <c r="G31" s="5" t="s">
        <v>61</v>
      </c>
      <c r="H31" s="5" t="s">
        <v>61</v>
      </c>
      <c r="I31" s="5" t="s">
        <v>61</v>
      </c>
      <c r="J31" s="5" t="s">
        <v>61</v>
      </c>
      <c r="K31" s="5" t="s">
        <v>61</v>
      </c>
      <c r="L31" s="5" t="s">
        <v>61</v>
      </c>
      <c r="M31" s="5" t="s">
        <v>61</v>
      </c>
      <c r="N31" s="5" t="s">
        <v>61</v>
      </c>
      <c r="O31" s="5" t="s">
        <v>61</v>
      </c>
      <c r="P31" s="5" t="s">
        <v>61</v>
      </c>
      <c r="Q31" s="5" t="s">
        <v>61</v>
      </c>
      <c r="R31" s="5" t="s">
        <v>61</v>
      </c>
      <c r="S31" s="5">
        <f t="shared" si="0"/>
        <v>1</v>
      </c>
      <c r="T31" s="5" t="str">
        <f ca="1">IFERROR(__xludf.DUMMYFUNCTION("QUERY(transpose(A31:R31),""Select Col1 where Col1 is not null limit 1"",0)"),"Daniel Jones")</f>
        <v>Daniel Jones</v>
      </c>
      <c r="U31" s="32" t="e">
        <f t="shared" ca="1" si="1"/>
        <v>#NAME?</v>
      </c>
    </row>
    <row r="32" spans="1:21" ht="12.75" x14ac:dyDescent="0.2">
      <c r="A32" s="5" t="s">
        <v>62</v>
      </c>
      <c r="B32" s="5" t="s">
        <v>62</v>
      </c>
      <c r="C32" s="5" t="s">
        <v>62</v>
      </c>
      <c r="D32" s="5" t="s">
        <v>62</v>
      </c>
      <c r="E32" s="5" t="s">
        <v>62</v>
      </c>
      <c r="F32" s="5" t="s">
        <v>62</v>
      </c>
      <c r="G32" s="5" t="s">
        <v>62</v>
      </c>
      <c r="H32" s="5" t="s">
        <v>62</v>
      </c>
      <c r="I32" s="5" t="s">
        <v>62</v>
      </c>
      <c r="J32" s="5" t="s">
        <v>62</v>
      </c>
      <c r="K32" s="5" t="s">
        <v>62</v>
      </c>
      <c r="L32" s="5" t="s">
        <v>62</v>
      </c>
      <c r="M32" s="5" t="s">
        <v>62</v>
      </c>
      <c r="N32" s="5" t="s">
        <v>62</v>
      </c>
      <c r="O32" s="5" t="s">
        <v>62</v>
      </c>
      <c r="P32" s="5" t="s">
        <v>62</v>
      </c>
      <c r="Q32" s="5" t="s">
        <v>62</v>
      </c>
      <c r="R32" s="5" t="s">
        <v>62</v>
      </c>
      <c r="S32" s="5">
        <f t="shared" si="0"/>
        <v>1</v>
      </c>
      <c r="T32" s="5" t="str">
        <f ca="1">IFERROR(__xludf.DUMMYFUNCTION("QUERY(transpose(A32:R32),""Select Col1 where Col1 is not null limit 1"",0)"),"Joe Burrow")</f>
        <v>Joe Burrow</v>
      </c>
      <c r="U32" s="32" t="e">
        <f t="shared" ca="1" si="1"/>
        <v>#NAME?</v>
      </c>
    </row>
    <row r="33" spans="1:21" ht="12.75" x14ac:dyDescent="0.2">
      <c r="A33" s="5" t="s">
        <v>63</v>
      </c>
      <c r="B33" s="5" t="s">
        <v>63</v>
      </c>
      <c r="C33" s="5" t="s">
        <v>63</v>
      </c>
      <c r="D33" s="5" t="s">
        <v>63</v>
      </c>
      <c r="E33" s="5" t="s">
        <v>63</v>
      </c>
      <c r="F33" s="5" t="s">
        <v>63</v>
      </c>
      <c r="G33" s="5" t="s">
        <v>63</v>
      </c>
      <c r="H33" s="5" t="s">
        <v>63</v>
      </c>
      <c r="I33" s="5" t="s">
        <v>63</v>
      </c>
      <c r="J33" s="5" t="s">
        <v>63</v>
      </c>
      <c r="K33" s="5" t="s">
        <v>63</v>
      </c>
      <c r="L33" s="5" t="s">
        <v>63</v>
      </c>
      <c r="M33" s="5" t="s">
        <v>63</v>
      </c>
      <c r="N33" s="5" t="s">
        <v>63</v>
      </c>
      <c r="O33" s="5" t="s">
        <v>63</v>
      </c>
      <c r="P33" s="5" t="s">
        <v>63</v>
      </c>
      <c r="Q33" s="5" t="s">
        <v>63</v>
      </c>
      <c r="R33" s="5" t="s">
        <v>63</v>
      </c>
      <c r="S33" s="5">
        <f t="shared" si="0"/>
        <v>1</v>
      </c>
      <c r="T33" s="5" t="str">
        <f ca="1">IFERROR(__xludf.DUMMYFUNCTION("QUERY(transpose(A33:R33),""Select Col1 where Col1 is not null limit 1"",0)"),"Joshua Dobbs")</f>
        <v>Joshua Dobbs</v>
      </c>
      <c r="U33" s="32" t="e">
        <f t="shared" ca="1" si="1"/>
        <v>#NAME?</v>
      </c>
    </row>
    <row r="34" spans="1:21" ht="12.75" x14ac:dyDescent="0.2">
      <c r="A34" s="5" t="s">
        <v>64</v>
      </c>
      <c r="B34" s="5" t="s">
        <v>64</v>
      </c>
      <c r="C34" s="5" t="s">
        <v>64</v>
      </c>
      <c r="D34" s="5" t="s">
        <v>64</v>
      </c>
      <c r="E34" s="5" t="s">
        <v>64</v>
      </c>
      <c r="F34" s="5" t="s">
        <v>64</v>
      </c>
      <c r="G34" s="5" t="s">
        <v>64</v>
      </c>
      <c r="H34" s="5" t="s">
        <v>64</v>
      </c>
      <c r="I34" s="5" t="s">
        <v>64</v>
      </c>
      <c r="J34" s="5" t="s">
        <v>64</v>
      </c>
      <c r="K34" s="5" t="s">
        <v>64</v>
      </c>
      <c r="L34" s="5" t="s">
        <v>64</v>
      </c>
      <c r="M34" s="5" t="s">
        <v>64</v>
      </c>
      <c r="N34" s="5" t="s">
        <v>64</v>
      </c>
      <c r="O34" s="5" t="s">
        <v>64</v>
      </c>
      <c r="P34" s="5" t="s">
        <v>64</v>
      </c>
      <c r="Q34" s="5" t="s">
        <v>64</v>
      </c>
      <c r="R34" s="5" t="s">
        <v>64</v>
      </c>
      <c r="S34" s="5">
        <f t="shared" si="0"/>
        <v>1</v>
      </c>
      <c r="T34" s="5" t="str">
        <f ca="1">IFERROR(__xludf.DUMMYFUNCTION("QUERY(transpose(A34:R34),""Select Col1 where Col1 is not null limit 1"",0)"),"Ryan Tannehill")</f>
        <v>Ryan Tannehill</v>
      </c>
      <c r="U34" s="32" t="e">
        <f t="shared" ca="1" si="1"/>
        <v>#NAME?</v>
      </c>
    </row>
    <row r="35" spans="1:21" ht="12.75" x14ac:dyDescent="0.2">
      <c r="A35" s="5" t="s">
        <v>65</v>
      </c>
      <c r="B35" s="5" t="s">
        <v>65</v>
      </c>
      <c r="C35" s="5" t="s">
        <v>65</v>
      </c>
      <c r="D35" s="5" t="s">
        <v>65</v>
      </c>
      <c r="E35" s="5" t="s">
        <v>65</v>
      </c>
      <c r="F35" s="5" t="s">
        <v>65</v>
      </c>
      <c r="G35" s="5" t="s">
        <v>65</v>
      </c>
      <c r="H35" s="5" t="s">
        <v>65</v>
      </c>
      <c r="I35" s="5" t="s">
        <v>65</v>
      </c>
      <c r="J35" s="5" t="s">
        <v>65</v>
      </c>
      <c r="K35" s="5" t="s">
        <v>65</v>
      </c>
      <c r="L35" s="5" t="s">
        <v>65</v>
      </c>
      <c r="M35" s="5" t="s">
        <v>65</v>
      </c>
      <c r="N35" s="5" t="s">
        <v>65</v>
      </c>
      <c r="O35" s="5" t="s">
        <v>65</v>
      </c>
      <c r="P35" s="5" t="s">
        <v>65</v>
      </c>
      <c r="Q35" s="5" t="s">
        <v>65</v>
      </c>
      <c r="R35" s="5" t="s">
        <v>65</v>
      </c>
      <c r="S35" s="5">
        <f t="shared" si="0"/>
        <v>1</v>
      </c>
      <c r="T35" s="5" t="str">
        <f ca="1">IFERROR(__xludf.DUMMYFUNCTION("QUERY(transpose(A35:R35),""Select Col1 where Col1 is not null limit 1"",0)"),"Jake Browning")</f>
        <v>Jake Browning</v>
      </c>
      <c r="U35" s="32" t="e">
        <f t="shared" ca="1" si="1"/>
        <v>#NAME?</v>
      </c>
    </row>
    <row r="36" spans="1:21" ht="12.75" x14ac:dyDescent="0.2">
      <c r="A36" s="5" t="s">
        <v>66</v>
      </c>
      <c r="B36" s="5" t="s">
        <v>66</v>
      </c>
      <c r="C36" s="5" t="s">
        <v>66</v>
      </c>
      <c r="D36" s="5" t="s">
        <v>66</v>
      </c>
      <c r="E36" s="5" t="s">
        <v>66</v>
      </c>
      <c r="F36" s="5" t="s">
        <v>66</v>
      </c>
      <c r="G36" s="5" t="s">
        <v>66</v>
      </c>
      <c r="H36" s="5" t="s">
        <v>66</v>
      </c>
      <c r="I36" s="5" t="s">
        <v>66</v>
      </c>
      <c r="J36" s="5" t="s">
        <v>66</v>
      </c>
      <c r="K36" s="5" t="s">
        <v>66</v>
      </c>
      <c r="L36" s="5" t="s">
        <v>66</v>
      </c>
      <c r="M36" s="5" t="s">
        <v>66</v>
      </c>
      <c r="N36" s="5" t="s">
        <v>66</v>
      </c>
      <c r="O36" s="5" t="s">
        <v>66</v>
      </c>
      <c r="P36" s="5" t="s">
        <v>66</v>
      </c>
      <c r="Q36" s="5" t="s">
        <v>66</v>
      </c>
      <c r="R36" s="5" t="s">
        <v>66</v>
      </c>
      <c r="S36" s="5">
        <f t="shared" si="0"/>
        <v>1</v>
      </c>
      <c r="T36" s="5" t="str">
        <f ca="1">IFERROR(__xludf.DUMMYFUNCTION("QUERY(transpose(A36:R36),""Select Col1 where Col1 is not null limit 1"",0)"),"Sean Clifford")</f>
        <v>Sean Clifford</v>
      </c>
      <c r="U36" s="32" t="e">
        <f t="shared" ca="1" si="1"/>
        <v>#NAME?</v>
      </c>
    </row>
    <row r="37" spans="1:21" ht="12.75" x14ac:dyDescent="0.2">
      <c r="A37" s="5" t="s">
        <v>67</v>
      </c>
      <c r="B37" s="5" t="s">
        <v>67</v>
      </c>
      <c r="C37" s="5" t="s">
        <v>67</v>
      </c>
      <c r="D37" s="5" t="s">
        <v>67</v>
      </c>
      <c r="E37" s="5" t="s">
        <v>67</v>
      </c>
      <c r="F37" s="5" t="s">
        <v>67</v>
      </c>
      <c r="G37" s="5" t="s">
        <v>67</v>
      </c>
      <c r="H37" s="5" t="s">
        <v>67</v>
      </c>
      <c r="I37" s="5" t="s">
        <v>67</v>
      </c>
      <c r="J37" s="5" t="s">
        <v>67</v>
      </c>
      <c r="K37" s="5" t="s">
        <v>67</v>
      </c>
      <c r="L37" s="5" t="s">
        <v>67</v>
      </c>
      <c r="M37" s="5" t="s">
        <v>67</v>
      </c>
      <c r="N37" s="5" t="s">
        <v>67</v>
      </c>
      <c r="O37" s="5" t="s">
        <v>67</v>
      </c>
      <c r="P37" s="5" t="s">
        <v>67</v>
      </c>
      <c r="Q37" s="5" t="s">
        <v>67</v>
      </c>
      <c r="R37" s="5" t="s">
        <v>67</v>
      </c>
      <c r="S37" s="5">
        <f t="shared" si="0"/>
        <v>1</v>
      </c>
      <c r="T37" s="5" t="str">
        <f ca="1">IFERROR(__xludf.DUMMYFUNCTION("QUERY(transpose(A37:R37),""Select Col1 where Col1 is not null limit 1"",0)"),"Sam Darnold")</f>
        <v>Sam Darnold</v>
      </c>
      <c r="U37" s="32" t="e">
        <f t="shared" ca="1" si="1"/>
        <v>#NAME?</v>
      </c>
    </row>
    <row r="38" spans="1:21" ht="12.75" x14ac:dyDescent="0.2">
      <c r="A38" s="5" t="s">
        <v>68</v>
      </c>
      <c r="B38" s="5" t="s">
        <v>68</v>
      </c>
      <c r="C38" s="5" t="s">
        <v>68</v>
      </c>
      <c r="D38" s="5" t="s">
        <v>68</v>
      </c>
      <c r="E38" s="5" t="s">
        <v>68</v>
      </c>
      <c r="F38" s="5" t="s">
        <v>68</v>
      </c>
      <c r="G38" s="5" t="s">
        <v>68</v>
      </c>
      <c r="H38" s="5" t="s">
        <v>68</v>
      </c>
      <c r="I38" s="5" t="s">
        <v>68</v>
      </c>
      <c r="J38" s="5" t="s">
        <v>68</v>
      </c>
      <c r="K38" s="5" t="s">
        <v>68</v>
      </c>
      <c r="L38" s="5" t="s">
        <v>68</v>
      </c>
      <c r="M38" s="5" t="s">
        <v>68</v>
      </c>
      <c r="N38" s="5" t="s">
        <v>68</v>
      </c>
      <c r="O38" s="5" t="s">
        <v>68</v>
      </c>
      <c r="P38" s="5" t="s">
        <v>68</v>
      </c>
      <c r="Q38" s="5" t="s">
        <v>68</v>
      </c>
      <c r="R38" s="5" t="s">
        <v>68</v>
      </c>
      <c r="S38" s="5">
        <f t="shared" si="0"/>
        <v>1</v>
      </c>
      <c r="T38" s="5" t="str">
        <f ca="1">IFERROR(__xludf.DUMMYFUNCTION("QUERY(transpose(A38:R38),""Select Col1 where Col1 is not null limit 1"",0)"),"Taysom Hill")</f>
        <v>Taysom Hill</v>
      </c>
      <c r="U38" s="32" t="e">
        <f t="shared" ca="1" si="1"/>
        <v>#NAME?</v>
      </c>
    </row>
    <row r="39" spans="1:21" ht="12.75" x14ac:dyDescent="0.2">
      <c r="A39" s="5" t="s">
        <v>70</v>
      </c>
      <c r="B39" s="5" t="s">
        <v>70</v>
      </c>
      <c r="C39" s="5" t="s">
        <v>70</v>
      </c>
      <c r="D39" s="5" t="s">
        <v>70</v>
      </c>
      <c r="E39" s="5" t="s">
        <v>70</v>
      </c>
      <c r="F39" s="5" t="s">
        <v>70</v>
      </c>
      <c r="G39" s="5" t="s">
        <v>70</v>
      </c>
      <c r="H39" s="5" t="s">
        <v>70</v>
      </c>
      <c r="I39" s="5" t="s">
        <v>70</v>
      </c>
      <c r="J39" s="5" t="s">
        <v>70</v>
      </c>
      <c r="K39" s="5" t="s">
        <v>70</v>
      </c>
      <c r="L39" s="5" t="s">
        <v>70</v>
      </c>
      <c r="M39" s="5" t="s">
        <v>70</v>
      </c>
      <c r="N39" s="5" t="s">
        <v>70</v>
      </c>
      <c r="O39" s="5" t="s">
        <v>70</v>
      </c>
      <c r="P39" s="5" t="s">
        <v>70</v>
      </c>
      <c r="Q39" s="5" t="s">
        <v>70</v>
      </c>
      <c r="R39" s="5" t="s">
        <v>70</v>
      </c>
      <c r="S39" s="5">
        <f t="shared" si="0"/>
        <v>1</v>
      </c>
      <c r="T39" s="5" t="str">
        <f ca="1">IFERROR(__xludf.DUMMYFUNCTION("QUERY(transpose(A39:R39),""Select Col1 where Col1 is not null limit 1"",0)"),"Gardner Minshew")</f>
        <v>Gardner Minshew</v>
      </c>
      <c r="U39" s="32" t="e">
        <f t="shared" ca="1" si="1"/>
        <v>#NAME?</v>
      </c>
    </row>
    <row r="40" spans="1:21" ht="12.75" x14ac:dyDescent="0.2">
      <c r="A40" s="5" t="s">
        <v>71</v>
      </c>
      <c r="B40" s="5" t="s">
        <v>71</v>
      </c>
      <c r="C40" s="5" t="s">
        <v>71</v>
      </c>
      <c r="D40" s="5" t="s">
        <v>71</v>
      </c>
      <c r="E40" s="5" t="s">
        <v>71</v>
      </c>
      <c r="F40" s="5" t="s">
        <v>71</v>
      </c>
      <c r="G40" s="5" t="s">
        <v>71</v>
      </c>
      <c r="H40" s="5" t="s">
        <v>71</v>
      </c>
      <c r="I40" s="5" t="s">
        <v>71</v>
      </c>
      <c r="J40" s="5" t="s">
        <v>71</v>
      </c>
      <c r="K40" s="5" t="s">
        <v>71</v>
      </c>
      <c r="L40" s="5" t="s">
        <v>71</v>
      </c>
      <c r="M40" s="5" t="s">
        <v>71</v>
      </c>
      <c r="N40" s="5" t="s">
        <v>71</v>
      </c>
      <c r="O40" s="5" t="s">
        <v>71</v>
      </c>
      <c r="P40" s="5" t="s">
        <v>71</v>
      </c>
      <c r="Q40" s="5" t="s">
        <v>71</v>
      </c>
      <c r="R40" s="5" t="s">
        <v>71</v>
      </c>
      <c r="S40" s="5">
        <f t="shared" si="0"/>
        <v>1</v>
      </c>
      <c r="T40" s="5" t="str">
        <f ca="1">IFERROR(__xludf.DUMMYFUNCTION("QUERY(transpose(A40:R40),""Select Col1 where Col1 is not null limit 1"",0)"),"Aaron Rodgers")</f>
        <v>Aaron Rodgers</v>
      </c>
      <c r="U40" s="32" t="e">
        <f t="shared" ca="1" si="1"/>
        <v>#NAME?</v>
      </c>
    </row>
    <row r="41" spans="1:21" ht="12.75" x14ac:dyDescent="0.2">
      <c r="A41" s="5" t="s">
        <v>72</v>
      </c>
      <c r="B41" s="5" t="s">
        <v>72</v>
      </c>
      <c r="C41" s="5" t="s">
        <v>72</v>
      </c>
      <c r="D41" s="5" t="s">
        <v>72</v>
      </c>
      <c r="E41" s="5" t="s">
        <v>72</v>
      </c>
      <c r="F41" s="5" t="s">
        <v>72</v>
      </c>
      <c r="G41" s="5" t="s">
        <v>72</v>
      </c>
      <c r="H41" s="5" t="s">
        <v>72</v>
      </c>
      <c r="I41" s="5" t="s">
        <v>72</v>
      </c>
      <c r="J41" s="5" t="s">
        <v>72</v>
      </c>
      <c r="K41" s="5" t="s">
        <v>72</v>
      </c>
      <c r="L41" s="5" t="s">
        <v>72</v>
      </c>
      <c r="M41" s="5" t="s">
        <v>72</v>
      </c>
      <c r="N41" s="5" t="s">
        <v>72</v>
      </c>
      <c r="O41" s="5" t="s">
        <v>72</v>
      </c>
      <c r="P41" s="5" t="s">
        <v>72</v>
      </c>
      <c r="Q41" s="5" t="s">
        <v>72</v>
      </c>
      <c r="R41" s="5" t="s">
        <v>72</v>
      </c>
      <c r="S41" s="5">
        <f t="shared" si="0"/>
        <v>1</v>
      </c>
      <c r="T41" s="5" t="str">
        <f ca="1">IFERROR(__xludf.DUMMYFUNCTION("QUERY(transpose(A41:R41),""Select Col1 where Col1 is not null limit 1"",0)"),"Cooper Rush")</f>
        <v>Cooper Rush</v>
      </c>
      <c r="U41" s="32" t="e">
        <f t="shared" ca="1" si="1"/>
        <v>#NAME?</v>
      </c>
    </row>
    <row r="42" spans="1:21" ht="12.75" x14ac:dyDescent="0.2">
      <c r="A42" s="5" t="s">
        <v>73</v>
      </c>
      <c r="B42" s="5" t="s">
        <v>73</v>
      </c>
      <c r="C42" s="5" t="s">
        <v>73</v>
      </c>
      <c r="D42" s="5" t="s">
        <v>73</v>
      </c>
      <c r="E42" s="5" t="s">
        <v>73</v>
      </c>
      <c r="F42" s="5" t="s">
        <v>73</v>
      </c>
      <c r="G42" s="5" t="s">
        <v>73</v>
      </c>
      <c r="H42" s="5" t="s">
        <v>73</v>
      </c>
      <c r="I42" s="5" t="s">
        <v>73</v>
      </c>
      <c r="J42" s="5" t="s">
        <v>73</v>
      </c>
      <c r="K42" s="5" t="s">
        <v>73</v>
      </c>
      <c r="L42" s="5" t="s">
        <v>73</v>
      </c>
      <c r="M42" s="5" t="s">
        <v>73</v>
      </c>
      <c r="N42" s="5" t="s">
        <v>73</v>
      </c>
      <c r="O42" s="5" t="s">
        <v>73</v>
      </c>
      <c r="P42" s="5" t="s">
        <v>73</v>
      </c>
      <c r="Q42" s="5" t="s">
        <v>73</v>
      </c>
      <c r="R42" s="5" t="s">
        <v>73</v>
      </c>
      <c r="S42" s="5">
        <f t="shared" si="0"/>
        <v>1</v>
      </c>
      <c r="T42" s="5" t="str">
        <f ca="1">IFERROR(__xludf.DUMMYFUNCTION("QUERY(transpose(A42:R42),""Select Col1 where Col1 is not null limit 1"",0)"),"Tyrod Taylor")</f>
        <v>Tyrod Taylor</v>
      </c>
      <c r="U42" s="32" t="e">
        <f t="shared" ca="1" si="1"/>
        <v>#NAME?</v>
      </c>
    </row>
    <row r="43" spans="1:21" ht="12.75" x14ac:dyDescent="0.2">
      <c r="A43" s="5" t="s">
        <v>74</v>
      </c>
      <c r="B43" s="5" t="s">
        <v>74</v>
      </c>
      <c r="C43" s="5" t="s">
        <v>74</v>
      </c>
      <c r="D43" s="5" t="s">
        <v>74</v>
      </c>
      <c r="E43" s="5" t="s">
        <v>74</v>
      </c>
      <c r="F43" s="5" t="s">
        <v>74</v>
      </c>
      <c r="G43" s="5" t="s">
        <v>74</v>
      </c>
      <c r="H43" s="5" t="s">
        <v>74</v>
      </c>
      <c r="I43" s="5" t="s">
        <v>74</v>
      </c>
      <c r="J43" s="5" t="s">
        <v>74</v>
      </c>
      <c r="K43" s="5" t="s">
        <v>74</v>
      </c>
      <c r="L43" s="5" t="s">
        <v>74</v>
      </c>
      <c r="M43" s="5" t="s">
        <v>74</v>
      </c>
      <c r="N43" s="5" t="s">
        <v>74</v>
      </c>
      <c r="O43" s="5" t="s">
        <v>74</v>
      </c>
      <c r="P43" s="5" t="s">
        <v>74</v>
      </c>
      <c r="Q43" s="5" t="s">
        <v>74</v>
      </c>
      <c r="R43" s="5" t="s">
        <v>74</v>
      </c>
      <c r="S43" s="5">
        <f t="shared" si="0"/>
        <v>1</v>
      </c>
      <c r="T43" s="5" t="str">
        <f ca="1">IFERROR(__xludf.DUMMYFUNCTION("QUERY(transpose(A43:R43),""Select Col1 where Col1 is not null limit 1"",0)"),"Aaron Jones")</f>
        <v>Aaron Jones</v>
      </c>
      <c r="U43" s="32" t="e">
        <f t="shared" ca="1" si="1"/>
        <v>#NAME?</v>
      </c>
    </row>
    <row r="44" spans="1:21" ht="12.75" x14ac:dyDescent="0.2">
      <c r="A44" s="5" t="s">
        <v>76</v>
      </c>
      <c r="B44" s="5" t="s">
        <v>76</v>
      </c>
      <c r="C44" s="5" t="s">
        <v>76</v>
      </c>
      <c r="D44" s="5" t="s">
        <v>76</v>
      </c>
      <c r="E44" s="5" t="s">
        <v>76</v>
      </c>
      <c r="F44" s="5" t="s">
        <v>76</v>
      </c>
      <c r="G44" s="5" t="s">
        <v>76</v>
      </c>
      <c r="H44" s="5" t="s">
        <v>76</v>
      </c>
      <c r="I44" s="5" t="s">
        <v>76</v>
      </c>
      <c r="J44" s="5" t="s">
        <v>76</v>
      </c>
      <c r="K44" s="5" t="s">
        <v>76</v>
      </c>
      <c r="L44" s="5" t="s">
        <v>76</v>
      </c>
      <c r="M44" s="5" t="s">
        <v>76</v>
      </c>
      <c r="N44" s="5" t="s">
        <v>76</v>
      </c>
      <c r="O44" s="5" t="s">
        <v>76</v>
      </c>
      <c r="P44" s="5" t="s">
        <v>76</v>
      </c>
      <c r="Q44" s="5" t="s">
        <v>76</v>
      </c>
      <c r="R44" s="5" t="s">
        <v>76</v>
      </c>
      <c r="S44" s="5">
        <f t="shared" si="0"/>
        <v>1</v>
      </c>
      <c r="T44" s="5" t="str">
        <f ca="1">IFERROR(__xludf.DUMMYFUNCTION("QUERY(transpose(A44:R44),""Select Col1 where Col1 is not null limit 1"",0)"),"Austin Ekeler")</f>
        <v>Austin Ekeler</v>
      </c>
      <c r="U44" s="32" t="e">
        <f t="shared" ca="1" si="1"/>
        <v>#NAME?</v>
      </c>
    </row>
    <row r="45" spans="1:21" ht="12.75" x14ac:dyDescent="0.2">
      <c r="A45" s="5" t="s">
        <v>77</v>
      </c>
      <c r="B45" s="5" t="s">
        <v>77</v>
      </c>
      <c r="C45" s="5" t="s">
        <v>77</v>
      </c>
      <c r="D45" s="5" t="s">
        <v>77</v>
      </c>
      <c r="E45" s="5" t="s">
        <v>77</v>
      </c>
      <c r="F45" s="5" t="s">
        <v>77</v>
      </c>
      <c r="G45" s="5" t="s">
        <v>77</v>
      </c>
      <c r="H45" s="5" t="s">
        <v>77</v>
      </c>
      <c r="I45" s="5" t="s">
        <v>77</v>
      </c>
      <c r="J45" s="5" t="s">
        <v>77</v>
      </c>
      <c r="K45" s="5" t="s">
        <v>77</v>
      </c>
      <c r="L45" s="5" t="s">
        <v>77</v>
      </c>
      <c r="M45" s="5" t="s">
        <v>77</v>
      </c>
      <c r="N45" s="5" t="s">
        <v>77</v>
      </c>
      <c r="O45" s="5" t="s">
        <v>77</v>
      </c>
      <c r="P45" s="5" t="s">
        <v>77</v>
      </c>
      <c r="Q45" s="5" t="s">
        <v>77</v>
      </c>
      <c r="R45" s="5" t="s">
        <v>77</v>
      </c>
      <c r="S45" s="5">
        <f t="shared" si="0"/>
        <v>1</v>
      </c>
      <c r="T45" s="5" t="str">
        <f ca="1">IFERROR(__xludf.DUMMYFUNCTION("QUERY(transpose(A45:R45),""Select Col1 where Col1 is not null limit 1"",0)"),"Christian McCaffrey")</f>
        <v>Christian McCaffrey</v>
      </c>
      <c r="U45" s="32" t="e">
        <f t="shared" ca="1" si="1"/>
        <v>#NAME?</v>
      </c>
    </row>
    <row r="46" spans="1:21" ht="12.75" x14ac:dyDescent="0.2">
      <c r="A46" s="5" t="s">
        <v>78</v>
      </c>
      <c r="B46" s="5" t="s">
        <v>78</v>
      </c>
      <c r="C46" s="5" t="s">
        <v>78</v>
      </c>
      <c r="D46" s="5" t="s">
        <v>78</v>
      </c>
      <c r="E46" s="5" t="s">
        <v>78</v>
      </c>
      <c r="F46" s="5" t="s">
        <v>78</v>
      </c>
      <c r="G46" s="5" t="s">
        <v>78</v>
      </c>
      <c r="H46" s="5" t="s">
        <v>78</v>
      </c>
      <c r="I46" s="5" t="s">
        <v>78</v>
      </c>
      <c r="J46" s="5" t="s">
        <v>78</v>
      </c>
      <c r="K46" s="5" t="s">
        <v>78</v>
      </c>
      <c r="L46" s="5" t="s">
        <v>78</v>
      </c>
      <c r="M46" s="5" t="s">
        <v>78</v>
      </c>
      <c r="N46" s="5" t="s">
        <v>78</v>
      </c>
      <c r="O46" s="5" t="s">
        <v>78</v>
      </c>
      <c r="P46" s="5" t="s">
        <v>78</v>
      </c>
      <c r="Q46" s="5" t="s">
        <v>78</v>
      </c>
      <c r="R46" s="5" t="s">
        <v>78</v>
      </c>
      <c r="S46" s="5">
        <f t="shared" si="0"/>
        <v>1</v>
      </c>
      <c r="T46" s="5" t="str">
        <f ca="1">IFERROR(__xludf.DUMMYFUNCTION("QUERY(transpose(A46:R46),""Select Col1 where Col1 is not null limit 1"",0)"),"Tyler Allgeier")</f>
        <v>Tyler Allgeier</v>
      </c>
      <c r="U46" s="32" t="e">
        <f t="shared" ca="1" si="1"/>
        <v>#NAME?</v>
      </c>
    </row>
    <row r="47" spans="1:21" ht="12.75" x14ac:dyDescent="0.2">
      <c r="A47" s="5" t="s">
        <v>79</v>
      </c>
      <c r="B47" s="5" t="s">
        <v>79</v>
      </c>
      <c r="C47" s="5" t="s">
        <v>79</v>
      </c>
      <c r="D47" s="5" t="s">
        <v>79</v>
      </c>
      <c r="E47" s="5" t="s">
        <v>79</v>
      </c>
      <c r="F47" s="5" t="s">
        <v>79</v>
      </c>
      <c r="G47" s="5" t="s">
        <v>79</v>
      </c>
      <c r="H47" s="5" t="s">
        <v>79</v>
      </c>
      <c r="I47" s="5" t="s">
        <v>79</v>
      </c>
      <c r="J47" s="5" t="s">
        <v>79</v>
      </c>
      <c r="K47" s="5" t="s">
        <v>79</v>
      </c>
      <c r="L47" s="5" t="s">
        <v>79</v>
      </c>
      <c r="M47" s="5" t="s">
        <v>79</v>
      </c>
      <c r="N47" s="5" t="s">
        <v>79</v>
      </c>
      <c r="O47" s="5" t="s">
        <v>79</v>
      </c>
      <c r="P47" s="5" t="s">
        <v>79</v>
      </c>
      <c r="Q47" s="5" t="s">
        <v>79</v>
      </c>
      <c r="R47" s="5" t="s">
        <v>79</v>
      </c>
      <c r="S47" s="5">
        <f t="shared" si="0"/>
        <v>1</v>
      </c>
      <c r="T47" s="5" t="str">
        <f ca="1">IFERROR(__xludf.DUMMYFUNCTION("QUERY(transpose(A47:R47),""Select Col1 where Col1 is not null limit 1"",0)"),"Tony Pollard")</f>
        <v>Tony Pollard</v>
      </c>
      <c r="U47" s="32" t="e">
        <f t="shared" ca="1" si="1"/>
        <v>#NAME?</v>
      </c>
    </row>
    <row r="48" spans="1:21" ht="12.75" x14ac:dyDescent="0.2">
      <c r="A48" s="5" t="s">
        <v>80</v>
      </c>
      <c r="B48" s="5" t="s">
        <v>80</v>
      </c>
      <c r="C48" s="5" t="s">
        <v>80</v>
      </c>
      <c r="D48" s="5" t="s">
        <v>80</v>
      </c>
      <c r="E48" s="5" t="s">
        <v>80</v>
      </c>
      <c r="F48" s="5" t="s">
        <v>80</v>
      </c>
      <c r="G48" s="5" t="s">
        <v>80</v>
      </c>
      <c r="H48" s="5" t="s">
        <v>80</v>
      </c>
      <c r="I48" s="5" t="s">
        <v>80</v>
      </c>
      <c r="J48" s="5" t="s">
        <v>80</v>
      </c>
      <c r="K48" s="5" t="s">
        <v>80</v>
      </c>
      <c r="L48" s="5" t="s">
        <v>80</v>
      </c>
      <c r="M48" s="5" t="s">
        <v>80</v>
      </c>
      <c r="N48" s="5" t="s">
        <v>80</v>
      </c>
      <c r="O48" s="5" t="s">
        <v>80</v>
      </c>
      <c r="P48" s="5" t="s">
        <v>80</v>
      </c>
      <c r="Q48" s="5" t="s">
        <v>80</v>
      </c>
      <c r="R48" s="5" t="s">
        <v>80</v>
      </c>
      <c r="S48" s="5">
        <f t="shared" si="0"/>
        <v>1</v>
      </c>
      <c r="T48" s="5" t="str">
        <f ca="1">IFERROR(__xludf.DUMMYFUNCTION("QUERY(transpose(A48:R48),""Select Col1 where Col1 is not null limit 1"",0)"),"Travis Etienne")</f>
        <v>Travis Etienne</v>
      </c>
      <c r="U48" s="32" t="e">
        <f t="shared" ca="1" si="1"/>
        <v>#NAME?</v>
      </c>
    </row>
    <row r="49" spans="1:21" ht="12.75" x14ac:dyDescent="0.2">
      <c r="A49" s="5" t="s">
        <v>81</v>
      </c>
      <c r="B49" s="5" t="s">
        <v>81</v>
      </c>
      <c r="C49" s="5" t="s">
        <v>81</v>
      </c>
      <c r="D49" s="5" t="s">
        <v>81</v>
      </c>
      <c r="E49" s="5" t="s">
        <v>81</v>
      </c>
      <c r="F49" s="5" t="s">
        <v>81</v>
      </c>
      <c r="G49" s="5" t="s">
        <v>81</v>
      </c>
      <c r="H49" s="5" t="s">
        <v>81</v>
      </c>
      <c r="I49" s="5" t="s">
        <v>81</v>
      </c>
      <c r="J49" s="5" t="s">
        <v>81</v>
      </c>
      <c r="K49" s="5" t="s">
        <v>81</v>
      </c>
      <c r="L49" s="5" t="s">
        <v>81</v>
      </c>
      <c r="M49" s="5" t="s">
        <v>81</v>
      </c>
      <c r="N49" s="5" t="s">
        <v>81</v>
      </c>
      <c r="O49" s="5" t="s">
        <v>81</v>
      </c>
      <c r="P49" s="5" t="s">
        <v>81</v>
      </c>
      <c r="Q49" s="5" t="s">
        <v>81</v>
      </c>
      <c r="R49" s="5" t="s">
        <v>81</v>
      </c>
      <c r="S49" s="5">
        <f t="shared" si="0"/>
        <v>1</v>
      </c>
      <c r="T49" s="5" t="str">
        <f ca="1">IFERROR(__xludf.DUMMYFUNCTION("QUERY(transpose(A49:R49),""Select Col1 where Col1 is not null limit 1"",0)"),"Bijan Robinson")</f>
        <v>Bijan Robinson</v>
      </c>
      <c r="U49" s="32" t="e">
        <f t="shared" ca="1" si="1"/>
        <v>#NAME?</v>
      </c>
    </row>
    <row r="50" spans="1:21" ht="12.75" x14ac:dyDescent="0.2">
      <c r="A50" s="5" t="s">
        <v>82</v>
      </c>
      <c r="B50" s="5" t="s">
        <v>82</v>
      </c>
      <c r="C50" s="5" t="s">
        <v>82</v>
      </c>
      <c r="D50" s="5" t="s">
        <v>82</v>
      </c>
      <c r="E50" s="5" t="s">
        <v>82</v>
      </c>
      <c r="F50" s="5" t="s">
        <v>82</v>
      </c>
      <c r="G50" s="5" t="s">
        <v>82</v>
      </c>
      <c r="H50" s="5" t="s">
        <v>82</v>
      </c>
      <c r="I50" s="5" t="s">
        <v>82</v>
      </c>
      <c r="J50" s="5" t="s">
        <v>82</v>
      </c>
      <c r="K50" s="5" t="s">
        <v>82</v>
      </c>
      <c r="L50" s="5" t="s">
        <v>82</v>
      </c>
      <c r="M50" s="5" t="s">
        <v>82</v>
      </c>
      <c r="N50" s="5" t="s">
        <v>82</v>
      </c>
      <c r="O50" s="5" t="s">
        <v>82</v>
      </c>
      <c r="P50" s="5" t="s">
        <v>82</v>
      </c>
      <c r="Q50" s="5" t="s">
        <v>82</v>
      </c>
      <c r="R50" s="5" t="s">
        <v>82</v>
      </c>
      <c r="S50" s="5">
        <f t="shared" si="0"/>
        <v>1</v>
      </c>
      <c r="T50" s="5" t="str">
        <f ca="1">IFERROR(__xludf.DUMMYFUNCTION("QUERY(transpose(A50:R50),""Select Col1 where Col1 is not null limit 1"",0)"),"Roschon Johnson")</f>
        <v>Roschon Johnson</v>
      </c>
      <c r="U50" s="32" t="e">
        <f t="shared" ca="1" si="1"/>
        <v>#NAME?</v>
      </c>
    </row>
    <row r="51" spans="1:21" ht="12.75" x14ac:dyDescent="0.2">
      <c r="A51" s="5" t="s">
        <v>83</v>
      </c>
      <c r="B51" s="5" t="s">
        <v>83</v>
      </c>
      <c r="C51" s="5" t="s">
        <v>83</v>
      </c>
      <c r="D51" s="5" t="s">
        <v>83</v>
      </c>
      <c r="E51" s="5" t="s">
        <v>83</v>
      </c>
      <c r="F51" s="5" t="s">
        <v>83</v>
      </c>
      <c r="G51" s="5" t="s">
        <v>83</v>
      </c>
      <c r="H51" s="5" t="s">
        <v>83</v>
      </c>
      <c r="I51" s="5" t="s">
        <v>83</v>
      </c>
      <c r="J51" s="5" t="s">
        <v>83</v>
      </c>
      <c r="K51" s="5" t="s">
        <v>83</v>
      </c>
      <c r="L51" s="5" t="s">
        <v>83</v>
      </c>
      <c r="M51" s="5" t="s">
        <v>83</v>
      </c>
      <c r="N51" s="5" t="s">
        <v>83</v>
      </c>
      <c r="O51" s="5" t="s">
        <v>83</v>
      </c>
      <c r="P51" s="5" t="s">
        <v>83</v>
      </c>
      <c r="Q51" s="5" t="s">
        <v>83</v>
      </c>
      <c r="R51" s="5" t="s">
        <v>83</v>
      </c>
      <c r="S51" s="5">
        <f t="shared" si="0"/>
        <v>1</v>
      </c>
      <c r="T51" s="5" t="str">
        <f ca="1">IFERROR(__xludf.DUMMYFUNCTION("QUERY(transpose(A51:R51),""Select Col1 where Col1 is not null limit 1"",0)"),"Kyren Williams")</f>
        <v>Kyren Williams</v>
      </c>
      <c r="U51" s="32" t="e">
        <f t="shared" ca="1" si="1"/>
        <v>#NAME?</v>
      </c>
    </row>
    <row r="52" spans="1:21" ht="12.75" x14ac:dyDescent="0.2">
      <c r="A52" s="5" t="s">
        <v>84</v>
      </c>
      <c r="B52" s="5" t="s">
        <v>84</v>
      </c>
      <c r="C52" s="5" t="s">
        <v>84</v>
      </c>
      <c r="D52" s="5" t="s">
        <v>84</v>
      </c>
      <c r="E52" s="5" t="s">
        <v>84</v>
      </c>
      <c r="F52" s="5" t="s">
        <v>84</v>
      </c>
      <c r="G52" s="5" t="s">
        <v>84</v>
      </c>
      <c r="H52" s="5" t="s">
        <v>84</v>
      </c>
      <c r="I52" s="5" t="s">
        <v>84</v>
      </c>
      <c r="J52" s="5" t="s">
        <v>84</v>
      </c>
      <c r="K52" s="5" t="s">
        <v>84</v>
      </c>
      <c r="L52" s="5" t="s">
        <v>84</v>
      </c>
      <c r="M52" s="5" t="s">
        <v>84</v>
      </c>
      <c r="N52" s="5" t="s">
        <v>84</v>
      </c>
      <c r="O52" s="5" t="s">
        <v>84</v>
      </c>
      <c r="P52" s="5" t="s">
        <v>84</v>
      </c>
      <c r="Q52" s="5" t="s">
        <v>84</v>
      </c>
      <c r="R52" s="5" t="s">
        <v>84</v>
      </c>
      <c r="S52" s="5">
        <f t="shared" si="0"/>
        <v>1</v>
      </c>
      <c r="T52" s="5" t="str">
        <f ca="1">IFERROR(__xludf.DUMMYFUNCTION("QUERY(transpose(A52:R52),""Select Col1 where Col1 is not null limit 1"",0)"),"Nick Chubb")</f>
        <v>Nick Chubb</v>
      </c>
      <c r="U52" s="32" t="e">
        <f t="shared" ca="1" si="1"/>
        <v>#NAME?</v>
      </c>
    </row>
    <row r="53" spans="1:21" ht="12.75" x14ac:dyDescent="0.2">
      <c r="A53" s="5" t="s">
        <v>85</v>
      </c>
      <c r="B53" s="5" t="s">
        <v>85</v>
      </c>
      <c r="C53" s="5" t="s">
        <v>85</v>
      </c>
      <c r="D53" s="5" t="s">
        <v>85</v>
      </c>
      <c r="E53" s="5" t="s">
        <v>85</v>
      </c>
      <c r="F53" s="5" t="s">
        <v>85</v>
      </c>
      <c r="G53" s="5" t="s">
        <v>85</v>
      </c>
      <c r="H53" s="5" t="s">
        <v>85</v>
      </c>
      <c r="I53" s="5" t="s">
        <v>85</v>
      </c>
      <c r="J53" s="5" t="s">
        <v>85</v>
      </c>
      <c r="K53" s="5" t="s">
        <v>85</v>
      </c>
      <c r="L53" s="5" t="s">
        <v>85</v>
      </c>
      <c r="M53" s="5" t="s">
        <v>85</v>
      </c>
      <c r="N53" s="5" t="s">
        <v>85</v>
      </c>
      <c r="O53" s="5" t="s">
        <v>85</v>
      </c>
      <c r="P53" s="5" t="s">
        <v>85</v>
      </c>
      <c r="Q53" s="5" t="s">
        <v>85</v>
      </c>
      <c r="R53" s="5" t="s">
        <v>85</v>
      </c>
      <c r="S53" s="5">
        <f t="shared" si="0"/>
        <v>1</v>
      </c>
      <c r="T53" s="5" t="str">
        <f ca="1">IFERROR(__xludf.DUMMYFUNCTION("QUERY(transpose(A53:R53),""Select Col1 where Col1 is not null limit 1"",0)"),"Breece Hall")</f>
        <v>Breece Hall</v>
      </c>
      <c r="U53" s="32" t="e">
        <f t="shared" ca="1" si="1"/>
        <v>#NAME?</v>
      </c>
    </row>
    <row r="54" spans="1:21" ht="12.75" x14ac:dyDescent="0.2">
      <c r="A54" s="5" t="s">
        <v>86</v>
      </c>
      <c r="B54" s="5" t="s">
        <v>86</v>
      </c>
      <c r="C54" s="5" t="s">
        <v>86</v>
      </c>
      <c r="D54" s="5" t="s">
        <v>86</v>
      </c>
      <c r="E54" s="5" t="s">
        <v>86</v>
      </c>
      <c r="F54" s="5" t="s">
        <v>86</v>
      </c>
      <c r="G54" s="5" t="s">
        <v>86</v>
      </c>
      <c r="H54" s="5" t="s">
        <v>86</v>
      </c>
      <c r="I54" s="5" t="s">
        <v>86</v>
      </c>
      <c r="J54" s="5" t="s">
        <v>86</v>
      </c>
      <c r="K54" s="5" t="s">
        <v>86</v>
      </c>
      <c r="L54" s="5" t="s">
        <v>86</v>
      </c>
      <c r="M54" s="5" t="s">
        <v>86</v>
      </c>
      <c r="N54" s="5" t="s">
        <v>86</v>
      </c>
      <c r="O54" s="5" t="s">
        <v>86</v>
      </c>
      <c r="P54" s="5" t="s">
        <v>86</v>
      </c>
      <c r="Q54" s="5" t="s">
        <v>86</v>
      </c>
      <c r="R54" s="5" t="s">
        <v>86</v>
      </c>
      <c r="S54" s="5">
        <f t="shared" si="0"/>
        <v>1</v>
      </c>
      <c r="T54" s="5" t="str">
        <f ca="1">IFERROR(__xludf.DUMMYFUNCTION("QUERY(transpose(A54:R54),""Select Col1 where Col1 is not null limit 1"",0)"),"Joshua Kelley")</f>
        <v>Joshua Kelley</v>
      </c>
      <c r="U54" s="32" t="e">
        <f t="shared" ca="1" si="1"/>
        <v>#NAME?</v>
      </c>
    </row>
    <row r="55" spans="1:21" ht="12.75" x14ac:dyDescent="0.2">
      <c r="A55" s="5" t="s">
        <v>87</v>
      </c>
      <c r="B55" s="5" t="s">
        <v>87</v>
      </c>
      <c r="C55" s="5" t="s">
        <v>87</v>
      </c>
      <c r="D55" s="5" t="s">
        <v>87</v>
      </c>
      <c r="E55" s="5" t="s">
        <v>87</v>
      </c>
      <c r="F55" s="5" t="s">
        <v>87</v>
      </c>
      <c r="G55" s="5" t="s">
        <v>87</v>
      </c>
      <c r="H55" s="5" t="s">
        <v>87</v>
      </c>
      <c r="I55" s="5" t="s">
        <v>87</v>
      </c>
      <c r="J55" s="5" t="s">
        <v>87</v>
      </c>
      <c r="K55" s="5" t="s">
        <v>87</v>
      </c>
      <c r="L55" s="5" t="s">
        <v>87</v>
      </c>
      <c r="M55" s="5" t="s">
        <v>87</v>
      </c>
      <c r="N55" s="5" t="s">
        <v>87</v>
      </c>
      <c r="O55" s="5" t="s">
        <v>87</v>
      </c>
      <c r="P55" s="5" t="s">
        <v>87</v>
      </c>
      <c r="Q55" s="5" t="s">
        <v>87</v>
      </c>
      <c r="R55" s="5" t="s">
        <v>87</v>
      </c>
      <c r="S55" s="5">
        <f t="shared" si="0"/>
        <v>1</v>
      </c>
      <c r="T55" s="5" t="str">
        <f ca="1">IFERROR(__xludf.DUMMYFUNCTION("QUERY(transpose(A55:R55),""Select Col1 where Col1 is not null limit 1"",0)"),"Rhamondre Stevenson")</f>
        <v>Rhamondre Stevenson</v>
      </c>
      <c r="U55" s="32" t="e">
        <f t="shared" ca="1" si="1"/>
        <v>#NAME?</v>
      </c>
    </row>
    <row r="56" spans="1:21" ht="12.75" x14ac:dyDescent="0.2">
      <c r="A56" s="5" t="s">
        <v>88</v>
      </c>
      <c r="B56" s="5" t="s">
        <v>88</v>
      </c>
      <c r="C56" s="5" t="s">
        <v>88</v>
      </c>
      <c r="D56" s="5" t="s">
        <v>88</v>
      </c>
      <c r="E56" s="5" t="s">
        <v>88</v>
      </c>
      <c r="F56" s="5" t="s">
        <v>88</v>
      </c>
      <c r="G56" s="5" t="s">
        <v>88</v>
      </c>
      <c r="H56" s="5" t="s">
        <v>88</v>
      </c>
      <c r="I56" s="5" t="s">
        <v>88</v>
      </c>
      <c r="J56" s="5" t="s">
        <v>88</v>
      </c>
      <c r="K56" s="5" t="s">
        <v>88</v>
      </c>
      <c r="L56" s="5" t="s">
        <v>88</v>
      </c>
      <c r="M56" s="5" t="s">
        <v>88</v>
      </c>
      <c r="N56" s="5" t="s">
        <v>88</v>
      </c>
      <c r="O56" s="5" t="s">
        <v>88</v>
      </c>
      <c r="P56" s="5" t="s">
        <v>88</v>
      </c>
      <c r="Q56" s="5" t="s">
        <v>88</v>
      </c>
      <c r="R56" s="5" t="s">
        <v>88</v>
      </c>
      <c r="S56" s="5">
        <f t="shared" si="0"/>
        <v>1</v>
      </c>
      <c r="T56" s="5" t="str">
        <f ca="1">IFERROR(__xludf.DUMMYFUNCTION("QUERY(transpose(A56:R56),""Select Col1 where Col1 is not null limit 1"",0)"),"Derrick Henry")</f>
        <v>Derrick Henry</v>
      </c>
      <c r="U56" s="32" t="e">
        <f t="shared" ca="1" si="1"/>
        <v>#NAME?</v>
      </c>
    </row>
    <row r="57" spans="1:21" ht="12.75" x14ac:dyDescent="0.2">
      <c r="A57" s="5" t="s">
        <v>89</v>
      </c>
      <c r="B57" s="5" t="s">
        <v>89</v>
      </c>
      <c r="C57" s="5" t="s">
        <v>89</v>
      </c>
      <c r="D57" s="5" t="s">
        <v>89</v>
      </c>
      <c r="E57" s="5" t="s">
        <v>89</v>
      </c>
      <c r="F57" s="5" t="s">
        <v>89</v>
      </c>
      <c r="G57" s="5" t="s">
        <v>89</v>
      </c>
      <c r="H57" s="5" t="s">
        <v>89</v>
      </c>
      <c r="I57" s="5" t="s">
        <v>89</v>
      </c>
      <c r="J57" s="5" t="s">
        <v>89</v>
      </c>
      <c r="K57" s="5" t="s">
        <v>89</v>
      </c>
      <c r="L57" s="5" t="s">
        <v>89</v>
      </c>
      <c r="M57" s="5" t="s">
        <v>89</v>
      </c>
      <c r="N57" s="5" t="s">
        <v>89</v>
      </c>
      <c r="O57" s="5" t="s">
        <v>89</v>
      </c>
      <c r="P57" s="5" t="s">
        <v>89</v>
      </c>
      <c r="Q57" s="5" t="s">
        <v>89</v>
      </c>
      <c r="R57" s="5" t="s">
        <v>89</v>
      </c>
      <c r="S57" s="5">
        <f t="shared" si="0"/>
        <v>1</v>
      </c>
      <c r="T57" s="5" t="str">
        <f ca="1">IFERROR(__xludf.DUMMYFUNCTION("QUERY(transpose(A57:R57),""Select Col1 where Col1 is not null limit 1"",0)"),"Alexander Mattison")</f>
        <v>Alexander Mattison</v>
      </c>
      <c r="U57" s="32" t="e">
        <f t="shared" ca="1" si="1"/>
        <v>#NAME?</v>
      </c>
    </row>
    <row r="58" spans="1:21" ht="12.75" x14ac:dyDescent="0.2">
      <c r="A58" s="5" t="s">
        <v>90</v>
      </c>
      <c r="B58" s="5" t="s">
        <v>90</v>
      </c>
      <c r="C58" s="5" t="s">
        <v>90</v>
      </c>
      <c r="D58" s="5" t="s">
        <v>90</v>
      </c>
      <c r="E58" s="5" t="s">
        <v>90</v>
      </c>
      <c r="F58" s="5" t="s">
        <v>90</v>
      </c>
      <c r="G58" s="5" t="s">
        <v>90</v>
      </c>
      <c r="H58" s="5" t="s">
        <v>90</v>
      </c>
      <c r="I58" s="5" t="s">
        <v>90</v>
      </c>
      <c r="J58" s="5" t="s">
        <v>90</v>
      </c>
      <c r="K58" s="5" t="s">
        <v>90</v>
      </c>
      <c r="L58" s="5" t="s">
        <v>90</v>
      </c>
      <c r="M58" s="5" t="s">
        <v>90</v>
      </c>
      <c r="N58" s="5" t="s">
        <v>90</v>
      </c>
      <c r="O58" s="5" t="s">
        <v>90</v>
      </c>
      <c r="P58" s="5" t="s">
        <v>90</v>
      </c>
      <c r="Q58" s="5" t="s">
        <v>90</v>
      </c>
      <c r="R58" s="5" t="s">
        <v>90</v>
      </c>
      <c r="S58" s="5">
        <f t="shared" si="0"/>
        <v>1</v>
      </c>
      <c r="T58" s="5" t="str">
        <f ca="1">IFERROR(__xludf.DUMMYFUNCTION("QUERY(transpose(A58:R58),""Select Col1 where Col1 is not null limit 1"",0)"),"David Montgomery")</f>
        <v>David Montgomery</v>
      </c>
      <c r="U58" s="32" t="e">
        <f t="shared" ca="1" si="1"/>
        <v>#NAME?</v>
      </c>
    </row>
    <row r="59" spans="1:21" ht="12.75" x14ac:dyDescent="0.2">
      <c r="A59" s="5" t="s">
        <v>91</v>
      </c>
      <c r="B59" s="5" t="s">
        <v>91</v>
      </c>
      <c r="C59" s="5" t="s">
        <v>91</v>
      </c>
      <c r="D59" s="5" t="s">
        <v>91</v>
      </c>
      <c r="E59" s="5" t="s">
        <v>91</v>
      </c>
      <c r="F59" s="5" t="s">
        <v>91</v>
      </c>
      <c r="G59" s="5" t="s">
        <v>91</v>
      </c>
      <c r="H59" s="5" t="s">
        <v>91</v>
      </c>
      <c r="I59" s="5" t="s">
        <v>91</v>
      </c>
      <c r="J59" s="5" t="s">
        <v>91</v>
      </c>
      <c r="K59" s="5" t="s">
        <v>91</v>
      </c>
      <c r="L59" s="5" t="s">
        <v>91</v>
      </c>
      <c r="M59" s="5" t="s">
        <v>91</v>
      </c>
      <c r="N59" s="5" t="s">
        <v>91</v>
      </c>
      <c r="O59" s="5" t="s">
        <v>91</v>
      </c>
      <c r="P59" s="5" t="s">
        <v>91</v>
      </c>
      <c r="Q59" s="5" t="s">
        <v>91</v>
      </c>
      <c r="R59" s="5" t="s">
        <v>91</v>
      </c>
      <c r="S59" s="5">
        <f t="shared" si="0"/>
        <v>1</v>
      </c>
      <c r="T59" s="5" t="str">
        <f ca="1">IFERROR(__xludf.DUMMYFUNCTION("QUERY(transpose(A59:R59),""Select Col1 where Col1 is not null limit 1"",0)"),"Justice Hill")</f>
        <v>Justice Hill</v>
      </c>
      <c r="U59" s="32" t="e">
        <f t="shared" ca="1" si="1"/>
        <v>#NAME?</v>
      </c>
    </row>
    <row r="60" spans="1:21" ht="12.75" x14ac:dyDescent="0.2">
      <c r="A60" s="5" t="s">
        <v>92</v>
      </c>
      <c r="B60" s="5" t="s">
        <v>92</v>
      </c>
      <c r="C60" s="5" t="s">
        <v>92</v>
      </c>
      <c r="D60" s="5" t="s">
        <v>92</v>
      </c>
      <c r="E60" s="5" t="s">
        <v>92</v>
      </c>
      <c r="F60" s="5" t="s">
        <v>92</v>
      </c>
      <c r="G60" s="5" t="s">
        <v>92</v>
      </c>
      <c r="H60" s="5" t="s">
        <v>92</v>
      </c>
      <c r="I60" s="5" t="s">
        <v>92</v>
      </c>
      <c r="J60" s="5" t="s">
        <v>92</v>
      </c>
      <c r="K60" s="5" t="s">
        <v>92</v>
      </c>
      <c r="L60" s="5" t="s">
        <v>92</v>
      </c>
      <c r="M60" s="5" t="s">
        <v>92</v>
      </c>
      <c r="N60" s="5" t="s">
        <v>92</v>
      </c>
      <c r="O60" s="5" t="s">
        <v>92</v>
      </c>
      <c r="P60" s="5" t="s">
        <v>92</v>
      </c>
      <c r="Q60" s="5" t="s">
        <v>92</v>
      </c>
      <c r="R60" s="5" t="s">
        <v>92</v>
      </c>
      <c r="S60" s="5">
        <f t="shared" si="0"/>
        <v>1</v>
      </c>
      <c r="T60" s="5" t="str">
        <f ca="1">IFERROR(__xludf.DUMMYFUNCTION("QUERY(transpose(A60:R60),""Select Col1 where Col1 is not null limit 1"",0)"),"Raheem Mostert")</f>
        <v>Raheem Mostert</v>
      </c>
      <c r="U60" s="32" t="e">
        <f t="shared" ca="1" si="1"/>
        <v>#NAME?</v>
      </c>
    </row>
    <row r="61" spans="1:21" ht="12.75" x14ac:dyDescent="0.2">
      <c r="A61" s="5" t="s">
        <v>93</v>
      </c>
      <c r="B61" s="5" t="s">
        <v>93</v>
      </c>
      <c r="C61" s="5" t="s">
        <v>93</v>
      </c>
      <c r="D61" s="5" t="s">
        <v>93</v>
      </c>
      <c r="E61" s="5" t="s">
        <v>93</v>
      </c>
      <c r="F61" s="5" t="s">
        <v>93</v>
      </c>
      <c r="G61" s="5" t="s">
        <v>93</v>
      </c>
      <c r="H61" s="5" t="s">
        <v>93</v>
      </c>
      <c r="I61" s="5" t="s">
        <v>93</v>
      </c>
      <c r="J61" s="5" t="s">
        <v>93</v>
      </c>
      <c r="K61" s="5" t="s">
        <v>93</v>
      </c>
      <c r="L61" s="5" t="s">
        <v>93</v>
      </c>
      <c r="M61" s="5" t="s">
        <v>93</v>
      </c>
      <c r="N61" s="5" t="s">
        <v>93</v>
      </c>
      <c r="O61" s="5" t="s">
        <v>93</v>
      </c>
      <c r="P61" s="5" t="s">
        <v>93</v>
      </c>
      <c r="Q61" s="5" t="s">
        <v>93</v>
      </c>
      <c r="R61" s="5" t="s">
        <v>93</v>
      </c>
      <c r="S61" s="5">
        <f t="shared" si="0"/>
        <v>1</v>
      </c>
      <c r="T61" s="5" t="str">
        <f ca="1">IFERROR(__xludf.DUMMYFUNCTION("QUERY(transpose(A61:R61),""Select Col1 where Col1 is not null limit 1"",0)"),"Brian Robinson")</f>
        <v>Brian Robinson</v>
      </c>
      <c r="U61" s="32" t="e">
        <f t="shared" ca="1" si="1"/>
        <v>#NAME?</v>
      </c>
    </row>
    <row r="62" spans="1:21" ht="12.75" x14ac:dyDescent="0.2">
      <c r="A62" s="5" t="s">
        <v>94</v>
      </c>
      <c r="B62" s="5" t="s">
        <v>94</v>
      </c>
      <c r="C62" s="5" t="s">
        <v>94</v>
      </c>
      <c r="D62" s="5" t="s">
        <v>94</v>
      </c>
      <c r="E62" s="5" t="s">
        <v>94</v>
      </c>
      <c r="F62" s="5" t="s">
        <v>94</v>
      </c>
      <c r="G62" s="5" t="s">
        <v>94</v>
      </c>
      <c r="H62" s="5" t="s">
        <v>94</v>
      </c>
      <c r="I62" s="5" t="s">
        <v>94</v>
      </c>
      <c r="J62" s="5" t="s">
        <v>94</v>
      </c>
      <c r="K62" s="5" t="s">
        <v>94</v>
      </c>
      <c r="L62" s="5" t="s">
        <v>94</v>
      </c>
      <c r="M62" s="5" t="s">
        <v>94</v>
      </c>
      <c r="N62" s="5" t="s">
        <v>94</v>
      </c>
      <c r="O62" s="5" t="s">
        <v>94</v>
      </c>
      <c r="P62" s="5" t="s">
        <v>94</v>
      </c>
      <c r="Q62" s="5" t="s">
        <v>94</v>
      </c>
      <c r="R62" s="5" t="s">
        <v>94</v>
      </c>
      <c r="S62" s="5">
        <f t="shared" si="0"/>
        <v>1</v>
      </c>
      <c r="T62" s="5" t="str">
        <f ca="1">IFERROR(__xludf.DUMMYFUNCTION("QUERY(transpose(A62:R62),""Select Col1 where Col1 is not null limit 1"",0)"),"Miles Sanders")</f>
        <v>Miles Sanders</v>
      </c>
      <c r="U62" s="32" t="e">
        <f t="shared" ca="1" si="1"/>
        <v>#NAME?</v>
      </c>
    </row>
    <row r="63" spans="1:21" ht="12.75" x14ac:dyDescent="0.2">
      <c r="A63" s="5" t="s">
        <v>95</v>
      </c>
      <c r="B63" s="5" t="s">
        <v>95</v>
      </c>
      <c r="C63" s="5" t="s">
        <v>95</v>
      </c>
      <c r="D63" s="5" t="s">
        <v>95</v>
      </c>
      <c r="E63" s="5" t="s">
        <v>95</v>
      </c>
      <c r="F63" s="5" t="s">
        <v>95</v>
      </c>
      <c r="G63" s="5" t="s">
        <v>95</v>
      </c>
      <c r="H63" s="5" t="s">
        <v>95</v>
      </c>
      <c r="I63" s="5" t="s">
        <v>95</v>
      </c>
      <c r="J63" s="5" t="s">
        <v>95</v>
      </c>
      <c r="K63" s="5" t="s">
        <v>95</v>
      </c>
      <c r="L63" s="5" t="s">
        <v>95</v>
      </c>
      <c r="M63" s="5" t="s">
        <v>95</v>
      </c>
      <c r="N63" s="5" t="s">
        <v>95</v>
      </c>
      <c r="O63" s="5" t="s">
        <v>95</v>
      </c>
      <c r="P63" s="5" t="s">
        <v>95</v>
      </c>
      <c r="Q63" s="5" t="s">
        <v>95</v>
      </c>
      <c r="R63" s="5" t="s">
        <v>95</v>
      </c>
      <c r="S63" s="5">
        <f t="shared" si="0"/>
        <v>1</v>
      </c>
      <c r="T63" s="5" t="str">
        <f ca="1">IFERROR(__xludf.DUMMYFUNCTION("QUERY(transpose(A63:R63),""Select Col1 where Col1 is not null limit 1"",0)"),"James Conner")</f>
        <v>James Conner</v>
      </c>
      <c r="U63" s="32" t="e">
        <f t="shared" ca="1" si="1"/>
        <v>#NAME?</v>
      </c>
    </row>
    <row r="64" spans="1:21" ht="12.75" x14ac:dyDescent="0.2">
      <c r="A64" s="5" t="s">
        <v>96</v>
      </c>
      <c r="B64" s="5" t="s">
        <v>96</v>
      </c>
      <c r="C64" s="5" t="s">
        <v>96</v>
      </c>
      <c r="D64" s="5" t="s">
        <v>96</v>
      </c>
      <c r="E64" s="5" t="s">
        <v>96</v>
      </c>
      <c r="F64" s="5" t="s">
        <v>96</v>
      </c>
      <c r="G64" s="5" t="s">
        <v>96</v>
      </c>
      <c r="H64" s="5" t="s">
        <v>96</v>
      </c>
      <c r="I64" s="5" t="s">
        <v>96</v>
      </c>
      <c r="J64" s="5" t="s">
        <v>96</v>
      </c>
      <c r="K64" s="5" t="s">
        <v>96</v>
      </c>
      <c r="L64" s="5" t="s">
        <v>96</v>
      </c>
      <c r="M64" s="5" t="s">
        <v>96</v>
      </c>
      <c r="N64" s="5" t="s">
        <v>96</v>
      </c>
      <c r="O64" s="5" t="s">
        <v>96</v>
      </c>
      <c r="P64" s="5" t="s">
        <v>96</v>
      </c>
      <c r="Q64" s="5" t="s">
        <v>96</v>
      </c>
      <c r="R64" s="5" t="s">
        <v>96</v>
      </c>
      <c r="S64" s="5">
        <f t="shared" si="0"/>
        <v>1</v>
      </c>
      <c r="T64" s="5" t="str">
        <f ca="1">IFERROR(__xludf.DUMMYFUNCTION("QUERY(transpose(A64:R64),""Select Col1 where Col1 is not null limit 1"",0)"),"J.K. Dobbins")</f>
        <v>J.K. Dobbins</v>
      </c>
      <c r="U64" s="32" t="e">
        <f t="shared" ca="1" si="1"/>
        <v>#NAME?</v>
      </c>
    </row>
    <row r="65" spans="1:21" ht="12.75" x14ac:dyDescent="0.2">
      <c r="A65" s="5" t="s">
        <v>97</v>
      </c>
      <c r="B65" s="5" t="s">
        <v>97</v>
      </c>
      <c r="C65" s="5" t="s">
        <v>97</v>
      </c>
      <c r="D65" s="5" t="s">
        <v>97</v>
      </c>
      <c r="E65" s="5" t="s">
        <v>97</v>
      </c>
      <c r="F65" s="5" t="s">
        <v>97</v>
      </c>
      <c r="G65" s="5" t="s">
        <v>97</v>
      </c>
      <c r="H65" s="5" t="s">
        <v>97</v>
      </c>
      <c r="I65" s="5" t="s">
        <v>97</v>
      </c>
      <c r="J65" s="5" t="s">
        <v>97</v>
      </c>
      <c r="K65" s="5" t="s">
        <v>97</v>
      </c>
      <c r="L65" s="5" t="s">
        <v>97</v>
      </c>
      <c r="M65" s="5" t="s">
        <v>97</v>
      </c>
      <c r="N65" s="5" t="s">
        <v>97</v>
      </c>
      <c r="O65" s="5" t="s">
        <v>97</v>
      </c>
      <c r="P65" s="5" t="s">
        <v>97</v>
      </c>
      <c r="Q65" s="5" t="s">
        <v>97</v>
      </c>
      <c r="R65" s="5" t="s">
        <v>97</v>
      </c>
      <c r="S65" s="5">
        <f t="shared" si="0"/>
        <v>1</v>
      </c>
      <c r="T65" s="5" t="str">
        <f ca="1">IFERROR(__xludf.DUMMYFUNCTION("QUERY(transpose(A65:R65),""Select Col1 where Col1 is not null limit 1"",0)"),"Kenny Gainwell")</f>
        <v>Kenny Gainwell</v>
      </c>
      <c r="U65" s="32" t="e">
        <f t="shared" ca="1" si="1"/>
        <v>#NAME?</v>
      </c>
    </row>
    <row r="66" spans="1:21" ht="12.75" x14ac:dyDescent="0.2">
      <c r="A66" s="5" t="s">
        <v>98</v>
      </c>
      <c r="B66" s="5" t="s">
        <v>98</v>
      </c>
      <c r="C66" s="5" t="s">
        <v>98</v>
      </c>
      <c r="D66" s="5" t="s">
        <v>98</v>
      </c>
      <c r="E66" s="5" t="s">
        <v>98</v>
      </c>
      <c r="F66" s="5" t="s">
        <v>98</v>
      </c>
      <c r="G66" s="5" t="s">
        <v>98</v>
      </c>
      <c r="H66" s="5" t="s">
        <v>98</v>
      </c>
      <c r="I66" s="5" t="s">
        <v>98</v>
      </c>
      <c r="J66" s="5" t="s">
        <v>98</v>
      </c>
      <c r="K66" s="5" t="s">
        <v>98</v>
      </c>
      <c r="L66" s="5" t="s">
        <v>98</v>
      </c>
      <c r="M66" s="5" t="s">
        <v>98</v>
      </c>
      <c r="N66" s="5" t="s">
        <v>98</v>
      </c>
      <c r="O66" s="5" t="s">
        <v>98</v>
      </c>
      <c r="P66" s="5" t="s">
        <v>98</v>
      </c>
      <c r="Q66" s="5" t="s">
        <v>98</v>
      </c>
      <c r="R66" s="5" t="s">
        <v>98</v>
      </c>
      <c r="S66" s="5">
        <f t="shared" si="0"/>
        <v>1</v>
      </c>
      <c r="T66" s="5" t="str">
        <f ca="1">IFERROR(__xludf.DUMMYFUNCTION("QUERY(transpose(A66:R66),""Select Col1 where Col1 is not null limit 1"",0)"),"Samaje Perine")</f>
        <v>Samaje Perine</v>
      </c>
      <c r="U66" s="32" t="e">
        <f t="shared" ca="1" si="1"/>
        <v>#NAME?</v>
      </c>
    </row>
    <row r="67" spans="1:21" ht="12.75" x14ac:dyDescent="0.2">
      <c r="A67" s="5" t="s">
        <v>99</v>
      </c>
      <c r="B67" s="5" t="s">
        <v>99</v>
      </c>
      <c r="C67" s="5" t="s">
        <v>99</v>
      </c>
      <c r="D67" s="5" t="s">
        <v>99</v>
      </c>
      <c r="E67" s="5" t="s">
        <v>99</v>
      </c>
      <c r="F67" s="5" t="s">
        <v>99</v>
      </c>
      <c r="G67" s="5" t="s">
        <v>99</v>
      </c>
      <c r="H67" s="5" t="s">
        <v>99</v>
      </c>
      <c r="I67" s="5" t="s">
        <v>99</v>
      </c>
      <c r="J67" s="5" t="s">
        <v>99</v>
      </c>
      <c r="K67" s="5" t="s">
        <v>99</v>
      </c>
      <c r="L67" s="5" t="s">
        <v>99</v>
      </c>
      <c r="M67" s="5" t="s">
        <v>99</v>
      </c>
      <c r="N67" s="5" t="s">
        <v>99</v>
      </c>
      <c r="O67" s="5" t="s">
        <v>99</v>
      </c>
      <c r="P67" s="5" t="s">
        <v>99</v>
      </c>
      <c r="Q67" s="5" t="s">
        <v>99</v>
      </c>
      <c r="R67" s="5" t="s">
        <v>99</v>
      </c>
      <c r="S67" s="5">
        <f t="shared" si="0"/>
        <v>1</v>
      </c>
      <c r="T67" s="5" t="str">
        <f ca="1">IFERROR(__xludf.DUMMYFUNCTION("QUERY(transpose(A67:R67),""Select Col1 where Col1 is not null limit 1"",0)"),"Khalil Herbert")</f>
        <v>Khalil Herbert</v>
      </c>
      <c r="U67" s="32" t="e">
        <f t="shared" ca="1" si="1"/>
        <v>#NAME?</v>
      </c>
    </row>
    <row r="68" spans="1:21" ht="12.75" x14ac:dyDescent="0.2">
      <c r="A68" s="5" t="s">
        <v>100</v>
      </c>
      <c r="B68" s="5" t="s">
        <v>100</v>
      </c>
      <c r="C68" s="5" t="s">
        <v>100</v>
      </c>
      <c r="D68" s="5" t="s">
        <v>100</v>
      </c>
      <c r="E68" s="5" t="s">
        <v>100</v>
      </c>
      <c r="F68" s="5" t="s">
        <v>100</v>
      </c>
      <c r="G68" s="5" t="s">
        <v>100</v>
      </c>
      <c r="H68" s="5" t="s">
        <v>100</v>
      </c>
      <c r="I68" s="5" t="s">
        <v>100</v>
      </c>
      <c r="J68" s="5" t="s">
        <v>100</v>
      </c>
      <c r="K68" s="5" t="s">
        <v>100</v>
      </c>
      <c r="L68" s="5" t="s">
        <v>100</v>
      </c>
      <c r="M68" s="5" t="s">
        <v>100</v>
      </c>
      <c r="N68" s="5" t="s">
        <v>100</v>
      </c>
      <c r="O68" s="5" t="s">
        <v>100</v>
      </c>
      <c r="P68" s="5" t="s">
        <v>100</v>
      </c>
      <c r="Q68" s="5" t="s">
        <v>100</v>
      </c>
      <c r="R68" s="5" t="s">
        <v>100</v>
      </c>
      <c r="S68" s="5">
        <f t="shared" si="0"/>
        <v>1</v>
      </c>
      <c r="T68" s="5" t="str">
        <f ca="1">IFERROR(__xludf.DUMMYFUNCTION("QUERY(transpose(A68:R68),""Select Col1 where Col1 is not null limit 1"",0)"),"Kenneth Walker")</f>
        <v>Kenneth Walker</v>
      </c>
      <c r="U68" s="32" t="e">
        <f t="shared" ca="1" si="1"/>
        <v>#NAME?</v>
      </c>
    </row>
    <row r="69" spans="1:21" ht="12.75" x14ac:dyDescent="0.2">
      <c r="A69" s="5" t="s">
        <v>101</v>
      </c>
      <c r="B69" s="5" t="s">
        <v>101</v>
      </c>
      <c r="C69" s="5" t="s">
        <v>101</v>
      </c>
      <c r="D69" s="5" t="s">
        <v>101</v>
      </c>
      <c r="E69" s="5" t="s">
        <v>101</v>
      </c>
      <c r="F69" s="5" t="s">
        <v>101</v>
      </c>
      <c r="G69" s="5" t="s">
        <v>101</v>
      </c>
      <c r="H69" s="5" t="s">
        <v>101</v>
      </c>
      <c r="I69" s="5" t="s">
        <v>101</v>
      </c>
      <c r="J69" s="5" t="s">
        <v>101</v>
      </c>
      <c r="K69" s="5" t="s">
        <v>101</v>
      </c>
      <c r="L69" s="5" t="s">
        <v>101</v>
      </c>
      <c r="M69" s="5" t="s">
        <v>101</v>
      </c>
      <c r="N69" s="5" t="s">
        <v>101</v>
      </c>
      <c r="O69" s="5" t="s">
        <v>101</v>
      </c>
      <c r="P69" s="5" t="s">
        <v>101</v>
      </c>
      <c r="Q69" s="5" t="s">
        <v>101</v>
      </c>
      <c r="R69" s="5" t="s">
        <v>101</v>
      </c>
      <c r="S69" s="5">
        <f t="shared" si="0"/>
        <v>1</v>
      </c>
      <c r="T69" s="5" t="str">
        <f ca="1">IFERROR(__xludf.DUMMYFUNCTION("QUERY(transpose(A69:R69),""Select Col1 where Col1 is not null limit 1"",0)"),"Saquon Barkley")</f>
        <v>Saquon Barkley</v>
      </c>
      <c r="U69" s="32" t="e">
        <f t="shared" ca="1" si="1"/>
        <v>#NAME?</v>
      </c>
    </row>
    <row r="70" spans="1:21" ht="12.75" x14ac:dyDescent="0.2">
      <c r="A70" s="5" t="s">
        <v>102</v>
      </c>
      <c r="B70" s="5" t="s">
        <v>102</v>
      </c>
      <c r="C70" s="5" t="s">
        <v>102</v>
      </c>
      <c r="D70" s="5" t="s">
        <v>102</v>
      </c>
      <c r="E70" s="5" t="s">
        <v>102</v>
      </c>
      <c r="F70" s="5" t="s">
        <v>102</v>
      </c>
      <c r="G70" s="5" t="s">
        <v>102</v>
      </c>
      <c r="H70" s="5" t="s">
        <v>102</v>
      </c>
      <c r="I70" s="5" t="s">
        <v>102</v>
      </c>
      <c r="J70" s="5" t="s">
        <v>102</v>
      </c>
      <c r="K70" s="5" t="s">
        <v>102</v>
      </c>
      <c r="L70" s="5" t="s">
        <v>102</v>
      </c>
      <c r="M70" s="5" t="s">
        <v>102</v>
      </c>
      <c r="N70" s="5" t="s">
        <v>102</v>
      </c>
      <c r="O70" s="5" t="s">
        <v>102</v>
      </c>
      <c r="P70" s="5" t="s">
        <v>102</v>
      </c>
      <c r="Q70" s="5" t="s">
        <v>102</v>
      </c>
      <c r="R70" s="5" t="s">
        <v>102</v>
      </c>
      <c r="S70" s="5">
        <f t="shared" si="0"/>
        <v>1</v>
      </c>
      <c r="T70" s="5" t="str">
        <f ca="1">IFERROR(__xludf.DUMMYFUNCTION("QUERY(transpose(A70:R70),""Select Col1 where Col1 is not null limit 1"",0)"),"James Cook")</f>
        <v>James Cook</v>
      </c>
      <c r="U70" s="32" t="e">
        <f t="shared" ca="1" si="1"/>
        <v>#NAME?</v>
      </c>
    </row>
    <row r="71" spans="1:21" ht="12.75" x14ac:dyDescent="0.2">
      <c r="A71" s="5" t="s">
        <v>103</v>
      </c>
      <c r="B71" s="5" t="s">
        <v>103</v>
      </c>
      <c r="C71" s="5" t="s">
        <v>103</v>
      </c>
      <c r="D71" s="5" t="s">
        <v>103</v>
      </c>
      <c r="E71" s="5" t="s">
        <v>103</v>
      </c>
      <c r="F71" s="5" t="s">
        <v>103</v>
      </c>
      <c r="G71" s="5" t="s">
        <v>103</v>
      </c>
      <c r="H71" s="5" t="s">
        <v>103</v>
      </c>
      <c r="I71" s="5" t="s">
        <v>103</v>
      </c>
      <c r="J71" s="5" t="s">
        <v>103</v>
      </c>
      <c r="K71" s="5" t="s">
        <v>103</v>
      </c>
      <c r="L71" s="5" t="s">
        <v>103</v>
      </c>
      <c r="M71" s="5" t="s">
        <v>103</v>
      </c>
      <c r="N71" s="5" t="s">
        <v>103</v>
      </c>
      <c r="O71" s="5" t="s">
        <v>103</v>
      </c>
      <c r="P71" s="5" t="s">
        <v>103</v>
      </c>
      <c r="Q71" s="5" t="s">
        <v>103</v>
      </c>
      <c r="R71" s="5" t="s">
        <v>103</v>
      </c>
      <c r="S71" s="5">
        <f t="shared" si="0"/>
        <v>1</v>
      </c>
      <c r="T71" s="5" t="str">
        <f ca="1">IFERROR(__xludf.DUMMYFUNCTION("QUERY(transpose(A71:R71),""Select Col1 where Col1 is not null limit 1"",0)"),"Joe Mixon")</f>
        <v>Joe Mixon</v>
      </c>
      <c r="U71" s="32" t="e">
        <f t="shared" ca="1" si="1"/>
        <v>#NAME?</v>
      </c>
    </row>
    <row r="72" spans="1:21" ht="12.75" x14ac:dyDescent="0.2">
      <c r="A72" s="5" t="s">
        <v>104</v>
      </c>
      <c r="B72" s="5" t="s">
        <v>104</v>
      </c>
      <c r="C72" s="5" t="s">
        <v>104</v>
      </c>
      <c r="D72" s="5" t="s">
        <v>104</v>
      </c>
      <c r="E72" s="5" t="s">
        <v>104</v>
      </c>
      <c r="F72" s="5" t="s">
        <v>104</v>
      </c>
      <c r="G72" s="5" t="s">
        <v>104</v>
      </c>
      <c r="H72" s="5" t="s">
        <v>104</v>
      </c>
      <c r="I72" s="5" t="s">
        <v>104</v>
      </c>
      <c r="J72" s="5" t="s">
        <v>104</v>
      </c>
      <c r="K72" s="5" t="s">
        <v>104</v>
      </c>
      <c r="L72" s="5" t="s">
        <v>104</v>
      </c>
      <c r="M72" s="5" t="s">
        <v>104</v>
      </c>
      <c r="N72" s="5" t="s">
        <v>104</v>
      </c>
      <c r="O72" s="5" t="s">
        <v>104</v>
      </c>
      <c r="P72" s="5" t="s">
        <v>104</v>
      </c>
      <c r="Q72" s="5" t="s">
        <v>104</v>
      </c>
      <c r="R72" s="5" t="s">
        <v>104</v>
      </c>
      <c r="S72" s="5">
        <f t="shared" si="0"/>
        <v>1</v>
      </c>
      <c r="T72" s="5" t="str">
        <f ca="1">IFERROR(__xludf.DUMMYFUNCTION("QUERY(transpose(A72:R72),""Select Col1 where Col1 is not null limit 1"",0)"),"Isiah Pacheco")</f>
        <v>Isiah Pacheco</v>
      </c>
      <c r="U72" s="32" t="e">
        <f t="shared" ca="1" si="1"/>
        <v>#NAME?</v>
      </c>
    </row>
    <row r="73" spans="1:21" ht="12.75" x14ac:dyDescent="0.2">
      <c r="A73" s="5" t="s">
        <v>105</v>
      </c>
      <c r="B73" s="5" t="s">
        <v>105</v>
      </c>
      <c r="C73" s="5" t="s">
        <v>105</v>
      </c>
      <c r="D73" s="5" t="s">
        <v>105</v>
      </c>
      <c r="E73" s="5" t="s">
        <v>105</v>
      </c>
      <c r="F73" s="5" t="s">
        <v>105</v>
      </c>
      <c r="G73" s="5" t="s">
        <v>105</v>
      </c>
      <c r="H73" s="5" t="s">
        <v>105</v>
      </c>
      <c r="I73" s="5" t="s">
        <v>105</v>
      </c>
      <c r="J73" s="5" t="s">
        <v>105</v>
      </c>
      <c r="K73" s="5" t="s">
        <v>105</v>
      </c>
      <c r="L73" s="5" t="s">
        <v>105</v>
      </c>
      <c r="M73" s="5" t="s">
        <v>105</v>
      </c>
      <c r="N73" s="5" t="s">
        <v>105</v>
      </c>
      <c r="O73" s="5" t="s">
        <v>105</v>
      </c>
      <c r="P73" s="5" t="s">
        <v>105</v>
      </c>
      <c r="Q73" s="5" t="s">
        <v>105</v>
      </c>
      <c r="R73" s="5" t="s">
        <v>105</v>
      </c>
      <c r="S73" s="5">
        <f t="shared" si="0"/>
        <v>1</v>
      </c>
      <c r="T73" s="5" t="str">
        <f ca="1">IFERROR(__xludf.DUMMYFUNCTION("QUERY(transpose(A73:R73),""Select Col1 where Col1 is not null limit 1"",0)"),"Javonte Williams")</f>
        <v>Javonte Williams</v>
      </c>
      <c r="U73" s="32" t="e">
        <f t="shared" ca="1" si="1"/>
        <v>#NAME?</v>
      </c>
    </row>
    <row r="74" spans="1:21" ht="12.75" x14ac:dyDescent="0.2">
      <c r="A74" s="5" t="s">
        <v>106</v>
      </c>
      <c r="B74" s="5" t="s">
        <v>106</v>
      </c>
      <c r="C74" s="5" t="s">
        <v>106</v>
      </c>
      <c r="D74" s="5" t="s">
        <v>106</v>
      </c>
      <c r="E74" s="5" t="s">
        <v>106</v>
      </c>
      <c r="F74" s="5" t="s">
        <v>106</v>
      </c>
      <c r="G74" s="5" t="s">
        <v>106</v>
      </c>
      <c r="H74" s="5" t="s">
        <v>106</v>
      </c>
      <c r="I74" s="5" t="s">
        <v>106</v>
      </c>
      <c r="J74" s="5" t="s">
        <v>106</v>
      </c>
      <c r="K74" s="5" t="s">
        <v>106</v>
      </c>
      <c r="L74" s="5" t="s">
        <v>106</v>
      </c>
      <c r="M74" s="5" t="s">
        <v>106</v>
      </c>
      <c r="N74" s="5" t="s">
        <v>106</v>
      </c>
      <c r="O74" s="5" t="s">
        <v>106</v>
      </c>
      <c r="P74" s="5" t="s">
        <v>106</v>
      </c>
      <c r="Q74" s="5" t="s">
        <v>106</v>
      </c>
      <c r="R74" s="5" t="s">
        <v>106</v>
      </c>
      <c r="S74" s="5">
        <f t="shared" si="0"/>
        <v>1</v>
      </c>
      <c r="T74" s="5" t="str">
        <f ca="1">IFERROR(__xludf.DUMMYFUNCTION("QUERY(transpose(A74:R74),""Select Col1 where Col1 is not null limit 1"",0)"),"Cam Akers")</f>
        <v>Cam Akers</v>
      </c>
      <c r="U74" s="32" t="e">
        <f t="shared" ca="1" si="1"/>
        <v>#NAME?</v>
      </c>
    </row>
    <row r="75" spans="1:21" ht="12.75" x14ac:dyDescent="0.2">
      <c r="A75" s="5" t="s">
        <v>107</v>
      </c>
      <c r="B75" s="5" t="s">
        <v>107</v>
      </c>
      <c r="C75" s="5" t="s">
        <v>107</v>
      </c>
      <c r="D75" s="5" t="s">
        <v>107</v>
      </c>
      <c r="E75" s="5" t="s">
        <v>107</v>
      </c>
      <c r="F75" s="5" t="s">
        <v>107</v>
      </c>
      <c r="G75" s="5" t="s">
        <v>107</v>
      </c>
      <c r="H75" s="5" t="s">
        <v>107</v>
      </c>
      <c r="I75" s="5" t="s">
        <v>107</v>
      </c>
      <c r="J75" s="5" t="s">
        <v>107</v>
      </c>
      <c r="K75" s="5" t="s">
        <v>107</v>
      </c>
      <c r="L75" s="5" t="s">
        <v>107</v>
      </c>
      <c r="M75" s="5" t="s">
        <v>107</v>
      </c>
      <c r="N75" s="5" t="s">
        <v>107</v>
      </c>
      <c r="O75" s="5" t="s">
        <v>107</v>
      </c>
      <c r="P75" s="5" t="s">
        <v>107</v>
      </c>
      <c r="Q75" s="5" t="s">
        <v>107</v>
      </c>
      <c r="R75" s="5" t="s">
        <v>107</v>
      </c>
      <c r="S75" s="5">
        <f t="shared" si="0"/>
        <v>1</v>
      </c>
      <c r="T75" s="5" t="str">
        <f ca="1">IFERROR(__xludf.DUMMYFUNCTION("QUERY(transpose(A75:R75),""Select Col1 where Col1 is not null limit 1"",0)"),"Dalvin Cook")</f>
        <v>Dalvin Cook</v>
      </c>
      <c r="U75" s="32" t="e">
        <f t="shared" ca="1" si="1"/>
        <v>#NAME?</v>
      </c>
    </row>
    <row r="76" spans="1:21" ht="12.75" x14ac:dyDescent="0.2">
      <c r="A76" s="5" t="s">
        <v>108</v>
      </c>
      <c r="B76" s="5" t="s">
        <v>108</v>
      </c>
      <c r="C76" s="5" t="s">
        <v>108</v>
      </c>
      <c r="D76" s="5" t="s">
        <v>108</v>
      </c>
      <c r="E76" s="5" t="s">
        <v>108</v>
      </c>
      <c r="F76" s="5" t="s">
        <v>108</v>
      </c>
      <c r="G76" s="5" t="s">
        <v>108</v>
      </c>
      <c r="H76" s="5" t="s">
        <v>108</v>
      </c>
      <c r="I76" s="5" t="s">
        <v>108</v>
      </c>
      <c r="J76" s="5" t="s">
        <v>108</v>
      </c>
      <c r="K76" s="5" t="s">
        <v>108</v>
      </c>
      <c r="L76" s="5" t="s">
        <v>108</v>
      </c>
      <c r="M76" s="5" t="s">
        <v>108</v>
      </c>
      <c r="N76" s="5" t="s">
        <v>108</v>
      </c>
      <c r="O76" s="5" t="s">
        <v>108</v>
      </c>
      <c r="P76" s="5" t="s">
        <v>108</v>
      </c>
      <c r="Q76" s="5" t="s">
        <v>108</v>
      </c>
      <c r="R76" s="5" t="s">
        <v>108</v>
      </c>
      <c r="S76" s="5">
        <f t="shared" si="0"/>
        <v>1</v>
      </c>
      <c r="T76" s="5" t="str">
        <f ca="1">IFERROR(__xludf.DUMMYFUNCTION("QUERY(transpose(A76:R76),""Select Col1 where Col1 is not null limit 1"",0)"),"Chuba Hubbard")</f>
        <v>Chuba Hubbard</v>
      </c>
      <c r="U76" s="32" t="e">
        <f t="shared" ca="1" si="1"/>
        <v>#NAME?</v>
      </c>
    </row>
    <row r="77" spans="1:21" ht="12.75" x14ac:dyDescent="0.2">
      <c r="A77" s="5" t="s">
        <v>109</v>
      </c>
      <c r="B77" s="5" t="s">
        <v>109</v>
      </c>
      <c r="C77" s="5" t="s">
        <v>109</v>
      </c>
      <c r="D77" s="5" t="s">
        <v>109</v>
      </c>
      <c r="E77" s="5" t="s">
        <v>109</v>
      </c>
      <c r="F77" s="5" t="s">
        <v>109</v>
      </c>
      <c r="G77" s="5" t="s">
        <v>109</v>
      </c>
      <c r="H77" s="5" t="s">
        <v>109</v>
      </c>
      <c r="I77" s="5" t="s">
        <v>109</v>
      </c>
      <c r="J77" s="5" t="s">
        <v>109</v>
      </c>
      <c r="K77" s="5" t="s">
        <v>109</v>
      </c>
      <c r="L77" s="5" t="s">
        <v>109</v>
      </c>
      <c r="M77" s="5" t="s">
        <v>109</v>
      </c>
      <c r="N77" s="5" t="s">
        <v>109</v>
      </c>
      <c r="O77" s="5" t="s">
        <v>109</v>
      </c>
      <c r="P77" s="5" t="s">
        <v>109</v>
      </c>
      <c r="Q77" s="5" t="s">
        <v>109</v>
      </c>
      <c r="R77" s="5" t="s">
        <v>109</v>
      </c>
      <c r="S77" s="5">
        <f t="shared" si="0"/>
        <v>1</v>
      </c>
      <c r="T77" s="5" t="str">
        <f ca="1">IFERROR(__xludf.DUMMYFUNCTION("QUERY(transpose(A77:R77),""Select Col1 where Col1 is not null limit 1"",0)"),"Josh Jacobs")</f>
        <v>Josh Jacobs</v>
      </c>
      <c r="U77" s="32" t="e">
        <f t="shared" ca="1" si="1"/>
        <v>#NAME?</v>
      </c>
    </row>
    <row r="78" spans="1:21" ht="12.75" x14ac:dyDescent="0.2">
      <c r="A78" s="5" t="s">
        <v>110</v>
      </c>
      <c r="B78" s="5" t="s">
        <v>110</v>
      </c>
      <c r="C78" s="5" t="s">
        <v>110</v>
      </c>
      <c r="D78" s="5" t="s">
        <v>110</v>
      </c>
      <c r="E78" s="5" t="s">
        <v>110</v>
      </c>
      <c r="F78" s="5" t="s">
        <v>110</v>
      </c>
      <c r="G78" s="5" t="s">
        <v>110</v>
      </c>
      <c r="H78" s="5" t="s">
        <v>110</v>
      </c>
      <c r="I78" s="5" t="s">
        <v>110</v>
      </c>
      <c r="J78" s="5" t="s">
        <v>110</v>
      </c>
      <c r="K78" s="5" t="s">
        <v>110</v>
      </c>
      <c r="L78" s="5" t="s">
        <v>110</v>
      </c>
      <c r="M78" s="5" t="s">
        <v>110</v>
      </c>
      <c r="N78" s="5" t="s">
        <v>110</v>
      </c>
      <c r="O78" s="5" t="s">
        <v>110</v>
      </c>
      <c r="P78" s="5" t="s">
        <v>110</v>
      </c>
      <c r="Q78" s="5" t="s">
        <v>110</v>
      </c>
      <c r="R78" s="5" t="s">
        <v>110</v>
      </c>
      <c r="S78" s="5">
        <f t="shared" si="0"/>
        <v>1</v>
      </c>
      <c r="T78" s="5" t="str">
        <f ca="1">IFERROR(__xludf.DUMMYFUNCTION("QUERY(transpose(A78:R78),""Select Col1 where Col1 is not null limit 1"",0)"),"Ezekiel Elliott")</f>
        <v>Ezekiel Elliott</v>
      </c>
      <c r="U78" s="32" t="e">
        <f t="shared" ca="1" si="1"/>
        <v>#NAME?</v>
      </c>
    </row>
    <row r="79" spans="1:21" ht="12.75" x14ac:dyDescent="0.2">
      <c r="A79" s="5" t="s">
        <v>111</v>
      </c>
      <c r="B79" s="5" t="s">
        <v>111</v>
      </c>
      <c r="C79" s="5" t="s">
        <v>111</v>
      </c>
      <c r="D79" s="5" t="s">
        <v>111</v>
      </c>
      <c r="E79" s="5" t="s">
        <v>111</v>
      </c>
      <c r="F79" s="5" t="s">
        <v>111</v>
      </c>
      <c r="G79" s="5" t="s">
        <v>111</v>
      </c>
      <c r="H79" s="5" t="s">
        <v>111</v>
      </c>
      <c r="I79" s="5" t="s">
        <v>111</v>
      </c>
      <c r="J79" s="5" t="s">
        <v>111</v>
      </c>
      <c r="K79" s="5" t="s">
        <v>111</v>
      </c>
      <c r="L79" s="5" t="s">
        <v>111</v>
      </c>
      <c r="M79" s="5" t="s">
        <v>111</v>
      </c>
      <c r="N79" s="5" t="s">
        <v>111</v>
      </c>
      <c r="O79" s="5" t="s">
        <v>111</v>
      </c>
      <c r="P79" s="5" t="s">
        <v>111</v>
      </c>
      <c r="Q79" s="5" t="s">
        <v>111</v>
      </c>
      <c r="R79" s="5" t="s">
        <v>111</v>
      </c>
      <c r="S79" s="5">
        <f t="shared" si="0"/>
        <v>1</v>
      </c>
      <c r="T79" s="5" t="str">
        <f ca="1">IFERROR(__xludf.DUMMYFUNCTION("QUERY(transpose(A79:R79),""Select Col1 where Col1 is not null limit 1"",0)"),"Jahmyr Gibbs")</f>
        <v>Jahmyr Gibbs</v>
      </c>
      <c r="U79" s="32" t="e">
        <f t="shared" ca="1" si="1"/>
        <v>#NAME?</v>
      </c>
    </row>
    <row r="80" spans="1:21" ht="12.75" x14ac:dyDescent="0.2">
      <c r="A80" s="5" t="s">
        <v>112</v>
      </c>
      <c r="B80" s="5" t="s">
        <v>112</v>
      </c>
      <c r="C80" s="5" t="s">
        <v>112</v>
      </c>
      <c r="D80" s="5" t="s">
        <v>112</v>
      </c>
      <c r="E80" s="5" t="s">
        <v>112</v>
      </c>
      <c r="F80" s="5" t="s">
        <v>112</v>
      </c>
      <c r="G80" s="5" t="s">
        <v>112</v>
      </c>
      <c r="H80" s="5" t="s">
        <v>112</v>
      </c>
      <c r="I80" s="5" t="s">
        <v>112</v>
      </c>
      <c r="J80" s="5" t="s">
        <v>112</v>
      </c>
      <c r="K80" s="5" t="s">
        <v>112</v>
      </c>
      <c r="L80" s="5" t="s">
        <v>112</v>
      </c>
      <c r="M80" s="5" t="s">
        <v>112</v>
      </c>
      <c r="N80" s="5" t="s">
        <v>112</v>
      </c>
      <c r="O80" s="5" t="s">
        <v>112</v>
      </c>
      <c r="P80" s="5" t="s">
        <v>112</v>
      </c>
      <c r="Q80" s="5" t="s">
        <v>112</v>
      </c>
      <c r="R80" s="5" t="s">
        <v>112</v>
      </c>
      <c r="S80" s="5">
        <f t="shared" si="0"/>
        <v>1</v>
      </c>
      <c r="T80" s="5" t="str">
        <f ca="1">IFERROR(__xludf.DUMMYFUNCTION("QUERY(transpose(A80:R80),""Select Col1 where Col1 is not null limit 1"",0)"),"Cartavious Bigsby")</f>
        <v>Cartavious Bigsby</v>
      </c>
      <c r="U80" s="32" t="e">
        <f t="shared" ca="1" si="1"/>
        <v>#NAME?</v>
      </c>
    </row>
    <row r="81" spans="1:21" ht="12.75" x14ac:dyDescent="0.2">
      <c r="A81" s="5" t="s">
        <v>113</v>
      </c>
      <c r="B81" s="5" t="s">
        <v>113</v>
      </c>
      <c r="C81" s="5" t="s">
        <v>113</v>
      </c>
      <c r="D81" s="5" t="s">
        <v>113</v>
      </c>
      <c r="E81" s="5" t="s">
        <v>113</v>
      </c>
      <c r="F81" s="5" t="s">
        <v>113</v>
      </c>
      <c r="G81" s="5" t="s">
        <v>113</v>
      </c>
      <c r="H81" s="5" t="s">
        <v>113</v>
      </c>
      <c r="I81" s="5" t="s">
        <v>113</v>
      </c>
      <c r="J81" s="5" t="s">
        <v>113</v>
      </c>
      <c r="K81" s="5" t="s">
        <v>113</v>
      </c>
      <c r="L81" s="5" t="s">
        <v>113</v>
      </c>
      <c r="M81" s="5" t="s">
        <v>113</v>
      </c>
      <c r="N81" s="5" t="s">
        <v>113</v>
      </c>
      <c r="O81" s="5" t="s">
        <v>113</v>
      </c>
      <c r="P81" s="5" t="s">
        <v>113</v>
      </c>
      <c r="Q81" s="5" t="s">
        <v>113</v>
      </c>
      <c r="R81" s="5" t="s">
        <v>113</v>
      </c>
      <c r="S81" s="5">
        <f t="shared" si="0"/>
        <v>1</v>
      </c>
      <c r="T81" s="5" t="str">
        <f ca="1">IFERROR(__xludf.DUMMYFUNCTION("QUERY(transpose(A81:R81),""Select Col1 where Col1 is not null limit 1"",0)"),"Jaylen Warren")</f>
        <v>Jaylen Warren</v>
      </c>
      <c r="U81" s="32" t="e">
        <f t="shared" ca="1" si="1"/>
        <v>#NAME?</v>
      </c>
    </row>
    <row r="82" spans="1:21" ht="12.75" x14ac:dyDescent="0.2">
      <c r="A82" s="5" t="s">
        <v>114</v>
      </c>
      <c r="B82" s="5" t="s">
        <v>114</v>
      </c>
      <c r="C82" s="5" t="s">
        <v>114</v>
      </c>
      <c r="D82" s="5" t="s">
        <v>114</v>
      </c>
      <c r="E82" s="5" t="s">
        <v>114</v>
      </c>
      <c r="F82" s="5" t="s">
        <v>114</v>
      </c>
      <c r="G82" s="5" t="s">
        <v>114</v>
      </c>
      <c r="H82" s="5" t="s">
        <v>114</v>
      </c>
      <c r="I82" s="5" t="s">
        <v>114</v>
      </c>
      <c r="J82" s="5" t="s">
        <v>114</v>
      </c>
      <c r="K82" s="5" t="s">
        <v>114</v>
      </c>
      <c r="L82" s="5" t="s">
        <v>114</v>
      </c>
      <c r="M82" s="5" t="s">
        <v>114</v>
      </c>
      <c r="N82" s="5" t="s">
        <v>114</v>
      </c>
      <c r="O82" s="5" t="s">
        <v>114</v>
      </c>
      <c r="P82" s="5" t="s">
        <v>114</v>
      </c>
      <c r="Q82" s="5" t="s">
        <v>114</v>
      </c>
      <c r="R82" s="5" t="s">
        <v>114</v>
      </c>
      <c r="S82" s="5">
        <f t="shared" si="0"/>
        <v>1</v>
      </c>
      <c r="T82" s="5" t="str">
        <f ca="1">IFERROR(__xludf.DUMMYFUNCTION("QUERY(transpose(A82:R82),""Select Col1 where Col1 is not null limit 1"",0)"),"Rachaad White")</f>
        <v>Rachaad White</v>
      </c>
      <c r="U82" s="32" t="e">
        <f t="shared" ca="1" si="1"/>
        <v>#NAME?</v>
      </c>
    </row>
    <row r="83" spans="1:21" ht="12.75" x14ac:dyDescent="0.2">
      <c r="A83" s="5" t="s">
        <v>115</v>
      </c>
      <c r="B83" s="5" t="s">
        <v>115</v>
      </c>
      <c r="C83" s="5" t="s">
        <v>115</v>
      </c>
      <c r="D83" s="5" t="s">
        <v>115</v>
      </c>
      <c r="E83" s="5" t="s">
        <v>115</v>
      </c>
      <c r="F83" s="5" t="s">
        <v>115</v>
      </c>
      <c r="G83" s="5" t="s">
        <v>115</v>
      </c>
      <c r="H83" s="5" t="s">
        <v>115</v>
      </c>
      <c r="I83" s="5" t="s">
        <v>115</v>
      </c>
      <c r="J83" s="5" t="s">
        <v>115</v>
      </c>
      <c r="K83" s="5" t="s">
        <v>115</v>
      </c>
      <c r="L83" s="5" t="s">
        <v>115</v>
      </c>
      <c r="M83" s="5" t="s">
        <v>115</v>
      </c>
      <c r="N83" s="5" t="s">
        <v>115</v>
      </c>
      <c r="O83" s="5" t="s">
        <v>115</v>
      </c>
      <c r="P83" s="5" t="s">
        <v>115</v>
      </c>
      <c r="Q83" s="5" t="s">
        <v>115</v>
      </c>
      <c r="R83" s="5" t="s">
        <v>115</v>
      </c>
      <c r="S83" s="5">
        <f t="shared" si="0"/>
        <v>1</v>
      </c>
      <c r="T83" s="5" t="str">
        <f ca="1">IFERROR(__xludf.DUMMYFUNCTION("QUERY(transpose(A83:R83),""Select Col1 where Col1 is not null limit 1"",0)"),"Jamaal Williams")</f>
        <v>Jamaal Williams</v>
      </c>
      <c r="U83" s="32" t="e">
        <f t="shared" ca="1" si="1"/>
        <v>#NAME?</v>
      </c>
    </row>
    <row r="84" spans="1:21" ht="12.75" x14ac:dyDescent="0.2">
      <c r="A84" s="5" t="s">
        <v>116</v>
      </c>
      <c r="B84" s="5" t="s">
        <v>116</v>
      </c>
      <c r="C84" s="5" t="s">
        <v>116</v>
      </c>
      <c r="D84" s="5" t="s">
        <v>116</v>
      </c>
      <c r="E84" s="5" t="s">
        <v>116</v>
      </c>
      <c r="F84" s="5" t="s">
        <v>116</v>
      </c>
      <c r="G84" s="5" t="s">
        <v>116</v>
      </c>
      <c r="H84" s="5" t="s">
        <v>116</v>
      </c>
      <c r="I84" s="5" t="s">
        <v>116</v>
      </c>
      <c r="J84" s="5" t="s">
        <v>116</v>
      </c>
      <c r="K84" s="5" t="s">
        <v>116</v>
      </c>
      <c r="L84" s="5" t="s">
        <v>116</v>
      </c>
      <c r="M84" s="5" t="s">
        <v>116</v>
      </c>
      <c r="N84" s="5" t="s">
        <v>116</v>
      </c>
      <c r="O84" s="5" t="s">
        <v>116</v>
      </c>
      <c r="P84" s="5" t="s">
        <v>116</v>
      </c>
      <c r="Q84" s="5" t="s">
        <v>116</v>
      </c>
      <c r="R84" s="5" t="s">
        <v>116</v>
      </c>
      <c r="S84" s="5">
        <f t="shared" si="0"/>
        <v>1</v>
      </c>
      <c r="T84" s="5" t="str">
        <f ca="1">IFERROR(__xludf.DUMMYFUNCTION("QUERY(transpose(A84:R84),""Select Col1 where Col1 is not null limit 1"",0)"),"Gus Edwards")</f>
        <v>Gus Edwards</v>
      </c>
      <c r="U84" s="32" t="e">
        <f t="shared" ca="1" si="1"/>
        <v>#NAME?</v>
      </c>
    </row>
    <row r="85" spans="1:21" ht="12.75" x14ac:dyDescent="0.2">
      <c r="A85" s="5" t="s">
        <v>117</v>
      </c>
      <c r="B85" s="5" t="s">
        <v>117</v>
      </c>
      <c r="C85" s="5" t="s">
        <v>117</v>
      </c>
      <c r="D85" s="5" t="s">
        <v>117</v>
      </c>
      <c r="E85" s="5" t="s">
        <v>117</v>
      </c>
      <c r="F85" s="5" t="s">
        <v>117</v>
      </c>
      <c r="G85" s="5" t="s">
        <v>117</v>
      </c>
      <c r="H85" s="5" t="s">
        <v>117</v>
      </c>
      <c r="I85" s="5" t="s">
        <v>117</v>
      </c>
      <c r="J85" s="5" t="s">
        <v>117</v>
      </c>
      <c r="K85" s="5" t="s">
        <v>117</v>
      </c>
      <c r="L85" s="5" t="s">
        <v>117</v>
      </c>
      <c r="M85" s="5" t="s">
        <v>117</v>
      </c>
      <c r="N85" s="5" t="s">
        <v>117</v>
      </c>
      <c r="O85" s="5" t="s">
        <v>117</v>
      </c>
      <c r="P85" s="5" t="s">
        <v>117</v>
      </c>
      <c r="Q85" s="5" t="s">
        <v>117</v>
      </c>
      <c r="R85" s="5" t="s">
        <v>117</v>
      </c>
      <c r="S85" s="5">
        <f t="shared" si="0"/>
        <v>1</v>
      </c>
      <c r="T85" s="5" t="str">
        <f ca="1">IFERROR(__xludf.DUMMYFUNCTION("QUERY(transpose(A85:R85),""Select Col1 where Col1 is not null limit 1"",0)"),"Najee Harris")</f>
        <v>Najee Harris</v>
      </c>
      <c r="U85" s="32" t="e">
        <f t="shared" ca="1" si="1"/>
        <v>#NAME?</v>
      </c>
    </row>
    <row r="86" spans="1:21" ht="12.75" x14ac:dyDescent="0.2">
      <c r="A86" s="5" t="s">
        <v>118</v>
      </c>
      <c r="B86" s="5" t="s">
        <v>118</v>
      </c>
      <c r="C86" s="5" t="s">
        <v>118</v>
      </c>
      <c r="D86" s="5" t="s">
        <v>118</v>
      </c>
      <c r="E86" s="5" t="s">
        <v>118</v>
      </c>
      <c r="F86" s="5" t="s">
        <v>118</v>
      </c>
      <c r="G86" s="5" t="s">
        <v>118</v>
      </c>
      <c r="H86" s="5" t="s">
        <v>118</v>
      </c>
      <c r="I86" s="5" t="s">
        <v>118</v>
      </c>
      <c r="J86" s="5" t="s">
        <v>118</v>
      </c>
      <c r="K86" s="5" t="s">
        <v>118</v>
      </c>
      <c r="L86" s="5" t="s">
        <v>118</v>
      </c>
      <c r="M86" s="5" t="s">
        <v>118</v>
      </c>
      <c r="N86" s="5" t="s">
        <v>118</v>
      </c>
      <c r="O86" s="5" t="s">
        <v>118</v>
      </c>
      <c r="P86" s="5" t="s">
        <v>118</v>
      </c>
      <c r="Q86" s="5" t="s">
        <v>118</v>
      </c>
      <c r="R86" s="5" t="s">
        <v>118</v>
      </c>
      <c r="S86" s="5">
        <f t="shared" si="0"/>
        <v>1</v>
      </c>
      <c r="T86" s="5" t="str">
        <f ca="1">IFERROR(__xludf.DUMMYFUNCTION("QUERY(transpose(A86:R86),""Select Col1 where Col1 is not null limit 1"",0)"),"Alec Ingold")</f>
        <v>Alec Ingold</v>
      </c>
      <c r="U86" s="32" t="e">
        <f t="shared" ca="1" si="1"/>
        <v>#NAME?</v>
      </c>
    </row>
    <row r="87" spans="1:21" ht="12.75" x14ac:dyDescent="0.2">
      <c r="A87" s="5" t="s">
        <v>119</v>
      </c>
      <c r="B87" s="5" t="s">
        <v>119</v>
      </c>
      <c r="C87" s="5" t="s">
        <v>119</v>
      </c>
      <c r="D87" s="5" t="s">
        <v>119</v>
      </c>
      <c r="E87" s="5" t="s">
        <v>119</v>
      </c>
      <c r="F87" s="5" t="s">
        <v>119</v>
      </c>
      <c r="G87" s="5" t="s">
        <v>119</v>
      </c>
      <c r="H87" s="5" t="s">
        <v>119</v>
      </c>
      <c r="I87" s="5" t="s">
        <v>119</v>
      </c>
      <c r="J87" s="5" t="s">
        <v>119</v>
      </c>
      <c r="K87" s="5" t="s">
        <v>119</v>
      </c>
      <c r="L87" s="5" t="s">
        <v>119</v>
      </c>
      <c r="M87" s="5" t="s">
        <v>119</v>
      </c>
      <c r="N87" s="5" t="s">
        <v>119</v>
      </c>
      <c r="O87" s="5" t="s">
        <v>119</v>
      </c>
      <c r="P87" s="5" t="s">
        <v>119</v>
      </c>
      <c r="Q87" s="5" t="s">
        <v>119</v>
      </c>
      <c r="R87" s="5" t="s">
        <v>119</v>
      </c>
      <c r="S87" s="5">
        <f t="shared" si="0"/>
        <v>1</v>
      </c>
      <c r="T87" s="5" t="str">
        <f ca="1">IFERROR(__xludf.DUMMYFUNCTION("QUERY(transpose(A87:R87),""Select Col1 where Col1 is not null limit 1"",0)"),"Deon Jackson")</f>
        <v>Deon Jackson</v>
      </c>
      <c r="U87" s="32" t="e">
        <f t="shared" ca="1" si="1"/>
        <v>#NAME?</v>
      </c>
    </row>
    <row r="88" spans="1:21" ht="12.75" x14ac:dyDescent="0.2">
      <c r="A88" s="5" t="s">
        <v>120</v>
      </c>
      <c r="B88" s="5" t="s">
        <v>120</v>
      </c>
      <c r="C88" s="5" t="s">
        <v>120</v>
      </c>
      <c r="D88" s="5" t="s">
        <v>120</v>
      </c>
      <c r="E88" s="5" t="s">
        <v>120</v>
      </c>
      <c r="F88" s="5" t="s">
        <v>120</v>
      </c>
      <c r="G88" s="5" t="s">
        <v>120</v>
      </c>
      <c r="H88" s="5" t="s">
        <v>120</v>
      </c>
      <c r="I88" s="5" t="s">
        <v>120</v>
      </c>
      <c r="J88" s="5" t="s">
        <v>120</v>
      </c>
      <c r="K88" s="5" t="s">
        <v>120</v>
      </c>
      <c r="L88" s="5" t="s">
        <v>120</v>
      </c>
      <c r="M88" s="5" t="s">
        <v>120</v>
      </c>
      <c r="N88" s="5" t="s">
        <v>120</v>
      </c>
      <c r="O88" s="5" t="s">
        <v>120</v>
      </c>
      <c r="P88" s="5" t="s">
        <v>120</v>
      </c>
      <c r="Q88" s="5" t="s">
        <v>120</v>
      </c>
      <c r="R88" s="5" t="s">
        <v>120</v>
      </c>
      <c r="S88" s="5">
        <f t="shared" si="0"/>
        <v>1</v>
      </c>
      <c r="T88" s="5" t="str">
        <f ca="1">IFERROR(__xludf.DUMMYFUNCTION("QUERY(transpose(A88:R88),""Select Col1 where Col1 is not null limit 1"",0)"),"Dameon Pierce")</f>
        <v>Dameon Pierce</v>
      </c>
      <c r="U88" s="32" t="e">
        <f t="shared" ca="1" si="1"/>
        <v>#NAME?</v>
      </c>
    </row>
    <row r="89" spans="1:21" ht="12.75" x14ac:dyDescent="0.2">
      <c r="A89" s="5" t="s">
        <v>121</v>
      </c>
      <c r="B89" s="5" t="s">
        <v>121</v>
      </c>
      <c r="C89" s="5" t="s">
        <v>121</v>
      </c>
      <c r="D89" s="5" t="s">
        <v>121</v>
      </c>
      <c r="E89" s="5" t="s">
        <v>121</v>
      </c>
      <c r="F89" s="5" t="s">
        <v>121</v>
      </c>
      <c r="G89" s="5" t="s">
        <v>121</v>
      </c>
      <c r="H89" s="5" t="s">
        <v>121</v>
      </c>
      <c r="I89" s="5" t="s">
        <v>121</v>
      </c>
      <c r="J89" s="5" t="s">
        <v>121</v>
      </c>
      <c r="K89" s="5" t="s">
        <v>121</v>
      </c>
      <c r="L89" s="5" t="s">
        <v>121</v>
      </c>
      <c r="M89" s="5" t="s">
        <v>121</v>
      </c>
      <c r="N89" s="5" t="s">
        <v>121</v>
      </c>
      <c r="O89" s="5" t="s">
        <v>121</v>
      </c>
      <c r="P89" s="5" t="s">
        <v>121</v>
      </c>
      <c r="Q89" s="5" t="s">
        <v>121</v>
      </c>
      <c r="R89" s="5" t="s">
        <v>121</v>
      </c>
      <c r="S89" s="5">
        <f t="shared" si="0"/>
        <v>1</v>
      </c>
      <c r="T89" s="5" t="str">
        <f ca="1">IFERROR(__xludf.DUMMYFUNCTION("QUERY(transpose(A89:R89),""Select Col1 where Col1 is not null limit 1"",0)"),"Mike Boone")</f>
        <v>Mike Boone</v>
      </c>
      <c r="U89" s="32" t="e">
        <f t="shared" ca="1" si="1"/>
        <v>#NAME?</v>
      </c>
    </row>
    <row r="90" spans="1:21" ht="12.75" x14ac:dyDescent="0.2">
      <c r="A90" s="5" t="s">
        <v>122</v>
      </c>
      <c r="B90" s="5" t="s">
        <v>122</v>
      </c>
      <c r="C90" s="5" t="s">
        <v>122</v>
      </c>
      <c r="D90" s="5" t="s">
        <v>122</v>
      </c>
      <c r="E90" s="5" t="s">
        <v>122</v>
      </c>
      <c r="F90" s="5" t="s">
        <v>122</v>
      </c>
      <c r="G90" s="5" t="s">
        <v>122</v>
      </c>
      <c r="H90" s="5" t="s">
        <v>122</v>
      </c>
      <c r="I90" s="5" t="s">
        <v>122</v>
      </c>
      <c r="J90" s="5" t="s">
        <v>122</v>
      </c>
      <c r="K90" s="5" t="s">
        <v>122</v>
      </c>
      <c r="L90" s="5" t="s">
        <v>122</v>
      </c>
      <c r="M90" s="5" t="s">
        <v>122</v>
      </c>
      <c r="N90" s="5" t="s">
        <v>122</v>
      </c>
      <c r="O90" s="5" t="s">
        <v>122</v>
      </c>
      <c r="P90" s="5" t="s">
        <v>122</v>
      </c>
      <c r="Q90" s="5" t="s">
        <v>122</v>
      </c>
      <c r="R90" s="5" t="s">
        <v>122</v>
      </c>
      <c r="S90" s="5">
        <f t="shared" si="0"/>
        <v>1</v>
      </c>
      <c r="T90" s="5" t="str">
        <f ca="1">IFERROR(__xludf.DUMMYFUNCTION("QUERY(transpose(A90:R90),""Select Col1 where Col1 is not null limit 1"",0)"),"AJ Dillon")</f>
        <v>AJ Dillon</v>
      </c>
      <c r="U90" s="32" t="e">
        <f t="shared" ca="1" si="1"/>
        <v>#NAME?</v>
      </c>
    </row>
    <row r="91" spans="1:21" ht="12.75" x14ac:dyDescent="0.2">
      <c r="A91" s="5" t="s">
        <v>123</v>
      </c>
      <c r="B91" s="5" t="s">
        <v>123</v>
      </c>
      <c r="C91" s="5" t="s">
        <v>123</v>
      </c>
      <c r="D91" s="5" t="s">
        <v>123</v>
      </c>
      <c r="E91" s="5" t="s">
        <v>123</v>
      </c>
      <c r="F91" s="5" t="s">
        <v>123</v>
      </c>
      <c r="G91" s="5" t="s">
        <v>123</v>
      </c>
      <c r="H91" s="5" t="s">
        <v>123</v>
      </c>
      <c r="I91" s="5" t="s">
        <v>123</v>
      </c>
      <c r="J91" s="5" t="s">
        <v>123</v>
      </c>
      <c r="K91" s="5" t="s">
        <v>123</v>
      </c>
      <c r="L91" s="5" t="s">
        <v>123</v>
      </c>
      <c r="M91" s="5" t="s">
        <v>123</v>
      </c>
      <c r="N91" s="5" t="s">
        <v>123</v>
      </c>
      <c r="O91" s="5" t="s">
        <v>123</v>
      </c>
      <c r="P91" s="5" t="s">
        <v>123</v>
      </c>
      <c r="Q91" s="5" t="s">
        <v>123</v>
      </c>
      <c r="R91" s="5" t="s">
        <v>123</v>
      </c>
      <c r="S91" s="5">
        <f t="shared" si="0"/>
        <v>1</v>
      </c>
      <c r="T91" s="5" t="str">
        <f ca="1">IFERROR(__xludf.DUMMYFUNCTION("QUERY(transpose(A91:R91),""Select Col1 where Col1 is not null limit 1"",0)"),"Michael Carter")</f>
        <v>Michael Carter</v>
      </c>
      <c r="U91" s="32" t="e">
        <f t="shared" ca="1" si="1"/>
        <v>#NAME?</v>
      </c>
    </row>
    <row r="92" spans="1:21" ht="12.75" x14ac:dyDescent="0.2">
      <c r="A92" s="5" t="s">
        <v>124</v>
      </c>
      <c r="B92" s="5" t="s">
        <v>124</v>
      </c>
      <c r="C92" s="5" t="s">
        <v>124</v>
      </c>
      <c r="D92" s="5" t="s">
        <v>124</v>
      </c>
      <c r="E92" s="5" t="s">
        <v>124</v>
      </c>
      <c r="F92" s="5" t="s">
        <v>124</v>
      </c>
      <c r="G92" s="5" t="s">
        <v>124</v>
      </c>
      <c r="H92" s="5" t="s">
        <v>124</v>
      </c>
      <c r="I92" s="5" t="s">
        <v>124</v>
      </c>
      <c r="J92" s="5" t="s">
        <v>124</v>
      </c>
      <c r="K92" s="5" t="s">
        <v>124</v>
      </c>
      <c r="L92" s="5" t="s">
        <v>124</v>
      </c>
      <c r="M92" s="5" t="s">
        <v>124</v>
      </c>
      <c r="N92" s="5" t="s">
        <v>124</v>
      </c>
      <c r="O92" s="5" t="s">
        <v>124</v>
      </c>
      <c r="P92" s="5" t="s">
        <v>124</v>
      </c>
      <c r="Q92" s="5" t="s">
        <v>124</v>
      </c>
      <c r="R92" s="5" t="s">
        <v>124</v>
      </c>
      <c r="S92" s="5">
        <f t="shared" si="0"/>
        <v>1</v>
      </c>
      <c r="T92" s="5" t="str">
        <f ca="1">IFERROR(__xludf.DUMMYFUNCTION("QUERY(transpose(A92:R92),""Select Col1 where Col1 is not null limit 1"",0)"),"Clyde Edwards-Helaire")</f>
        <v>Clyde Edwards-Helaire</v>
      </c>
      <c r="U92" s="32" t="e">
        <f t="shared" ca="1" si="1"/>
        <v>#NAME?</v>
      </c>
    </row>
    <row r="93" spans="1:21" ht="12.75" x14ac:dyDescent="0.2">
      <c r="A93" s="5" t="s">
        <v>125</v>
      </c>
      <c r="B93" s="5" t="s">
        <v>125</v>
      </c>
      <c r="C93" s="5" t="s">
        <v>125</v>
      </c>
      <c r="D93" s="5" t="s">
        <v>125</v>
      </c>
      <c r="E93" s="5" t="s">
        <v>125</v>
      </c>
      <c r="F93" s="5" t="s">
        <v>125</v>
      </c>
      <c r="G93" s="5" t="s">
        <v>125</v>
      </c>
      <c r="H93" s="5" t="s">
        <v>125</v>
      </c>
      <c r="I93" s="5" t="s">
        <v>125</v>
      </c>
      <c r="J93" s="5" t="s">
        <v>125</v>
      </c>
      <c r="K93" s="5" t="s">
        <v>125</v>
      </c>
      <c r="L93" s="5" t="s">
        <v>125</v>
      </c>
      <c r="M93" s="5" t="s">
        <v>125</v>
      </c>
      <c r="N93" s="5" t="s">
        <v>125</v>
      </c>
      <c r="O93" s="5" t="s">
        <v>125</v>
      </c>
      <c r="P93" s="5" t="s">
        <v>125</v>
      </c>
      <c r="Q93" s="5" t="s">
        <v>125</v>
      </c>
      <c r="R93" s="5" t="s">
        <v>125</v>
      </c>
      <c r="S93" s="5">
        <f t="shared" si="0"/>
        <v>1</v>
      </c>
      <c r="T93" s="5" t="str">
        <f ca="1">IFERROR(__xludf.DUMMYFUNCTION("QUERY(transpose(A93:R93),""Select Col1 where Col1 is not null limit 1"",0)"),"D'Onta Foreman")</f>
        <v>D'Onta Foreman</v>
      </c>
      <c r="U93" s="32" t="e">
        <f t="shared" ca="1" si="1"/>
        <v>#NAME?</v>
      </c>
    </row>
    <row r="94" spans="1:21" ht="12.75" x14ac:dyDescent="0.2">
      <c r="A94" s="5" t="s">
        <v>126</v>
      </c>
      <c r="B94" s="5" t="s">
        <v>126</v>
      </c>
      <c r="C94" s="5" t="s">
        <v>126</v>
      </c>
      <c r="D94" s="5" t="s">
        <v>126</v>
      </c>
      <c r="E94" s="5" t="s">
        <v>126</v>
      </c>
      <c r="F94" s="5" t="s">
        <v>126</v>
      </c>
      <c r="G94" s="5" t="s">
        <v>126</v>
      </c>
      <c r="H94" s="5" t="s">
        <v>126</v>
      </c>
      <c r="I94" s="5" t="s">
        <v>126</v>
      </c>
      <c r="J94" s="5" t="s">
        <v>126</v>
      </c>
      <c r="K94" s="5" t="s">
        <v>126</v>
      </c>
      <c r="L94" s="5" t="s">
        <v>126</v>
      </c>
      <c r="M94" s="5" t="s">
        <v>126</v>
      </c>
      <c r="N94" s="5" t="s">
        <v>126</v>
      </c>
      <c r="O94" s="5" t="s">
        <v>126</v>
      </c>
      <c r="P94" s="5" t="s">
        <v>126</v>
      </c>
      <c r="Q94" s="5" t="s">
        <v>126</v>
      </c>
      <c r="R94" s="5" t="s">
        <v>126</v>
      </c>
      <c r="S94" s="5">
        <f t="shared" si="0"/>
        <v>1</v>
      </c>
      <c r="T94" s="5" t="str">
        <f ca="1">IFERROR(__xludf.DUMMYFUNCTION("QUERY(transpose(A94:R94),""Select Col1 where Col1 is not null limit 1"",0)"),"Jake Funk")</f>
        <v>Jake Funk</v>
      </c>
      <c r="U94" s="32" t="e">
        <f t="shared" ca="1" si="1"/>
        <v>#NAME?</v>
      </c>
    </row>
    <row r="95" spans="1:21" ht="12.75" x14ac:dyDescent="0.2">
      <c r="A95" s="5" t="s">
        <v>127</v>
      </c>
      <c r="B95" s="5" t="s">
        <v>127</v>
      </c>
      <c r="C95" s="5" t="s">
        <v>127</v>
      </c>
      <c r="D95" s="5" t="s">
        <v>127</v>
      </c>
      <c r="E95" s="5" t="s">
        <v>127</v>
      </c>
      <c r="F95" s="5" t="s">
        <v>127</v>
      </c>
      <c r="G95" s="5" t="s">
        <v>127</v>
      </c>
      <c r="H95" s="5" t="s">
        <v>127</v>
      </c>
      <c r="I95" s="5" t="s">
        <v>127</v>
      </c>
      <c r="J95" s="5" t="s">
        <v>127</v>
      </c>
      <c r="K95" s="5" t="s">
        <v>127</v>
      </c>
      <c r="L95" s="5" t="s">
        <v>127</v>
      </c>
      <c r="M95" s="5" t="s">
        <v>127</v>
      </c>
      <c r="N95" s="5" t="s">
        <v>127</v>
      </c>
      <c r="O95" s="5" t="s">
        <v>127</v>
      </c>
      <c r="P95" s="5" t="s">
        <v>127</v>
      </c>
      <c r="Q95" s="5" t="s">
        <v>127</v>
      </c>
      <c r="R95" s="5" t="s">
        <v>127</v>
      </c>
      <c r="S95" s="5">
        <f t="shared" si="0"/>
        <v>1</v>
      </c>
      <c r="T95" s="5" t="str">
        <f ca="1">IFERROR(__xludf.DUMMYFUNCTION("QUERY(transpose(A95:R95),""Select Col1 where Col1 is not null limit 1"",0)"),"Damien Harris")</f>
        <v>Damien Harris</v>
      </c>
      <c r="U95" s="32" t="e">
        <f t="shared" ca="1" si="1"/>
        <v>#NAME?</v>
      </c>
    </row>
    <row r="96" spans="1:21" ht="12.75" x14ac:dyDescent="0.2">
      <c r="A96" s="5" t="s">
        <v>128</v>
      </c>
      <c r="B96" s="5" t="s">
        <v>128</v>
      </c>
      <c r="C96" s="5" t="s">
        <v>128</v>
      </c>
      <c r="D96" s="5" t="s">
        <v>128</v>
      </c>
      <c r="E96" s="5" t="s">
        <v>128</v>
      </c>
      <c r="F96" s="5" t="s">
        <v>128</v>
      </c>
      <c r="G96" s="5" t="s">
        <v>128</v>
      </c>
      <c r="H96" s="5" t="s">
        <v>128</v>
      </c>
      <c r="I96" s="5" t="s">
        <v>128</v>
      </c>
      <c r="J96" s="5" t="s">
        <v>128</v>
      </c>
      <c r="K96" s="5" t="s">
        <v>128</v>
      </c>
      <c r="L96" s="5" t="s">
        <v>128</v>
      </c>
      <c r="M96" s="5" t="s">
        <v>128</v>
      </c>
      <c r="N96" s="5" t="s">
        <v>128</v>
      </c>
      <c r="O96" s="5" t="s">
        <v>128</v>
      </c>
      <c r="P96" s="5" t="s">
        <v>128</v>
      </c>
      <c r="Q96" s="5" t="s">
        <v>128</v>
      </c>
      <c r="R96" s="5" t="s">
        <v>128</v>
      </c>
      <c r="S96" s="5">
        <f t="shared" si="0"/>
        <v>1</v>
      </c>
      <c r="T96" s="5" t="str">
        <f ca="1">IFERROR(__xludf.DUMMYFUNCTION("QUERY(transpose(A96:R96),""Select Col1 where Col1 is not null limit 1"",0)"),"Anthony McFarland")</f>
        <v>Anthony McFarland</v>
      </c>
      <c r="U96" s="32" t="e">
        <f t="shared" ca="1" si="1"/>
        <v>#NAME?</v>
      </c>
    </row>
    <row r="97" spans="1:21" ht="12.75" x14ac:dyDescent="0.2">
      <c r="A97" s="5" t="s">
        <v>129</v>
      </c>
      <c r="B97" s="5" t="s">
        <v>129</v>
      </c>
      <c r="C97" s="5" t="s">
        <v>129</v>
      </c>
      <c r="D97" s="5" t="s">
        <v>129</v>
      </c>
      <c r="E97" s="5" t="s">
        <v>129</v>
      </c>
      <c r="F97" s="5" t="s">
        <v>129</v>
      </c>
      <c r="G97" s="5" t="s">
        <v>129</v>
      </c>
      <c r="H97" s="5" t="s">
        <v>129</v>
      </c>
      <c r="I97" s="5" t="s">
        <v>129</v>
      </c>
      <c r="J97" s="5" t="s">
        <v>129</v>
      </c>
      <c r="K97" s="5" t="s">
        <v>129</v>
      </c>
      <c r="L97" s="5" t="s">
        <v>129</v>
      </c>
      <c r="M97" s="5" t="s">
        <v>129</v>
      </c>
      <c r="N97" s="5" t="s">
        <v>129</v>
      </c>
      <c r="O97" s="5" t="s">
        <v>129</v>
      </c>
      <c r="P97" s="5" t="s">
        <v>129</v>
      </c>
      <c r="Q97" s="5" t="s">
        <v>129</v>
      </c>
      <c r="R97" s="5" t="s">
        <v>129</v>
      </c>
      <c r="S97" s="5">
        <f t="shared" si="0"/>
        <v>1</v>
      </c>
      <c r="T97" s="5" t="str">
        <f ca="1">IFERROR(__xludf.DUMMYFUNCTION("QUERY(transpose(A97:R97),""Select Col1 where Col1 is not null limit 1"",0)"),"Tyjae Spears")</f>
        <v>Tyjae Spears</v>
      </c>
      <c r="U97" s="32" t="e">
        <f t="shared" ca="1" si="1"/>
        <v>#NAME?</v>
      </c>
    </row>
    <row r="98" spans="1:21" ht="12.75" x14ac:dyDescent="0.2">
      <c r="A98" s="5" t="s">
        <v>130</v>
      </c>
      <c r="B98" s="5" t="s">
        <v>130</v>
      </c>
      <c r="C98" s="5" t="s">
        <v>130</v>
      </c>
      <c r="D98" s="5" t="s">
        <v>130</v>
      </c>
      <c r="E98" s="5" t="s">
        <v>130</v>
      </c>
      <c r="F98" s="5" t="s">
        <v>130</v>
      </c>
      <c r="G98" s="5" t="s">
        <v>130</v>
      </c>
      <c r="H98" s="5" t="s">
        <v>130</v>
      </c>
      <c r="I98" s="5" t="s">
        <v>130</v>
      </c>
      <c r="J98" s="5" t="s">
        <v>130</v>
      </c>
      <c r="K98" s="5" t="s">
        <v>130</v>
      </c>
      <c r="L98" s="5" t="s">
        <v>130</v>
      </c>
      <c r="M98" s="5" t="s">
        <v>130</v>
      </c>
      <c r="N98" s="5" t="s">
        <v>130</v>
      </c>
      <c r="O98" s="5" t="s">
        <v>130</v>
      </c>
      <c r="P98" s="5" t="s">
        <v>130</v>
      </c>
      <c r="Q98" s="5" t="s">
        <v>130</v>
      </c>
      <c r="R98" s="5" t="s">
        <v>130</v>
      </c>
      <c r="S98" s="5">
        <f t="shared" si="0"/>
        <v>1</v>
      </c>
      <c r="T98" s="5" t="str">
        <f ca="1">IFERROR(__xludf.DUMMYFUNCTION("QUERY(transpose(A98:R98),""Select Col1 where Col1 is not null limit 1"",0)"),"Sean Tucker")</f>
        <v>Sean Tucker</v>
      </c>
      <c r="U98" s="32" t="e">
        <f t="shared" ca="1" si="1"/>
        <v>#NAME?</v>
      </c>
    </row>
    <row r="99" spans="1:21" ht="12.75" x14ac:dyDescent="0.2">
      <c r="A99" s="5" t="s">
        <v>131</v>
      </c>
      <c r="B99" s="5" t="s">
        <v>131</v>
      </c>
      <c r="C99" s="5" t="s">
        <v>131</v>
      </c>
      <c r="D99" s="5" t="s">
        <v>131</v>
      </c>
      <c r="E99" s="5" t="s">
        <v>131</v>
      </c>
      <c r="F99" s="5" t="s">
        <v>131</v>
      </c>
      <c r="G99" s="5" t="s">
        <v>131</v>
      </c>
      <c r="H99" s="5" t="s">
        <v>131</v>
      </c>
      <c r="I99" s="5" t="s">
        <v>131</v>
      </c>
      <c r="J99" s="5" t="s">
        <v>131</v>
      </c>
      <c r="K99" s="5" t="s">
        <v>131</v>
      </c>
      <c r="L99" s="5" t="s">
        <v>131</v>
      </c>
      <c r="M99" s="5" t="s">
        <v>131</v>
      </c>
      <c r="N99" s="5" t="s">
        <v>131</v>
      </c>
      <c r="O99" s="5" t="s">
        <v>131</v>
      </c>
      <c r="P99" s="5" t="s">
        <v>131</v>
      </c>
      <c r="Q99" s="5" t="s">
        <v>131</v>
      </c>
      <c r="R99" s="5" t="s">
        <v>131</v>
      </c>
      <c r="S99" s="5">
        <f t="shared" si="0"/>
        <v>1</v>
      </c>
      <c r="T99" s="5" t="str">
        <f ca="1">IFERROR(__xludf.DUMMYFUNCTION("QUERY(transpose(A99:R99),""Select Col1 where Col1 is not null limit 1"",0)"),"Gary Brightwell")</f>
        <v>Gary Brightwell</v>
      </c>
      <c r="U99" s="32" t="e">
        <f t="shared" ca="1" si="1"/>
        <v>#NAME?</v>
      </c>
    </row>
    <row r="100" spans="1:21" ht="12.75" x14ac:dyDescent="0.2">
      <c r="A100" s="5" t="s">
        <v>132</v>
      </c>
      <c r="B100" s="5" t="s">
        <v>132</v>
      </c>
      <c r="C100" s="5" t="s">
        <v>132</v>
      </c>
      <c r="D100" s="5" t="s">
        <v>132</v>
      </c>
      <c r="E100" s="5" t="s">
        <v>132</v>
      </c>
      <c r="F100" s="5" t="s">
        <v>132</v>
      </c>
      <c r="G100" s="5" t="s">
        <v>132</v>
      </c>
      <c r="H100" s="5" t="s">
        <v>132</v>
      </c>
      <c r="I100" s="5" t="s">
        <v>132</v>
      </c>
      <c r="J100" s="5" t="s">
        <v>132</v>
      </c>
      <c r="K100" s="5" t="s">
        <v>132</v>
      </c>
      <c r="L100" s="5" t="s">
        <v>132</v>
      </c>
      <c r="M100" s="5" t="s">
        <v>132</v>
      </c>
      <c r="N100" s="5" t="s">
        <v>132</v>
      </c>
      <c r="O100" s="5" t="s">
        <v>132</v>
      </c>
      <c r="P100" s="5" t="s">
        <v>132</v>
      </c>
      <c r="Q100" s="5" t="s">
        <v>132</v>
      </c>
      <c r="R100" s="5" t="s">
        <v>132</v>
      </c>
      <c r="S100" s="5">
        <f t="shared" si="0"/>
        <v>1</v>
      </c>
      <c r="T100" s="5" t="str">
        <f ca="1">IFERROR(__xludf.DUMMYFUNCTION("QUERY(transpose(A100:R100),""Select Col1 where Col1 is not null limit 1"",0)"),"Ty Chandler")</f>
        <v>Ty Chandler</v>
      </c>
      <c r="U100" s="32" t="e">
        <f t="shared" ca="1" si="1"/>
        <v>#NAME?</v>
      </c>
    </row>
    <row r="101" spans="1:21" ht="12.75" x14ac:dyDescent="0.2">
      <c r="A101" s="5" t="s">
        <v>133</v>
      </c>
      <c r="B101" s="5" t="s">
        <v>133</v>
      </c>
      <c r="C101" s="5" t="s">
        <v>133</v>
      </c>
      <c r="D101" s="5" t="s">
        <v>133</v>
      </c>
      <c r="E101" s="5" t="s">
        <v>133</v>
      </c>
      <c r="F101" s="5" t="s">
        <v>133</v>
      </c>
      <c r="G101" s="5" t="s">
        <v>133</v>
      </c>
      <c r="H101" s="5" t="s">
        <v>133</v>
      </c>
      <c r="I101" s="5" t="s">
        <v>133</v>
      </c>
      <c r="J101" s="5" t="s">
        <v>133</v>
      </c>
      <c r="K101" s="5" t="s">
        <v>133</v>
      </c>
      <c r="L101" s="5" t="s">
        <v>133</v>
      </c>
      <c r="M101" s="5" t="s">
        <v>133</v>
      </c>
      <c r="N101" s="5" t="s">
        <v>133</v>
      </c>
      <c r="O101" s="5" t="s">
        <v>133</v>
      </c>
      <c r="P101" s="5" t="s">
        <v>133</v>
      </c>
      <c r="Q101" s="5" t="s">
        <v>133</v>
      </c>
      <c r="R101" s="5" t="s">
        <v>133</v>
      </c>
      <c r="S101" s="5">
        <f t="shared" si="0"/>
        <v>1</v>
      </c>
      <c r="T101" s="5" t="str">
        <f ca="1">IFERROR(__xludf.DUMMYFUNCTION("QUERY(transpose(A101:R101),""Select Col1 where Col1 is not null limit 1"",0)"),"DeeJay Dallas")</f>
        <v>DeeJay Dallas</v>
      </c>
      <c r="U101" s="32" t="e">
        <f t="shared" ca="1" si="1"/>
        <v>#NAME?</v>
      </c>
    </row>
    <row r="102" spans="1:21" ht="12.75" x14ac:dyDescent="0.2">
      <c r="A102" s="5" t="s">
        <v>134</v>
      </c>
      <c r="B102" s="5" t="s">
        <v>134</v>
      </c>
      <c r="C102" s="5" t="s">
        <v>134</v>
      </c>
      <c r="D102" s="5" t="s">
        <v>134</v>
      </c>
      <c r="E102" s="5" t="s">
        <v>134</v>
      </c>
      <c r="F102" s="5" t="s">
        <v>134</v>
      </c>
      <c r="G102" s="5" t="s">
        <v>134</v>
      </c>
      <c r="H102" s="5" t="s">
        <v>134</v>
      </c>
      <c r="I102" s="5" t="s">
        <v>134</v>
      </c>
      <c r="J102" s="5" t="s">
        <v>134</v>
      </c>
      <c r="K102" s="5" t="s">
        <v>134</v>
      </c>
      <c r="L102" s="5" t="s">
        <v>134</v>
      </c>
      <c r="M102" s="5" t="s">
        <v>134</v>
      </c>
      <c r="N102" s="5" t="s">
        <v>134</v>
      </c>
      <c r="O102" s="5" t="s">
        <v>134</v>
      </c>
      <c r="P102" s="5" t="s">
        <v>134</v>
      </c>
      <c r="Q102" s="5" t="s">
        <v>134</v>
      </c>
      <c r="R102" s="5" t="s">
        <v>134</v>
      </c>
      <c r="S102" s="5">
        <f t="shared" si="0"/>
        <v>1</v>
      </c>
      <c r="T102" s="5" t="str">
        <f ca="1">IFERROR(__xludf.DUMMYFUNCTION("QUERY(transpose(A102:R102),""Select Col1 where Col1 is not null limit 1"",0)"),"Rico Dowdle")</f>
        <v>Rico Dowdle</v>
      </c>
      <c r="U102" s="32" t="e">
        <f t="shared" ca="1" si="1"/>
        <v>#NAME?</v>
      </c>
    </row>
    <row r="103" spans="1:21" ht="12.75" x14ac:dyDescent="0.2">
      <c r="A103" s="5" t="s">
        <v>135</v>
      </c>
      <c r="B103" s="5" t="s">
        <v>135</v>
      </c>
      <c r="C103" s="5" t="s">
        <v>135</v>
      </c>
      <c r="D103" s="5" t="s">
        <v>135</v>
      </c>
      <c r="E103" s="5" t="s">
        <v>135</v>
      </c>
      <c r="F103" s="5" t="s">
        <v>135</v>
      </c>
      <c r="G103" s="5" t="s">
        <v>135</v>
      </c>
      <c r="H103" s="5" t="s">
        <v>135</v>
      </c>
      <c r="I103" s="5" t="s">
        <v>135</v>
      </c>
      <c r="J103" s="5" t="s">
        <v>135</v>
      </c>
      <c r="K103" s="5" t="s">
        <v>135</v>
      </c>
      <c r="L103" s="5" t="s">
        <v>135</v>
      </c>
      <c r="M103" s="5" t="s">
        <v>135</v>
      </c>
      <c r="N103" s="5" t="s">
        <v>135</v>
      </c>
      <c r="O103" s="5" t="s">
        <v>135</v>
      </c>
      <c r="P103" s="5" t="s">
        <v>135</v>
      </c>
      <c r="Q103" s="5" t="s">
        <v>135</v>
      </c>
      <c r="R103" s="5" t="s">
        <v>135</v>
      </c>
      <c r="S103" s="5">
        <f t="shared" si="0"/>
        <v>1</v>
      </c>
      <c r="T103" s="5" t="str">
        <f ca="1">IFERROR(__xludf.DUMMYFUNCTION("QUERY(transpose(A103:R103),""Select Col1 where Col1 is not null limit 1"",0)"),"Chris Evans")</f>
        <v>Chris Evans</v>
      </c>
      <c r="U103" s="32" t="e">
        <f t="shared" ca="1" si="1"/>
        <v>#NAME?</v>
      </c>
    </row>
    <row r="104" spans="1:21" ht="12.75" x14ac:dyDescent="0.2">
      <c r="A104" s="5" t="s">
        <v>136</v>
      </c>
      <c r="B104" s="5" t="s">
        <v>136</v>
      </c>
      <c r="C104" s="5" t="s">
        <v>136</v>
      </c>
      <c r="D104" s="5" t="s">
        <v>136</v>
      </c>
      <c r="E104" s="5" t="s">
        <v>136</v>
      </c>
      <c r="F104" s="5" t="s">
        <v>136</v>
      </c>
      <c r="G104" s="5" t="s">
        <v>136</v>
      </c>
      <c r="H104" s="5" t="s">
        <v>136</v>
      </c>
      <c r="I104" s="5" t="s">
        <v>136</v>
      </c>
      <c r="J104" s="5" t="s">
        <v>136</v>
      </c>
      <c r="K104" s="5" t="s">
        <v>136</v>
      </c>
      <c r="L104" s="5" t="s">
        <v>136</v>
      </c>
      <c r="M104" s="5" t="s">
        <v>136</v>
      </c>
      <c r="N104" s="5" t="s">
        <v>136</v>
      </c>
      <c r="O104" s="5" t="s">
        <v>136</v>
      </c>
      <c r="P104" s="5" t="s">
        <v>136</v>
      </c>
      <c r="Q104" s="5" t="s">
        <v>136</v>
      </c>
      <c r="R104" s="5" t="s">
        <v>136</v>
      </c>
      <c r="S104" s="5">
        <f t="shared" si="0"/>
        <v>1</v>
      </c>
      <c r="T104" s="5" t="str">
        <f ca="1">IFERROR(__xludf.DUMMYFUNCTION("QUERY(transpose(A104:R104),""Select Col1 where Col1 is not null limit 1"",0)"),"Jerome Ford")</f>
        <v>Jerome Ford</v>
      </c>
      <c r="U104" s="32" t="e">
        <f t="shared" ca="1" si="1"/>
        <v>#NAME?</v>
      </c>
    </row>
    <row r="105" spans="1:21" ht="12.75" x14ac:dyDescent="0.2">
      <c r="A105" s="5" t="s">
        <v>137</v>
      </c>
      <c r="B105" s="5" t="s">
        <v>137</v>
      </c>
      <c r="C105" s="5" t="s">
        <v>137</v>
      </c>
      <c r="D105" s="5" t="s">
        <v>137</v>
      </c>
      <c r="E105" s="5" t="s">
        <v>137</v>
      </c>
      <c r="F105" s="5" t="s">
        <v>137</v>
      </c>
      <c r="G105" s="5" t="s">
        <v>137</v>
      </c>
      <c r="H105" s="5" t="s">
        <v>137</v>
      </c>
      <c r="I105" s="5" t="s">
        <v>137</v>
      </c>
      <c r="J105" s="5" t="s">
        <v>137</v>
      </c>
      <c r="K105" s="5" t="s">
        <v>137</v>
      </c>
      <c r="L105" s="5" t="s">
        <v>137</v>
      </c>
      <c r="M105" s="5" t="s">
        <v>137</v>
      </c>
      <c r="N105" s="5" t="s">
        <v>137</v>
      </c>
      <c r="O105" s="5" t="s">
        <v>137</v>
      </c>
      <c r="P105" s="5" t="s">
        <v>137</v>
      </c>
      <c r="Q105" s="5" t="s">
        <v>137</v>
      </c>
      <c r="R105" s="5" t="s">
        <v>137</v>
      </c>
      <c r="S105" s="5">
        <f t="shared" si="0"/>
        <v>1</v>
      </c>
      <c r="T105" s="5" t="str">
        <f ca="1">IFERROR(__xludf.DUMMYFUNCTION("QUERY(transpose(A105:R105),""Select Col1 where Col1 is not null limit 1"",0)"),"C.J. Ham")</f>
        <v>C.J. Ham</v>
      </c>
      <c r="U105" s="32" t="e">
        <f t="shared" ca="1" si="1"/>
        <v>#NAME?</v>
      </c>
    </row>
    <row r="106" spans="1:21" ht="12.75" x14ac:dyDescent="0.2">
      <c r="A106" s="5" t="s">
        <v>138</v>
      </c>
      <c r="B106" s="5" t="s">
        <v>138</v>
      </c>
      <c r="C106" s="5" t="s">
        <v>138</v>
      </c>
      <c r="D106" s="5" t="s">
        <v>138</v>
      </c>
      <c r="E106" s="5" t="s">
        <v>138</v>
      </c>
      <c r="F106" s="5" t="s">
        <v>138</v>
      </c>
      <c r="G106" s="5" t="s">
        <v>138</v>
      </c>
      <c r="H106" s="5" t="s">
        <v>138</v>
      </c>
      <c r="I106" s="5" t="s">
        <v>138</v>
      </c>
      <c r="J106" s="5" t="s">
        <v>138</v>
      </c>
      <c r="K106" s="5" t="s">
        <v>138</v>
      </c>
      <c r="L106" s="5" t="s">
        <v>138</v>
      </c>
      <c r="M106" s="5" t="s">
        <v>138</v>
      </c>
      <c r="N106" s="5" t="s">
        <v>138</v>
      </c>
      <c r="O106" s="5" t="s">
        <v>138</v>
      </c>
      <c r="P106" s="5" t="s">
        <v>138</v>
      </c>
      <c r="Q106" s="5" t="s">
        <v>138</v>
      </c>
      <c r="R106" s="5" t="s">
        <v>138</v>
      </c>
      <c r="S106" s="5">
        <f t="shared" si="0"/>
        <v>1</v>
      </c>
      <c r="T106" s="5" t="str">
        <f ca="1">IFERROR(__xludf.DUMMYFUNCTION("QUERY(transpose(A106:R106),""Select Col1 where Col1 is not null limit 1"",0)"),"Jerick McKinnon")</f>
        <v>Jerick McKinnon</v>
      </c>
      <c r="U106" s="32" t="e">
        <f t="shared" ca="1" si="1"/>
        <v>#NAME?</v>
      </c>
    </row>
    <row r="107" spans="1:21" ht="12.75" x14ac:dyDescent="0.2">
      <c r="A107" s="5" t="s">
        <v>139</v>
      </c>
      <c r="B107" s="5" t="s">
        <v>139</v>
      </c>
      <c r="C107" s="5" t="s">
        <v>139</v>
      </c>
      <c r="D107" s="5" t="s">
        <v>139</v>
      </c>
      <c r="E107" s="5" t="s">
        <v>139</v>
      </c>
      <c r="F107" s="5" t="s">
        <v>139</v>
      </c>
      <c r="G107" s="5" t="s">
        <v>139</v>
      </c>
      <c r="H107" s="5" t="s">
        <v>139</v>
      </c>
      <c r="I107" s="5" t="s">
        <v>139</v>
      </c>
      <c r="J107" s="5" t="s">
        <v>139</v>
      </c>
      <c r="K107" s="5" t="s">
        <v>139</v>
      </c>
      <c r="L107" s="5" t="s">
        <v>139</v>
      </c>
      <c r="M107" s="5" t="s">
        <v>139</v>
      </c>
      <c r="N107" s="5" t="s">
        <v>139</v>
      </c>
      <c r="O107" s="5" t="s">
        <v>139</v>
      </c>
      <c r="P107" s="5" t="s">
        <v>139</v>
      </c>
      <c r="Q107" s="5" t="s">
        <v>139</v>
      </c>
      <c r="R107" s="5" t="s">
        <v>139</v>
      </c>
      <c r="S107" s="5">
        <f t="shared" si="0"/>
        <v>1</v>
      </c>
      <c r="T107" s="5" t="str">
        <f ca="1">IFERROR(__xludf.DUMMYFUNCTION("QUERY(transpose(A107:R107),""Select Col1 where Col1 is not null limit 1"",0)"),"Ty Montgomery")</f>
        <v>Ty Montgomery</v>
      </c>
      <c r="U107" s="32" t="e">
        <f t="shared" ca="1" si="1"/>
        <v>#NAME?</v>
      </c>
    </row>
    <row r="108" spans="1:21" ht="12.75" x14ac:dyDescent="0.2">
      <c r="A108" s="5" t="s">
        <v>140</v>
      </c>
      <c r="B108" s="5" t="s">
        <v>140</v>
      </c>
      <c r="C108" s="5" t="s">
        <v>140</v>
      </c>
      <c r="D108" s="5" t="s">
        <v>140</v>
      </c>
      <c r="E108" s="5" t="s">
        <v>140</v>
      </c>
      <c r="F108" s="5" t="s">
        <v>140</v>
      </c>
      <c r="G108" s="5" t="s">
        <v>140</v>
      </c>
      <c r="H108" s="5" t="s">
        <v>140</v>
      </c>
      <c r="I108" s="5" t="s">
        <v>140</v>
      </c>
      <c r="J108" s="5" t="s">
        <v>140</v>
      </c>
      <c r="K108" s="5" t="s">
        <v>140</v>
      </c>
      <c r="L108" s="5" t="s">
        <v>140</v>
      </c>
      <c r="M108" s="5" t="s">
        <v>140</v>
      </c>
      <c r="N108" s="5" t="s">
        <v>140</v>
      </c>
      <c r="O108" s="5" t="s">
        <v>140</v>
      </c>
      <c r="P108" s="5" t="s">
        <v>140</v>
      </c>
      <c r="Q108" s="5" t="s">
        <v>140</v>
      </c>
      <c r="R108" s="5" t="s">
        <v>140</v>
      </c>
      <c r="S108" s="5">
        <f t="shared" si="0"/>
        <v>1</v>
      </c>
      <c r="T108" s="5" t="str">
        <f ca="1">IFERROR(__xludf.DUMMYFUNCTION("QUERY(transpose(A108:R108),""Select Col1 where Col1 is not null limit 1"",0)"),"Patrick Taylor")</f>
        <v>Patrick Taylor</v>
      </c>
      <c r="U108" s="32" t="e">
        <f t="shared" ca="1" si="1"/>
        <v>#NAME?</v>
      </c>
    </row>
    <row r="109" spans="1:21" ht="12.75" x14ac:dyDescent="0.2">
      <c r="A109" s="5" t="s">
        <v>141</v>
      </c>
      <c r="B109" s="5" t="s">
        <v>141</v>
      </c>
      <c r="C109" s="5" t="s">
        <v>141</v>
      </c>
      <c r="D109" s="5" t="s">
        <v>141</v>
      </c>
      <c r="E109" s="5" t="s">
        <v>141</v>
      </c>
      <c r="F109" s="5" t="s">
        <v>141</v>
      </c>
      <c r="G109" s="5" t="s">
        <v>141</v>
      </c>
      <c r="H109" s="5" t="s">
        <v>141</v>
      </c>
      <c r="I109" s="5" t="s">
        <v>141</v>
      </c>
      <c r="J109" s="5" t="s">
        <v>141</v>
      </c>
      <c r="K109" s="5" t="s">
        <v>141</v>
      </c>
      <c r="L109" s="5" t="s">
        <v>141</v>
      </c>
      <c r="M109" s="5" t="s">
        <v>141</v>
      </c>
      <c r="N109" s="5" t="s">
        <v>141</v>
      </c>
      <c r="O109" s="5" t="s">
        <v>141</v>
      </c>
      <c r="P109" s="5" t="s">
        <v>141</v>
      </c>
      <c r="Q109" s="5" t="s">
        <v>141</v>
      </c>
      <c r="R109" s="5" t="s">
        <v>141</v>
      </c>
      <c r="S109" s="5">
        <f t="shared" si="0"/>
        <v>1</v>
      </c>
      <c r="T109" s="5" t="str">
        <f ca="1">IFERROR(__xludf.DUMMYFUNCTION("QUERY(transpose(A109:R109),""Select Col1 where Col1 is not null limit 1"",0)"),"Salvon Ahmed")</f>
        <v>Salvon Ahmed</v>
      </c>
      <c r="U109" s="32" t="e">
        <f t="shared" ca="1" si="1"/>
        <v>#NAME?</v>
      </c>
    </row>
    <row r="110" spans="1:21" ht="12.75" x14ac:dyDescent="0.2">
      <c r="A110" s="5" t="s">
        <v>142</v>
      </c>
      <c r="B110" s="5" t="s">
        <v>142</v>
      </c>
      <c r="C110" s="5" t="s">
        <v>142</v>
      </c>
      <c r="D110" s="5" t="s">
        <v>142</v>
      </c>
      <c r="E110" s="5" t="s">
        <v>142</v>
      </c>
      <c r="F110" s="5" t="s">
        <v>142</v>
      </c>
      <c r="G110" s="5" t="s">
        <v>142</v>
      </c>
      <c r="H110" s="5" t="s">
        <v>142</v>
      </c>
      <c r="I110" s="5" t="s">
        <v>142</v>
      </c>
      <c r="J110" s="5" t="s">
        <v>142</v>
      </c>
      <c r="K110" s="5" t="s">
        <v>142</v>
      </c>
      <c r="L110" s="5" t="s">
        <v>142</v>
      </c>
      <c r="M110" s="5" t="s">
        <v>142</v>
      </c>
      <c r="N110" s="5" t="s">
        <v>142</v>
      </c>
      <c r="O110" s="5" t="s">
        <v>142</v>
      </c>
      <c r="P110" s="5" t="s">
        <v>142</v>
      </c>
      <c r="Q110" s="5" t="s">
        <v>142</v>
      </c>
      <c r="R110" s="5" t="s">
        <v>142</v>
      </c>
      <c r="S110" s="5">
        <f t="shared" si="0"/>
        <v>1</v>
      </c>
      <c r="T110" s="5" t="str">
        <f ca="1">IFERROR(__xludf.DUMMYFUNCTION("QUERY(transpose(A110:R110),""Select Col1 where Col1 is not null limit 1"",0)"),"Matt Breida")</f>
        <v>Matt Breida</v>
      </c>
      <c r="U110" s="32" t="e">
        <f t="shared" ca="1" si="1"/>
        <v>#NAME?</v>
      </c>
    </row>
    <row r="111" spans="1:21" ht="12.75" x14ac:dyDescent="0.2">
      <c r="A111" s="5" t="s">
        <v>143</v>
      </c>
      <c r="B111" s="5" t="s">
        <v>143</v>
      </c>
      <c r="C111" s="5" t="s">
        <v>143</v>
      </c>
      <c r="D111" s="5" t="s">
        <v>143</v>
      </c>
      <c r="E111" s="5" t="s">
        <v>143</v>
      </c>
      <c r="F111" s="5" t="s">
        <v>143</v>
      </c>
      <c r="G111" s="5" t="s">
        <v>143</v>
      </c>
      <c r="H111" s="5" t="s">
        <v>143</v>
      </c>
      <c r="I111" s="5" t="s">
        <v>143</v>
      </c>
      <c r="J111" s="5" t="s">
        <v>143</v>
      </c>
      <c r="K111" s="5" t="s">
        <v>143</v>
      </c>
      <c r="L111" s="5" t="s">
        <v>143</v>
      </c>
      <c r="M111" s="5" t="s">
        <v>143</v>
      </c>
      <c r="N111" s="5" t="s">
        <v>143</v>
      </c>
      <c r="O111" s="5" t="s">
        <v>143</v>
      </c>
      <c r="P111" s="5" t="s">
        <v>143</v>
      </c>
      <c r="Q111" s="5" t="s">
        <v>143</v>
      </c>
      <c r="R111" s="5" t="s">
        <v>143</v>
      </c>
      <c r="S111" s="5">
        <f t="shared" si="0"/>
        <v>1</v>
      </c>
      <c r="T111" s="5" t="str">
        <f ca="1">IFERROR(__xludf.DUMMYFUNCTION("QUERY(transpose(A111:R111),""Select Col1 where Col1 is not null limit 1"",0)"),"Michael Burton")</f>
        <v>Michael Burton</v>
      </c>
      <c r="U111" s="32" t="e">
        <f t="shared" ca="1" si="1"/>
        <v>#NAME?</v>
      </c>
    </row>
    <row r="112" spans="1:21" ht="12.75" x14ac:dyDescent="0.2">
      <c r="A112" s="5" t="s">
        <v>144</v>
      </c>
      <c r="B112" s="5" t="s">
        <v>144</v>
      </c>
      <c r="C112" s="5" t="s">
        <v>144</v>
      </c>
      <c r="D112" s="5" t="s">
        <v>144</v>
      </c>
      <c r="E112" s="5" t="s">
        <v>144</v>
      </c>
      <c r="F112" s="5" t="s">
        <v>144</v>
      </c>
      <c r="G112" s="5" t="s">
        <v>144</v>
      </c>
      <c r="H112" s="5" t="s">
        <v>144</v>
      </c>
      <c r="I112" s="5" t="s">
        <v>144</v>
      </c>
      <c r="J112" s="5" t="s">
        <v>144</v>
      </c>
      <c r="K112" s="5" t="s">
        <v>144</v>
      </c>
      <c r="L112" s="5" t="s">
        <v>144</v>
      </c>
      <c r="M112" s="5" t="s">
        <v>144</v>
      </c>
      <c r="N112" s="5" t="s">
        <v>144</v>
      </c>
      <c r="O112" s="5" t="s">
        <v>144</v>
      </c>
      <c r="P112" s="5" t="s">
        <v>144</v>
      </c>
      <c r="Q112" s="5" t="s">
        <v>144</v>
      </c>
      <c r="R112" s="5" t="s">
        <v>144</v>
      </c>
      <c r="S112" s="5">
        <f t="shared" si="0"/>
        <v>1</v>
      </c>
      <c r="T112" s="5" t="str">
        <f ca="1">IFERROR(__xludf.DUMMYFUNCTION("QUERY(transpose(A112:R112),""Select Col1 where Col1 is not null limit 1"",0)"),"Zach Charbonnet")</f>
        <v>Zach Charbonnet</v>
      </c>
      <c r="U112" s="32" t="e">
        <f t="shared" ca="1" si="1"/>
        <v>#NAME?</v>
      </c>
    </row>
    <row r="113" spans="1:21" ht="12.75" x14ac:dyDescent="0.2">
      <c r="A113" s="5" t="s">
        <v>145</v>
      </c>
      <c r="B113" s="5" t="s">
        <v>145</v>
      </c>
      <c r="C113" s="5" t="s">
        <v>145</v>
      </c>
      <c r="D113" s="5" t="s">
        <v>145</v>
      </c>
      <c r="E113" s="5" t="s">
        <v>145</v>
      </c>
      <c r="F113" s="5" t="s">
        <v>145</v>
      </c>
      <c r="G113" s="5" t="s">
        <v>145</v>
      </c>
      <c r="H113" s="5" t="s">
        <v>145</v>
      </c>
      <c r="I113" s="5" t="s">
        <v>145</v>
      </c>
      <c r="J113" s="5" t="s">
        <v>145</v>
      </c>
      <c r="K113" s="5" t="s">
        <v>145</v>
      </c>
      <c r="L113" s="5" t="s">
        <v>145</v>
      </c>
      <c r="M113" s="5" t="s">
        <v>145</v>
      </c>
      <c r="N113" s="5" t="s">
        <v>145</v>
      </c>
      <c r="O113" s="5" t="s">
        <v>145</v>
      </c>
      <c r="P113" s="5" t="s">
        <v>145</v>
      </c>
      <c r="Q113" s="5" t="s">
        <v>145</v>
      </c>
      <c r="R113" s="5" t="s">
        <v>145</v>
      </c>
      <c r="S113" s="5">
        <f t="shared" si="0"/>
        <v>1</v>
      </c>
      <c r="T113" s="5" t="str">
        <f ca="1">IFERROR(__xludf.DUMMYFUNCTION("QUERY(transpose(A113:R113),""Select Col1 where Col1 is not null limit 1"",0)"),"Antonio Gibson")</f>
        <v>Antonio Gibson</v>
      </c>
      <c r="U113" s="32" t="e">
        <f t="shared" ca="1" si="1"/>
        <v>#NAME?</v>
      </c>
    </row>
    <row r="114" spans="1:21" ht="12.75" x14ac:dyDescent="0.2">
      <c r="A114" s="5" t="s">
        <v>146</v>
      </c>
      <c r="B114" s="5" t="s">
        <v>146</v>
      </c>
      <c r="C114" s="5" t="s">
        <v>146</v>
      </c>
      <c r="D114" s="5" t="s">
        <v>146</v>
      </c>
      <c r="E114" s="5" t="s">
        <v>146</v>
      </c>
      <c r="F114" s="5" t="s">
        <v>146</v>
      </c>
      <c r="G114" s="5" t="s">
        <v>146</v>
      </c>
      <c r="H114" s="5" t="s">
        <v>146</v>
      </c>
      <c r="I114" s="5" t="s">
        <v>146</v>
      </c>
      <c r="J114" s="5" t="s">
        <v>146</v>
      </c>
      <c r="K114" s="5" t="s">
        <v>146</v>
      </c>
      <c r="L114" s="5" t="s">
        <v>146</v>
      </c>
      <c r="M114" s="5" t="s">
        <v>146</v>
      </c>
      <c r="N114" s="5" t="s">
        <v>146</v>
      </c>
      <c r="O114" s="5" t="s">
        <v>146</v>
      </c>
      <c r="P114" s="5" t="s">
        <v>146</v>
      </c>
      <c r="Q114" s="5" t="s">
        <v>146</v>
      </c>
      <c r="R114" s="5" t="s">
        <v>146</v>
      </c>
      <c r="S114" s="5">
        <f t="shared" si="0"/>
        <v>1</v>
      </c>
      <c r="T114" s="5" t="str">
        <f ca="1">IFERROR(__xludf.DUMMYFUNCTION("QUERY(transpose(A114:R114),""Select Col1 where Col1 is not null limit 1"",0)"),"Evan Hull")</f>
        <v>Evan Hull</v>
      </c>
      <c r="U114" s="32" t="e">
        <f t="shared" ca="1" si="1"/>
        <v>#NAME?</v>
      </c>
    </row>
    <row r="115" spans="1:21" ht="12.75" x14ac:dyDescent="0.2">
      <c r="A115" s="5" t="s">
        <v>147</v>
      </c>
      <c r="B115" s="5" t="s">
        <v>147</v>
      </c>
      <c r="C115" s="5" t="s">
        <v>147</v>
      </c>
      <c r="D115" s="5" t="s">
        <v>147</v>
      </c>
      <c r="E115" s="5" t="s">
        <v>147</v>
      </c>
      <c r="F115" s="5" t="s">
        <v>147</v>
      </c>
      <c r="G115" s="5" t="s">
        <v>147</v>
      </c>
      <c r="H115" s="5" t="s">
        <v>147</v>
      </c>
      <c r="I115" s="5" t="s">
        <v>147</v>
      </c>
      <c r="J115" s="5" t="s">
        <v>147</v>
      </c>
      <c r="K115" s="5" t="s">
        <v>147</v>
      </c>
      <c r="L115" s="5" t="s">
        <v>147</v>
      </c>
      <c r="M115" s="5" t="s">
        <v>147</v>
      </c>
      <c r="N115" s="5" t="s">
        <v>147</v>
      </c>
      <c r="O115" s="5" t="s">
        <v>147</v>
      </c>
      <c r="P115" s="5" t="s">
        <v>147</v>
      </c>
      <c r="Q115" s="5" t="s">
        <v>147</v>
      </c>
      <c r="R115" s="5" t="s">
        <v>147</v>
      </c>
      <c r="S115" s="5">
        <f t="shared" si="0"/>
        <v>1</v>
      </c>
      <c r="T115" s="5" t="str">
        <f ca="1">IFERROR(__xludf.DUMMYFUNCTION("QUERY(transpose(A115:R115),""Select Col1 where Col1 is not null limit 1"",0)"),"Jaleel McLaughlin")</f>
        <v>Jaleel McLaughlin</v>
      </c>
      <c r="U115" s="32" t="e">
        <f t="shared" ca="1" si="1"/>
        <v>#NAME?</v>
      </c>
    </row>
    <row r="116" spans="1:21" ht="12.75" x14ac:dyDescent="0.2">
      <c r="A116" s="5" t="s">
        <v>148</v>
      </c>
      <c r="B116" s="5" t="s">
        <v>148</v>
      </c>
      <c r="C116" s="5" t="s">
        <v>148</v>
      </c>
      <c r="D116" s="5" t="s">
        <v>148</v>
      </c>
      <c r="E116" s="5" t="s">
        <v>148</v>
      </c>
      <c r="F116" s="5" t="s">
        <v>148</v>
      </c>
      <c r="G116" s="5" t="s">
        <v>148</v>
      </c>
      <c r="H116" s="5" t="s">
        <v>148</v>
      </c>
      <c r="I116" s="5" t="s">
        <v>148</v>
      </c>
      <c r="J116" s="5" t="s">
        <v>148</v>
      </c>
      <c r="K116" s="5" t="s">
        <v>148</v>
      </c>
      <c r="L116" s="5" t="s">
        <v>148</v>
      </c>
      <c r="M116" s="5" t="s">
        <v>148</v>
      </c>
      <c r="N116" s="5" t="s">
        <v>148</v>
      </c>
      <c r="O116" s="5" t="s">
        <v>148</v>
      </c>
      <c r="P116" s="5" t="s">
        <v>148</v>
      </c>
      <c r="Q116" s="5" t="s">
        <v>148</v>
      </c>
      <c r="R116" s="5" t="s">
        <v>148</v>
      </c>
      <c r="S116" s="5">
        <f t="shared" si="0"/>
        <v>1</v>
      </c>
      <c r="T116" s="5" t="str">
        <f ca="1">IFERROR(__xludf.DUMMYFUNCTION("QUERY(transpose(A116:R116),""Select Col1 where Col1 is not null limit 1"",0)"),"Elijah Mitchell")</f>
        <v>Elijah Mitchell</v>
      </c>
      <c r="U116" s="32" t="e">
        <f t="shared" ca="1" si="1"/>
        <v>#NAME?</v>
      </c>
    </row>
    <row r="117" spans="1:21" ht="12.75" x14ac:dyDescent="0.2">
      <c r="A117" s="5" t="s">
        <v>149</v>
      </c>
      <c r="B117" s="5" t="s">
        <v>149</v>
      </c>
      <c r="C117" s="5" t="s">
        <v>149</v>
      </c>
      <c r="D117" s="5" t="s">
        <v>149</v>
      </c>
      <c r="E117" s="5" t="s">
        <v>149</v>
      </c>
      <c r="F117" s="5" t="s">
        <v>149</v>
      </c>
      <c r="G117" s="5" t="s">
        <v>149</v>
      </c>
      <c r="H117" s="5" t="s">
        <v>149</v>
      </c>
      <c r="I117" s="5" t="s">
        <v>149</v>
      </c>
      <c r="J117" s="5" t="s">
        <v>149</v>
      </c>
      <c r="K117" s="5" t="s">
        <v>149</v>
      </c>
      <c r="L117" s="5" t="s">
        <v>149</v>
      </c>
      <c r="M117" s="5" t="s">
        <v>149</v>
      </c>
      <c r="N117" s="5" t="s">
        <v>149</v>
      </c>
      <c r="O117" s="5" t="s">
        <v>149</v>
      </c>
      <c r="P117" s="5" t="s">
        <v>149</v>
      </c>
      <c r="Q117" s="5" t="s">
        <v>149</v>
      </c>
      <c r="R117" s="5" t="s">
        <v>149</v>
      </c>
      <c r="S117" s="5">
        <f t="shared" si="0"/>
        <v>1</v>
      </c>
      <c r="T117" s="5" t="str">
        <f ca="1">IFERROR(__xludf.DUMMYFUNCTION("QUERY(transpose(A117:R117),""Select Col1 where Col1 is not null limit 1"",0)"),"Latavius Murray")</f>
        <v>Latavius Murray</v>
      </c>
      <c r="U117" s="32" t="e">
        <f t="shared" ca="1" si="1"/>
        <v>#NAME?</v>
      </c>
    </row>
    <row r="118" spans="1:21" ht="12.75" x14ac:dyDescent="0.2">
      <c r="A118" s="5" t="s">
        <v>150</v>
      </c>
      <c r="B118" s="5" t="s">
        <v>150</v>
      </c>
      <c r="C118" s="5" t="s">
        <v>150</v>
      </c>
      <c r="D118" s="5" t="s">
        <v>150</v>
      </c>
      <c r="E118" s="5" t="s">
        <v>150</v>
      </c>
      <c r="F118" s="5" t="s">
        <v>150</v>
      </c>
      <c r="G118" s="5" t="s">
        <v>150</v>
      </c>
      <c r="H118" s="5" t="s">
        <v>150</v>
      </c>
      <c r="I118" s="5" t="s">
        <v>150</v>
      </c>
      <c r="J118" s="5" t="s">
        <v>150</v>
      </c>
      <c r="K118" s="5" t="s">
        <v>150</v>
      </c>
      <c r="L118" s="5" t="s">
        <v>150</v>
      </c>
      <c r="M118" s="5" t="s">
        <v>150</v>
      </c>
      <c r="N118" s="5" t="s">
        <v>150</v>
      </c>
      <c r="O118" s="5" t="s">
        <v>150</v>
      </c>
      <c r="P118" s="5" t="s">
        <v>150</v>
      </c>
      <c r="Q118" s="5" t="s">
        <v>150</v>
      </c>
      <c r="R118" s="5" t="s">
        <v>150</v>
      </c>
      <c r="S118" s="5">
        <f t="shared" si="0"/>
        <v>1</v>
      </c>
      <c r="T118" s="5" t="str">
        <f ca="1">IFERROR(__xludf.DUMMYFUNCTION("QUERY(transpose(A118:R118),""Select Col1 where Col1 is not null limit 1"",0)"),"Boston Scott")</f>
        <v>Boston Scott</v>
      </c>
      <c r="U118" s="32" t="e">
        <f t="shared" ca="1" si="1"/>
        <v>#NAME?</v>
      </c>
    </row>
    <row r="119" spans="1:21" ht="12.75" x14ac:dyDescent="0.2">
      <c r="A119" s="5" t="s">
        <v>151</v>
      </c>
      <c r="B119" s="5" t="s">
        <v>151</v>
      </c>
      <c r="C119" s="5" t="s">
        <v>151</v>
      </c>
      <c r="D119" s="5" t="s">
        <v>151</v>
      </c>
      <c r="E119" s="5" t="s">
        <v>151</v>
      </c>
      <c r="F119" s="5" t="s">
        <v>151</v>
      </c>
      <c r="G119" s="5" t="s">
        <v>151</v>
      </c>
      <c r="H119" s="5" t="s">
        <v>151</v>
      </c>
      <c r="I119" s="5" t="s">
        <v>151</v>
      </c>
      <c r="J119" s="5" t="s">
        <v>151</v>
      </c>
      <c r="K119" s="5" t="s">
        <v>151</v>
      </c>
      <c r="L119" s="5" t="s">
        <v>151</v>
      </c>
      <c r="M119" s="5" t="s">
        <v>151</v>
      </c>
      <c r="N119" s="5" t="s">
        <v>151</v>
      </c>
      <c r="O119" s="5" t="s">
        <v>151</v>
      </c>
      <c r="P119" s="5" t="s">
        <v>151</v>
      </c>
      <c r="Q119" s="5" t="s">
        <v>151</v>
      </c>
      <c r="R119" s="5" t="s">
        <v>151</v>
      </c>
      <c r="S119" s="5">
        <f t="shared" si="0"/>
        <v>1</v>
      </c>
      <c r="T119" s="5" t="str">
        <f ca="1">IFERROR(__xludf.DUMMYFUNCTION("QUERY(transpose(A119:R119),""Select Col1 where Col1 is not null limit 1"",0)"),"Devin Singletary")</f>
        <v>Devin Singletary</v>
      </c>
      <c r="U119" s="32" t="e">
        <f t="shared" ca="1" si="1"/>
        <v>#NAME?</v>
      </c>
    </row>
    <row r="120" spans="1:21" ht="12.75" x14ac:dyDescent="0.2">
      <c r="A120" s="5" t="s">
        <v>152</v>
      </c>
      <c r="B120" s="5" t="s">
        <v>152</v>
      </c>
      <c r="C120" s="5" t="s">
        <v>152</v>
      </c>
      <c r="D120" s="5" t="s">
        <v>152</v>
      </c>
      <c r="E120" s="5" t="s">
        <v>152</v>
      </c>
      <c r="F120" s="5" t="s">
        <v>152</v>
      </c>
      <c r="G120" s="5" t="s">
        <v>152</v>
      </c>
      <c r="H120" s="5" t="s">
        <v>152</v>
      </c>
      <c r="I120" s="5" t="s">
        <v>152</v>
      </c>
      <c r="J120" s="5" t="s">
        <v>152</v>
      </c>
      <c r="K120" s="5" t="s">
        <v>152</v>
      </c>
      <c r="L120" s="5" t="s">
        <v>152</v>
      </c>
      <c r="M120" s="5" t="s">
        <v>152</v>
      </c>
      <c r="N120" s="5" t="s">
        <v>152</v>
      </c>
      <c r="O120" s="5" t="s">
        <v>152</v>
      </c>
      <c r="P120" s="5" t="s">
        <v>152</v>
      </c>
      <c r="Q120" s="5" t="s">
        <v>152</v>
      </c>
      <c r="R120" s="5" t="s">
        <v>152</v>
      </c>
      <c r="S120" s="5">
        <f t="shared" si="0"/>
        <v>1</v>
      </c>
      <c r="T120" s="5" t="str">
        <f ca="1">IFERROR(__xludf.DUMMYFUNCTION("QUERY(transpose(A120:R120),""Select Col1 where Col1 is not null limit 1"",0)"),"D'Andre Swift")</f>
        <v>D'Andre Swift</v>
      </c>
      <c r="U120" s="32" t="e">
        <f t="shared" ca="1" si="1"/>
        <v>#NAME?</v>
      </c>
    </row>
    <row r="121" spans="1:21" ht="12.75" x14ac:dyDescent="0.2">
      <c r="A121" s="5" t="s">
        <v>153</v>
      </c>
      <c r="B121" s="5" t="s">
        <v>153</v>
      </c>
      <c r="C121" s="5" t="s">
        <v>153</v>
      </c>
      <c r="D121" s="5" t="s">
        <v>153</v>
      </c>
      <c r="E121" s="5" t="s">
        <v>153</v>
      </c>
      <c r="F121" s="5" t="s">
        <v>153</v>
      </c>
      <c r="G121" s="5" t="s">
        <v>153</v>
      </c>
      <c r="H121" s="5" t="s">
        <v>153</v>
      </c>
      <c r="I121" s="5" t="s">
        <v>153</v>
      </c>
      <c r="J121" s="5" t="s">
        <v>153</v>
      </c>
      <c r="K121" s="5" t="s">
        <v>153</v>
      </c>
      <c r="L121" s="5" t="s">
        <v>153</v>
      </c>
      <c r="M121" s="5" t="s">
        <v>153</v>
      </c>
      <c r="N121" s="5" t="s">
        <v>153</v>
      </c>
      <c r="O121" s="5" t="s">
        <v>153</v>
      </c>
      <c r="P121" s="5" t="s">
        <v>153</v>
      </c>
      <c r="Q121" s="5" t="s">
        <v>153</v>
      </c>
      <c r="R121" s="5" t="s">
        <v>153</v>
      </c>
      <c r="S121" s="5">
        <f t="shared" si="0"/>
        <v>1</v>
      </c>
      <c r="T121" s="5" t="str">
        <f ca="1">IFERROR(__xludf.DUMMYFUNCTION("QUERY(transpose(A121:R121),""Select Col1 where Col1 is not null limit 1"",0)"),"Zamir White")</f>
        <v>Zamir White</v>
      </c>
      <c r="U121" s="32" t="e">
        <f t="shared" ca="1" si="1"/>
        <v>#NAME?</v>
      </c>
    </row>
    <row r="122" spans="1:21" ht="12.75" x14ac:dyDescent="0.2">
      <c r="A122" s="5" t="s">
        <v>154</v>
      </c>
      <c r="B122" s="5" t="s">
        <v>154</v>
      </c>
      <c r="C122" s="5" t="s">
        <v>154</v>
      </c>
      <c r="D122" s="5" t="s">
        <v>154</v>
      </c>
      <c r="E122" s="5" t="s">
        <v>154</v>
      </c>
      <c r="F122" s="5" t="s">
        <v>154</v>
      </c>
      <c r="G122" s="5" t="s">
        <v>154</v>
      </c>
      <c r="H122" s="5" t="s">
        <v>154</v>
      </c>
      <c r="I122" s="5" t="s">
        <v>154</v>
      </c>
      <c r="J122" s="5" t="s">
        <v>154</v>
      </c>
      <c r="K122" s="5" t="s">
        <v>154</v>
      </c>
      <c r="L122" s="5" t="s">
        <v>154</v>
      </c>
      <c r="M122" s="5" t="s">
        <v>154</v>
      </c>
      <c r="N122" s="5" t="s">
        <v>154</v>
      </c>
      <c r="O122" s="5" t="s">
        <v>154</v>
      </c>
      <c r="P122" s="5" t="s">
        <v>154</v>
      </c>
      <c r="Q122" s="5" t="s">
        <v>154</v>
      </c>
      <c r="R122" s="5" t="s">
        <v>154</v>
      </c>
      <c r="S122" s="5">
        <f t="shared" si="0"/>
        <v>1</v>
      </c>
      <c r="T122" s="5" t="str">
        <f ca="1">IFERROR(__xludf.DUMMYFUNCTION("QUERY(transpose(A122:R122),""Select Col1 where Col1 is not null limit 1"",0)"),"Chase Edmonds")</f>
        <v>Chase Edmonds</v>
      </c>
      <c r="U122" s="32" t="e">
        <f t="shared" ca="1" si="1"/>
        <v>#NAME?</v>
      </c>
    </row>
    <row r="123" spans="1:21" ht="12.75" x14ac:dyDescent="0.2">
      <c r="A123" s="5" t="s">
        <v>155</v>
      </c>
      <c r="B123" s="5" t="s">
        <v>155</v>
      </c>
      <c r="C123" s="5" t="s">
        <v>155</v>
      </c>
      <c r="D123" s="5" t="s">
        <v>155</v>
      </c>
      <c r="E123" s="5" t="s">
        <v>155</v>
      </c>
      <c r="F123" s="5" t="s">
        <v>155</v>
      </c>
      <c r="G123" s="5" t="s">
        <v>155</v>
      </c>
      <c r="H123" s="5" t="s">
        <v>155</v>
      </c>
      <c r="I123" s="5" t="s">
        <v>155</v>
      </c>
      <c r="J123" s="5" t="s">
        <v>155</v>
      </c>
      <c r="K123" s="5" t="s">
        <v>155</v>
      </c>
      <c r="L123" s="5" t="s">
        <v>155</v>
      </c>
      <c r="M123" s="5" t="s">
        <v>155</v>
      </c>
      <c r="N123" s="5" t="s">
        <v>155</v>
      </c>
      <c r="O123" s="5" t="s">
        <v>155</v>
      </c>
      <c r="P123" s="5" t="s">
        <v>155</v>
      </c>
      <c r="Q123" s="5" t="s">
        <v>155</v>
      </c>
      <c r="R123" s="5" t="s">
        <v>155</v>
      </c>
      <c r="S123" s="5">
        <f t="shared" si="0"/>
        <v>1</v>
      </c>
      <c r="T123" s="5" t="str">
        <f ca="1">IFERROR(__xludf.DUMMYFUNCTION("QUERY(transpose(A123:R123),""Select Col1 where Col1 is not null limit 1"",0)"),"Keaontay Ingram")</f>
        <v>Keaontay Ingram</v>
      </c>
      <c r="U123" s="32" t="e">
        <f t="shared" ca="1" si="1"/>
        <v>#NAME?</v>
      </c>
    </row>
    <row r="124" spans="1:21" ht="12.75" x14ac:dyDescent="0.2">
      <c r="A124" s="5" t="s">
        <v>156</v>
      </c>
      <c r="B124" s="5" t="s">
        <v>156</v>
      </c>
      <c r="C124" s="5" t="s">
        <v>156</v>
      </c>
      <c r="D124" s="5" t="s">
        <v>156</v>
      </c>
      <c r="E124" s="5" t="s">
        <v>156</v>
      </c>
      <c r="F124" s="5" t="s">
        <v>156</v>
      </c>
      <c r="G124" s="5" t="s">
        <v>156</v>
      </c>
      <c r="H124" s="5" t="s">
        <v>156</v>
      </c>
      <c r="I124" s="5" t="s">
        <v>156</v>
      </c>
      <c r="J124" s="5" t="s">
        <v>156</v>
      </c>
      <c r="K124" s="5" t="s">
        <v>156</v>
      </c>
      <c r="L124" s="5" t="s">
        <v>156</v>
      </c>
      <c r="M124" s="5" t="s">
        <v>156</v>
      </c>
      <c r="N124" s="5" t="s">
        <v>156</v>
      </c>
      <c r="O124" s="5" t="s">
        <v>156</v>
      </c>
      <c r="P124" s="5" t="s">
        <v>156</v>
      </c>
      <c r="Q124" s="5" t="s">
        <v>156</v>
      </c>
      <c r="R124" s="5" t="s">
        <v>156</v>
      </c>
      <c r="S124" s="5">
        <f t="shared" si="0"/>
        <v>1</v>
      </c>
      <c r="T124" s="5" t="str">
        <f ca="1">IFERROR(__xludf.DUMMYFUNCTION("QUERY(transpose(A124:R124),""Select Col1 where Col1 is not null limit 1"",0)"),"D'Ernest Johnson")</f>
        <v>D'Ernest Johnson</v>
      </c>
      <c r="U124" s="32" t="e">
        <f t="shared" ca="1" si="1"/>
        <v>#NAME?</v>
      </c>
    </row>
    <row r="125" spans="1:21" ht="12.75" x14ac:dyDescent="0.2">
      <c r="A125" s="5" t="s">
        <v>157</v>
      </c>
      <c r="B125" s="5" t="s">
        <v>157</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f t="shared" si="0"/>
        <v>1</v>
      </c>
      <c r="T125" s="5" t="str">
        <f ca="1">IFERROR(__xludf.DUMMYFUNCTION("QUERY(transpose(A125:R125),""Select Col1 where Col1 is not null limit 1"",0)"),"Tony Jones")</f>
        <v>Tony Jones</v>
      </c>
      <c r="U125" s="32" t="e">
        <f t="shared" ca="1" si="1"/>
        <v>#NAME?</v>
      </c>
    </row>
    <row r="126" spans="1:21" ht="12.75" x14ac:dyDescent="0.2">
      <c r="A126" s="5" t="s">
        <v>158</v>
      </c>
      <c r="B126" s="5" t="s">
        <v>158</v>
      </c>
      <c r="C126" s="5" t="s">
        <v>158</v>
      </c>
      <c r="D126" s="5" t="s">
        <v>158</v>
      </c>
      <c r="E126" s="5" t="s">
        <v>158</v>
      </c>
      <c r="F126" s="5" t="s">
        <v>158</v>
      </c>
      <c r="G126" s="5" t="s">
        <v>158</v>
      </c>
      <c r="H126" s="5" t="s">
        <v>158</v>
      </c>
      <c r="I126" s="5" t="s">
        <v>158</v>
      </c>
      <c r="J126" s="5" t="s">
        <v>158</v>
      </c>
      <c r="K126" s="5" t="s">
        <v>158</v>
      </c>
      <c r="L126" s="5" t="s">
        <v>158</v>
      </c>
      <c r="M126" s="5" t="s">
        <v>158</v>
      </c>
      <c r="N126" s="5" t="s">
        <v>158</v>
      </c>
      <c r="O126" s="5" t="s">
        <v>158</v>
      </c>
      <c r="P126" s="5" t="s">
        <v>158</v>
      </c>
      <c r="Q126" s="5" t="s">
        <v>158</v>
      </c>
      <c r="R126" s="5" t="s">
        <v>158</v>
      </c>
      <c r="S126" s="5">
        <f t="shared" si="0"/>
        <v>1</v>
      </c>
      <c r="T126" s="5" t="str">
        <f ca="1">IFERROR(__xludf.DUMMYFUNCTION("QUERY(transpose(A126:R126),""Select Col1 where Col1 is not null limit 1"",0)"),"Christopher Rodriguez")</f>
        <v>Christopher Rodriguez</v>
      </c>
      <c r="U126" s="32" t="e">
        <f t="shared" ca="1" si="1"/>
        <v>#NAME?</v>
      </c>
    </row>
    <row r="127" spans="1:21" ht="12.75" x14ac:dyDescent="0.2">
      <c r="A127" s="5" t="s">
        <v>159</v>
      </c>
      <c r="B127" s="5" t="s">
        <v>159</v>
      </c>
      <c r="C127" s="5" t="s">
        <v>159</v>
      </c>
      <c r="D127" s="5" t="s">
        <v>159</v>
      </c>
      <c r="E127" s="5" t="s">
        <v>159</v>
      </c>
      <c r="F127" s="5" t="s">
        <v>159</v>
      </c>
      <c r="G127" s="5" t="s">
        <v>159</v>
      </c>
      <c r="H127" s="5" t="s">
        <v>159</v>
      </c>
      <c r="I127" s="5" t="s">
        <v>159</v>
      </c>
      <c r="J127" s="5" t="s">
        <v>159</v>
      </c>
      <c r="K127" s="5" t="s">
        <v>159</v>
      </c>
      <c r="L127" s="5" t="s">
        <v>159</v>
      </c>
      <c r="M127" s="5" t="s">
        <v>159</v>
      </c>
      <c r="N127" s="5" t="s">
        <v>159</v>
      </c>
      <c r="O127" s="5" t="s">
        <v>159</v>
      </c>
      <c r="P127" s="5" t="s">
        <v>159</v>
      </c>
      <c r="Q127" s="5" t="s">
        <v>159</v>
      </c>
      <c r="R127" s="5" t="s">
        <v>159</v>
      </c>
      <c r="S127" s="5">
        <f t="shared" si="0"/>
        <v>1</v>
      </c>
      <c r="T127" s="5" t="str">
        <f ca="1">IFERROR(__xludf.DUMMYFUNCTION("QUERY(transpose(A127:R127),""Select Col1 where Col1 is not null limit 1"",0)"),"Deuce Vaughn")</f>
        <v>Deuce Vaughn</v>
      </c>
      <c r="U127" s="32" t="e">
        <f t="shared" ca="1" si="1"/>
        <v>#NAME?</v>
      </c>
    </row>
    <row r="128" spans="1:21" ht="12.75" x14ac:dyDescent="0.2">
      <c r="A128" s="5" t="s">
        <v>160</v>
      </c>
      <c r="B128" s="5" t="s">
        <v>160</v>
      </c>
      <c r="C128" s="5" t="s">
        <v>160</v>
      </c>
      <c r="D128" s="5" t="s">
        <v>160</v>
      </c>
      <c r="E128" s="5" t="s">
        <v>160</v>
      </c>
      <c r="F128" s="5" t="s">
        <v>160</v>
      </c>
      <c r="G128" s="5" t="s">
        <v>160</v>
      </c>
      <c r="H128" s="5" t="s">
        <v>160</v>
      </c>
      <c r="I128" s="5" t="s">
        <v>160</v>
      </c>
      <c r="J128" s="5" t="s">
        <v>160</v>
      </c>
      <c r="K128" s="5" t="s">
        <v>160</v>
      </c>
      <c r="L128" s="5" t="s">
        <v>160</v>
      </c>
      <c r="M128" s="5" t="s">
        <v>160</v>
      </c>
      <c r="N128" s="5" t="s">
        <v>160</v>
      </c>
      <c r="O128" s="5" t="s">
        <v>160</v>
      </c>
      <c r="P128" s="5" t="s">
        <v>160</v>
      </c>
      <c r="Q128" s="5" t="s">
        <v>160</v>
      </c>
      <c r="R128" s="5" t="s">
        <v>160</v>
      </c>
      <c r="S128" s="5">
        <f t="shared" si="0"/>
        <v>1</v>
      </c>
      <c r="T128" s="5" t="str">
        <f ca="1">IFERROR(__xludf.DUMMYFUNCTION("QUERY(transpose(A128:R128),""Select Col1 where Col1 is not null limit 1"",0)"),"Trayveon Williams")</f>
        <v>Trayveon Williams</v>
      </c>
      <c r="U128" s="32" t="e">
        <f t="shared" ca="1" si="1"/>
        <v>#NAME?</v>
      </c>
    </row>
    <row r="129" spans="1:21" ht="12.75" x14ac:dyDescent="0.2">
      <c r="A129" s="5" t="s">
        <v>161</v>
      </c>
      <c r="B129" s="5" t="s">
        <v>161</v>
      </c>
      <c r="C129" s="5" t="s">
        <v>161</v>
      </c>
      <c r="D129" s="5" t="s">
        <v>161</v>
      </c>
      <c r="E129" s="5" t="s">
        <v>161</v>
      </c>
      <c r="F129" s="5" t="s">
        <v>161</v>
      </c>
      <c r="G129" s="5" t="s">
        <v>161</v>
      </c>
      <c r="H129" s="5" t="s">
        <v>161</v>
      </c>
      <c r="I129" s="5" t="s">
        <v>161</v>
      </c>
      <c r="J129" s="5" t="s">
        <v>161</v>
      </c>
      <c r="K129" s="5" t="s">
        <v>161</v>
      </c>
      <c r="L129" s="5" t="s">
        <v>161</v>
      </c>
      <c r="M129" s="5" t="s">
        <v>161</v>
      </c>
      <c r="N129" s="5" t="s">
        <v>161</v>
      </c>
      <c r="O129" s="5" t="s">
        <v>161</v>
      </c>
      <c r="P129" s="5" t="s">
        <v>161</v>
      </c>
      <c r="Q129" s="5" t="s">
        <v>161</v>
      </c>
      <c r="R129" s="5" t="s">
        <v>161</v>
      </c>
      <c r="S129" s="5">
        <f t="shared" si="0"/>
        <v>1</v>
      </c>
      <c r="T129" s="5" t="str">
        <f ca="1">IFERROR(__xludf.DUMMYFUNCTION("QUERY(transpose(A129:R129),""Select Col1 where Col1 is not null limit 1"",0)"),"Tyreek Hill")</f>
        <v>Tyreek Hill</v>
      </c>
      <c r="U129" s="32" t="e">
        <f t="shared" ca="1" si="1"/>
        <v>#NAME?</v>
      </c>
    </row>
    <row r="130" spans="1:21" ht="12.75" x14ac:dyDescent="0.2">
      <c r="A130" s="5" t="s">
        <v>163</v>
      </c>
      <c r="B130" s="5" t="s">
        <v>163</v>
      </c>
      <c r="C130" s="5" t="s">
        <v>163</v>
      </c>
      <c r="D130" s="5" t="s">
        <v>163</v>
      </c>
      <c r="E130" s="5" t="s">
        <v>163</v>
      </c>
      <c r="F130" s="5" t="s">
        <v>163</v>
      </c>
      <c r="G130" s="5" t="s">
        <v>163</v>
      </c>
      <c r="H130" s="5" t="s">
        <v>163</v>
      </c>
      <c r="I130" s="5" t="s">
        <v>163</v>
      </c>
      <c r="J130" s="5" t="s">
        <v>163</v>
      </c>
      <c r="K130" s="5" t="s">
        <v>163</v>
      </c>
      <c r="L130" s="5" t="s">
        <v>163</v>
      </c>
      <c r="M130" s="5" t="s">
        <v>163</v>
      </c>
      <c r="N130" s="5" t="s">
        <v>163</v>
      </c>
      <c r="O130" s="5" t="s">
        <v>163</v>
      </c>
      <c r="P130" s="5" t="s">
        <v>163</v>
      </c>
      <c r="Q130" s="5" t="s">
        <v>163</v>
      </c>
      <c r="R130" s="5" t="s">
        <v>163</v>
      </c>
      <c r="S130" s="5">
        <f t="shared" si="0"/>
        <v>1</v>
      </c>
      <c r="T130" s="5" t="str">
        <f ca="1">IFERROR(__xludf.DUMMYFUNCTION("QUERY(transpose(A130:R130),""Select Col1 where Col1 is not null limit 1"",0)"),"Brandon Aiyuk")</f>
        <v>Brandon Aiyuk</v>
      </c>
      <c r="U130" s="32" t="e">
        <f t="shared" ca="1" si="1"/>
        <v>#NAME?</v>
      </c>
    </row>
    <row r="131" spans="1:21" ht="12.75" x14ac:dyDescent="0.2">
      <c r="A131" s="5" t="s">
        <v>164</v>
      </c>
      <c r="B131" s="5" t="s">
        <v>164</v>
      </c>
      <c r="C131" s="5" t="s">
        <v>164</v>
      </c>
      <c r="D131" s="5" t="s">
        <v>164</v>
      </c>
      <c r="E131" s="5" t="s">
        <v>164</v>
      </c>
      <c r="F131" s="5" t="s">
        <v>164</v>
      </c>
      <c r="G131" s="5" t="s">
        <v>164</v>
      </c>
      <c r="H131" s="5" t="s">
        <v>164</v>
      </c>
      <c r="I131" s="5" t="s">
        <v>164</v>
      </c>
      <c r="J131" s="5" t="s">
        <v>164</v>
      </c>
      <c r="K131" s="5" t="s">
        <v>164</v>
      </c>
      <c r="L131" s="5" t="s">
        <v>164</v>
      </c>
      <c r="M131" s="5" t="s">
        <v>164</v>
      </c>
      <c r="N131" s="5" t="s">
        <v>164</v>
      </c>
      <c r="O131" s="5" t="s">
        <v>164</v>
      </c>
      <c r="P131" s="5" t="s">
        <v>164</v>
      </c>
      <c r="Q131" s="5" t="s">
        <v>164</v>
      </c>
      <c r="R131" s="5" t="s">
        <v>164</v>
      </c>
      <c r="S131" s="5">
        <f t="shared" si="0"/>
        <v>1</v>
      </c>
      <c r="T131" s="5" t="str">
        <f ca="1">IFERROR(__xludf.DUMMYFUNCTION("QUERY(transpose(A131:R131),""Select Col1 where Col1 is not null limit 1"",0)"),"Jakobi Meyers")</f>
        <v>Jakobi Meyers</v>
      </c>
      <c r="U131" s="32" t="e">
        <f t="shared" ca="1" si="1"/>
        <v>#NAME?</v>
      </c>
    </row>
    <row r="132" spans="1:21" ht="12.75" x14ac:dyDescent="0.2">
      <c r="A132" s="5" t="s">
        <v>165</v>
      </c>
      <c r="B132" s="5" t="s">
        <v>165</v>
      </c>
      <c r="C132" s="5" t="s">
        <v>165</v>
      </c>
      <c r="D132" s="5" t="s">
        <v>165</v>
      </c>
      <c r="E132" s="5" t="s">
        <v>165</v>
      </c>
      <c r="F132" s="5" t="s">
        <v>165</v>
      </c>
      <c r="G132" s="5" t="s">
        <v>165</v>
      </c>
      <c r="H132" s="5" t="s">
        <v>165</v>
      </c>
      <c r="I132" s="5" t="s">
        <v>165</v>
      </c>
      <c r="J132" s="5" t="s">
        <v>165</v>
      </c>
      <c r="K132" s="5" t="s">
        <v>165</v>
      </c>
      <c r="L132" s="5" t="s">
        <v>165</v>
      </c>
      <c r="M132" s="5" t="s">
        <v>165</v>
      </c>
      <c r="N132" s="5" t="s">
        <v>165</v>
      </c>
      <c r="O132" s="5" t="s">
        <v>165</v>
      </c>
      <c r="P132" s="5" t="s">
        <v>165</v>
      </c>
      <c r="Q132" s="5" t="s">
        <v>165</v>
      </c>
      <c r="R132" s="5" t="s">
        <v>165</v>
      </c>
      <c r="S132" s="5">
        <f t="shared" si="0"/>
        <v>1</v>
      </c>
      <c r="T132" s="5" t="str">
        <f ca="1">IFERROR(__xludf.DUMMYFUNCTION("QUERY(transpose(A132:R132),""Select Col1 where Col1 is not null limit 1"",0)"),"Stefon Diggs")</f>
        <v>Stefon Diggs</v>
      </c>
      <c r="U132" s="32" t="e">
        <f t="shared" ca="1" si="1"/>
        <v>#NAME?</v>
      </c>
    </row>
    <row r="133" spans="1:21" ht="12.75" x14ac:dyDescent="0.2">
      <c r="A133" s="5" t="s">
        <v>166</v>
      </c>
      <c r="B133" s="5" t="s">
        <v>166</v>
      </c>
      <c r="C133" s="5" t="s">
        <v>166</v>
      </c>
      <c r="D133" s="5" t="s">
        <v>166</v>
      </c>
      <c r="E133" s="5" t="s">
        <v>166</v>
      </c>
      <c r="F133" s="5" t="s">
        <v>166</v>
      </c>
      <c r="G133" s="5" t="s">
        <v>166</v>
      </c>
      <c r="H133" s="5" t="s">
        <v>166</v>
      </c>
      <c r="I133" s="5" t="s">
        <v>166</v>
      </c>
      <c r="J133" s="5" t="s">
        <v>166</v>
      </c>
      <c r="K133" s="5" t="s">
        <v>166</v>
      </c>
      <c r="L133" s="5" t="s">
        <v>166</v>
      </c>
      <c r="M133" s="5" t="s">
        <v>166</v>
      </c>
      <c r="N133" s="5" t="s">
        <v>166</v>
      </c>
      <c r="O133" s="5" t="s">
        <v>166</v>
      </c>
      <c r="P133" s="5" t="s">
        <v>166</v>
      </c>
      <c r="Q133" s="5" t="s">
        <v>166</v>
      </c>
      <c r="R133" s="5" t="s">
        <v>166</v>
      </c>
      <c r="S133" s="5">
        <f t="shared" si="0"/>
        <v>1</v>
      </c>
      <c r="T133" s="5" t="str">
        <f ca="1">IFERROR(__xludf.DUMMYFUNCTION("QUERY(transpose(A133:R133),""Select Col1 where Col1 is not null limit 1"",0)"),"Kendrick Bourne")</f>
        <v>Kendrick Bourne</v>
      </c>
      <c r="U133" s="32" t="e">
        <f t="shared" ca="1" si="1"/>
        <v>#NAME?</v>
      </c>
    </row>
    <row r="134" spans="1:21" ht="12.75" x14ac:dyDescent="0.2">
      <c r="A134" s="5" t="s">
        <v>167</v>
      </c>
      <c r="B134" s="5" t="s">
        <v>167</v>
      </c>
      <c r="C134" s="5" t="s">
        <v>167</v>
      </c>
      <c r="D134" s="5" t="s">
        <v>167</v>
      </c>
      <c r="E134" s="5" t="s">
        <v>167</v>
      </c>
      <c r="F134" s="5" t="s">
        <v>167</v>
      </c>
      <c r="G134" s="5" t="s">
        <v>167</v>
      </c>
      <c r="H134" s="5" t="s">
        <v>167</v>
      </c>
      <c r="I134" s="5" t="s">
        <v>167</v>
      </c>
      <c r="J134" s="5" t="s">
        <v>167</v>
      </c>
      <c r="K134" s="5" t="s">
        <v>167</v>
      </c>
      <c r="L134" s="5" t="s">
        <v>167</v>
      </c>
      <c r="M134" s="5" t="s">
        <v>167</v>
      </c>
      <c r="N134" s="5" t="s">
        <v>167</v>
      </c>
      <c r="O134" s="5" t="s">
        <v>167</v>
      </c>
      <c r="P134" s="5" t="s">
        <v>167</v>
      </c>
      <c r="Q134" s="5" t="s">
        <v>167</v>
      </c>
      <c r="R134" s="5" t="s">
        <v>167</v>
      </c>
      <c r="S134" s="5">
        <f t="shared" si="0"/>
        <v>1</v>
      </c>
      <c r="T134" s="5" t="str">
        <f ca="1">IFERROR(__xludf.DUMMYFUNCTION("QUERY(transpose(A134:R134),""Select Col1 where Col1 is not null limit 1"",0)"),"Justin Jefferson")</f>
        <v>Justin Jefferson</v>
      </c>
      <c r="U134" s="32" t="e">
        <f t="shared" ca="1" si="1"/>
        <v>#NAME?</v>
      </c>
    </row>
    <row r="135" spans="1:21" ht="12.75" x14ac:dyDescent="0.2">
      <c r="A135" s="5" t="s">
        <v>168</v>
      </c>
      <c r="B135" s="5" t="s">
        <v>168</v>
      </c>
      <c r="C135" s="5" t="s">
        <v>168</v>
      </c>
      <c r="D135" s="5" t="s">
        <v>168</v>
      </c>
      <c r="E135" s="5" t="s">
        <v>168</v>
      </c>
      <c r="F135" s="5" t="s">
        <v>168</v>
      </c>
      <c r="G135" s="5" t="s">
        <v>168</v>
      </c>
      <c r="H135" s="5" t="s">
        <v>168</v>
      </c>
      <c r="I135" s="5" t="s">
        <v>168</v>
      </c>
      <c r="J135" s="5" t="s">
        <v>168</v>
      </c>
      <c r="K135" s="5" t="s">
        <v>168</v>
      </c>
      <c r="L135" s="5" t="s">
        <v>168</v>
      </c>
      <c r="M135" s="5" t="s">
        <v>168</v>
      </c>
      <c r="N135" s="5" t="s">
        <v>168</v>
      </c>
      <c r="O135" s="5" t="s">
        <v>168</v>
      </c>
      <c r="P135" s="5" t="s">
        <v>168</v>
      </c>
      <c r="Q135" s="5" t="s">
        <v>168</v>
      </c>
      <c r="R135" s="5" t="s">
        <v>168</v>
      </c>
      <c r="S135" s="5">
        <f t="shared" si="0"/>
        <v>1</v>
      </c>
      <c r="T135" s="5" t="str">
        <f ca="1">IFERROR(__xludf.DUMMYFUNCTION("QUERY(transpose(A135:R135),""Select Col1 where Col1 is not null limit 1"",0)"),"Calvin Ridley")</f>
        <v>Calvin Ridley</v>
      </c>
      <c r="U135" s="32" t="e">
        <f t="shared" ca="1" si="1"/>
        <v>#NAME?</v>
      </c>
    </row>
    <row r="136" spans="1:21" ht="12.75" x14ac:dyDescent="0.2">
      <c r="A136" s="5" t="s">
        <v>169</v>
      </c>
      <c r="B136" s="5" t="s">
        <v>169</v>
      </c>
      <c r="C136" s="5" t="s">
        <v>169</v>
      </c>
      <c r="D136" s="5" t="s">
        <v>169</v>
      </c>
      <c r="E136" s="5" t="s">
        <v>169</v>
      </c>
      <c r="F136" s="5" t="s">
        <v>169</v>
      </c>
      <c r="G136" s="5" t="s">
        <v>169</v>
      </c>
      <c r="H136" s="5" t="s">
        <v>169</v>
      </c>
      <c r="I136" s="5" t="s">
        <v>169</v>
      </c>
      <c r="J136" s="5" t="s">
        <v>169</v>
      </c>
      <c r="K136" s="5" t="s">
        <v>169</v>
      </c>
      <c r="L136" s="5" t="s">
        <v>169</v>
      </c>
      <c r="M136" s="5" t="s">
        <v>169</v>
      </c>
      <c r="N136" s="5" t="s">
        <v>169</v>
      </c>
      <c r="O136" s="5" t="s">
        <v>169</v>
      </c>
      <c r="P136" s="5" t="s">
        <v>169</v>
      </c>
      <c r="Q136" s="5" t="s">
        <v>169</v>
      </c>
      <c r="R136" s="5" t="s">
        <v>169</v>
      </c>
      <c r="S136" s="5">
        <f t="shared" si="0"/>
        <v>1</v>
      </c>
      <c r="T136" s="5" t="str">
        <f ca="1">IFERROR(__xludf.DUMMYFUNCTION("QUERY(transpose(A136:R136),""Select Col1 where Col1 is not null limit 1"",0)"),"Michael Pittman")</f>
        <v>Michael Pittman</v>
      </c>
      <c r="U136" s="32" t="e">
        <f t="shared" ca="1" si="1"/>
        <v>#NAME?</v>
      </c>
    </row>
    <row r="137" spans="1:21" ht="12.75" x14ac:dyDescent="0.2">
      <c r="A137" s="5" t="s">
        <v>170</v>
      </c>
      <c r="B137" s="5" t="s">
        <v>170</v>
      </c>
      <c r="C137" s="5" t="s">
        <v>170</v>
      </c>
      <c r="D137" s="5" t="s">
        <v>170</v>
      </c>
      <c r="E137" s="5" t="s">
        <v>170</v>
      </c>
      <c r="F137" s="5" t="s">
        <v>170</v>
      </c>
      <c r="G137" s="5" t="s">
        <v>170</v>
      </c>
      <c r="H137" s="5" t="s">
        <v>170</v>
      </c>
      <c r="I137" s="5" t="s">
        <v>170</v>
      </c>
      <c r="J137" s="5" t="s">
        <v>170</v>
      </c>
      <c r="K137" s="5" t="s">
        <v>170</v>
      </c>
      <c r="L137" s="5" t="s">
        <v>170</v>
      </c>
      <c r="M137" s="5" t="s">
        <v>170</v>
      </c>
      <c r="N137" s="5" t="s">
        <v>170</v>
      </c>
      <c r="O137" s="5" t="s">
        <v>170</v>
      </c>
      <c r="P137" s="5" t="s">
        <v>170</v>
      </c>
      <c r="Q137" s="5" t="s">
        <v>170</v>
      </c>
      <c r="R137" s="5" t="s">
        <v>170</v>
      </c>
      <c r="S137" s="5">
        <f t="shared" si="0"/>
        <v>1</v>
      </c>
      <c r="T137" s="5" t="str">
        <f ca="1">IFERROR(__xludf.DUMMYFUNCTION("QUERY(transpose(A137:R137),""Select Col1 where Col1 is not null limit 1"",0)"),"Puka Nacua")</f>
        <v>Puka Nacua</v>
      </c>
      <c r="U137" s="32" t="e">
        <f t="shared" ca="1" si="1"/>
        <v>#NAME?</v>
      </c>
    </row>
    <row r="138" spans="1:21" ht="12.75" x14ac:dyDescent="0.2">
      <c r="A138" s="5" t="s">
        <v>171</v>
      </c>
      <c r="B138" s="5" t="s">
        <v>171</v>
      </c>
      <c r="C138" s="5" t="s">
        <v>171</v>
      </c>
      <c r="D138" s="5" t="s">
        <v>171</v>
      </c>
      <c r="E138" s="5" t="s">
        <v>171</v>
      </c>
      <c r="F138" s="5" t="s">
        <v>171</v>
      </c>
      <c r="G138" s="5" t="s">
        <v>171</v>
      </c>
      <c r="H138" s="5" t="s">
        <v>171</v>
      </c>
      <c r="I138" s="5" t="s">
        <v>171</v>
      </c>
      <c r="J138" s="5" t="s">
        <v>171</v>
      </c>
      <c r="K138" s="5" t="s">
        <v>171</v>
      </c>
      <c r="L138" s="5" t="s">
        <v>171</v>
      </c>
      <c r="M138" s="5" t="s">
        <v>171</v>
      </c>
      <c r="N138" s="5" t="s">
        <v>171</v>
      </c>
      <c r="O138" s="5" t="s">
        <v>171</v>
      </c>
      <c r="P138" s="5" t="s">
        <v>171</v>
      </c>
      <c r="Q138" s="5" t="s">
        <v>171</v>
      </c>
      <c r="R138" s="5" t="s">
        <v>171</v>
      </c>
      <c r="S138" s="5">
        <f t="shared" si="0"/>
        <v>1</v>
      </c>
      <c r="T138" s="5" t="str">
        <f ca="1">IFERROR(__xludf.DUMMYFUNCTION("QUERY(transpose(A138:R138),""Select Col1 where Col1 is not null limit 1"",0)"),"Chris Olave")</f>
        <v>Chris Olave</v>
      </c>
      <c r="U138" s="32" t="e">
        <f t="shared" ca="1" si="1"/>
        <v>#NAME?</v>
      </c>
    </row>
    <row r="139" spans="1:21" ht="12.75" x14ac:dyDescent="0.2">
      <c r="A139" s="5" t="s">
        <v>172</v>
      </c>
      <c r="B139" s="5" t="s">
        <v>172</v>
      </c>
      <c r="C139" s="5" t="s">
        <v>172</v>
      </c>
      <c r="D139" s="5" t="s">
        <v>172</v>
      </c>
      <c r="E139" s="5" t="s">
        <v>172</v>
      </c>
      <c r="F139" s="5" t="s">
        <v>172</v>
      </c>
      <c r="G139" s="5" t="s">
        <v>172</v>
      </c>
      <c r="H139" s="5" t="s">
        <v>172</v>
      </c>
      <c r="I139" s="5" t="s">
        <v>172</v>
      </c>
      <c r="J139" s="5" t="s">
        <v>172</v>
      </c>
      <c r="K139" s="5" t="s">
        <v>172</v>
      </c>
      <c r="L139" s="5" t="s">
        <v>172</v>
      </c>
      <c r="M139" s="5" t="s">
        <v>172</v>
      </c>
      <c r="N139" s="5" t="s">
        <v>172</v>
      </c>
      <c r="O139" s="5" t="s">
        <v>172</v>
      </c>
      <c r="P139" s="5" t="s">
        <v>172</v>
      </c>
      <c r="Q139" s="5" t="s">
        <v>172</v>
      </c>
      <c r="R139" s="5" t="s">
        <v>172</v>
      </c>
      <c r="S139" s="5">
        <f t="shared" si="0"/>
        <v>1</v>
      </c>
      <c r="T139" s="5" t="str">
        <f ca="1">IFERROR(__xludf.DUMMYFUNCTION("QUERY(transpose(A139:R139),""Select Col1 where Col1 is not null limit 1"",0)"),"Rashid Shaheed")</f>
        <v>Rashid Shaheed</v>
      </c>
      <c r="U139" s="32" t="e">
        <f t="shared" ca="1" si="1"/>
        <v>#NAME?</v>
      </c>
    </row>
    <row r="140" spans="1:21" ht="12.75" x14ac:dyDescent="0.2">
      <c r="A140" s="5" t="s">
        <v>173</v>
      </c>
      <c r="B140" s="5" t="s">
        <v>173</v>
      </c>
      <c r="C140" s="5" t="s">
        <v>173</v>
      </c>
      <c r="D140" s="5" t="s">
        <v>173</v>
      </c>
      <c r="E140" s="5" t="s">
        <v>173</v>
      </c>
      <c r="F140" s="5" t="s">
        <v>173</v>
      </c>
      <c r="G140" s="5" t="s">
        <v>173</v>
      </c>
      <c r="H140" s="5" t="s">
        <v>173</v>
      </c>
      <c r="I140" s="5" t="s">
        <v>173</v>
      </c>
      <c r="J140" s="5" t="s">
        <v>173</v>
      </c>
      <c r="K140" s="5" t="s">
        <v>173</v>
      </c>
      <c r="L140" s="5" t="s">
        <v>173</v>
      </c>
      <c r="M140" s="5" t="s">
        <v>173</v>
      </c>
      <c r="N140" s="5" t="s">
        <v>173</v>
      </c>
      <c r="O140" s="5" t="s">
        <v>173</v>
      </c>
      <c r="P140" s="5" t="s">
        <v>173</v>
      </c>
      <c r="Q140" s="5" t="s">
        <v>173</v>
      </c>
      <c r="R140" s="5" t="s">
        <v>173</v>
      </c>
      <c r="S140" s="5">
        <f t="shared" si="0"/>
        <v>1</v>
      </c>
      <c r="T140" s="5" t="str">
        <f ca="1">IFERROR(__xludf.DUMMYFUNCTION("QUERY(transpose(A140:R140),""Select Col1 where Col1 is not null limit 1"",0)"),"Amon-Ra St. Brown")</f>
        <v>Amon-Ra St. Brown</v>
      </c>
      <c r="U140" s="32" t="e">
        <f t="shared" ca="1" si="1"/>
        <v>#NAME?</v>
      </c>
    </row>
    <row r="141" spans="1:21" ht="12.75" x14ac:dyDescent="0.2">
      <c r="A141" s="5" t="s">
        <v>174</v>
      </c>
      <c r="B141" s="5" t="s">
        <v>174</v>
      </c>
      <c r="C141" s="5" t="s">
        <v>174</v>
      </c>
      <c r="D141" s="5" t="s">
        <v>174</v>
      </c>
      <c r="E141" s="5" t="s">
        <v>174</v>
      </c>
      <c r="F141" s="5" t="s">
        <v>174</v>
      </c>
      <c r="G141" s="5" t="s">
        <v>174</v>
      </c>
      <c r="H141" s="5" t="s">
        <v>174</v>
      </c>
      <c r="I141" s="5" t="s">
        <v>174</v>
      </c>
      <c r="J141" s="5" t="s">
        <v>174</v>
      </c>
      <c r="K141" s="5" t="s">
        <v>174</v>
      </c>
      <c r="L141" s="5" t="s">
        <v>174</v>
      </c>
      <c r="M141" s="5" t="s">
        <v>174</v>
      </c>
      <c r="N141" s="5" t="s">
        <v>174</v>
      </c>
      <c r="O141" s="5" t="s">
        <v>174</v>
      </c>
      <c r="P141" s="5" t="s">
        <v>174</v>
      </c>
      <c r="Q141" s="5" t="s">
        <v>174</v>
      </c>
      <c r="R141" s="5" t="s">
        <v>174</v>
      </c>
      <c r="S141" s="5">
        <f t="shared" si="0"/>
        <v>1</v>
      </c>
      <c r="T141" s="5" t="str">
        <f ca="1">IFERROR(__xludf.DUMMYFUNCTION("QUERY(transpose(A141:R141),""Select Col1 where Col1 is not null limit 1"",0)"),"Romeo Doubs")</f>
        <v>Romeo Doubs</v>
      </c>
      <c r="U141" s="32" t="e">
        <f t="shared" ca="1" si="1"/>
        <v>#NAME?</v>
      </c>
    </row>
    <row r="142" spans="1:21" ht="12.75" x14ac:dyDescent="0.2">
      <c r="A142" s="5" t="s">
        <v>175</v>
      </c>
      <c r="B142" s="5" t="s">
        <v>175</v>
      </c>
      <c r="C142" s="5" t="s">
        <v>175</v>
      </c>
      <c r="D142" s="5" t="s">
        <v>175</v>
      </c>
      <c r="E142" s="5" t="s">
        <v>175</v>
      </c>
      <c r="F142" s="5" t="s">
        <v>175</v>
      </c>
      <c r="G142" s="5" t="s">
        <v>175</v>
      </c>
      <c r="H142" s="5" t="s">
        <v>175</v>
      </c>
      <c r="I142" s="5" t="s">
        <v>175</v>
      </c>
      <c r="J142" s="5" t="s">
        <v>175</v>
      </c>
      <c r="K142" s="5" t="s">
        <v>175</v>
      </c>
      <c r="L142" s="5" t="s">
        <v>175</v>
      </c>
      <c r="M142" s="5" t="s">
        <v>175</v>
      </c>
      <c r="N142" s="5" t="s">
        <v>175</v>
      </c>
      <c r="O142" s="5" t="s">
        <v>175</v>
      </c>
      <c r="P142" s="5" t="s">
        <v>175</v>
      </c>
      <c r="Q142" s="5" t="s">
        <v>175</v>
      </c>
      <c r="R142" s="5" t="s">
        <v>175</v>
      </c>
      <c r="S142" s="5">
        <f t="shared" si="0"/>
        <v>1</v>
      </c>
      <c r="T142" s="5" t="str">
        <f ca="1">IFERROR(__xludf.DUMMYFUNCTION("QUERY(transpose(A142:R142),""Select Col1 where Col1 is not null limit 1"",0)"),"Mike Evans")</f>
        <v>Mike Evans</v>
      </c>
      <c r="U142" s="32" t="e">
        <f t="shared" ca="1" si="1"/>
        <v>#NAME?</v>
      </c>
    </row>
    <row r="143" spans="1:21" ht="12.75" x14ac:dyDescent="0.2">
      <c r="A143" s="5" t="s">
        <v>176</v>
      </c>
      <c r="B143" s="5" t="s">
        <v>176</v>
      </c>
      <c r="C143" s="5" t="s">
        <v>176</v>
      </c>
      <c r="D143" s="5" t="s">
        <v>176</v>
      </c>
      <c r="E143" s="5" t="s">
        <v>176</v>
      </c>
      <c r="F143" s="5" t="s">
        <v>176</v>
      </c>
      <c r="G143" s="5" t="s">
        <v>176</v>
      </c>
      <c r="H143" s="5" t="s">
        <v>176</v>
      </c>
      <c r="I143" s="5" t="s">
        <v>176</v>
      </c>
      <c r="J143" s="5" t="s">
        <v>176</v>
      </c>
      <c r="K143" s="5" t="s">
        <v>176</v>
      </c>
      <c r="L143" s="5" t="s">
        <v>176</v>
      </c>
      <c r="M143" s="5" t="s">
        <v>176</v>
      </c>
      <c r="N143" s="5" t="s">
        <v>176</v>
      </c>
      <c r="O143" s="5" t="s">
        <v>176</v>
      </c>
      <c r="P143" s="5" t="s">
        <v>176</v>
      </c>
      <c r="Q143" s="5" t="s">
        <v>176</v>
      </c>
      <c r="R143" s="5" t="s">
        <v>176</v>
      </c>
      <c r="S143" s="5">
        <f t="shared" si="0"/>
        <v>1</v>
      </c>
      <c r="T143" s="5" t="str">
        <f ca="1">IFERROR(__xludf.DUMMYFUNCTION("QUERY(transpose(A143:R143),""Select Col1 where Col1 is not null limit 1"",0)"),"Chatarius Atwell")</f>
        <v>Chatarius Atwell</v>
      </c>
      <c r="U143" s="32" t="e">
        <f t="shared" ca="1" si="1"/>
        <v>#NAME?</v>
      </c>
    </row>
    <row r="144" spans="1:21" ht="12.75" x14ac:dyDescent="0.2">
      <c r="A144" s="5" t="s">
        <v>177</v>
      </c>
      <c r="B144" s="5" t="s">
        <v>177</v>
      </c>
      <c r="C144" s="5" t="s">
        <v>177</v>
      </c>
      <c r="D144" s="5" t="s">
        <v>177</v>
      </c>
      <c r="E144" s="5" t="s">
        <v>177</v>
      </c>
      <c r="F144" s="5" t="s">
        <v>177</v>
      </c>
      <c r="G144" s="5" t="s">
        <v>177</v>
      </c>
      <c r="H144" s="5" t="s">
        <v>177</v>
      </c>
      <c r="I144" s="5" t="s">
        <v>177</v>
      </c>
      <c r="J144" s="5" t="s">
        <v>177</v>
      </c>
      <c r="K144" s="5" t="s">
        <v>177</v>
      </c>
      <c r="L144" s="5" t="s">
        <v>177</v>
      </c>
      <c r="M144" s="5" t="s">
        <v>177</v>
      </c>
      <c r="N144" s="5" t="s">
        <v>177</v>
      </c>
      <c r="O144" s="5" t="s">
        <v>177</v>
      </c>
      <c r="P144" s="5" t="s">
        <v>177</v>
      </c>
      <c r="Q144" s="5" t="s">
        <v>177</v>
      </c>
      <c r="R144" s="5" t="s">
        <v>177</v>
      </c>
      <c r="S144" s="5">
        <f t="shared" si="0"/>
        <v>1</v>
      </c>
      <c r="T144" s="5" t="str">
        <f ca="1">IFERROR(__xludf.DUMMYFUNCTION("QUERY(transpose(A144:R144),""Select Col1 where Col1 is not null limit 1"",0)"),"DeVonta Smith")</f>
        <v>DeVonta Smith</v>
      </c>
      <c r="U144" s="32" t="e">
        <f t="shared" ca="1" si="1"/>
        <v>#NAME?</v>
      </c>
    </row>
    <row r="145" spans="1:21" ht="12.75" x14ac:dyDescent="0.2">
      <c r="A145" s="5" t="s">
        <v>178</v>
      </c>
      <c r="B145" s="5" t="s">
        <v>178</v>
      </c>
      <c r="C145" s="5" t="s">
        <v>178</v>
      </c>
      <c r="D145" s="5" t="s">
        <v>178</v>
      </c>
      <c r="E145" s="5" t="s">
        <v>178</v>
      </c>
      <c r="F145" s="5" t="s">
        <v>178</v>
      </c>
      <c r="G145" s="5" t="s">
        <v>178</v>
      </c>
      <c r="H145" s="5" t="s">
        <v>178</v>
      </c>
      <c r="I145" s="5" t="s">
        <v>178</v>
      </c>
      <c r="J145" s="5" t="s">
        <v>178</v>
      </c>
      <c r="K145" s="5" t="s">
        <v>178</v>
      </c>
      <c r="L145" s="5" t="s">
        <v>178</v>
      </c>
      <c r="M145" s="5" t="s">
        <v>178</v>
      </c>
      <c r="N145" s="5" t="s">
        <v>178</v>
      </c>
      <c r="O145" s="5" t="s">
        <v>178</v>
      </c>
      <c r="P145" s="5" t="s">
        <v>178</v>
      </c>
      <c r="Q145" s="5" t="s">
        <v>178</v>
      </c>
      <c r="R145" s="5" t="s">
        <v>178</v>
      </c>
      <c r="S145" s="5">
        <f t="shared" si="0"/>
        <v>1</v>
      </c>
      <c r="T145" s="5" t="str">
        <f ca="1">IFERROR(__xludf.DUMMYFUNCTION("QUERY(transpose(A145:R145),""Select Col1 where Col1 is not null limit 1"",0)"),"Jordan Addison")</f>
        <v>Jordan Addison</v>
      </c>
      <c r="U145" s="32" t="e">
        <f t="shared" ca="1" si="1"/>
        <v>#NAME?</v>
      </c>
    </row>
    <row r="146" spans="1:21" ht="12.75" x14ac:dyDescent="0.2">
      <c r="A146" s="5" t="s">
        <v>179</v>
      </c>
      <c r="B146" s="5" t="s">
        <v>179</v>
      </c>
      <c r="C146" s="5" t="s">
        <v>179</v>
      </c>
      <c r="D146" s="5" t="s">
        <v>179</v>
      </c>
      <c r="E146" s="5" t="s">
        <v>179</v>
      </c>
      <c r="F146" s="5" t="s">
        <v>179</v>
      </c>
      <c r="G146" s="5" t="s">
        <v>179</v>
      </c>
      <c r="H146" s="5" t="s">
        <v>179</v>
      </c>
      <c r="I146" s="5" t="s">
        <v>179</v>
      </c>
      <c r="J146" s="5" t="s">
        <v>179</v>
      </c>
      <c r="K146" s="5" t="s">
        <v>179</v>
      </c>
      <c r="L146" s="5" t="s">
        <v>179</v>
      </c>
      <c r="M146" s="5" t="s">
        <v>179</v>
      </c>
      <c r="N146" s="5" t="s">
        <v>179</v>
      </c>
      <c r="O146" s="5" t="s">
        <v>179</v>
      </c>
      <c r="P146" s="5" t="s">
        <v>179</v>
      </c>
      <c r="Q146" s="5" t="s">
        <v>179</v>
      </c>
      <c r="R146" s="5" t="s">
        <v>179</v>
      </c>
      <c r="S146" s="5">
        <f t="shared" si="0"/>
        <v>1</v>
      </c>
      <c r="T146" s="5" t="str">
        <f ca="1">IFERROR(__xludf.DUMMYFUNCTION("QUERY(transpose(A146:R146),""Select Col1 where Col1 is not null limit 1"",0)"),"Zay Flowers")</f>
        <v>Zay Flowers</v>
      </c>
      <c r="U146" s="32" t="e">
        <f t="shared" ca="1" si="1"/>
        <v>#NAME?</v>
      </c>
    </row>
    <row r="147" spans="1:21" ht="12.75" x14ac:dyDescent="0.2">
      <c r="A147" s="5" t="s">
        <v>180</v>
      </c>
      <c r="B147" s="5" t="s">
        <v>180</v>
      </c>
      <c r="C147" s="5" t="s">
        <v>180</v>
      </c>
      <c r="D147" s="5" t="s">
        <v>180</v>
      </c>
      <c r="E147" s="5" t="s">
        <v>180</v>
      </c>
      <c r="F147" s="5" t="s">
        <v>180</v>
      </c>
      <c r="G147" s="5" t="s">
        <v>180</v>
      </c>
      <c r="H147" s="5" t="s">
        <v>180</v>
      </c>
      <c r="I147" s="5" t="s">
        <v>180</v>
      </c>
      <c r="J147" s="5" t="s">
        <v>180</v>
      </c>
      <c r="K147" s="5" t="s">
        <v>180</v>
      </c>
      <c r="L147" s="5" t="s">
        <v>180</v>
      </c>
      <c r="M147" s="5" t="s">
        <v>180</v>
      </c>
      <c r="N147" s="5" t="s">
        <v>180</v>
      </c>
      <c r="O147" s="5" t="s">
        <v>180</v>
      </c>
      <c r="P147" s="5" t="s">
        <v>180</v>
      </c>
      <c r="Q147" s="5" t="s">
        <v>180</v>
      </c>
      <c r="R147" s="5" t="s">
        <v>180</v>
      </c>
      <c r="S147" s="5">
        <f t="shared" si="0"/>
        <v>1</v>
      </c>
      <c r="T147" s="5" t="str">
        <f ca="1">IFERROR(__xludf.DUMMYFUNCTION("QUERY(transpose(A147:R147),""Select Col1 where Col1 is not null limit 1"",0)"),"Zay Jones")</f>
        <v>Zay Jones</v>
      </c>
      <c r="U147" s="32" t="e">
        <f t="shared" ca="1" si="1"/>
        <v>#NAME?</v>
      </c>
    </row>
    <row r="148" spans="1:21" ht="12.75" x14ac:dyDescent="0.2">
      <c r="A148" s="5" t="s">
        <v>181</v>
      </c>
      <c r="B148" s="5" t="s">
        <v>181</v>
      </c>
      <c r="C148" s="5" t="s">
        <v>181</v>
      </c>
      <c r="D148" s="5" t="s">
        <v>181</v>
      </c>
      <c r="E148" s="5" t="s">
        <v>181</v>
      </c>
      <c r="F148" s="5" t="s">
        <v>181</v>
      </c>
      <c r="G148" s="5" t="s">
        <v>181</v>
      </c>
      <c r="H148" s="5" t="s">
        <v>181</v>
      </c>
      <c r="I148" s="5" t="s">
        <v>181</v>
      </c>
      <c r="J148" s="5" t="s">
        <v>181</v>
      </c>
      <c r="K148" s="5" t="s">
        <v>181</v>
      </c>
      <c r="L148" s="5" t="s">
        <v>181</v>
      </c>
      <c r="M148" s="5" t="s">
        <v>181</v>
      </c>
      <c r="N148" s="5" t="s">
        <v>181</v>
      </c>
      <c r="O148" s="5" t="s">
        <v>181</v>
      </c>
      <c r="P148" s="5" t="s">
        <v>181</v>
      </c>
      <c r="Q148" s="5" t="s">
        <v>181</v>
      </c>
      <c r="R148" s="5" t="s">
        <v>181</v>
      </c>
      <c r="S148" s="5">
        <f t="shared" si="0"/>
        <v>1</v>
      </c>
      <c r="T148" s="5" t="str">
        <f ca="1">IFERROR(__xludf.DUMMYFUNCTION("QUERY(transpose(A148:R148),""Select Col1 where Col1 is not null limit 1"",0)"),"Darnell Mooney")</f>
        <v>Darnell Mooney</v>
      </c>
      <c r="U148" s="32" t="e">
        <f t="shared" ca="1" si="1"/>
        <v>#NAME?</v>
      </c>
    </row>
    <row r="149" spans="1:21" ht="12.75" x14ac:dyDescent="0.2">
      <c r="A149" s="5" t="s">
        <v>182</v>
      </c>
      <c r="B149" s="5" t="s">
        <v>182</v>
      </c>
      <c r="C149" s="5" t="s">
        <v>182</v>
      </c>
      <c r="D149" s="5" t="s">
        <v>182</v>
      </c>
      <c r="E149" s="5" t="s">
        <v>182</v>
      </c>
      <c r="F149" s="5" t="s">
        <v>182</v>
      </c>
      <c r="G149" s="5" t="s">
        <v>182</v>
      </c>
      <c r="H149" s="5" t="s">
        <v>182</v>
      </c>
      <c r="I149" s="5" t="s">
        <v>182</v>
      </c>
      <c r="J149" s="5" t="s">
        <v>182</v>
      </c>
      <c r="K149" s="5" t="s">
        <v>182</v>
      </c>
      <c r="L149" s="5" t="s">
        <v>182</v>
      </c>
      <c r="M149" s="5" t="s">
        <v>182</v>
      </c>
      <c r="N149" s="5" t="s">
        <v>182</v>
      </c>
      <c r="O149" s="5" t="s">
        <v>182</v>
      </c>
      <c r="P149" s="5" t="s">
        <v>182</v>
      </c>
      <c r="Q149" s="5" t="s">
        <v>182</v>
      </c>
      <c r="R149" s="5" t="s">
        <v>182</v>
      </c>
      <c r="S149" s="5">
        <f t="shared" si="0"/>
        <v>1</v>
      </c>
      <c r="T149" s="5" t="str">
        <f ca="1">IFERROR(__xludf.DUMMYFUNCTION("QUERY(transpose(A149:R149),""Select Col1 where Col1 is not null limit 1"",0)"),"A.J. Brown")</f>
        <v>A.J. Brown</v>
      </c>
      <c r="U149" s="32" t="e">
        <f t="shared" ca="1" si="1"/>
        <v>#NAME?</v>
      </c>
    </row>
    <row r="150" spans="1:21" ht="12.75" x14ac:dyDescent="0.2">
      <c r="A150" s="5" t="s">
        <v>183</v>
      </c>
      <c r="B150" s="5" t="s">
        <v>183</v>
      </c>
      <c r="C150" s="5" t="s">
        <v>183</v>
      </c>
      <c r="D150" s="5" t="s">
        <v>183</v>
      </c>
      <c r="E150" s="5" t="s">
        <v>183</v>
      </c>
      <c r="F150" s="5" t="s">
        <v>183</v>
      </c>
      <c r="G150" s="5" t="s">
        <v>183</v>
      </c>
      <c r="H150" s="5" t="s">
        <v>183</v>
      </c>
      <c r="I150" s="5" t="s">
        <v>183</v>
      </c>
      <c r="J150" s="5" t="s">
        <v>183</v>
      </c>
      <c r="K150" s="5" t="s">
        <v>183</v>
      </c>
      <c r="L150" s="5" t="s">
        <v>183</v>
      </c>
      <c r="M150" s="5" t="s">
        <v>183</v>
      </c>
      <c r="N150" s="5" t="s">
        <v>183</v>
      </c>
      <c r="O150" s="5" t="s">
        <v>183</v>
      </c>
      <c r="P150" s="5" t="s">
        <v>183</v>
      </c>
      <c r="Q150" s="5" t="s">
        <v>183</v>
      </c>
      <c r="R150" s="5" t="s">
        <v>183</v>
      </c>
      <c r="S150" s="5">
        <f t="shared" si="0"/>
        <v>1</v>
      </c>
      <c r="T150" s="5" t="str">
        <f ca="1">IFERROR(__xludf.DUMMYFUNCTION("QUERY(transpose(A150:R150),""Select Col1 where Col1 is not null limit 1"",0)"),"Nico Collins")</f>
        <v>Nico Collins</v>
      </c>
      <c r="U150" s="32" t="e">
        <f t="shared" ca="1" si="1"/>
        <v>#NAME?</v>
      </c>
    </row>
    <row r="151" spans="1:21" ht="12.75" x14ac:dyDescent="0.2">
      <c r="A151" s="5" t="s">
        <v>184</v>
      </c>
      <c r="B151" s="5" t="s">
        <v>184</v>
      </c>
      <c r="C151" s="5" t="s">
        <v>184</v>
      </c>
      <c r="D151" s="5" t="s">
        <v>184</v>
      </c>
      <c r="E151" s="5" t="s">
        <v>184</v>
      </c>
      <c r="F151" s="5" t="s">
        <v>184</v>
      </c>
      <c r="G151" s="5" t="s">
        <v>184</v>
      </c>
      <c r="H151" s="5" t="s">
        <v>184</v>
      </c>
      <c r="I151" s="5" t="s">
        <v>184</v>
      </c>
      <c r="J151" s="5" t="s">
        <v>184</v>
      </c>
      <c r="K151" s="5" t="s">
        <v>184</v>
      </c>
      <c r="L151" s="5" t="s">
        <v>184</v>
      </c>
      <c r="M151" s="5" t="s">
        <v>184</v>
      </c>
      <c r="N151" s="5" t="s">
        <v>184</v>
      </c>
      <c r="O151" s="5" t="s">
        <v>184</v>
      </c>
      <c r="P151" s="5" t="s">
        <v>184</v>
      </c>
      <c r="Q151" s="5" t="s">
        <v>184</v>
      </c>
      <c r="R151" s="5" t="s">
        <v>184</v>
      </c>
      <c r="S151" s="5">
        <f t="shared" si="0"/>
        <v>1</v>
      </c>
      <c r="T151" s="5" t="str">
        <f ca="1">IFERROR(__xludf.DUMMYFUNCTION("QUERY(transpose(A151:R151),""Select Col1 where Col1 is not null limit 1"",0)"),"Garrett Wilson")</f>
        <v>Garrett Wilson</v>
      </c>
      <c r="U151" s="32" t="e">
        <f t="shared" ca="1" si="1"/>
        <v>#NAME?</v>
      </c>
    </row>
    <row r="152" spans="1:21" ht="12.75" x14ac:dyDescent="0.2">
      <c r="A152" s="5" t="s">
        <v>185</v>
      </c>
      <c r="B152" s="5" t="s">
        <v>185</v>
      </c>
      <c r="C152" s="5" t="s">
        <v>185</v>
      </c>
      <c r="D152" s="5" t="s">
        <v>185</v>
      </c>
      <c r="E152" s="5" t="s">
        <v>185</v>
      </c>
      <c r="F152" s="5" t="s">
        <v>185</v>
      </c>
      <c r="G152" s="5" t="s">
        <v>185</v>
      </c>
      <c r="H152" s="5" t="s">
        <v>185</v>
      </c>
      <c r="I152" s="5" t="s">
        <v>185</v>
      </c>
      <c r="J152" s="5" t="s">
        <v>185</v>
      </c>
      <c r="K152" s="5" t="s">
        <v>185</v>
      </c>
      <c r="L152" s="5" t="s">
        <v>185</v>
      </c>
      <c r="M152" s="5" t="s">
        <v>185</v>
      </c>
      <c r="N152" s="5" t="s">
        <v>185</v>
      </c>
      <c r="O152" s="5" t="s">
        <v>185</v>
      </c>
      <c r="P152" s="5" t="s">
        <v>185</v>
      </c>
      <c r="Q152" s="5" t="s">
        <v>185</v>
      </c>
      <c r="R152" s="5" t="s">
        <v>185</v>
      </c>
      <c r="S152" s="5">
        <f t="shared" si="0"/>
        <v>1</v>
      </c>
      <c r="T152" s="5" t="str">
        <f ca="1">IFERROR(__xludf.DUMMYFUNCTION("QUERY(transpose(A152:R152),""Select Col1 where Col1 is not null limit 1"",0)"),"Keenan Allen")</f>
        <v>Keenan Allen</v>
      </c>
      <c r="U152" s="32" t="e">
        <f t="shared" ca="1" si="1"/>
        <v>#NAME?</v>
      </c>
    </row>
    <row r="153" spans="1:21" ht="12.75" x14ac:dyDescent="0.2">
      <c r="A153" s="5" t="s">
        <v>186</v>
      </c>
      <c r="B153" s="5" t="s">
        <v>186</v>
      </c>
      <c r="C153" s="5" t="s">
        <v>186</v>
      </c>
      <c r="D153" s="5" t="s">
        <v>186</v>
      </c>
      <c r="E153" s="5" t="s">
        <v>186</v>
      </c>
      <c r="F153" s="5" t="s">
        <v>186</v>
      </c>
      <c r="G153" s="5" t="s">
        <v>186</v>
      </c>
      <c r="H153" s="5" t="s">
        <v>186</v>
      </c>
      <c r="I153" s="5" t="s">
        <v>186</v>
      </c>
      <c r="J153" s="5" t="s">
        <v>186</v>
      </c>
      <c r="K153" s="5" t="s">
        <v>186</v>
      </c>
      <c r="L153" s="5" t="s">
        <v>186</v>
      </c>
      <c r="M153" s="5" t="s">
        <v>186</v>
      </c>
      <c r="N153" s="5" t="s">
        <v>186</v>
      </c>
      <c r="O153" s="5" t="s">
        <v>186</v>
      </c>
      <c r="P153" s="5" t="s">
        <v>186</v>
      </c>
      <c r="Q153" s="5" t="s">
        <v>186</v>
      </c>
      <c r="R153" s="5" t="s">
        <v>186</v>
      </c>
      <c r="S153" s="5">
        <f t="shared" si="0"/>
        <v>1</v>
      </c>
      <c r="T153" s="5" t="str">
        <f ca="1">IFERROR(__xludf.DUMMYFUNCTION("QUERY(transpose(A153:R153),""Select Col1 where Col1 is not null limit 1"",0)"),"River Cracraft")</f>
        <v>River Cracraft</v>
      </c>
      <c r="U153" s="32" t="e">
        <f t="shared" ca="1" si="1"/>
        <v>#NAME?</v>
      </c>
    </row>
    <row r="154" spans="1:21" ht="12.75" x14ac:dyDescent="0.2">
      <c r="A154" s="5" t="s">
        <v>187</v>
      </c>
      <c r="B154" s="5" t="s">
        <v>187</v>
      </c>
      <c r="C154" s="5" t="s">
        <v>187</v>
      </c>
      <c r="D154" s="5" t="s">
        <v>187</v>
      </c>
      <c r="E154" s="5" t="s">
        <v>187</v>
      </c>
      <c r="F154" s="5" t="s">
        <v>187</v>
      </c>
      <c r="G154" s="5" t="s">
        <v>187</v>
      </c>
      <c r="H154" s="5" t="s">
        <v>187</v>
      </c>
      <c r="I154" s="5" t="s">
        <v>187</v>
      </c>
      <c r="J154" s="5" t="s">
        <v>187</v>
      </c>
      <c r="K154" s="5" t="s">
        <v>187</v>
      </c>
      <c r="L154" s="5" t="s">
        <v>187</v>
      </c>
      <c r="M154" s="5" t="s">
        <v>187</v>
      </c>
      <c r="N154" s="5" t="s">
        <v>187</v>
      </c>
      <c r="O154" s="5" t="s">
        <v>187</v>
      </c>
      <c r="P154" s="5" t="s">
        <v>187</v>
      </c>
      <c r="Q154" s="5" t="s">
        <v>187</v>
      </c>
      <c r="R154" s="5" t="s">
        <v>187</v>
      </c>
      <c r="S154" s="5">
        <f t="shared" si="0"/>
        <v>1</v>
      </c>
      <c r="T154" s="5" t="str">
        <f ca="1">IFERROR(__xludf.DUMMYFUNCTION("QUERY(transpose(A154:R154),""Select Col1 where Col1 is not null limit 1"",0)"),"DeAndre Hopkins")</f>
        <v>DeAndre Hopkins</v>
      </c>
      <c r="U154" s="32" t="e">
        <f t="shared" ca="1" si="1"/>
        <v>#NAME?</v>
      </c>
    </row>
    <row r="155" spans="1:21" ht="12.75" x14ac:dyDescent="0.2">
      <c r="A155" s="5" t="s">
        <v>188</v>
      </c>
      <c r="B155" s="5" t="s">
        <v>188</v>
      </c>
      <c r="C155" s="5" t="s">
        <v>188</v>
      </c>
      <c r="D155" s="5" t="s">
        <v>188</v>
      </c>
      <c r="E155" s="5" t="s">
        <v>188</v>
      </c>
      <c r="F155" s="5" t="s">
        <v>188</v>
      </c>
      <c r="G155" s="5" t="s">
        <v>188</v>
      </c>
      <c r="H155" s="5" t="s">
        <v>188</v>
      </c>
      <c r="I155" s="5" t="s">
        <v>188</v>
      </c>
      <c r="J155" s="5" t="s">
        <v>188</v>
      </c>
      <c r="K155" s="5" t="s">
        <v>188</v>
      </c>
      <c r="L155" s="5" t="s">
        <v>188</v>
      </c>
      <c r="M155" s="5" t="s">
        <v>188</v>
      </c>
      <c r="N155" s="5" t="s">
        <v>188</v>
      </c>
      <c r="O155" s="5" t="s">
        <v>188</v>
      </c>
      <c r="P155" s="5" t="s">
        <v>188</v>
      </c>
      <c r="Q155" s="5" t="s">
        <v>188</v>
      </c>
      <c r="R155" s="5" t="s">
        <v>188</v>
      </c>
      <c r="S155" s="5">
        <f t="shared" si="0"/>
        <v>1</v>
      </c>
      <c r="T155" s="5" t="str">
        <f ca="1">IFERROR(__xludf.DUMMYFUNCTION("QUERY(transpose(A155:R155),""Select Col1 where Col1 is not null limit 1"",0)"),"D.K. Metcalf")</f>
        <v>D.K. Metcalf</v>
      </c>
      <c r="U155" s="32" t="e">
        <f t="shared" ca="1" si="1"/>
        <v>#NAME?</v>
      </c>
    </row>
    <row r="156" spans="1:21" ht="12.75" x14ac:dyDescent="0.2">
      <c r="A156" s="5" t="s">
        <v>189</v>
      </c>
      <c r="B156" s="5" t="s">
        <v>189</v>
      </c>
      <c r="C156" s="5" t="s">
        <v>189</v>
      </c>
      <c r="D156" s="5" t="s">
        <v>189</v>
      </c>
      <c r="E156" s="5" t="s">
        <v>189</v>
      </c>
      <c r="F156" s="5" t="s">
        <v>189</v>
      </c>
      <c r="G156" s="5" t="s">
        <v>189</v>
      </c>
      <c r="H156" s="5" t="s">
        <v>189</v>
      </c>
      <c r="I156" s="5" t="s">
        <v>189</v>
      </c>
      <c r="J156" s="5" t="s">
        <v>189</v>
      </c>
      <c r="K156" s="5" t="s">
        <v>189</v>
      </c>
      <c r="L156" s="5" t="s">
        <v>189</v>
      </c>
      <c r="M156" s="5" t="s">
        <v>189</v>
      </c>
      <c r="N156" s="5" t="s">
        <v>189</v>
      </c>
      <c r="O156" s="5" t="s">
        <v>189</v>
      </c>
      <c r="P156" s="5" t="s">
        <v>189</v>
      </c>
      <c r="Q156" s="5" t="s">
        <v>189</v>
      </c>
      <c r="R156" s="5" t="s">
        <v>189</v>
      </c>
      <c r="S156" s="5">
        <f t="shared" si="0"/>
        <v>1</v>
      </c>
      <c r="T156" s="5" t="str">
        <f ca="1">IFERROR(__xludf.DUMMYFUNCTION("QUERY(transpose(A156:R156),""Select Col1 where Col1 is not null limit 1"",0)"),"Courtland Sutton")</f>
        <v>Courtland Sutton</v>
      </c>
      <c r="U156" s="32" t="e">
        <f t="shared" ca="1" si="1"/>
        <v>#NAME?</v>
      </c>
    </row>
    <row r="157" spans="1:21" ht="12.75" x14ac:dyDescent="0.2">
      <c r="A157" s="5" t="s">
        <v>190</v>
      </c>
      <c r="B157" s="5" t="s">
        <v>190</v>
      </c>
      <c r="C157" s="5" t="s">
        <v>190</v>
      </c>
      <c r="D157" s="5" t="s">
        <v>190</v>
      </c>
      <c r="E157" s="5" t="s">
        <v>190</v>
      </c>
      <c r="F157" s="5" t="s">
        <v>190</v>
      </c>
      <c r="G157" s="5" t="s">
        <v>190</v>
      </c>
      <c r="H157" s="5" t="s">
        <v>190</v>
      </c>
      <c r="I157" s="5" t="s">
        <v>190</v>
      </c>
      <c r="J157" s="5" t="s">
        <v>190</v>
      </c>
      <c r="K157" s="5" t="s">
        <v>190</v>
      </c>
      <c r="L157" s="5" t="s">
        <v>190</v>
      </c>
      <c r="M157" s="5" t="s">
        <v>190</v>
      </c>
      <c r="N157" s="5" t="s">
        <v>190</v>
      </c>
      <c r="O157" s="5" t="s">
        <v>190</v>
      </c>
      <c r="P157" s="5" t="s">
        <v>190</v>
      </c>
      <c r="Q157" s="5" t="s">
        <v>190</v>
      </c>
      <c r="R157" s="5" t="s">
        <v>190</v>
      </c>
      <c r="S157" s="5">
        <f t="shared" si="0"/>
        <v>1</v>
      </c>
      <c r="T157" s="5" t="str">
        <f ca="1">IFERROR(__xludf.DUMMYFUNCTION("QUERY(transpose(A157:R157),""Select Col1 where Col1 is not null limit 1"",0)"),"Davante Adams")</f>
        <v>Davante Adams</v>
      </c>
      <c r="U157" s="32" t="e">
        <f t="shared" ca="1" si="1"/>
        <v>#NAME?</v>
      </c>
    </row>
    <row r="158" spans="1:21" ht="12.75" x14ac:dyDescent="0.2">
      <c r="A158" s="5" t="s">
        <v>191</v>
      </c>
      <c r="B158" s="5" t="s">
        <v>191</v>
      </c>
      <c r="C158" s="5" t="s">
        <v>191</v>
      </c>
      <c r="D158" s="5" t="s">
        <v>191</v>
      </c>
      <c r="E158" s="5" t="s">
        <v>191</v>
      </c>
      <c r="F158" s="5" t="s">
        <v>191</v>
      </c>
      <c r="G158" s="5" t="s">
        <v>191</v>
      </c>
      <c r="H158" s="5" t="s">
        <v>191</v>
      </c>
      <c r="I158" s="5" t="s">
        <v>191</v>
      </c>
      <c r="J158" s="5" t="s">
        <v>191</v>
      </c>
      <c r="K158" s="5" t="s">
        <v>191</v>
      </c>
      <c r="L158" s="5" t="s">
        <v>191</v>
      </c>
      <c r="M158" s="5" t="s">
        <v>191</v>
      </c>
      <c r="N158" s="5" t="s">
        <v>191</v>
      </c>
      <c r="O158" s="5" t="s">
        <v>191</v>
      </c>
      <c r="P158" s="5" t="s">
        <v>191</v>
      </c>
      <c r="Q158" s="5" t="s">
        <v>191</v>
      </c>
      <c r="R158" s="5" t="s">
        <v>191</v>
      </c>
      <c r="S158" s="5">
        <f t="shared" si="0"/>
        <v>1</v>
      </c>
      <c r="T158" s="5" t="str">
        <f ca="1">IFERROR(__xludf.DUMMYFUNCTION("QUERY(transpose(A158:R158),""Select Col1 where Col1 is not null limit 1"",0)"),"Josh Reynolds")</f>
        <v>Josh Reynolds</v>
      </c>
      <c r="U158" s="32" t="e">
        <f t="shared" ca="1" si="1"/>
        <v>#NAME?</v>
      </c>
    </row>
    <row r="159" spans="1:21" ht="12.75" x14ac:dyDescent="0.2">
      <c r="A159" s="5" t="s">
        <v>192</v>
      </c>
      <c r="B159" s="5" t="s">
        <v>192</v>
      </c>
      <c r="C159" s="5" t="s">
        <v>192</v>
      </c>
      <c r="D159" s="5" t="s">
        <v>192</v>
      </c>
      <c r="E159" s="5" t="s">
        <v>192</v>
      </c>
      <c r="F159" s="5" t="s">
        <v>192</v>
      </c>
      <c r="G159" s="5" t="s">
        <v>192</v>
      </c>
      <c r="H159" s="5" t="s">
        <v>192</v>
      </c>
      <c r="I159" s="5" t="s">
        <v>192</v>
      </c>
      <c r="J159" s="5" t="s">
        <v>192</v>
      </c>
      <c r="K159" s="5" t="s">
        <v>192</v>
      </c>
      <c r="L159" s="5" t="s">
        <v>192</v>
      </c>
      <c r="M159" s="5" t="s">
        <v>192</v>
      </c>
      <c r="N159" s="5" t="s">
        <v>192</v>
      </c>
      <c r="O159" s="5" t="s">
        <v>192</v>
      </c>
      <c r="P159" s="5" t="s">
        <v>192</v>
      </c>
      <c r="Q159" s="5" t="s">
        <v>192</v>
      </c>
      <c r="R159" s="5" t="s">
        <v>192</v>
      </c>
      <c r="S159" s="5">
        <f t="shared" si="0"/>
        <v>1</v>
      </c>
      <c r="T159" s="5" t="str">
        <f ca="1">IFERROR(__xludf.DUMMYFUNCTION("QUERY(transpose(A159:R159),""Select Col1 where Col1 is not null limit 1"",0)"),"CeeDee Lamb")</f>
        <v>CeeDee Lamb</v>
      </c>
      <c r="U159" s="32" t="e">
        <f t="shared" ca="1" si="1"/>
        <v>#NAME?</v>
      </c>
    </row>
    <row r="160" spans="1:21" ht="12.75" x14ac:dyDescent="0.2">
      <c r="A160" s="5" t="s">
        <v>193</v>
      </c>
      <c r="B160" s="5" t="s">
        <v>193</v>
      </c>
      <c r="C160" s="5" t="s">
        <v>193</v>
      </c>
      <c r="D160" s="5" t="s">
        <v>193</v>
      </c>
      <c r="E160" s="5" t="s">
        <v>193</v>
      </c>
      <c r="F160" s="5" t="s">
        <v>193</v>
      </c>
      <c r="G160" s="5" t="s">
        <v>193</v>
      </c>
      <c r="H160" s="5" t="s">
        <v>193</v>
      </c>
      <c r="I160" s="5" t="s">
        <v>193</v>
      </c>
      <c r="J160" s="5" t="s">
        <v>193</v>
      </c>
      <c r="K160" s="5" t="s">
        <v>193</v>
      </c>
      <c r="L160" s="5" t="s">
        <v>193</v>
      </c>
      <c r="M160" s="5" t="s">
        <v>193</v>
      </c>
      <c r="N160" s="5" t="s">
        <v>193</v>
      </c>
      <c r="O160" s="5" t="s">
        <v>193</v>
      </c>
      <c r="P160" s="5" t="s">
        <v>193</v>
      </c>
      <c r="Q160" s="5" t="s">
        <v>193</v>
      </c>
      <c r="R160" s="5" t="s">
        <v>193</v>
      </c>
      <c r="S160" s="5">
        <f t="shared" si="0"/>
        <v>1</v>
      </c>
      <c r="T160" s="5" t="str">
        <f ca="1">IFERROR(__xludf.DUMMYFUNCTION("QUERY(transpose(A160:R160),""Select Col1 where Col1 is not null limit 1"",0)"),"Rashee Rice")</f>
        <v>Rashee Rice</v>
      </c>
      <c r="U160" s="32" t="e">
        <f t="shared" ca="1" si="1"/>
        <v>#NAME?</v>
      </c>
    </row>
    <row r="161" spans="1:21" ht="12.75" x14ac:dyDescent="0.2">
      <c r="A161" s="5" t="s">
        <v>194</v>
      </c>
      <c r="B161" s="5" t="s">
        <v>194</v>
      </c>
      <c r="C161" s="5" t="s">
        <v>194</v>
      </c>
      <c r="D161" s="5" t="s">
        <v>194</v>
      </c>
      <c r="E161" s="5" t="s">
        <v>194</v>
      </c>
      <c r="F161" s="5" t="s">
        <v>194</v>
      </c>
      <c r="G161" s="5" t="s">
        <v>194</v>
      </c>
      <c r="H161" s="5" t="s">
        <v>194</v>
      </c>
      <c r="I161" s="5" t="s">
        <v>194</v>
      </c>
      <c r="J161" s="5" t="s">
        <v>194</v>
      </c>
      <c r="K161" s="5" t="s">
        <v>194</v>
      </c>
      <c r="L161" s="5" t="s">
        <v>194</v>
      </c>
      <c r="M161" s="5" t="s">
        <v>194</v>
      </c>
      <c r="N161" s="5" t="s">
        <v>194</v>
      </c>
      <c r="O161" s="5" t="s">
        <v>194</v>
      </c>
      <c r="P161" s="5" t="s">
        <v>194</v>
      </c>
      <c r="Q161" s="5" t="s">
        <v>194</v>
      </c>
      <c r="R161" s="5" t="s">
        <v>194</v>
      </c>
      <c r="S161" s="5">
        <f t="shared" si="0"/>
        <v>1</v>
      </c>
      <c r="T161" s="5" t="str">
        <f ca="1">IFERROR(__xludf.DUMMYFUNCTION("QUERY(transpose(A161:R161),""Select Col1 where Col1 is not null limit 1"",0)"),"Allen Robinson")</f>
        <v>Allen Robinson</v>
      </c>
      <c r="U161" s="32" t="e">
        <f t="shared" ca="1" si="1"/>
        <v>#NAME?</v>
      </c>
    </row>
    <row r="162" spans="1:21" ht="12.75" x14ac:dyDescent="0.2">
      <c r="A162" s="5" t="s">
        <v>195</v>
      </c>
      <c r="B162" s="5" t="s">
        <v>195</v>
      </c>
      <c r="C162" s="5" t="s">
        <v>195</v>
      </c>
      <c r="D162" s="5" t="s">
        <v>195</v>
      </c>
      <c r="E162" s="5" t="s">
        <v>195</v>
      </c>
      <c r="F162" s="5" t="s">
        <v>195</v>
      </c>
      <c r="G162" s="5" t="s">
        <v>195</v>
      </c>
      <c r="H162" s="5" t="s">
        <v>195</v>
      </c>
      <c r="I162" s="5" t="s">
        <v>195</v>
      </c>
      <c r="J162" s="5" t="s">
        <v>195</v>
      </c>
      <c r="K162" s="5" t="s">
        <v>195</v>
      </c>
      <c r="L162" s="5" t="s">
        <v>195</v>
      </c>
      <c r="M162" s="5" t="s">
        <v>195</v>
      </c>
      <c r="N162" s="5" t="s">
        <v>195</v>
      </c>
      <c r="O162" s="5" t="s">
        <v>195</v>
      </c>
      <c r="P162" s="5" t="s">
        <v>195</v>
      </c>
      <c r="Q162" s="5" t="s">
        <v>195</v>
      </c>
      <c r="R162" s="5" t="s">
        <v>195</v>
      </c>
      <c r="S162" s="5">
        <f t="shared" si="0"/>
        <v>1</v>
      </c>
      <c r="T162" s="5" t="str">
        <f ca="1">IFERROR(__xludf.DUMMYFUNCTION("QUERY(transpose(A162:R162),""Select Col1 where Col1 is not null limit 1"",0)"),"Michael Thomas")</f>
        <v>Michael Thomas</v>
      </c>
      <c r="U162" s="32" t="e">
        <f t="shared" ca="1" si="1"/>
        <v>#NAME?</v>
      </c>
    </row>
    <row r="163" spans="1:21" ht="12.75" x14ac:dyDescent="0.2">
      <c r="A163" s="5" t="s">
        <v>196</v>
      </c>
      <c r="B163" s="5" t="s">
        <v>196</v>
      </c>
      <c r="C163" s="5" t="s">
        <v>196</v>
      </c>
      <c r="D163" s="5" t="s">
        <v>196</v>
      </c>
      <c r="E163" s="5" t="s">
        <v>196</v>
      </c>
      <c r="F163" s="5" t="s">
        <v>196</v>
      </c>
      <c r="G163" s="5" t="s">
        <v>196</v>
      </c>
      <c r="H163" s="5" t="s">
        <v>196</v>
      </c>
      <c r="I163" s="5" t="s">
        <v>196</v>
      </c>
      <c r="J163" s="5" t="s">
        <v>196</v>
      </c>
      <c r="K163" s="5" t="s">
        <v>196</v>
      </c>
      <c r="L163" s="5" t="s">
        <v>196</v>
      </c>
      <c r="M163" s="5" t="s">
        <v>196</v>
      </c>
      <c r="N163" s="5" t="s">
        <v>196</v>
      </c>
      <c r="O163" s="5" t="s">
        <v>196</v>
      </c>
      <c r="P163" s="5" t="s">
        <v>196</v>
      </c>
      <c r="Q163" s="5" t="s">
        <v>196</v>
      </c>
      <c r="R163" s="5" t="s">
        <v>196</v>
      </c>
      <c r="S163" s="5">
        <f t="shared" si="0"/>
        <v>1</v>
      </c>
      <c r="T163" s="5" t="str">
        <f ca="1">IFERROR(__xludf.DUMMYFUNCTION("QUERY(transpose(A163:R163),""Select Col1 where Col1 is not null limit 1"",0)"),"Jaylen Waddle")</f>
        <v>Jaylen Waddle</v>
      </c>
      <c r="U163" s="32" t="e">
        <f t="shared" ca="1" si="1"/>
        <v>#NAME?</v>
      </c>
    </row>
    <row r="164" spans="1:21" ht="12.75" x14ac:dyDescent="0.2">
      <c r="A164" s="5" t="s">
        <v>197</v>
      </c>
      <c r="B164" s="5" t="s">
        <v>197</v>
      </c>
      <c r="C164" s="5" t="s">
        <v>197</v>
      </c>
      <c r="D164" s="5" t="s">
        <v>197</v>
      </c>
      <c r="E164" s="5" t="s">
        <v>197</v>
      </c>
      <c r="F164" s="5" t="s">
        <v>197</v>
      </c>
      <c r="G164" s="5" t="s">
        <v>197</v>
      </c>
      <c r="H164" s="5" t="s">
        <v>197</v>
      </c>
      <c r="I164" s="5" t="s">
        <v>197</v>
      </c>
      <c r="J164" s="5" t="s">
        <v>197</v>
      </c>
      <c r="K164" s="5" t="s">
        <v>197</v>
      </c>
      <c r="L164" s="5" t="s">
        <v>197</v>
      </c>
      <c r="M164" s="5" t="s">
        <v>197</v>
      </c>
      <c r="N164" s="5" t="s">
        <v>197</v>
      </c>
      <c r="O164" s="5" t="s">
        <v>197</v>
      </c>
      <c r="P164" s="5" t="s">
        <v>197</v>
      </c>
      <c r="Q164" s="5" t="s">
        <v>197</v>
      </c>
      <c r="R164" s="5" t="s">
        <v>197</v>
      </c>
      <c r="S164" s="5">
        <f t="shared" si="0"/>
        <v>1</v>
      </c>
      <c r="T164" s="5" t="str">
        <f ca="1">IFERROR(__xludf.DUMMYFUNCTION("QUERY(transpose(A164:R164),""Select Col1 where Col1 is not null limit 1"",0)"),"Robert Woods")</f>
        <v>Robert Woods</v>
      </c>
      <c r="U164" s="32" t="e">
        <f t="shared" ca="1" si="1"/>
        <v>#NAME?</v>
      </c>
    </row>
    <row r="165" spans="1:21" ht="12.75" x14ac:dyDescent="0.2">
      <c r="A165" s="5" t="s">
        <v>198</v>
      </c>
      <c r="B165" s="5" t="s">
        <v>198</v>
      </c>
      <c r="C165" s="5" t="s">
        <v>198</v>
      </c>
      <c r="D165" s="5" t="s">
        <v>198</v>
      </c>
      <c r="E165" s="5" t="s">
        <v>198</v>
      </c>
      <c r="F165" s="5" t="s">
        <v>198</v>
      </c>
      <c r="G165" s="5" t="s">
        <v>198</v>
      </c>
      <c r="H165" s="5" t="s">
        <v>198</v>
      </c>
      <c r="I165" s="5" t="s">
        <v>198</v>
      </c>
      <c r="J165" s="5" t="s">
        <v>198</v>
      </c>
      <c r="K165" s="5" t="s">
        <v>198</v>
      </c>
      <c r="L165" s="5" t="s">
        <v>198</v>
      </c>
      <c r="M165" s="5" t="s">
        <v>198</v>
      </c>
      <c r="N165" s="5" t="s">
        <v>198</v>
      </c>
      <c r="O165" s="5" t="s">
        <v>198</v>
      </c>
      <c r="P165" s="5" t="s">
        <v>198</v>
      </c>
      <c r="Q165" s="5" t="s">
        <v>198</v>
      </c>
      <c r="R165" s="5" t="s">
        <v>198</v>
      </c>
      <c r="S165" s="5">
        <f t="shared" si="0"/>
        <v>1</v>
      </c>
      <c r="T165" s="5" t="str">
        <f ca="1">IFERROR(__xludf.DUMMYFUNCTION("QUERY(transpose(A165:R165),""Select Col1 where Col1 is not null limit 1"",0)"),"Chris Godwin")</f>
        <v>Chris Godwin</v>
      </c>
      <c r="U165" s="32" t="e">
        <f t="shared" ca="1" si="1"/>
        <v>#NAME?</v>
      </c>
    </row>
    <row r="166" spans="1:21" ht="12.75" x14ac:dyDescent="0.2">
      <c r="A166" s="5" t="s">
        <v>199</v>
      </c>
      <c r="B166" s="5" t="s">
        <v>199</v>
      </c>
      <c r="C166" s="5" t="s">
        <v>199</v>
      </c>
      <c r="D166" s="5" t="s">
        <v>199</v>
      </c>
      <c r="E166" s="5" t="s">
        <v>199</v>
      </c>
      <c r="F166" s="5" t="s">
        <v>199</v>
      </c>
      <c r="G166" s="5" t="s">
        <v>199</v>
      </c>
      <c r="H166" s="5" t="s">
        <v>199</v>
      </c>
      <c r="I166" s="5" t="s">
        <v>199</v>
      </c>
      <c r="J166" s="5" t="s">
        <v>199</v>
      </c>
      <c r="K166" s="5" t="s">
        <v>199</v>
      </c>
      <c r="L166" s="5" t="s">
        <v>199</v>
      </c>
      <c r="M166" s="5" t="s">
        <v>199</v>
      </c>
      <c r="N166" s="5" t="s">
        <v>199</v>
      </c>
      <c r="O166" s="5" t="s">
        <v>199</v>
      </c>
      <c r="P166" s="5" t="s">
        <v>199</v>
      </c>
      <c r="Q166" s="5" t="s">
        <v>199</v>
      </c>
      <c r="R166" s="5" t="s">
        <v>199</v>
      </c>
      <c r="S166" s="5">
        <f t="shared" si="0"/>
        <v>1</v>
      </c>
      <c r="T166" s="5" t="str">
        <f ca="1">IFERROR(__xludf.DUMMYFUNCTION("QUERY(transpose(A166:R166),""Select Col1 where Col1 is not null limit 1"",0)"),"Curtis Samuel")</f>
        <v>Curtis Samuel</v>
      </c>
      <c r="U166" s="32" t="e">
        <f t="shared" ca="1" si="1"/>
        <v>#NAME?</v>
      </c>
    </row>
    <row r="167" spans="1:21" ht="12.75" x14ac:dyDescent="0.2">
      <c r="A167" s="5" t="s">
        <v>200</v>
      </c>
      <c r="B167" s="5" t="s">
        <v>200</v>
      </c>
      <c r="C167" s="5" t="s">
        <v>200</v>
      </c>
      <c r="D167" s="5" t="s">
        <v>200</v>
      </c>
      <c r="E167" s="5" t="s">
        <v>200</v>
      </c>
      <c r="F167" s="5" t="s">
        <v>200</v>
      </c>
      <c r="G167" s="5" t="s">
        <v>200</v>
      </c>
      <c r="H167" s="5" t="s">
        <v>200</v>
      </c>
      <c r="I167" s="5" t="s">
        <v>200</v>
      </c>
      <c r="J167" s="5" t="s">
        <v>200</v>
      </c>
      <c r="K167" s="5" t="s">
        <v>200</v>
      </c>
      <c r="L167" s="5" t="s">
        <v>200</v>
      </c>
      <c r="M167" s="5" t="s">
        <v>200</v>
      </c>
      <c r="N167" s="5" t="s">
        <v>200</v>
      </c>
      <c r="O167" s="5" t="s">
        <v>200</v>
      </c>
      <c r="P167" s="5" t="s">
        <v>200</v>
      </c>
      <c r="Q167" s="5" t="s">
        <v>200</v>
      </c>
      <c r="R167" s="5" t="s">
        <v>200</v>
      </c>
      <c r="S167" s="5">
        <f t="shared" si="0"/>
        <v>1</v>
      </c>
      <c r="T167" s="5" t="str">
        <f ca="1">IFERROR(__xludf.DUMMYFUNCTION("QUERY(transpose(A167:R167),""Select Col1 where Col1 is not null limit 1"",0)"),"Deebo Samuel")</f>
        <v>Deebo Samuel</v>
      </c>
      <c r="U167" s="32" t="e">
        <f t="shared" ca="1" si="1"/>
        <v>#NAME?</v>
      </c>
    </row>
    <row r="168" spans="1:21" ht="12.75" x14ac:dyDescent="0.2">
      <c r="A168" s="5" t="s">
        <v>201</v>
      </c>
      <c r="B168" s="5" t="s">
        <v>201</v>
      </c>
      <c r="C168" s="5" t="s">
        <v>201</v>
      </c>
      <c r="D168" s="5" t="s">
        <v>201</v>
      </c>
      <c r="E168" s="5" t="s">
        <v>201</v>
      </c>
      <c r="F168" s="5" t="s">
        <v>201</v>
      </c>
      <c r="G168" s="5" t="s">
        <v>201</v>
      </c>
      <c r="H168" s="5" t="s">
        <v>201</v>
      </c>
      <c r="I168" s="5" t="s">
        <v>201</v>
      </c>
      <c r="J168" s="5" t="s">
        <v>201</v>
      </c>
      <c r="K168" s="5" t="s">
        <v>201</v>
      </c>
      <c r="L168" s="5" t="s">
        <v>201</v>
      </c>
      <c r="M168" s="5" t="s">
        <v>201</v>
      </c>
      <c r="N168" s="5" t="s">
        <v>201</v>
      </c>
      <c r="O168" s="5" t="s">
        <v>201</v>
      </c>
      <c r="P168" s="5" t="s">
        <v>201</v>
      </c>
      <c r="Q168" s="5" t="s">
        <v>201</v>
      </c>
      <c r="R168" s="5" t="s">
        <v>201</v>
      </c>
      <c r="S168" s="5">
        <f t="shared" si="0"/>
        <v>1</v>
      </c>
      <c r="T168" s="5" t="str">
        <f ca="1">IFERROR(__xludf.DUMMYFUNCTION("QUERY(transpose(A168:R168),""Select Col1 where Col1 is not null limit 1"",0)"),"KaVontae Turpin")</f>
        <v>KaVontae Turpin</v>
      </c>
      <c r="U168" s="32" t="e">
        <f t="shared" ca="1" si="1"/>
        <v>#NAME?</v>
      </c>
    </row>
    <row r="169" spans="1:21" ht="12.75" x14ac:dyDescent="0.2">
      <c r="A169" s="5" t="s">
        <v>202</v>
      </c>
      <c r="B169" s="5" t="s">
        <v>202</v>
      </c>
      <c r="C169" s="5" t="s">
        <v>202</v>
      </c>
      <c r="D169" s="5" t="s">
        <v>202</v>
      </c>
      <c r="E169" s="5" t="s">
        <v>202</v>
      </c>
      <c r="F169" s="5" t="s">
        <v>202</v>
      </c>
      <c r="G169" s="5" t="s">
        <v>202</v>
      </c>
      <c r="H169" s="5" t="s">
        <v>202</v>
      </c>
      <c r="I169" s="5" t="s">
        <v>202</v>
      </c>
      <c r="J169" s="5" t="s">
        <v>202</v>
      </c>
      <c r="K169" s="5" t="s">
        <v>202</v>
      </c>
      <c r="L169" s="5" t="s">
        <v>202</v>
      </c>
      <c r="M169" s="5" t="s">
        <v>202</v>
      </c>
      <c r="N169" s="5" t="s">
        <v>202</v>
      </c>
      <c r="O169" s="5" t="s">
        <v>202</v>
      </c>
      <c r="P169" s="5" t="s">
        <v>202</v>
      </c>
      <c r="Q169" s="5" t="s">
        <v>202</v>
      </c>
      <c r="R169" s="5" t="s">
        <v>202</v>
      </c>
      <c r="S169" s="5">
        <f t="shared" si="0"/>
        <v>1</v>
      </c>
      <c r="T169" s="5" t="str">
        <f ca="1">IFERROR(__xludf.DUMMYFUNCTION("QUERY(transpose(A169:R169),""Select Col1 where Col1 is not null limit 1"",0)"),"Calvin Austin")</f>
        <v>Calvin Austin</v>
      </c>
      <c r="U169" s="32" t="e">
        <f t="shared" ca="1" si="1"/>
        <v>#NAME?</v>
      </c>
    </row>
    <row r="170" spans="1:21" ht="12.75" x14ac:dyDescent="0.2">
      <c r="A170" s="5" t="s">
        <v>203</v>
      </c>
      <c r="B170" s="5" t="s">
        <v>203</v>
      </c>
      <c r="C170" s="5" t="s">
        <v>203</v>
      </c>
      <c r="D170" s="5" t="s">
        <v>203</v>
      </c>
      <c r="E170" s="5" t="s">
        <v>203</v>
      </c>
      <c r="F170" s="5" t="s">
        <v>203</v>
      </c>
      <c r="G170" s="5" t="s">
        <v>203</v>
      </c>
      <c r="H170" s="5" t="s">
        <v>203</v>
      </c>
      <c r="I170" s="5" t="s">
        <v>203</v>
      </c>
      <c r="J170" s="5" t="s">
        <v>203</v>
      </c>
      <c r="K170" s="5" t="s">
        <v>203</v>
      </c>
      <c r="L170" s="5" t="s">
        <v>203</v>
      </c>
      <c r="M170" s="5" t="s">
        <v>203</v>
      </c>
      <c r="N170" s="5" t="s">
        <v>203</v>
      </c>
      <c r="O170" s="5" t="s">
        <v>203</v>
      </c>
      <c r="P170" s="5" t="s">
        <v>203</v>
      </c>
      <c r="Q170" s="5" t="s">
        <v>203</v>
      </c>
      <c r="R170" s="5" t="s">
        <v>203</v>
      </c>
      <c r="S170" s="5">
        <f t="shared" si="0"/>
        <v>1</v>
      </c>
      <c r="T170" s="5" t="str">
        <f ca="1">IFERROR(__xludf.DUMMYFUNCTION("QUERY(transpose(A170:R170),""Select Col1 where Col1 is not null limit 1"",0)"),"Jahan Dotson")</f>
        <v>Jahan Dotson</v>
      </c>
      <c r="U170" s="32" t="e">
        <f t="shared" ca="1" si="1"/>
        <v>#NAME?</v>
      </c>
    </row>
    <row r="171" spans="1:21" ht="12.75" x14ac:dyDescent="0.2">
      <c r="A171" s="5" t="s">
        <v>204</v>
      </c>
      <c r="B171" s="5" t="s">
        <v>204</v>
      </c>
      <c r="C171" s="5" t="s">
        <v>204</v>
      </c>
      <c r="D171" s="5" t="s">
        <v>204</v>
      </c>
      <c r="E171" s="5" t="s">
        <v>204</v>
      </c>
      <c r="F171" s="5" t="s">
        <v>204</v>
      </c>
      <c r="G171" s="5" t="s">
        <v>204</v>
      </c>
      <c r="H171" s="5" t="s">
        <v>204</v>
      </c>
      <c r="I171" s="5" t="s">
        <v>204</v>
      </c>
      <c r="J171" s="5" t="s">
        <v>204</v>
      </c>
      <c r="K171" s="5" t="s">
        <v>204</v>
      </c>
      <c r="L171" s="5" t="s">
        <v>204</v>
      </c>
      <c r="M171" s="5" t="s">
        <v>204</v>
      </c>
      <c r="N171" s="5" t="s">
        <v>204</v>
      </c>
      <c r="O171" s="5" t="s">
        <v>204</v>
      </c>
      <c r="P171" s="5" t="s">
        <v>204</v>
      </c>
      <c r="Q171" s="5" t="s">
        <v>204</v>
      </c>
      <c r="R171" s="5" t="s">
        <v>204</v>
      </c>
      <c r="S171" s="5">
        <f t="shared" si="0"/>
        <v>1</v>
      </c>
      <c r="T171" s="5" t="str">
        <f ca="1">IFERROR(__xludf.DUMMYFUNCTION("QUERY(transpose(A171:R171),""Select Col1 where Col1 is not null limit 1"",0)"),"Lil'Jordan Humphrey")</f>
        <v>Lil'Jordan Humphrey</v>
      </c>
      <c r="U171" s="32" t="e">
        <f t="shared" ca="1" si="1"/>
        <v>#NAME?</v>
      </c>
    </row>
    <row r="172" spans="1:21" ht="12.75" x14ac:dyDescent="0.2">
      <c r="A172" s="5" t="s">
        <v>205</v>
      </c>
      <c r="B172" s="5" t="s">
        <v>205</v>
      </c>
      <c r="C172" s="5" t="s">
        <v>205</v>
      </c>
      <c r="D172" s="5" t="s">
        <v>205</v>
      </c>
      <c r="E172" s="5" t="s">
        <v>205</v>
      </c>
      <c r="F172" s="5" t="s">
        <v>205</v>
      </c>
      <c r="G172" s="5" t="s">
        <v>205</v>
      </c>
      <c r="H172" s="5" t="s">
        <v>205</v>
      </c>
      <c r="I172" s="5" t="s">
        <v>205</v>
      </c>
      <c r="J172" s="5" t="s">
        <v>205</v>
      </c>
      <c r="K172" s="5" t="s">
        <v>205</v>
      </c>
      <c r="L172" s="5" t="s">
        <v>205</v>
      </c>
      <c r="M172" s="5" t="s">
        <v>205</v>
      </c>
      <c r="N172" s="5" t="s">
        <v>205</v>
      </c>
      <c r="O172" s="5" t="s">
        <v>205</v>
      </c>
      <c r="P172" s="5" t="s">
        <v>205</v>
      </c>
      <c r="Q172" s="5" t="s">
        <v>205</v>
      </c>
      <c r="R172" s="5" t="s">
        <v>205</v>
      </c>
      <c r="S172" s="5">
        <f t="shared" si="0"/>
        <v>1</v>
      </c>
      <c r="T172" s="5" t="str">
        <f ca="1">IFERROR(__xludf.DUMMYFUNCTION("QUERY(transpose(A172:R172),""Select Col1 where Col1 is not null limit 1"",0)"),"Nick Westbrook")</f>
        <v>Nick Westbrook</v>
      </c>
      <c r="U172" s="32" t="e">
        <f t="shared" ca="1" si="1"/>
        <v>#NAME?</v>
      </c>
    </row>
    <row r="173" spans="1:21" ht="12.75" x14ac:dyDescent="0.2">
      <c r="A173" s="5" t="s">
        <v>206</v>
      </c>
      <c r="B173" s="5" t="s">
        <v>206</v>
      </c>
      <c r="C173" s="5" t="s">
        <v>206</v>
      </c>
      <c r="D173" s="5" t="s">
        <v>206</v>
      </c>
      <c r="E173" s="5" t="s">
        <v>206</v>
      </c>
      <c r="F173" s="5" t="s">
        <v>206</v>
      </c>
      <c r="G173" s="5" t="s">
        <v>206</v>
      </c>
      <c r="H173" s="5" t="s">
        <v>206</v>
      </c>
      <c r="I173" s="5" t="s">
        <v>206</v>
      </c>
      <c r="J173" s="5" t="s">
        <v>206</v>
      </c>
      <c r="K173" s="5" t="s">
        <v>206</v>
      </c>
      <c r="L173" s="5" t="s">
        <v>206</v>
      </c>
      <c r="M173" s="5" t="s">
        <v>206</v>
      </c>
      <c r="N173" s="5" t="s">
        <v>206</v>
      </c>
      <c r="O173" s="5" t="s">
        <v>206</v>
      </c>
      <c r="P173" s="5" t="s">
        <v>206</v>
      </c>
      <c r="Q173" s="5" t="s">
        <v>206</v>
      </c>
      <c r="R173" s="5" t="s">
        <v>206</v>
      </c>
      <c r="S173" s="5">
        <f t="shared" si="0"/>
        <v>1</v>
      </c>
      <c r="T173" s="5" t="str">
        <f ca="1">IFERROR(__xludf.DUMMYFUNCTION("QUERY(transpose(A173:R173),""Select Col1 where Col1 is not null limit 1"",0)"),"Ja'Marr Chase")</f>
        <v>Ja'Marr Chase</v>
      </c>
      <c r="U173" s="32" t="e">
        <f t="shared" ca="1" si="1"/>
        <v>#NAME?</v>
      </c>
    </row>
    <row r="174" spans="1:21" ht="12.75" x14ac:dyDescent="0.2">
      <c r="A174" s="5" t="s">
        <v>207</v>
      </c>
      <c r="B174" s="5" t="s">
        <v>207</v>
      </c>
      <c r="C174" s="5" t="s">
        <v>207</v>
      </c>
      <c r="D174" s="5" t="s">
        <v>207</v>
      </c>
      <c r="E174" s="5" t="s">
        <v>207</v>
      </c>
      <c r="F174" s="5" t="s">
        <v>207</v>
      </c>
      <c r="G174" s="5" t="s">
        <v>207</v>
      </c>
      <c r="H174" s="5" t="s">
        <v>207</v>
      </c>
      <c r="I174" s="5" t="s">
        <v>207</v>
      </c>
      <c r="J174" s="5" t="s">
        <v>207</v>
      </c>
      <c r="K174" s="5" t="s">
        <v>207</v>
      </c>
      <c r="L174" s="5" t="s">
        <v>207</v>
      </c>
      <c r="M174" s="5" t="s">
        <v>207</v>
      </c>
      <c r="N174" s="5" t="s">
        <v>207</v>
      </c>
      <c r="O174" s="5" t="s">
        <v>207</v>
      </c>
      <c r="P174" s="5" t="s">
        <v>207</v>
      </c>
      <c r="Q174" s="5" t="s">
        <v>207</v>
      </c>
      <c r="R174" s="5" t="s">
        <v>207</v>
      </c>
      <c r="S174" s="5">
        <f t="shared" si="0"/>
        <v>1</v>
      </c>
      <c r="T174" s="5" t="str">
        <f ca="1">IFERROR(__xludf.DUMMYFUNCTION("QUERY(transpose(A174:R174),""Select Col1 where Col1 is not null limit 1"",0)"),"Demario Douglas")</f>
        <v>Demario Douglas</v>
      </c>
      <c r="U174" s="32" t="e">
        <f t="shared" ca="1" si="1"/>
        <v>#NAME?</v>
      </c>
    </row>
    <row r="175" spans="1:21" ht="12.75" x14ac:dyDescent="0.2">
      <c r="A175" s="5" t="s">
        <v>208</v>
      </c>
      <c r="B175" s="5" t="s">
        <v>208</v>
      </c>
      <c r="C175" s="5" t="s">
        <v>208</v>
      </c>
      <c r="D175" s="5" t="s">
        <v>208</v>
      </c>
      <c r="E175" s="5" t="s">
        <v>208</v>
      </c>
      <c r="F175" s="5" t="s">
        <v>208</v>
      </c>
      <c r="G175" s="5" t="s">
        <v>208</v>
      </c>
      <c r="H175" s="5" t="s">
        <v>208</v>
      </c>
      <c r="I175" s="5" t="s">
        <v>208</v>
      </c>
      <c r="J175" s="5" t="s">
        <v>208</v>
      </c>
      <c r="K175" s="5" t="s">
        <v>208</v>
      </c>
      <c r="L175" s="5" t="s">
        <v>208</v>
      </c>
      <c r="M175" s="5" t="s">
        <v>208</v>
      </c>
      <c r="N175" s="5" t="s">
        <v>208</v>
      </c>
      <c r="O175" s="5" t="s">
        <v>208</v>
      </c>
      <c r="P175" s="5" t="s">
        <v>208</v>
      </c>
      <c r="Q175" s="5" t="s">
        <v>208</v>
      </c>
      <c r="R175" s="5" t="s">
        <v>208</v>
      </c>
      <c r="S175" s="5">
        <f t="shared" si="0"/>
        <v>1</v>
      </c>
      <c r="T175" s="5" t="str">
        <f ca="1">IFERROR(__xludf.DUMMYFUNCTION("QUERY(transpose(A175:R175),""Select Col1 where Col1 is not null limit 1"",0)"),"Elijah Moore")</f>
        <v>Elijah Moore</v>
      </c>
      <c r="U175" s="32" t="e">
        <f t="shared" ca="1" si="1"/>
        <v>#NAME?</v>
      </c>
    </row>
    <row r="176" spans="1:21" ht="12.75" x14ac:dyDescent="0.2">
      <c r="A176" s="5" t="s">
        <v>209</v>
      </c>
      <c r="B176" s="5" t="s">
        <v>209</v>
      </c>
      <c r="C176" s="5" t="s">
        <v>209</v>
      </c>
      <c r="D176" s="5" t="s">
        <v>209</v>
      </c>
      <c r="E176" s="5" t="s">
        <v>209</v>
      </c>
      <c r="F176" s="5" t="s">
        <v>209</v>
      </c>
      <c r="G176" s="5" t="s">
        <v>209</v>
      </c>
      <c r="H176" s="5" t="s">
        <v>209</v>
      </c>
      <c r="I176" s="5" t="s">
        <v>209</v>
      </c>
      <c r="J176" s="5" t="s">
        <v>209</v>
      </c>
      <c r="K176" s="5" t="s">
        <v>209</v>
      </c>
      <c r="L176" s="5" t="s">
        <v>209</v>
      </c>
      <c r="M176" s="5" t="s">
        <v>209</v>
      </c>
      <c r="N176" s="5" t="s">
        <v>209</v>
      </c>
      <c r="O176" s="5" t="s">
        <v>209</v>
      </c>
      <c r="P176" s="5" t="s">
        <v>209</v>
      </c>
      <c r="Q176" s="5" t="s">
        <v>209</v>
      </c>
      <c r="R176" s="5" t="s">
        <v>209</v>
      </c>
      <c r="S176" s="5">
        <f t="shared" si="0"/>
        <v>1</v>
      </c>
      <c r="T176" s="5" t="str">
        <f ca="1">IFERROR(__xludf.DUMMYFUNCTION("QUERY(transpose(A176:R176),""Select Col1 where Col1 is not null limit 1"",0)"),"Trey Palmer")</f>
        <v>Trey Palmer</v>
      </c>
      <c r="U176" s="32" t="e">
        <f t="shared" ca="1" si="1"/>
        <v>#NAME?</v>
      </c>
    </row>
    <row r="177" spans="1:21" ht="12.75" x14ac:dyDescent="0.2">
      <c r="A177" s="5" t="s">
        <v>210</v>
      </c>
      <c r="B177" s="5" t="s">
        <v>210</v>
      </c>
      <c r="C177" s="5" t="s">
        <v>210</v>
      </c>
      <c r="D177" s="5" t="s">
        <v>210</v>
      </c>
      <c r="E177" s="5" t="s">
        <v>210</v>
      </c>
      <c r="F177" s="5" t="s">
        <v>210</v>
      </c>
      <c r="G177" s="5" t="s">
        <v>210</v>
      </c>
      <c r="H177" s="5" t="s">
        <v>210</v>
      </c>
      <c r="I177" s="5" t="s">
        <v>210</v>
      </c>
      <c r="J177" s="5" t="s">
        <v>210</v>
      </c>
      <c r="K177" s="5" t="s">
        <v>210</v>
      </c>
      <c r="L177" s="5" t="s">
        <v>210</v>
      </c>
      <c r="M177" s="5" t="s">
        <v>210</v>
      </c>
      <c r="N177" s="5" t="s">
        <v>210</v>
      </c>
      <c r="O177" s="5" t="s">
        <v>210</v>
      </c>
      <c r="P177" s="5" t="s">
        <v>210</v>
      </c>
      <c r="Q177" s="5" t="s">
        <v>210</v>
      </c>
      <c r="R177" s="5" t="s">
        <v>210</v>
      </c>
      <c r="S177" s="5">
        <f t="shared" si="0"/>
        <v>1</v>
      </c>
      <c r="T177" s="5" t="str">
        <f ca="1">IFERROR(__xludf.DUMMYFUNCTION("QUERY(transpose(A177:R177),""Select Col1 where Col1 is not null limit 1"",0)"),"George Pickens")</f>
        <v>George Pickens</v>
      </c>
      <c r="U177" s="32" t="e">
        <f t="shared" ca="1" si="1"/>
        <v>#NAME?</v>
      </c>
    </row>
    <row r="178" spans="1:21" ht="12.75" x14ac:dyDescent="0.2">
      <c r="A178" s="5" t="s">
        <v>211</v>
      </c>
      <c r="B178" s="5" t="s">
        <v>211</v>
      </c>
      <c r="C178" s="5" t="s">
        <v>211</v>
      </c>
      <c r="D178" s="5" t="s">
        <v>211</v>
      </c>
      <c r="E178" s="5" t="s">
        <v>211</v>
      </c>
      <c r="F178" s="5" t="s">
        <v>211</v>
      </c>
      <c r="G178" s="5" t="s">
        <v>211</v>
      </c>
      <c r="H178" s="5" t="s">
        <v>211</v>
      </c>
      <c r="I178" s="5" t="s">
        <v>211</v>
      </c>
      <c r="J178" s="5" t="s">
        <v>211</v>
      </c>
      <c r="K178" s="5" t="s">
        <v>211</v>
      </c>
      <c r="L178" s="5" t="s">
        <v>211</v>
      </c>
      <c r="M178" s="5" t="s">
        <v>211</v>
      </c>
      <c r="N178" s="5" t="s">
        <v>211</v>
      </c>
      <c r="O178" s="5" t="s">
        <v>211</v>
      </c>
      <c r="P178" s="5" t="s">
        <v>211</v>
      </c>
      <c r="Q178" s="5" t="s">
        <v>211</v>
      </c>
      <c r="R178" s="5" t="s">
        <v>211</v>
      </c>
      <c r="S178" s="5">
        <f t="shared" si="0"/>
        <v>1</v>
      </c>
      <c r="T178" s="5" t="str">
        <f ca="1">IFERROR(__xludf.DUMMYFUNCTION("QUERY(transpose(A178:R178),""Select Col1 where Col1 is not null limit 1"",0)"),"Mike Williams")</f>
        <v>Mike Williams</v>
      </c>
      <c r="U178" s="32" t="e">
        <f t="shared" ca="1" si="1"/>
        <v>#NAME?</v>
      </c>
    </row>
    <row r="179" spans="1:21" ht="12.75" x14ac:dyDescent="0.2">
      <c r="A179" s="5" t="s">
        <v>212</v>
      </c>
      <c r="B179" s="5" t="s">
        <v>212</v>
      </c>
      <c r="C179" s="5" t="s">
        <v>212</v>
      </c>
      <c r="D179" s="5" t="s">
        <v>212</v>
      </c>
      <c r="E179" s="5" t="s">
        <v>212</v>
      </c>
      <c r="F179" s="5" t="s">
        <v>212</v>
      </c>
      <c r="G179" s="5" t="s">
        <v>212</v>
      </c>
      <c r="H179" s="5" t="s">
        <v>212</v>
      </c>
      <c r="I179" s="5" t="s">
        <v>212</v>
      </c>
      <c r="J179" s="5" t="s">
        <v>212</v>
      </c>
      <c r="K179" s="5" t="s">
        <v>212</v>
      </c>
      <c r="L179" s="5" t="s">
        <v>212</v>
      </c>
      <c r="M179" s="5" t="s">
        <v>212</v>
      </c>
      <c r="N179" s="5" t="s">
        <v>212</v>
      </c>
      <c r="O179" s="5" t="s">
        <v>212</v>
      </c>
      <c r="P179" s="5" t="s">
        <v>212</v>
      </c>
      <c r="Q179" s="5" t="s">
        <v>212</v>
      </c>
      <c r="R179" s="5" t="s">
        <v>212</v>
      </c>
      <c r="S179" s="5">
        <f t="shared" si="0"/>
        <v>1</v>
      </c>
      <c r="T179" s="5" t="str">
        <f ca="1">IFERROR(__xludf.DUMMYFUNCTION("QUERY(transpose(A179:R179),""Select Col1 where Col1 is not null limit 1"",0)"),"Braxton Berrios")</f>
        <v>Braxton Berrios</v>
      </c>
      <c r="U179" s="32" t="e">
        <f t="shared" ca="1" si="1"/>
        <v>#NAME?</v>
      </c>
    </row>
    <row r="180" spans="1:21" ht="12.75" x14ac:dyDescent="0.2">
      <c r="A180" s="5" t="s">
        <v>213</v>
      </c>
      <c r="B180" s="5" t="s">
        <v>213</v>
      </c>
      <c r="C180" s="5" t="s">
        <v>213</v>
      </c>
      <c r="D180" s="5" t="s">
        <v>213</v>
      </c>
      <c r="E180" s="5" t="s">
        <v>213</v>
      </c>
      <c r="F180" s="5" t="s">
        <v>213</v>
      </c>
      <c r="G180" s="5" t="s">
        <v>213</v>
      </c>
      <c r="H180" s="5" t="s">
        <v>213</v>
      </c>
      <c r="I180" s="5" t="s">
        <v>213</v>
      </c>
      <c r="J180" s="5" t="s">
        <v>213</v>
      </c>
      <c r="K180" s="5" t="s">
        <v>213</v>
      </c>
      <c r="L180" s="5" t="s">
        <v>213</v>
      </c>
      <c r="M180" s="5" t="s">
        <v>213</v>
      </c>
      <c r="N180" s="5" t="s">
        <v>213</v>
      </c>
      <c r="O180" s="5" t="s">
        <v>213</v>
      </c>
      <c r="P180" s="5" t="s">
        <v>213</v>
      </c>
      <c r="Q180" s="5" t="s">
        <v>213</v>
      </c>
      <c r="R180" s="5" t="s">
        <v>213</v>
      </c>
      <c r="S180" s="5">
        <f t="shared" si="0"/>
        <v>1</v>
      </c>
      <c r="T180" s="5" t="str">
        <f ca="1">IFERROR(__xludf.DUMMYFUNCTION("QUERY(transpose(A180:R180),""Select Col1 where Col1 is not null limit 1"",0)"),"Marquise Brown")</f>
        <v>Marquise Brown</v>
      </c>
      <c r="U180" s="32" t="e">
        <f t="shared" ca="1" si="1"/>
        <v>#NAME?</v>
      </c>
    </row>
    <row r="181" spans="1:21" ht="12.75" x14ac:dyDescent="0.2">
      <c r="A181" s="5" t="s">
        <v>214</v>
      </c>
      <c r="B181" s="5" t="s">
        <v>214</v>
      </c>
      <c r="C181" s="5" t="s">
        <v>214</v>
      </c>
      <c r="D181" s="5" t="s">
        <v>214</v>
      </c>
      <c r="E181" s="5" t="s">
        <v>214</v>
      </c>
      <c r="F181" s="5" t="s">
        <v>214</v>
      </c>
      <c r="G181" s="5" t="s">
        <v>214</v>
      </c>
      <c r="H181" s="5" t="s">
        <v>214</v>
      </c>
      <c r="I181" s="5" t="s">
        <v>214</v>
      </c>
      <c r="J181" s="5" t="s">
        <v>214</v>
      </c>
      <c r="K181" s="5" t="s">
        <v>214</v>
      </c>
      <c r="L181" s="5" t="s">
        <v>214</v>
      </c>
      <c r="M181" s="5" t="s">
        <v>214</v>
      </c>
      <c r="N181" s="5" t="s">
        <v>214</v>
      </c>
      <c r="O181" s="5" t="s">
        <v>214</v>
      </c>
      <c r="P181" s="5" t="s">
        <v>214</v>
      </c>
      <c r="Q181" s="5" t="s">
        <v>214</v>
      </c>
      <c r="R181" s="5" t="s">
        <v>214</v>
      </c>
      <c r="S181" s="5">
        <f t="shared" si="0"/>
        <v>1</v>
      </c>
      <c r="T181" s="5" t="str">
        <f ca="1">IFERROR(__xludf.DUMMYFUNCTION("QUERY(transpose(A181:R181),""Select Col1 where Col1 is not null limit 1"",0)"),"Diontae Johnson")</f>
        <v>Diontae Johnson</v>
      </c>
      <c r="U181" s="32" t="e">
        <f t="shared" ca="1" si="1"/>
        <v>#NAME?</v>
      </c>
    </row>
    <row r="182" spans="1:21" ht="12.75" x14ac:dyDescent="0.2">
      <c r="A182" s="5" t="s">
        <v>215</v>
      </c>
      <c r="B182" s="5" t="s">
        <v>215</v>
      </c>
      <c r="C182" s="5" t="s">
        <v>215</v>
      </c>
      <c r="D182" s="5" t="s">
        <v>215</v>
      </c>
      <c r="E182" s="5" t="s">
        <v>215</v>
      </c>
      <c r="F182" s="5" t="s">
        <v>215</v>
      </c>
      <c r="G182" s="5" t="s">
        <v>215</v>
      </c>
      <c r="H182" s="5" t="s">
        <v>215</v>
      </c>
      <c r="I182" s="5" t="s">
        <v>215</v>
      </c>
      <c r="J182" s="5" t="s">
        <v>215</v>
      </c>
      <c r="K182" s="5" t="s">
        <v>215</v>
      </c>
      <c r="L182" s="5" t="s">
        <v>215</v>
      </c>
      <c r="M182" s="5" t="s">
        <v>215</v>
      </c>
      <c r="N182" s="5" t="s">
        <v>215</v>
      </c>
      <c r="O182" s="5" t="s">
        <v>215</v>
      </c>
      <c r="P182" s="5" t="s">
        <v>215</v>
      </c>
      <c r="Q182" s="5" t="s">
        <v>215</v>
      </c>
      <c r="R182" s="5" t="s">
        <v>215</v>
      </c>
      <c r="S182" s="5">
        <f t="shared" si="0"/>
        <v>1</v>
      </c>
      <c r="T182" s="5" t="str">
        <f ca="1">IFERROR(__xludf.DUMMYFUNCTION("QUERY(transpose(A182:R182),""Select Col1 where Col1 is not null limit 1"",0)"),"Rondale Moore")</f>
        <v>Rondale Moore</v>
      </c>
      <c r="U182" s="32" t="e">
        <f t="shared" ca="1" si="1"/>
        <v>#NAME?</v>
      </c>
    </row>
    <row r="183" spans="1:21" ht="12.75" x14ac:dyDescent="0.2">
      <c r="A183" s="5" t="s">
        <v>216</v>
      </c>
      <c r="B183" s="5" t="s">
        <v>216</v>
      </c>
      <c r="C183" s="5" t="s">
        <v>216</v>
      </c>
      <c r="D183" s="5" t="s">
        <v>216</v>
      </c>
      <c r="E183" s="5" t="s">
        <v>216</v>
      </c>
      <c r="F183" s="5" t="s">
        <v>216</v>
      </c>
      <c r="G183" s="5" t="s">
        <v>216</v>
      </c>
      <c r="H183" s="5" t="s">
        <v>216</v>
      </c>
      <c r="I183" s="5" t="s">
        <v>216</v>
      </c>
      <c r="J183" s="5" t="s">
        <v>216</v>
      </c>
      <c r="K183" s="5" t="s">
        <v>216</v>
      </c>
      <c r="L183" s="5" t="s">
        <v>216</v>
      </c>
      <c r="M183" s="5" t="s">
        <v>216</v>
      </c>
      <c r="N183" s="5" t="s">
        <v>216</v>
      </c>
      <c r="O183" s="5" t="s">
        <v>216</v>
      </c>
      <c r="P183" s="5" t="s">
        <v>216</v>
      </c>
      <c r="Q183" s="5" t="s">
        <v>216</v>
      </c>
      <c r="R183" s="5" t="s">
        <v>216</v>
      </c>
      <c r="S183" s="5">
        <f t="shared" si="0"/>
        <v>1</v>
      </c>
      <c r="T183" s="5" t="str">
        <f ca="1">IFERROR(__xludf.DUMMYFUNCTION("QUERY(transpose(A183:R183),""Select Col1 where Col1 is not null limit 1"",0)"),"JuJu Smith-Schuster")</f>
        <v>JuJu Smith-Schuster</v>
      </c>
      <c r="U183" s="32" t="e">
        <f t="shared" ca="1" si="1"/>
        <v>#NAME?</v>
      </c>
    </row>
    <row r="184" spans="1:21" ht="12.75" x14ac:dyDescent="0.2">
      <c r="A184" s="5" t="s">
        <v>217</v>
      </c>
      <c r="B184" s="5" t="s">
        <v>217</v>
      </c>
      <c r="C184" s="5" t="s">
        <v>217</v>
      </c>
      <c r="D184" s="5" t="s">
        <v>217</v>
      </c>
      <c r="E184" s="5" t="s">
        <v>217</v>
      </c>
      <c r="F184" s="5" t="s">
        <v>217</v>
      </c>
      <c r="G184" s="5" t="s">
        <v>217</v>
      </c>
      <c r="H184" s="5" t="s">
        <v>217</v>
      </c>
      <c r="I184" s="5" t="s">
        <v>217</v>
      </c>
      <c r="J184" s="5" t="s">
        <v>217</v>
      </c>
      <c r="K184" s="5" t="s">
        <v>217</v>
      </c>
      <c r="L184" s="5" t="s">
        <v>217</v>
      </c>
      <c r="M184" s="5" t="s">
        <v>217</v>
      </c>
      <c r="N184" s="5" t="s">
        <v>217</v>
      </c>
      <c r="O184" s="5" t="s">
        <v>217</v>
      </c>
      <c r="P184" s="5" t="s">
        <v>217</v>
      </c>
      <c r="Q184" s="5" t="s">
        <v>217</v>
      </c>
      <c r="R184" s="5" t="s">
        <v>217</v>
      </c>
      <c r="S184" s="5">
        <f t="shared" si="0"/>
        <v>1</v>
      </c>
      <c r="T184" s="5" t="str">
        <f ca="1">IFERROR(__xludf.DUMMYFUNCTION("QUERY(transpose(A184:R184),""Select Col1 where Col1 is not null limit 1"",0)"),"Rashod Bateman")</f>
        <v>Rashod Bateman</v>
      </c>
      <c r="U184" s="32" t="e">
        <f t="shared" ca="1" si="1"/>
        <v>#NAME?</v>
      </c>
    </row>
    <row r="185" spans="1:21" ht="12.75" x14ac:dyDescent="0.2">
      <c r="A185" s="5" t="s">
        <v>218</v>
      </c>
      <c r="B185" s="5" t="s">
        <v>218</v>
      </c>
      <c r="C185" s="5" t="s">
        <v>218</v>
      </c>
      <c r="D185" s="5" t="s">
        <v>218</v>
      </c>
      <c r="E185" s="5" t="s">
        <v>218</v>
      </c>
      <c r="F185" s="5" t="s">
        <v>218</v>
      </c>
      <c r="G185" s="5" t="s">
        <v>218</v>
      </c>
      <c r="H185" s="5" t="s">
        <v>218</v>
      </c>
      <c r="I185" s="5" t="s">
        <v>218</v>
      </c>
      <c r="J185" s="5" t="s">
        <v>218</v>
      </c>
      <c r="K185" s="5" t="s">
        <v>218</v>
      </c>
      <c r="L185" s="5" t="s">
        <v>218</v>
      </c>
      <c r="M185" s="5" t="s">
        <v>218</v>
      </c>
      <c r="N185" s="5" t="s">
        <v>218</v>
      </c>
      <c r="O185" s="5" t="s">
        <v>218</v>
      </c>
      <c r="P185" s="5" t="s">
        <v>218</v>
      </c>
      <c r="Q185" s="5" t="s">
        <v>218</v>
      </c>
      <c r="R185" s="5" t="s">
        <v>218</v>
      </c>
      <c r="S185" s="5">
        <f t="shared" si="0"/>
        <v>1</v>
      </c>
      <c r="T185" s="5" t="str">
        <f ca="1">IFERROR(__xludf.DUMMYFUNCTION("QUERY(transpose(A185:R185),""Select Col1 where Col1 is not null limit 1"",0)"),"Amari Cooper")</f>
        <v>Amari Cooper</v>
      </c>
      <c r="U185" s="32" t="e">
        <f t="shared" ca="1" si="1"/>
        <v>#NAME?</v>
      </c>
    </row>
    <row r="186" spans="1:21" ht="12.75" x14ac:dyDescent="0.2">
      <c r="A186" s="5" t="s">
        <v>219</v>
      </c>
      <c r="B186" s="5" t="s">
        <v>219</v>
      </c>
      <c r="C186" s="5" t="s">
        <v>219</v>
      </c>
      <c r="D186" s="5" t="s">
        <v>219</v>
      </c>
      <c r="E186" s="5" t="s">
        <v>219</v>
      </c>
      <c r="F186" s="5" t="s">
        <v>219</v>
      </c>
      <c r="G186" s="5" t="s">
        <v>219</v>
      </c>
      <c r="H186" s="5" t="s">
        <v>219</v>
      </c>
      <c r="I186" s="5" t="s">
        <v>219</v>
      </c>
      <c r="J186" s="5" t="s">
        <v>219</v>
      </c>
      <c r="K186" s="5" t="s">
        <v>219</v>
      </c>
      <c r="L186" s="5" t="s">
        <v>219</v>
      </c>
      <c r="M186" s="5" t="s">
        <v>219</v>
      </c>
      <c r="N186" s="5" t="s">
        <v>219</v>
      </c>
      <c r="O186" s="5" t="s">
        <v>219</v>
      </c>
      <c r="P186" s="5" t="s">
        <v>219</v>
      </c>
      <c r="Q186" s="5" t="s">
        <v>219</v>
      </c>
      <c r="R186" s="5" t="s">
        <v>219</v>
      </c>
      <c r="S186" s="5">
        <f t="shared" si="0"/>
        <v>1</v>
      </c>
      <c r="T186" s="5" t="str">
        <f ca="1">IFERROR(__xludf.DUMMYFUNCTION("QUERY(transpose(A186:R186),""Select Col1 where Col1 is not null limit 1"",0)"),"Nathaniel Dell")</f>
        <v>Nathaniel Dell</v>
      </c>
      <c r="U186" s="32" t="e">
        <f t="shared" ca="1" si="1"/>
        <v>#NAME?</v>
      </c>
    </row>
    <row r="187" spans="1:21" ht="12.75" x14ac:dyDescent="0.2">
      <c r="A187" s="5" t="s">
        <v>220</v>
      </c>
      <c r="B187" s="5" t="s">
        <v>220</v>
      </c>
      <c r="C187" s="5" t="s">
        <v>220</v>
      </c>
      <c r="D187" s="5" t="s">
        <v>220</v>
      </c>
      <c r="E187" s="5" t="s">
        <v>220</v>
      </c>
      <c r="F187" s="5" t="s">
        <v>220</v>
      </c>
      <c r="G187" s="5" t="s">
        <v>220</v>
      </c>
      <c r="H187" s="5" t="s">
        <v>220</v>
      </c>
      <c r="I187" s="5" t="s">
        <v>220</v>
      </c>
      <c r="J187" s="5" t="s">
        <v>220</v>
      </c>
      <c r="K187" s="5" t="s">
        <v>220</v>
      </c>
      <c r="L187" s="5" t="s">
        <v>220</v>
      </c>
      <c r="M187" s="5" t="s">
        <v>220</v>
      </c>
      <c r="N187" s="5" t="s">
        <v>220</v>
      </c>
      <c r="O187" s="5" t="s">
        <v>220</v>
      </c>
      <c r="P187" s="5" t="s">
        <v>220</v>
      </c>
      <c r="Q187" s="5" t="s">
        <v>220</v>
      </c>
      <c r="R187" s="5" t="s">
        <v>220</v>
      </c>
      <c r="S187" s="5">
        <f t="shared" si="0"/>
        <v>1</v>
      </c>
      <c r="T187" s="5" t="str">
        <f ca="1">IFERROR(__xludf.DUMMYFUNCTION("QUERY(transpose(A187:R187),""Select Col1 where Col1 is not null limit 1"",0)"),"Josh Downs")</f>
        <v>Josh Downs</v>
      </c>
      <c r="U187" s="32" t="e">
        <f t="shared" ca="1" si="1"/>
        <v>#NAME?</v>
      </c>
    </row>
    <row r="188" spans="1:21" ht="12.75" x14ac:dyDescent="0.2">
      <c r="A188" s="5" t="s">
        <v>221</v>
      </c>
      <c r="B188" s="5" t="s">
        <v>221</v>
      </c>
      <c r="C188" s="5" t="s">
        <v>221</v>
      </c>
      <c r="D188" s="5" t="s">
        <v>221</v>
      </c>
      <c r="E188" s="5" t="s">
        <v>221</v>
      </c>
      <c r="F188" s="5" t="s">
        <v>221</v>
      </c>
      <c r="G188" s="5" t="s">
        <v>221</v>
      </c>
      <c r="H188" s="5" t="s">
        <v>221</v>
      </c>
      <c r="I188" s="5" t="s">
        <v>221</v>
      </c>
      <c r="J188" s="5" t="s">
        <v>221</v>
      </c>
      <c r="K188" s="5" t="s">
        <v>221</v>
      </c>
      <c r="L188" s="5" t="s">
        <v>221</v>
      </c>
      <c r="M188" s="5" t="s">
        <v>221</v>
      </c>
      <c r="N188" s="5" t="s">
        <v>221</v>
      </c>
      <c r="O188" s="5" t="s">
        <v>221</v>
      </c>
      <c r="P188" s="5" t="s">
        <v>221</v>
      </c>
      <c r="Q188" s="5" t="s">
        <v>221</v>
      </c>
      <c r="R188" s="5" t="s">
        <v>221</v>
      </c>
      <c r="S188" s="5">
        <f t="shared" si="0"/>
        <v>1</v>
      </c>
      <c r="T188" s="5" t="str">
        <f ca="1">IFERROR(__xludf.DUMMYFUNCTION("QUERY(transpose(A188:R188),""Select Col1 where Col1 is not null limit 1"",0)"),"Mack Hollins")</f>
        <v>Mack Hollins</v>
      </c>
      <c r="U188" s="32" t="e">
        <f t="shared" ca="1" si="1"/>
        <v>#NAME?</v>
      </c>
    </row>
    <row r="189" spans="1:21" ht="12.75" x14ac:dyDescent="0.2">
      <c r="A189" s="5" t="s">
        <v>222</v>
      </c>
      <c r="B189" s="5" t="s">
        <v>222</v>
      </c>
      <c r="C189" s="5" t="s">
        <v>222</v>
      </c>
      <c r="D189" s="5" t="s">
        <v>222</v>
      </c>
      <c r="E189" s="5" t="s">
        <v>222</v>
      </c>
      <c r="F189" s="5" t="s">
        <v>222</v>
      </c>
      <c r="G189" s="5" t="s">
        <v>222</v>
      </c>
      <c r="H189" s="5" t="s">
        <v>222</v>
      </c>
      <c r="I189" s="5" t="s">
        <v>222</v>
      </c>
      <c r="J189" s="5" t="s">
        <v>222</v>
      </c>
      <c r="K189" s="5" t="s">
        <v>222</v>
      </c>
      <c r="L189" s="5" t="s">
        <v>222</v>
      </c>
      <c r="M189" s="5" t="s">
        <v>222</v>
      </c>
      <c r="N189" s="5" t="s">
        <v>222</v>
      </c>
      <c r="O189" s="5" t="s">
        <v>222</v>
      </c>
      <c r="P189" s="5" t="s">
        <v>222</v>
      </c>
      <c r="Q189" s="5" t="s">
        <v>222</v>
      </c>
      <c r="R189" s="5" t="s">
        <v>222</v>
      </c>
      <c r="S189" s="5">
        <f t="shared" si="0"/>
        <v>1</v>
      </c>
      <c r="T189" s="5" t="str">
        <f ca="1">IFERROR(__xludf.DUMMYFUNCTION("QUERY(transpose(A189:R189),""Select Col1 where Col1 is not null limit 1"",0)"),"Van Jefferson")</f>
        <v>Van Jefferson</v>
      </c>
      <c r="U189" s="32" t="e">
        <f t="shared" ca="1" si="1"/>
        <v>#NAME?</v>
      </c>
    </row>
    <row r="190" spans="1:21" ht="12.75" x14ac:dyDescent="0.2">
      <c r="A190" s="5" t="s">
        <v>223</v>
      </c>
      <c r="B190" s="5" t="s">
        <v>223</v>
      </c>
      <c r="C190" s="5" t="s">
        <v>223</v>
      </c>
      <c r="D190" s="5" t="s">
        <v>223</v>
      </c>
      <c r="E190" s="5" t="s">
        <v>223</v>
      </c>
      <c r="F190" s="5" t="s">
        <v>223</v>
      </c>
      <c r="G190" s="5" t="s">
        <v>223</v>
      </c>
      <c r="H190" s="5" t="s">
        <v>223</v>
      </c>
      <c r="I190" s="5" t="s">
        <v>223</v>
      </c>
      <c r="J190" s="5" t="s">
        <v>223</v>
      </c>
      <c r="K190" s="5" t="s">
        <v>223</v>
      </c>
      <c r="L190" s="5" t="s">
        <v>223</v>
      </c>
      <c r="M190" s="5" t="s">
        <v>223</v>
      </c>
      <c r="N190" s="5" t="s">
        <v>223</v>
      </c>
      <c r="O190" s="5" t="s">
        <v>223</v>
      </c>
      <c r="P190" s="5" t="s">
        <v>223</v>
      </c>
      <c r="Q190" s="5" t="s">
        <v>223</v>
      </c>
      <c r="R190" s="5" t="s">
        <v>223</v>
      </c>
      <c r="S190" s="5">
        <f t="shared" si="0"/>
        <v>1</v>
      </c>
      <c r="T190" s="5" t="str">
        <f ca="1">IFERROR(__xludf.DUMMYFUNCTION("QUERY(transpose(A190:R190),""Select Col1 where Col1 is not null limit 1"",0)"),"Allen Lazard")</f>
        <v>Allen Lazard</v>
      </c>
      <c r="U190" s="32" t="e">
        <f t="shared" ca="1" si="1"/>
        <v>#NAME?</v>
      </c>
    </row>
    <row r="191" spans="1:21" ht="12.75" x14ac:dyDescent="0.2">
      <c r="A191" s="5" t="s">
        <v>224</v>
      </c>
      <c r="B191" s="5" t="s">
        <v>224</v>
      </c>
      <c r="C191" s="5" t="s">
        <v>224</v>
      </c>
      <c r="D191" s="5" t="s">
        <v>224</v>
      </c>
      <c r="E191" s="5" t="s">
        <v>224</v>
      </c>
      <c r="F191" s="5" t="s">
        <v>224</v>
      </c>
      <c r="G191" s="5" t="s">
        <v>224</v>
      </c>
      <c r="H191" s="5" t="s">
        <v>224</v>
      </c>
      <c r="I191" s="5" t="s">
        <v>224</v>
      </c>
      <c r="J191" s="5" t="s">
        <v>224</v>
      </c>
      <c r="K191" s="5" t="s">
        <v>224</v>
      </c>
      <c r="L191" s="5" t="s">
        <v>224</v>
      </c>
      <c r="M191" s="5" t="s">
        <v>224</v>
      </c>
      <c r="N191" s="5" t="s">
        <v>224</v>
      </c>
      <c r="O191" s="5" t="s">
        <v>224</v>
      </c>
      <c r="P191" s="5" t="s">
        <v>224</v>
      </c>
      <c r="Q191" s="5" t="s">
        <v>224</v>
      </c>
      <c r="R191" s="5" t="s">
        <v>224</v>
      </c>
      <c r="S191" s="5">
        <f t="shared" si="0"/>
        <v>1</v>
      </c>
      <c r="T191" s="5" t="str">
        <f ca="1">IFERROR(__xludf.DUMMYFUNCTION("QUERY(transpose(A191:R191),""Select Col1 where Col1 is not null limit 1"",0)"),"K.J. Osborn")</f>
        <v>K.J. Osborn</v>
      </c>
      <c r="U191" s="32" t="e">
        <f t="shared" ca="1" si="1"/>
        <v>#NAME?</v>
      </c>
    </row>
    <row r="192" spans="1:21" ht="12.75" x14ac:dyDescent="0.2">
      <c r="A192" s="5" t="s">
        <v>225</v>
      </c>
      <c r="B192" s="5" t="s">
        <v>225</v>
      </c>
      <c r="C192" s="5" t="s">
        <v>225</v>
      </c>
      <c r="D192" s="5" t="s">
        <v>225</v>
      </c>
      <c r="E192" s="5" t="s">
        <v>225</v>
      </c>
      <c r="F192" s="5" t="s">
        <v>225</v>
      </c>
      <c r="G192" s="5" t="s">
        <v>225</v>
      </c>
      <c r="H192" s="5" t="s">
        <v>225</v>
      </c>
      <c r="I192" s="5" t="s">
        <v>225</v>
      </c>
      <c r="J192" s="5" t="s">
        <v>225</v>
      </c>
      <c r="K192" s="5" t="s">
        <v>225</v>
      </c>
      <c r="L192" s="5" t="s">
        <v>225</v>
      </c>
      <c r="M192" s="5" t="s">
        <v>225</v>
      </c>
      <c r="N192" s="5" t="s">
        <v>225</v>
      </c>
      <c r="O192" s="5" t="s">
        <v>225</v>
      </c>
      <c r="P192" s="5" t="s">
        <v>225</v>
      </c>
      <c r="Q192" s="5" t="s">
        <v>225</v>
      </c>
      <c r="R192" s="5" t="s">
        <v>225</v>
      </c>
      <c r="S192" s="5">
        <f t="shared" si="0"/>
        <v>1</v>
      </c>
      <c r="T192" s="5" t="str">
        <f ca="1">IFERROR(__xludf.DUMMYFUNCTION("QUERY(transpose(A192:R192),""Select Col1 where Col1 is not null limit 1"",0)"),"Jayden Reed")</f>
        <v>Jayden Reed</v>
      </c>
      <c r="U192" s="32" t="e">
        <f t="shared" ca="1" si="1"/>
        <v>#NAME?</v>
      </c>
    </row>
    <row r="193" spans="1:21" ht="12.75" x14ac:dyDescent="0.2">
      <c r="A193" s="5" t="s">
        <v>226</v>
      </c>
      <c r="B193" s="5" t="s">
        <v>226</v>
      </c>
      <c r="C193" s="5" t="s">
        <v>226</v>
      </c>
      <c r="D193" s="5" t="s">
        <v>226</v>
      </c>
      <c r="E193" s="5" t="s">
        <v>226</v>
      </c>
      <c r="F193" s="5" t="s">
        <v>226</v>
      </c>
      <c r="G193" s="5" t="s">
        <v>226</v>
      </c>
      <c r="H193" s="5" t="s">
        <v>226</v>
      </c>
      <c r="I193" s="5" t="s">
        <v>226</v>
      </c>
      <c r="J193" s="5" t="s">
        <v>226</v>
      </c>
      <c r="K193" s="5" t="s">
        <v>226</v>
      </c>
      <c r="L193" s="5" t="s">
        <v>226</v>
      </c>
      <c r="M193" s="5" t="s">
        <v>226</v>
      </c>
      <c r="N193" s="5" t="s">
        <v>226</v>
      </c>
      <c r="O193" s="5" t="s">
        <v>226</v>
      </c>
      <c r="P193" s="5" t="s">
        <v>226</v>
      </c>
      <c r="Q193" s="5" t="s">
        <v>226</v>
      </c>
      <c r="R193" s="5" t="s">
        <v>226</v>
      </c>
      <c r="S193" s="5">
        <f t="shared" si="0"/>
        <v>1</v>
      </c>
      <c r="T193" s="5" t="str">
        <f ca="1">IFERROR(__xludf.DUMMYFUNCTION("QUERY(transpose(A193:R193),""Select Col1 where Col1 is not null limit 1"",0)"),"Marquez Valdes-Scantling")</f>
        <v>Marquez Valdes-Scantling</v>
      </c>
      <c r="U193" s="32" t="e">
        <f t="shared" ca="1" si="1"/>
        <v>#NAME?</v>
      </c>
    </row>
    <row r="194" spans="1:21" ht="12.75" x14ac:dyDescent="0.2">
      <c r="A194" s="5" t="s">
        <v>227</v>
      </c>
      <c r="B194" s="5" t="s">
        <v>227</v>
      </c>
      <c r="C194" s="5" t="s">
        <v>227</v>
      </c>
      <c r="D194" s="5" t="s">
        <v>227</v>
      </c>
      <c r="E194" s="5" t="s">
        <v>227</v>
      </c>
      <c r="F194" s="5" t="s">
        <v>227</v>
      </c>
      <c r="G194" s="5" t="s">
        <v>227</v>
      </c>
      <c r="H194" s="5" t="s">
        <v>227</v>
      </c>
      <c r="I194" s="5" t="s">
        <v>227</v>
      </c>
      <c r="J194" s="5" t="s">
        <v>227</v>
      </c>
      <c r="K194" s="5" t="s">
        <v>227</v>
      </c>
      <c r="L194" s="5" t="s">
        <v>227</v>
      </c>
      <c r="M194" s="5" t="s">
        <v>227</v>
      </c>
      <c r="N194" s="5" t="s">
        <v>227</v>
      </c>
      <c r="O194" s="5" t="s">
        <v>227</v>
      </c>
      <c r="P194" s="5" t="s">
        <v>227</v>
      </c>
      <c r="Q194" s="5" t="s">
        <v>227</v>
      </c>
      <c r="R194" s="5" t="s">
        <v>227</v>
      </c>
      <c r="S194" s="5">
        <f t="shared" si="0"/>
        <v>1</v>
      </c>
      <c r="T194" s="5" t="str">
        <f ca="1">IFERROR(__xludf.DUMMYFUNCTION("QUERY(transpose(A194:R194),""Select Col1 where Col1 is not null limit 1"",0)"),"Justin Watson")</f>
        <v>Justin Watson</v>
      </c>
      <c r="U194" s="32" t="e">
        <f t="shared" ca="1" si="1"/>
        <v>#NAME?</v>
      </c>
    </row>
    <row r="195" spans="1:21" ht="12.75" x14ac:dyDescent="0.2">
      <c r="A195" s="5" t="s">
        <v>228</v>
      </c>
      <c r="B195" s="5" t="s">
        <v>228</v>
      </c>
      <c r="C195" s="5" t="s">
        <v>228</v>
      </c>
      <c r="D195" s="5" t="s">
        <v>228</v>
      </c>
      <c r="E195" s="5" t="s">
        <v>228</v>
      </c>
      <c r="F195" s="5" t="s">
        <v>228</v>
      </c>
      <c r="G195" s="5" t="s">
        <v>228</v>
      </c>
      <c r="H195" s="5" t="s">
        <v>228</v>
      </c>
      <c r="I195" s="5" t="s">
        <v>228</v>
      </c>
      <c r="J195" s="5" t="s">
        <v>228</v>
      </c>
      <c r="K195" s="5" t="s">
        <v>228</v>
      </c>
      <c r="L195" s="5" t="s">
        <v>228</v>
      </c>
      <c r="M195" s="5" t="s">
        <v>228</v>
      </c>
      <c r="N195" s="5" t="s">
        <v>228</v>
      </c>
      <c r="O195" s="5" t="s">
        <v>228</v>
      </c>
      <c r="P195" s="5" t="s">
        <v>228</v>
      </c>
      <c r="Q195" s="5" t="s">
        <v>228</v>
      </c>
      <c r="R195" s="5" t="s">
        <v>228</v>
      </c>
      <c r="S195" s="5">
        <f t="shared" si="0"/>
        <v>1</v>
      </c>
      <c r="T195" s="5" t="str">
        <f ca="1">IFERROR(__xludf.DUMMYFUNCTION("QUERY(transpose(A195:R195),""Select Col1 where Col1 is not null limit 1"",0)"),"Odell Beckham Jr.")</f>
        <v>Odell Beckham Jr.</v>
      </c>
      <c r="U195" s="32" t="e">
        <f t="shared" ca="1" si="1"/>
        <v>#NAME?</v>
      </c>
    </row>
    <row r="196" spans="1:21" ht="12.75" x14ac:dyDescent="0.2">
      <c r="A196" s="5" t="s">
        <v>229</v>
      </c>
      <c r="B196" s="5" t="s">
        <v>229</v>
      </c>
      <c r="C196" s="5" t="s">
        <v>229</v>
      </c>
      <c r="D196" s="5" t="s">
        <v>229</v>
      </c>
      <c r="E196" s="5" t="s">
        <v>229</v>
      </c>
      <c r="F196" s="5" t="s">
        <v>229</v>
      </c>
      <c r="G196" s="5" t="s">
        <v>229</v>
      </c>
      <c r="H196" s="5" t="s">
        <v>229</v>
      </c>
      <c r="I196" s="5" t="s">
        <v>229</v>
      </c>
      <c r="J196" s="5" t="s">
        <v>229</v>
      </c>
      <c r="K196" s="5" t="s">
        <v>229</v>
      </c>
      <c r="L196" s="5" t="s">
        <v>229</v>
      </c>
      <c r="M196" s="5" t="s">
        <v>229</v>
      </c>
      <c r="N196" s="5" t="s">
        <v>229</v>
      </c>
      <c r="O196" s="5" t="s">
        <v>229</v>
      </c>
      <c r="P196" s="5" t="s">
        <v>229</v>
      </c>
      <c r="Q196" s="5" t="s">
        <v>229</v>
      </c>
      <c r="R196" s="5" t="s">
        <v>229</v>
      </c>
      <c r="S196" s="5">
        <f t="shared" si="0"/>
        <v>1</v>
      </c>
      <c r="T196" s="5" t="str">
        <f ca="1">IFERROR(__xludf.DUMMYFUNCTION("QUERY(transpose(A196:R196),""Select Col1 where Col1 is not null limit 1"",0)"),"Noah Brown")</f>
        <v>Noah Brown</v>
      </c>
      <c r="U196" s="32" t="e">
        <f t="shared" ca="1" si="1"/>
        <v>#NAME?</v>
      </c>
    </row>
    <row r="197" spans="1:21" ht="12.75" x14ac:dyDescent="0.2">
      <c r="A197" s="5" t="s">
        <v>230</v>
      </c>
      <c r="B197" s="5" t="s">
        <v>230</v>
      </c>
      <c r="C197" s="5" t="s">
        <v>230</v>
      </c>
      <c r="D197" s="5" t="s">
        <v>230</v>
      </c>
      <c r="E197" s="5" t="s">
        <v>230</v>
      </c>
      <c r="F197" s="5" t="s">
        <v>230</v>
      </c>
      <c r="G197" s="5" t="s">
        <v>230</v>
      </c>
      <c r="H197" s="5" t="s">
        <v>230</v>
      </c>
      <c r="I197" s="5" t="s">
        <v>230</v>
      </c>
      <c r="J197" s="5" t="s">
        <v>230</v>
      </c>
      <c r="K197" s="5" t="s">
        <v>230</v>
      </c>
      <c r="L197" s="5" t="s">
        <v>230</v>
      </c>
      <c r="M197" s="5" t="s">
        <v>230</v>
      </c>
      <c r="N197" s="5" t="s">
        <v>230</v>
      </c>
      <c r="O197" s="5" t="s">
        <v>230</v>
      </c>
      <c r="P197" s="5" t="s">
        <v>230</v>
      </c>
      <c r="Q197" s="5" t="s">
        <v>230</v>
      </c>
      <c r="R197" s="5" t="s">
        <v>230</v>
      </c>
      <c r="S197" s="5">
        <f t="shared" si="0"/>
        <v>1</v>
      </c>
      <c r="T197" s="5" t="str">
        <f ca="1">IFERROR(__xludf.DUMMYFUNCTION("QUERY(transpose(A197:R197),""Select Col1 where Col1 is not null limit 1"",0)"),"Gabriel Davis")</f>
        <v>Gabriel Davis</v>
      </c>
      <c r="U197" s="32" t="e">
        <f t="shared" ca="1" si="1"/>
        <v>#NAME?</v>
      </c>
    </row>
    <row r="198" spans="1:21" ht="12.75" x14ac:dyDescent="0.2">
      <c r="A198" s="5" t="s">
        <v>231</v>
      </c>
      <c r="B198" s="5" t="s">
        <v>231</v>
      </c>
      <c r="C198" s="5" t="s">
        <v>231</v>
      </c>
      <c r="D198" s="5" t="s">
        <v>231</v>
      </c>
      <c r="E198" s="5" t="s">
        <v>231</v>
      </c>
      <c r="F198" s="5" t="s">
        <v>231</v>
      </c>
      <c r="G198" s="5" t="s">
        <v>231</v>
      </c>
      <c r="H198" s="5" t="s">
        <v>231</v>
      </c>
      <c r="I198" s="5" t="s">
        <v>231</v>
      </c>
      <c r="J198" s="5" t="s">
        <v>231</v>
      </c>
      <c r="K198" s="5" t="s">
        <v>231</v>
      </c>
      <c r="L198" s="5" t="s">
        <v>231</v>
      </c>
      <c r="M198" s="5" t="s">
        <v>231</v>
      </c>
      <c r="N198" s="5" t="s">
        <v>231</v>
      </c>
      <c r="O198" s="5" t="s">
        <v>231</v>
      </c>
      <c r="P198" s="5" t="s">
        <v>231</v>
      </c>
      <c r="Q198" s="5" t="s">
        <v>231</v>
      </c>
      <c r="R198" s="5" t="s">
        <v>231</v>
      </c>
      <c r="S198" s="5">
        <f t="shared" si="0"/>
        <v>1</v>
      </c>
      <c r="T198" s="5" t="str">
        <f ca="1">IFERROR(__xludf.DUMMYFUNCTION("QUERY(transpose(A198:R198),""Select Col1 where Col1 is not null limit 1"",0)"),"Brandon Johnson")</f>
        <v>Brandon Johnson</v>
      </c>
      <c r="U198" s="32" t="e">
        <f t="shared" ca="1" si="1"/>
        <v>#NAME?</v>
      </c>
    </row>
    <row r="199" spans="1:21" ht="12.75" x14ac:dyDescent="0.2">
      <c r="A199" s="5" t="s">
        <v>232</v>
      </c>
      <c r="B199" s="5" t="s">
        <v>232</v>
      </c>
      <c r="C199" s="5" t="s">
        <v>232</v>
      </c>
      <c r="D199" s="5" t="s">
        <v>232</v>
      </c>
      <c r="E199" s="5" t="s">
        <v>232</v>
      </c>
      <c r="F199" s="5" t="s">
        <v>232</v>
      </c>
      <c r="G199" s="5" t="s">
        <v>232</v>
      </c>
      <c r="H199" s="5" t="s">
        <v>232</v>
      </c>
      <c r="I199" s="5" t="s">
        <v>232</v>
      </c>
      <c r="J199" s="5" t="s">
        <v>232</v>
      </c>
      <c r="K199" s="5" t="s">
        <v>232</v>
      </c>
      <c r="L199" s="5" t="s">
        <v>232</v>
      </c>
      <c r="M199" s="5" t="s">
        <v>232</v>
      </c>
      <c r="N199" s="5" t="s">
        <v>232</v>
      </c>
      <c r="O199" s="5" t="s">
        <v>232</v>
      </c>
      <c r="P199" s="5" t="s">
        <v>232</v>
      </c>
      <c r="Q199" s="5" t="s">
        <v>232</v>
      </c>
      <c r="R199" s="5" t="s">
        <v>232</v>
      </c>
      <c r="S199" s="5">
        <f t="shared" si="0"/>
        <v>1</v>
      </c>
      <c r="T199" s="5" t="str">
        <f ca="1">IFERROR(__xludf.DUMMYFUNCTION("QUERY(transpose(A199:R199),""Select Col1 where Col1 is not null limit 1"",0)"),"Terry McLaurin")</f>
        <v>Terry McLaurin</v>
      </c>
      <c r="U199" s="32" t="e">
        <f t="shared" ca="1" si="1"/>
        <v>#NAME?</v>
      </c>
    </row>
    <row r="200" spans="1:21" ht="12.75" x14ac:dyDescent="0.2">
      <c r="A200" s="5" t="s">
        <v>233</v>
      </c>
      <c r="B200" s="5" t="s">
        <v>233</v>
      </c>
      <c r="C200" s="5" t="s">
        <v>233</v>
      </c>
      <c r="D200" s="5" t="s">
        <v>233</v>
      </c>
      <c r="E200" s="5" t="s">
        <v>233</v>
      </c>
      <c r="F200" s="5" t="s">
        <v>233</v>
      </c>
      <c r="G200" s="5" t="s">
        <v>233</v>
      </c>
      <c r="H200" s="5" t="s">
        <v>233</v>
      </c>
      <c r="I200" s="5" t="s">
        <v>233</v>
      </c>
      <c r="J200" s="5" t="s">
        <v>233</v>
      </c>
      <c r="K200" s="5" t="s">
        <v>233</v>
      </c>
      <c r="L200" s="5" t="s">
        <v>233</v>
      </c>
      <c r="M200" s="5" t="s">
        <v>233</v>
      </c>
      <c r="N200" s="5" t="s">
        <v>233</v>
      </c>
      <c r="O200" s="5" t="s">
        <v>233</v>
      </c>
      <c r="P200" s="5" t="s">
        <v>233</v>
      </c>
      <c r="Q200" s="5" t="s">
        <v>233</v>
      </c>
      <c r="R200" s="5" t="s">
        <v>233</v>
      </c>
      <c r="S200" s="5">
        <f t="shared" si="0"/>
        <v>1</v>
      </c>
      <c r="T200" s="5" t="str">
        <f ca="1">IFERROR(__xludf.DUMMYFUNCTION("QUERY(transpose(A200:R200),""Select Col1 where Col1 is not null limit 1"",0)"),"Brandin Cooks")</f>
        <v>Brandin Cooks</v>
      </c>
      <c r="U200" s="32" t="e">
        <f t="shared" ca="1" si="1"/>
        <v>#NAME?</v>
      </c>
    </row>
    <row r="201" spans="1:21" ht="12.75" x14ac:dyDescent="0.2">
      <c r="A201" s="5" t="s">
        <v>234</v>
      </c>
      <c r="B201" s="5" t="s">
        <v>234</v>
      </c>
      <c r="C201" s="5" t="s">
        <v>234</v>
      </c>
      <c r="D201" s="5" t="s">
        <v>234</v>
      </c>
      <c r="E201" s="5" t="s">
        <v>234</v>
      </c>
      <c r="F201" s="5" t="s">
        <v>234</v>
      </c>
      <c r="G201" s="5" t="s">
        <v>234</v>
      </c>
      <c r="H201" s="5" t="s">
        <v>234</v>
      </c>
      <c r="I201" s="5" t="s">
        <v>234</v>
      </c>
      <c r="J201" s="5" t="s">
        <v>234</v>
      </c>
      <c r="K201" s="5" t="s">
        <v>234</v>
      </c>
      <c r="L201" s="5" t="s">
        <v>234</v>
      </c>
      <c r="M201" s="5" t="s">
        <v>234</v>
      </c>
      <c r="N201" s="5" t="s">
        <v>234</v>
      </c>
      <c r="O201" s="5" t="s">
        <v>234</v>
      </c>
      <c r="P201" s="5" t="s">
        <v>234</v>
      </c>
      <c r="Q201" s="5" t="s">
        <v>234</v>
      </c>
      <c r="R201" s="5" t="s">
        <v>234</v>
      </c>
      <c r="S201" s="5">
        <f t="shared" si="0"/>
        <v>1</v>
      </c>
      <c r="T201" s="5" t="str">
        <f ca="1">IFERROR(__xludf.DUMMYFUNCTION("QUERY(transpose(A201:R201),""Select Col1 where Col1 is not null limit 1"",0)"),"Terrace Marshall")</f>
        <v>Terrace Marshall</v>
      </c>
      <c r="U201" s="32" t="e">
        <f t="shared" ca="1" si="1"/>
        <v>#NAME?</v>
      </c>
    </row>
    <row r="202" spans="1:21" ht="12.75" x14ac:dyDescent="0.2">
      <c r="A202" s="5" t="s">
        <v>235</v>
      </c>
      <c r="B202" s="5" t="s">
        <v>235</v>
      </c>
      <c r="C202" s="5" t="s">
        <v>235</v>
      </c>
      <c r="D202" s="5" t="s">
        <v>235</v>
      </c>
      <c r="E202" s="5" t="s">
        <v>235</v>
      </c>
      <c r="F202" s="5" t="s">
        <v>235</v>
      </c>
      <c r="G202" s="5" t="s">
        <v>235</v>
      </c>
      <c r="H202" s="5" t="s">
        <v>235</v>
      </c>
      <c r="I202" s="5" t="s">
        <v>235</v>
      </c>
      <c r="J202" s="5" t="s">
        <v>235</v>
      </c>
      <c r="K202" s="5" t="s">
        <v>235</v>
      </c>
      <c r="L202" s="5" t="s">
        <v>235</v>
      </c>
      <c r="M202" s="5" t="s">
        <v>235</v>
      </c>
      <c r="N202" s="5" t="s">
        <v>235</v>
      </c>
      <c r="O202" s="5" t="s">
        <v>235</v>
      </c>
      <c r="P202" s="5" t="s">
        <v>235</v>
      </c>
      <c r="Q202" s="5" t="s">
        <v>235</v>
      </c>
      <c r="R202" s="5" t="s">
        <v>235</v>
      </c>
      <c r="S202" s="5">
        <f t="shared" si="0"/>
        <v>1</v>
      </c>
      <c r="T202" s="5" t="str">
        <f ca="1">IFERROR(__xludf.DUMMYFUNCTION("QUERY(transpose(A202:R202),""Select Col1 where Col1 is not null limit 1"",0)"),"D.J. Moore")</f>
        <v>D.J. Moore</v>
      </c>
      <c r="U202" s="32" t="e">
        <f t="shared" ca="1" si="1"/>
        <v>#NAME?</v>
      </c>
    </row>
    <row r="203" spans="1:21" ht="12.75" x14ac:dyDescent="0.2">
      <c r="A203" s="5" t="s">
        <v>236</v>
      </c>
      <c r="B203" s="5" t="s">
        <v>236</v>
      </c>
      <c r="C203" s="5" t="s">
        <v>236</v>
      </c>
      <c r="D203" s="5" t="s">
        <v>236</v>
      </c>
      <c r="E203" s="5" t="s">
        <v>236</v>
      </c>
      <c r="F203" s="5" t="s">
        <v>236</v>
      </c>
      <c r="G203" s="5" t="s">
        <v>236</v>
      </c>
      <c r="H203" s="5" t="s">
        <v>236</v>
      </c>
      <c r="I203" s="5" t="s">
        <v>236</v>
      </c>
      <c r="J203" s="5" t="s">
        <v>236</v>
      </c>
      <c r="K203" s="5" t="s">
        <v>236</v>
      </c>
      <c r="L203" s="5" t="s">
        <v>236</v>
      </c>
      <c r="M203" s="5" t="s">
        <v>236</v>
      </c>
      <c r="N203" s="5" t="s">
        <v>236</v>
      </c>
      <c r="O203" s="5" t="s">
        <v>236</v>
      </c>
      <c r="P203" s="5" t="s">
        <v>236</v>
      </c>
      <c r="Q203" s="5" t="s">
        <v>236</v>
      </c>
      <c r="R203" s="5" t="s">
        <v>236</v>
      </c>
      <c r="S203" s="5">
        <f t="shared" si="0"/>
        <v>1</v>
      </c>
      <c r="T203" s="5" t="str">
        <f ca="1">IFERROR(__xludf.DUMMYFUNCTION("QUERY(transpose(A203:R203),""Select Col1 where Col1 is not null limit 1"",0)"),"Darius Slayton")</f>
        <v>Darius Slayton</v>
      </c>
      <c r="U203" s="32" t="e">
        <f t="shared" ca="1" si="1"/>
        <v>#NAME?</v>
      </c>
    </row>
    <row r="204" spans="1:21" ht="12.75" x14ac:dyDescent="0.2">
      <c r="A204" s="5" t="s">
        <v>237</v>
      </c>
      <c r="B204" s="5" t="s">
        <v>237</v>
      </c>
      <c r="C204" s="5" t="s">
        <v>237</v>
      </c>
      <c r="D204" s="5" t="s">
        <v>237</v>
      </c>
      <c r="E204" s="5" t="s">
        <v>237</v>
      </c>
      <c r="F204" s="5" t="s">
        <v>237</v>
      </c>
      <c r="G204" s="5" t="s">
        <v>237</v>
      </c>
      <c r="H204" s="5" t="s">
        <v>237</v>
      </c>
      <c r="I204" s="5" t="s">
        <v>237</v>
      </c>
      <c r="J204" s="5" t="s">
        <v>237</v>
      </c>
      <c r="K204" s="5" t="s">
        <v>237</v>
      </c>
      <c r="L204" s="5" t="s">
        <v>237</v>
      </c>
      <c r="M204" s="5" t="s">
        <v>237</v>
      </c>
      <c r="N204" s="5" t="s">
        <v>237</v>
      </c>
      <c r="O204" s="5" t="s">
        <v>237</v>
      </c>
      <c r="P204" s="5" t="s">
        <v>237</v>
      </c>
      <c r="Q204" s="5" t="s">
        <v>237</v>
      </c>
      <c r="R204" s="5" t="s">
        <v>237</v>
      </c>
      <c r="S204" s="5">
        <f t="shared" si="0"/>
        <v>1</v>
      </c>
      <c r="T204" s="5" t="str">
        <f ca="1">IFERROR(__xludf.DUMMYFUNCTION("QUERY(transpose(A204:R204),""Select Col1 where Col1 is not null limit 1"",0)"),"Jaxon Smith-Njigba")</f>
        <v>Jaxon Smith-Njigba</v>
      </c>
      <c r="U204" s="32" t="e">
        <f t="shared" ca="1" si="1"/>
        <v>#NAME?</v>
      </c>
    </row>
    <row r="205" spans="1:21" ht="12.75" x14ac:dyDescent="0.2">
      <c r="A205" s="5" t="s">
        <v>238</v>
      </c>
      <c r="B205" s="5" t="s">
        <v>238</v>
      </c>
      <c r="C205" s="5" t="s">
        <v>238</v>
      </c>
      <c r="D205" s="5" t="s">
        <v>238</v>
      </c>
      <c r="E205" s="5" t="s">
        <v>238</v>
      </c>
      <c r="F205" s="5" t="s">
        <v>238</v>
      </c>
      <c r="G205" s="5" t="s">
        <v>238</v>
      </c>
      <c r="H205" s="5" t="s">
        <v>238</v>
      </c>
      <c r="I205" s="5" t="s">
        <v>238</v>
      </c>
      <c r="J205" s="5" t="s">
        <v>238</v>
      </c>
      <c r="K205" s="5" t="s">
        <v>238</v>
      </c>
      <c r="L205" s="5" t="s">
        <v>238</v>
      </c>
      <c r="M205" s="5" t="s">
        <v>238</v>
      </c>
      <c r="N205" s="5" t="s">
        <v>238</v>
      </c>
      <c r="O205" s="5" t="s">
        <v>238</v>
      </c>
      <c r="P205" s="5" t="s">
        <v>238</v>
      </c>
      <c r="Q205" s="5" t="s">
        <v>238</v>
      </c>
      <c r="R205" s="5" t="s">
        <v>238</v>
      </c>
      <c r="S205" s="5">
        <f t="shared" si="0"/>
        <v>1</v>
      </c>
      <c r="T205" s="5" t="str">
        <f ca="1">IFERROR(__xludf.DUMMYFUNCTION("QUERY(transpose(A205:R205),""Select Col1 where Col1 is not null limit 1"",0)"),"Tyler Boyd")</f>
        <v>Tyler Boyd</v>
      </c>
      <c r="U205" s="32" t="e">
        <f t="shared" ca="1" si="1"/>
        <v>#NAME?</v>
      </c>
    </row>
    <row r="206" spans="1:21" ht="12.75" x14ac:dyDescent="0.2">
      <c r="A206" s="5" t="s">
        <v>239</v>
      </c>
      <c r="B206" s="5" t="s">
        <v>239</v>
      </c>
      <c r="C206" s="5" t="s">
        <v>239</v>
      </c>
      <c r="D206" s="5" t="s">
        <v>239</v>
      </c>
      <c r="E206" s="5" t="s">
        <v>239</v>
      </c>
      <c r="F206" s="5" t="s">
        <v>239</v>
      </c>
      <c r="G206" s="5" t="s">
        <v>239</v>
      </c>
      <c r="H206" s="5" t="s">
        <v>239</v>
      </c>
      <c r="I206" s="5" t="s">
        <v>239</v>
      </c>
      <c r="J206" s="5" t="s">
        <v>239</v>
      </c>
      <c r="K206" s="5" t="s">
        <v>239</v>
      </c>
      <c r="L206" s="5" t="s">
        <v>239</v>
      </c>
      <c r="M206" s="5" t="s">
        <v>239</v>
      </c>
      <c r="N206" s="5" t="s">
        <v>239</v>
      </c>
      <c r="O206" s="5" t="s">
        <v>239</v>
      </c>
      <c r="P206" s="5" t="s">
        <v>239</v>
      </c>
      <c r="Q206" s="5" t="s">
        <v>239</v>
      </c>
      <c r="R206" s="5" t="s">
        <v>239</v>
      </c>
      <c r="S206" s="5">
        <f t="shared" si="0"/>
        <v>1</v>
      </c>
      <c r="T206" s="5" t="str">
        <f ca="1">IFERROR(__xludf.DUMMYFUNCTION("QUERY(transpose(A206:R206),""Select Col1 where Col1 is not null limit 1"",0)"),"Treylon Burks")</f>
        <v>Treylon Burks</v>
      </c>
      <c r="U206" s="32" t="e">
        <f t="shared" ca="1" si="1"/>
        <v>#NAME?</v>
      </c>
    </row>
    <row r="207" spans="1:21" ht="12.75" x14ac:dyDescent="0.2">
      <c r="A207" s="5" t="s">
        <v>240</v>
      </c>
      <c r="B207" s="5" t="s">
        <v>240</v>
      </c>
      <c r="C207" s="5" t="s">
        <v>240</v>
      </c>
      <c r="D207" s="5" t="s">
        <v>240</v>
      </c>
      <c r="E207" s="5" t="s">
        <v>240</v>
      </c>
      <c r="F207" s="5" t="s">
        <v>240</v>
      </c>
      <c r="G207" s="5" t="s">
        <v>240</v>
      </c>
      <c r="H207" s="5" t="s">
        <v>240</v>
      </c>
      <c r="I207" s="5" t="s">
        <v>240</v>
      </c>
      <c r="J207" s="5" t="s">
        <v>240</v>
      </c>
      <c r="K207" s="5" t="s">
        <v>240</v>
      </c>
      <c r="L207" s="5" t="s">
        <v>240</v>
      </c>
      <c r="M207" s="5" t="s">
        <v>240</v>
      </c>
      <c r="N207" s="5" t="s">
        <v>240</v>
      </c>
      <c r="O207" s="5" t="s">
        <v>240</v>
      </c>
      <c r="P207" s="5" t="s">
        <v>240</v>
      </c>
      <c r="Q207" s="5" t="s">
        <v>240</v>
      </c>
      <c r="R207" s="5" t="s">
        <v>240</v>
      </c>
      <c r="S207" s="5">
        <f t="shared" si="0"/>
        <v>1</v>
      </c>
      <c r="T207" s="5" t="str">
        <f ca="1">IFERROR(__xludf.DUMMYFUNCTION("QUERY(transpose(A207:R207),""Select Col1 where Col1 is not null limit 1"",0)"),"Deonte Harty")</f>
        <v>Deonte Harty</v>
      </c>
      <c r="U207" s="32" t="e">
        <f t="shared" ca="1" si="1"/>
        <v>#NAME?</v>
      </c>
    </row>
    <row r="208" spans="1:21" ht="12.75" x14ac:dyDescent="0.2">
      <c r="A208" s="5" t="s">
        <v>241</v>
      </c>
      <c r="B208" s="5" t="s">
        <v>241</v>
      </c>
      <c r="C208" s="5" t="s">
        <v>241</v>
      </c>
      <c r="D208" s="5" t="s">
        <v>241</v>
      </c>
      <c r="E208" s="5" t="s">
        <v>241</v>
      </c>
      <c r="F208" s="5" t="s">
        <v>241</v>
      </c>
      <c r="G208" s="5" t="s">
        <v>241</v>
      </c>
      <c r="H208" s="5" t="s">
        <v>241</v>
      </c>
      <c r="I208" s="5" t="s">
        <v>241</v>
      </c>
      <c r="J208" s="5" t="s">
        <v>241</v>
      </c>
      <c r="K208" s="5" t="s">
        <v>241</v>
      </c>
      <c r="L208" s="5" t="s">
        <v>241</v>
      </c>
      <c r="M208" s="5" t="s">
        <v>241</v>
      </c>
      <c r="N208" s="5" t="s">
        <v>241</v>
      </c>
      <c r="O208" s="5" t="s">
        <v>241</v>
      </c>
      <c r="P208" s="5" t="s">
        <v>241</v>
      </c>
      <c r="Q208" s="5" t="s">
        <v>241</v>
      </c>
      <c r="R208" s="5" t="s">
        <v>241</v>
      </c>
      <c r="S208" s="5">
        <f t="shared" si="0"/>
        <v>1</v>
      </c>
      <c r="T208" s="5" t="str">
        <f ca="1">IFERROR(__xludf.DUMMYFUNCTION("QUERY(transpose(A208:R208),""Select Col1 where Col1 is not null limit 1"",0)"),"Tyler Lockett")</f>
        <v>Tyler Lockett</v>
      </c>
      <c r="U208" s="32" t="e">
        <f t="shared" ca="1" si="1"/>
        <v>#NAME?</v>
      </c>
    </row>
    <row r="209" spans="1:21" ht="12.75" x14ac:dyDescent="0.2">
      <c r="A209" s="5" t="s">
        <v>242</v>
      </c>
      <c r="B209" s="5" t="s">
        <v>242</v>
      </c>
      <c r="C209" s="5" t="s">
        <v>242</v>
      </c>
      <c r="D209" s="5" t="s">
        <v>242</v>
      </c>
      <c r="E209" s="5" t="s">
        <v>242</v>
      </c>
      <c r="F209" s="5" t="s">
        <v>242</v>
      </c>
      <c r="G209" s="5" t="s">
        <v>242</v>
      </c>
      <c r="H209" s="5" t="s">
        <v>242</v>
      </c>
      <c r="I209" s="5" t="s">
        <v>242</v>
      </c>
      <c r="J209" s="5" t="s">
        <v>242</v>
      </c>
      <c r="K209" s="5" t="s">
        <v>242</v>
      </c>
      <c r="L209" s="5" t="s">
        <v>242</v>
      </c>
      <c r="M209" s="5" t="s">
        <v>242</v>
      </c>
      <c r="N209" s="5" t="s">
        <v>242</v>
      </c>
      <c r="O209" s="5" t="s">
        <v>242</v>
      </c>
      <c r="P209" s="5" t="s">
        <v>242</v>
      </c>
      <c r="Q209" s="5" t="s">
        <v>242</v>
      </c>
      <c r="R209" s="5" t="s">
        <v>242</v>
      </c>
      <c r="S209" s="5">
        <f t="shared" si="0"/>
        <v>1</v>
      </c>
      <c r="T209" s="5" t="str">
        <f ca="1">IFERROR(__xludf.DUMMYFUNCTION("QUERY(transpose(A209:R209),""Select Col1 where Col1 is not null limit 1"",0)"),"Jonathan Mingo")</f>
        <v>Jonathan Mingo</v>
      </c>
      <c r="U209" s="32" t="e">
        <f t="shared" ca="1" si="1"/>
        <v>#NAME?</v>
      </c>
    </row>
    <row r="210" spans="1:21" ht="12.75" x14ac:dyDescent="0.2">
      <c r="A210" s="5" t="s">
        <v>243</v>
      </c>
      <c r="B210" s="5" t="s">
        <v>243</v>
      </c>
      <c r="C210" s="5" t="s">
        <v>243</v>
      </c>
      <c r="D210" s="5" t="s">
        <v>243</v>
      </c>
      <c r="E210" s="5" t="s">
        <v>243</v>
      </c>
      <c r="F210" s="5" t="s">
        <v>243</v>
      </c>
      <c r="G210" s="5" t="s">
        <v>243</v>
      </c>
      <c r="H210" s="5" t="s">
        <v>243</v>
      </c>
      <c r="I210" s="5" t="s">
        <v>243</v>
      </c>
      <c r="J210" s="5" t="s">
        <v>243</v>
      </c>
      <c r="K210" s="5" t="s">
        <v>243</v>
      </c>
      <c r="L210" s="5" t="s">
        <v>243</v>
      </c>
      <c r="M210" s="5" t="s">
        <v>243</v>
      </c>
      <c r="N210" s="5" t="s">
        <v>243</v>
      </c>
      <c r="O210" s="5" t="s">
        <v>243</v>
      </c>
      <c r="P210" s="5" t="s">
        <v>243</v>
      </c>
      <c r="Q210" s="5" t="s">
        <v>243</v>
      </c>
      <c r="R210" s="5" t="s">
        <v>243</v>
      </c>
      <c r="S210" s="5">
        <f t="shared" si="0"/>
        <v>1</v>
      </c>
      <c r="T210" s="5" t="str">
        <f ca="1">IFERROR(__xludf.DUMMYFUNCTION("QUERY(transpose(A210:R210),""Select Col1 where Col1 is not null limit 1"",0)"),"Kalif Raymond")</f>
        <v>Kalif Raymond</v>
      </c>
      <c r="U210" s="32" t="e">
        <f t="shared" ca="1" si="1"/>
        <v>#NAME?</v>
      </c>
    </row>
    <row r="211" spans="1:21" ht="12.75" x14ac:dyDescent="0.2">
      <c r="A211" s="5" t="s">
        <v>244</v>
      </c>
      <c r="B211" s="5" t="s">
        <v>244</v>
      </c>
      <c r="C211" s="5" t="s">
        <v>244</v>
      </c>
      <c r="D211" s="5" t="s">
        <v>244</v>
      </c>
      <c r="E211" s="5" t="s">
        <v>244</v>
      </c>
      <c r="F211" s="5" t="s">
        <v>244</v>
      </c>
      <c r="G211" s="5" t="s">
        <v>244</v>
      </c>
      <c r="H211" s="5" t="s">
        <v>244</v>
      </c>
      <c r="I211" s="5" t="s">
        <v>244</v>
      </c>
      <c r="J211" s="5" t="s">
        <v>244</v>
      </c>
      <c r="K211" s="5" t="s">
        <v>244</v>
      </c>
      <c r="L211" s="5" t="s">
        <v>244</v>
      </c>
      <c r="M211" s="5" t="s">
        <v>244</v>
      </c>
      <c r="N211" s="5" t="s">
        <v>244</v>
      </c>
      <c r="O211" s="5" t="s">
        <v>244</v>
      </c>
      <c r="P211" s="5" t="s">
        <v>244</v>
      </c>
      <c r="Q211" s="5" t="s">
        <v>244</v>
      </c>
      <c r="R211" s="5" t="s">
        <v>244</v>
      </c>
      <c r="S211" s="5">
        <f t="shared" si="0"/>
        <v>1</v>
      </c>
      <c r="T211" s="5" t="str">
        <f ca="1">IFERROR(__xludf.DUMMYFUNCTION("QUERY(transpose(A211:R211),""Select Col1 where Col1 is not null limit 1"",0)"),"Tyler Scott")</f>
        <v>Tyler Scott</v>
      </c>
      <c r="U211" s="32" t="e">
        <f t="shared" ca="1" si="1"/>
        <v>#NAME?</v>
      </c>
    </row>
    <row r="212" spans="1:21" ht="12.75" x14ac:dyDescent="0.2">
      <c r="A212" s="5" t="s">
        <v>245</v>
      </c>
      <c r="B212" s="5" t="s">
        <v>245</v>
      </c>
      <c r="C212" s="5" t="s">
        <v>245</v>
      </c>
      <c r="D212" s="5" t="s">
        <v>245</v>
      </c>
      <c r="E212" s="5" t="s">
        <v>245</v>
      </c>
      <c r="F212" s="5" t="s">
        <v>245</v>
      </c>
      <c r="G212" s="5" t="s">
        <v>245</v>
      </c>
      <c r="H212" s="5" t="s">
        <v>245</v>
      </c>
      <c r="I212" s="5" t="s">
        <v>245</v>
      </c>
      <c r="J212" s="5" t="s">
        <v>245</v>
      </c>
      <c r="K212" s="5" t="s">
        <v>245</v>
      </c>
      <c r="L212" s="5" t="s">
        <v>245</v>
      </c>
      <c r="M212" s="5" t="s">
        <v>245</v>
      </c>
      <c r="N212" s="5" t="s">
        <v>245</v>
      </c>
      <c r="O212" s="5" t="s">
        <v>245</v>
      </c>
      <c r="P212" s="5" t="s">
        <v>245</v>
      </c>
      <c r="Q212" s="5" t="s">
        <v>245</v>
      </c>
      <c r="R212" s="5" t="s">
        <v>245</v>
      </c>
      <c r="S212" s="5">
        <f t="shared" si="0"/>
        <v>1</v>
      </c>
      <c r="T212" s="5" t="str">
        <f ca="1">IFERROR(__xludf.DUMMYFUNCTION("QUERY(transpose(A212:R212),""Select Col1 where Col1 is not null limit 1"",0)"),"Laviska Shenault")</f>
        <v>Laviska Shenault</v>
      </c>
      <c r="U212" s="32" t="e">
        <f t="shared" ca="1" si="1"/>
        <v>#NAME?</v>
      </c>
    </row>
    <row r="213" spans="1:21" ht="12.75" x14ac:dyDescent="0.2">
      <c r="A213" s="5" t="s">
        <v>246</v>
      </c>
      <c r="B213" s="5" t="s">
        <v>246</v>
      </c>
      <c r="C213" s="5" t="s">
        <v>246</v>
      </c>
      <c r="D213" s="5" t="s">
        <v>246</v>
      </c>
      <c r="E213" s="5" t="s">
        <v>246</v>
      </c>
      <c r="F213" s="5" t="s">
        <v>246</v>
      </c>
      <c r="G213" s="5" t="s">
        <v>246</v>
      </c>
      <c r="H213" s="5" t="s">
        <v>246</v>
      </c>
      <c r="I213" s="5" t="s">
        <v>246</v>
      </c>
      <c r="J213" s="5" t="s">
        <v>246</v>
      </c>
      <c r="K213" s="5" t="s">
        <v>246</v>
      </c>
      <c r="L213" s="5" t="s">
        <v>246</v>
      </c>
      <c r="M213" s="5" t="s">
        <v>246</v>
      </c>
      <c r="N213" s="5" t="s">
        <v>246</v>
      </c>
      <c r="O213" s="5" t="s">
        <v>246</v>
      </c>
      <c r="P213" s="5" t="s">
        <v>246</v>
      </c>
      <c r="Q213" s="5" t="s">
        <v>246</v>
      </c>
      <c r="R213" s="5" t="s">
        <v>246</v>
      </c>
      <c r="S213" s="5">
        <f t="shared" si="0"/>
        <v>1</v>
      </c>
      <c r="T213" s="5" t="str">
        <f ca="1">IFERROR(__xludf.DUMMYFUNCTION("QUERY(transpose(A213:R213),""Select Col1 where Col1 is not null limit 1"",0)"),"Adam Thielen")</f>
        <v>Adam Thielen</v>
      </c>
      <c r="U213" s="32" t="e">
        <f t="shared" ca="1" si="1"/>
        <v>#NAME?</v>
      </c>
    </row>
    <row r="214" spans="1:21" ht="12.75" x14ac:dyDescent="0.2">
      <c r="A214" s="5" t="s">
        <v>247</v>
      </c>
      <c r="B214" s="5" t="s">
        <v>247</v>
      </c>
      <c r="C214" s="5" t="s">
        <v>247</v>
      </c>
      <c r="D214" s="5" t="s">
        <v>247</v>
      </c>
      <c r="E214" s="5" t="s">
        <v>247</v>
      </c>
      <c r="F214" s="5" t="s">
        <v>247</v>
      </c>
      <c r="G214" s="5" t="s">
        <v>247</v>
      </c>
      <c r="H214" s="5" t="s">
        <v>247</v>
      </c>
      <c r="I214" s="5" t="s">
        <v>247</v>
      </c>
      <c r="J214" s="5" t="s">
        <v>247</v>
      </c>
      <c r="K214" s="5" t="s">
        <v>247</v>
      </c>
      <c r="L214" s="5" t="s">
        <v>247</v>
      </c>
      <c r="M214" s="5" t="s">
        <v>247</v>
      </c>
      <c r="N214" s="5" t="s">
        <v>247</v>
      </c>
      <c r="O214" s="5" t="s">
        <v>247</v>
      </c>
      <c r="P214" s="5" t="s">
        <v>247</v>
      </c>
      <c r="Q214" s="5" t="s">
        <v>247</v>
      </c>
      <c r="R214" s="5" t="s">
        <v>247</v>
      </c>
      <c r="S214" s="5">
        <f t="shared" si="0"/>
        <v>1</v>
      </c>
      <c r="T214" s="5" t="str">
        <f ca="1">IFERROR(__xludf.DUMMYFUNCTION("QUERY(transpose(A214:R214),""Select Col1 where Col1 is not null limit 1"",0)"),"Deven Thompkins")</f>
        <v>Deven Thompkins</v>
      </c>
      <c r="U214" s="32" t="e">
        <f t="shared" ca="1" si="1"/>
        <v>#NAME?</v>
      </c>
    </row>
    <row r="215" spans="1:21" ht="12.75" x14ac:dyDescent="0.2">
      <c r="A215" s="5" t="s">
        <v>248</v>
      </c>
      <c r="B215" s="5" t="s">
        <v>248</v>
      </c>
      <c r="C215" s="5" t="s">
        <v>248</v>
      </c>
      <c r="D215" s="5" t="s">
        <v>248</v>
      </c>
      <c r="E215" s="5" t="s">
        <v>248</v>
      </c>
      <c r="F215" s="5" t="s">
        <v>248</v>
      </c>
      <c r="G215" s="5" t="s">
        <v>248</v>
      </c>
      <c r="H215" s="5" t="s">
        <v>248</v>
      </c>
      <c r="I215" s="5" t="s">
        <v>248</v>
      </c>
      <c r="J215" s="5" t="s">
        <v>248</v>
      </c>
      <c r="K215" s="5" t="s">
        <v>248</v>
      </c>
      <c r="L215" s="5" t="s">
        <v>248</v>
      </c>
      <c r="M215" s="5" t="s">
        <v>248</v>
      </c>
      <c r="N215" s="5" t="s">
        <v>248</v>
      </c>
      <c r="O215" s="5" t="s">
        <v>248</v>
      </c>
      <c r="P215" s="5" t="s">
        <v>248</v>
      </c>
      <c r="Q215" s="5" t="s">
        <v>248</v>
      </c>
      <c r="R215" s="5" t="s">
        <v>248</v>
      </c>
      <c r="S215" s="5">
        <f t="shared" si="0"/>
        <v>1</v>
      </c>
      <c r="T215" s="5" t="str">
        <f ca="1">IFERROR(__xludf.DUMMYFUNCTION("QUERY(transpose(A215:R215),""Select Col1 where Col1 is not null limit 1"",0)"),"Samori Toure")</f>
        <v>Samori Toure</v>
      </c>
      <c r="U215" s="32" t="e">
        <f t="shared" ca="1" si="1"/>
        <v>#NAME?</v>
      </c>
    </row>
    <row r="216" spans="1:21" ht="12.75" x14ac:dyDescent="0.2">
      <c r="A216" s="5" t="s">
        <v>249</v>
      </c>
      <c r="B216" s="5" t="s">
        <v>249</v>
      </c>
      <c r="C216" s="5" t="s">
        <v>249</v>
      </c>
      <c r="D216" s="5" t="s">
        <v>249</v>
      </c>
      <c r="E216" s="5" t="s">
        <v>249</v>
      </c>
      <c r="F216" s="5" t="s">
        <v>249</v>
      </c>
      <c r="G216" s="5" t="s">
        <v>249</v>
      </c>
      <c r="H216" s="5" t="s">
        <v>249</v>
      </c>
      <c r="I216" s="5" t="s">
        <v>249</v>
      </c>
      <c r="J216" s="5" t="s">
        <v>249</v>
      </c>
      <c r="K216" s="5" t="s">
        <v>249</v>
      </c>
      <c r="L216" s="5" t="s">
        <v>249</v>
      </c>
      <c r="M216" s="5" t="s">
        <v>249</v>
      </c>
      <c r="N216" s="5" t="s">
        <v>249</v>
      </c>
      <c r="O216" s="5" t="s">
        <v>249</v>
      </c>
      <c r="P216" s="5" t="s">
        <v>249</v>
      </c>
      <c r="Q216" s="5" t="s">
        <v>249</v>
      </c>
      <c r="R216" s="5" t="s">
        <v>249</v>
      </c>
      <c r="S216" s="5">
        <f t="shared" si="0"/>
        <v>1</v>
      </c>
      <c r="T216" s="5" t="str">
        <f ca="1">IFERROR(__xludf.DUMMYFUNCTION("QUERY(transpose(A216:R216),""Select Col1 where Col1 is not null limit 1"",0)"),"Quez Watkins")</f>
        <v>Quez Watkins</v>
      </c>
      <c r="U216" s="32" t="e">
        <f t="shared" ca="1" si="1"/>
        <v>#NAME?</v>
      </c>
    </row>
    <row r="217" spans="1:21" ht="12.75" x14ac:dyDescent="0.2">
      <c r="A217" s="5" t="s">
        <v>250</v>
      </c>
      <c r="B217" s="5" t="s">
        <v>250</v>
      </c>
      <c r="C217" s="5" t="s">
        <v>250</v>
      </c>
      <c r="D217" s="5" t="s">
        <v>250</v>
      </c>
      <c r="E217" s="5" t="s">
        <v>250</v>
      </c>
      <c r="F217" s="5" t="s">
        <v>250</v>
      </c>
      <c r="G217" s="5" t="s">
        <v>250</v>
      </c>
      <c r="H217" s="5" t="s">
        <v>250</v>
      </c>
      <c r="I217" s="5" t="s">
        <v>250</v>
      </c>
      <c r="J217" s="5" t="s">
        <v>250</v>
      </c>
      <c r="K217" s="5" t="s">
        <v>250</v>
      </c>
      <c r="L217" s="5" t="s">
        <v>250</v>
      </c>
      <c r="M217" s="5" t="s">
        <v>250</v>
      </c>
      <c r="N217" s="5" t="s">
        <v>250</v>
      </c>
      <c r="O217" s="5" t="s">
        <v>250</v>
      </c>
      <c r="P217" s="5" t="s">
        <v>250</v>
      </c>
      <c r="Q217" s="5" t="s">
        <v>250</v>
      </c>
      <c r="R217" s="5" t="s">
        <v>250</v>
      </c>
      <c r="S217" s="5">
        <f t="shared" si="0"/>
        <v>1</v>
      </c>
      <c r="T217" s="5" t="str">
        <f ca="1">IFERROR(__xludf.DUMMYFUNCTION("QUERY(transpose(A217:R217),""Select Col1 where Col1 is not null limit 1"",0)"),"Michael Wilson")</f>
        <v>Michael Wilson</v>
      </c>
      <c r="U217" s="32" t="e">
        <f t="shared" ca="1" si="1"/>
        <v>#NAME?</v>
      </c>
    </row>
    <row r="218" spans="1:21" ht="12.75" x14ac:dyDescent="0.2">
      <c r="A218" s="5" t="s">
        <v>251</v>
      </c>
      <c r="B218" s="5" t="s">
        <v>251</v>
      </c>
      <c r="C218" s="5" t="s">
        <v>251</v>
      </c>
      <c r="D218" s="5" t="s">
        <v>251</v>
      </c>
      <c r="E218" s="5" t="s">
        <v>251</v>
      </c>
      <c r="F218" s="5" t="s">
        <v>251</v>
      </c>
      <c r="G218" s="5" t="s">
        <v>251</v>
      </c>
      <c r="H218" s="5" t="s">
        <v>251</v>
      </c>
      <c r="I218" s="5" t="s">
        <v>251</v>
      </c>
      <c r="J218" s="5" t="s">
        <v>251</v>
      </c>
      <c r="K218" s="5" t="s">
        <v>251</v>
      </c>
      <c r="L218" s="5" t="s">
        <v>251</v>
      </c>
      <c r="M218" s="5" t="s">
        <v>251</v>
      </c>
      <c r="N218" s="5" t="s">
        <v>251</v>
      </c>
      <c r="O218" s="5" t="s">
        <v>251</v>
      </c>
      <c r="P218" s="5" t="s">
        <v>251</v>
      </c>
      <c r="Q218" s="5" t="s">
        <v>251</v>
      </c>
      <c r="R218" s="5" t="s">
        <v>251</v>
      </c>
      <c r="S218" s="5">
        <f t="shared" si="0"/>
        <v>1</v>
      </c>
      <c r="T218" s="5" t="str">
        <f ca="1">IFERROR(__xludf.DUMMYFUNCTION("QUERY(transpose(A218:R218),""Select Col1 where Col1 is not null limit 1"",0)"),"Michael Gallup")</f>
        <v>Michael Gallup</v>
      </c>
      <c r="U218" s="32" t="e">
        <f t="shared" ca="1" si="1"/>
        <v>#NAME?</v>
      </c>
    </row>
    <row r="219" spans="1:21" ht="12.75" x14ac:dyDescent="0.2">
      <c r="A219" s="5" t="s">
        <v>252</v>
      </c>
      <c r="B219" s="5" t="s">
        <v>252</v>
      </c>
      <c r="C219" s="5" t="s">
        <v>252</v>
      </c>
      <c r="D219" s="5" t="s">
        <v>252</v>
      </c>
      <c r="E219" s="5" t="s">
        <v>252</v>
      </c>
      <c r="F219" s="5" t="s">
        <v>252</v>
      </c>
      <c r="G219" s="5" t="s">
        <v>252</v>
      </c>
      <c r="H219" s="5" t="s">
        <v>252</v>
      </c>
      <c r="I219" s="5" t="s">
        <v>252</v>
      </c>
      <c r="J219" s="5" t="s">
        <v>252</v>
      </c>
      <c r="K219" s="5" t="s">
        <v>252</v>
      </c>
      <c r="L219" s="5" t="s">
        <v>252</v>
      </c>
      <c r="M219" s="5" t="s">
        <v>252</v>
      </c>
      <c r="N219" s="5" t="s">
        <v>252</v>
      </c>
      <c r="O219" s="5" t="s">
        <v>252</v>
      </c>
      <c r="P219" s="5" t="s">
        <v>252</v>
      </c>
      <c r="Q219" s="5" t="s">
        <v>252</v>
      </c>
      <c r="R219" s="5" t="s">
        <v>252</v>
      </c>
      <c r="S219" s="5">
        <f t="shared" si="0"/>
        <v>1</v>
      </c>
      <c r="T219" s="5" t="str">
        <f ca="1">IFERROR(__xludf.DUMMYFUNCTION("QUERY(transpose(A219:R219),""Select Col1 where Col1 is not null limit 1"",0)"),"Isaiah Hodgins")</f>
        <v>Isaiah Hodgins</v>
      </c>
      <c r="U219" s="32" t="e">
        <f t="shared" ca="1" si="1"/>
        <v>#NAME?</v>
      </c>
    </row>
    <row r="220" spans="1:21" ht="12.75" x14ac:dyDescent="0.2">
      <c r="A220" s="5" t="s">
        <v>253</v>
      </c>
      <c r="B220" s="5" t="s">
        <v>253</v>
      </c>
      <c r="C220" s="5" t="s">
        <v>253</v>
      </c>
      <c r="D220" s="5" t="s">
        <v>253</v>
      </c>
      <c r="E220" s="5" t="s">
        <v>253</v>
      </c>
      <c r="F220" s="5" t="s">
        <v>253</v>
      </c>
      <c r="G220" s="5" t="s">
        <v>253</v>
      </c>
      <c r="H220" s="5" t="s">
        <v>253</v>
      </c>
      <c r="I220" s="5" t="s">
        <v>253</v>
      </c>
      <c r="J220" s="5" t="s">
        <v>253</v>
      </c>
      <c r="K220" s="5" t="s">
        <v>253</v>
      </c>
      <c r="L220" s="5" t="s">
        <v>253</v>
      </c>
      <c r="M220" s="5" t="s">
        <v>253</v>
      </c>
      <c r="N220" s="5" t="s">
        <v>253</v>
      </c>
      <c r="O220" s="5" t="s">
        <v>253</v>
      </c>
      <c r="P220" s="5" t="s">
        <v>253</v>
      </c>
      <c r="Q220" s="5" t="s">
        <v>253</v>
      </c>
      <c r="R220" s="5" t="s">
        <v>253</v>
      </c>
      <c r="S220" s="5">
        <f t="shared" si="0"/>
        <v>1</v>
      </c>
      <c r="T220" s="5" t="str">
        <f ca="1">IFERROR(__xludf.DUMMYFUNCTION("QUERY(transpose(A220:R220),""Select Col1 where Col1 is not null limit 1"",0)"),"Quentin Johnston")</f>
        <v>Quentin Johnston</v>
      </c>
      <c r="U220" s="32" t="e">
        <f t="shared" ca="1" si="1"/>
        <v>#NAME?</v>
      </c>
    </row>
    <row r="221" spans="1:21" ht="12.75" x14ac:dyDescent="0.2">
      <c r="A221" s="5" t="s">
        <v>254</v>
      </c>
      <c r="B221" s="5" t="s">
        <v>254</v>
      </c>
      <c r="C221" s="5" t="s">
        <v>254</v>
      </c>
      <c r="D221" s="5" t="s">
        <v>254</v>
      </c>
      <c r="E221" s="5" t="s">
        <v>254</v>
      </c>
      <c r="F221" s="5" t="s">
        <v>254</v>
      </c>
      <c r="G221" s="5" t="s">
        <v>254</v>
      </c>
      <c r="H221" s="5" t="s">
        <v>254</v>
      </c>
      <c r="I221" s="5" t="s">
        <v>254</v>
      </c>
      <c r="J221" s="5" t="s">
        <v>254</v>
      </c>
      <c r="K221" s="5" t="s">
        <v>254</v>
      </c>
      <c r="L221" s="5" t="s">
        <v>254</v>
      </c>
      <c r="M221" s="5" t="s">
        <v>254</v>
      </c>
      <c r="N221" s="5" t="s">
        <v>254</v>
      </c>
      <c r="O221" s="5" t="s">
        <v>254</v>
      </c>
      <c r="P221" s="5" t="s">
        <v>254</v>
      </c>
      <c r="Q221" s="5" t="s">
        <v>254</v>
      </c>
      <c r="R221" s="5" t="s">
        <v>254</v>
      </c>
      <c r="S221" s="5">
        <f t="shared" si="0"/>
        <v>1</v>
      </c>
      <c r="T221" s="5" t="str">
        <f ca="1">IFERROR(__xludf.DUMMYFUNCTION("QUERY(transpose(A221:R221),""Select Col1 where Col1 is not null limit 1"",0)"),"Marvin Mims")</f>
        <v>Marvin Mims</v>
      </c>
      <c r="U221" s="32" t="e">
        <f t="shared" ca="1" si="1"/>
        <v>#NAME?</v>
      </c>
    </row>
    <row r="222" spans="1:21" ht="12.75" x14ac:dyDescent="0.2">
      <c r="A222" s="5" t="s">
        <v>255</v>
      </c>
      <c r="B222" s="5" t="s">
        <v>255</v>
      </c>
      <c r="C222" s="5" t="s">
        <v>255</v>
      </c>
      <c r="D222" s="5" t="s">
        <v>255</v>
      </c>
      <c r="E222" s="5" t="s">
        <v>255</v>
      </c>
      <c r="F222" s="5" t="s">
        <v>255</v>
      </c>
      <c r="G222" s="5" t="s">
        <v>255</v>
      </c>
      <c r="H222" s="5" t="s">
        <v>255</v>
      </c>
      <c r="I222" s="5" t="s">
        <v>255</v>
      </c>
      <c r="J222" s="5" t="s">
        <v>255</v>
      </c>
      <c r="K222" s="5" t="s">
        <v>255</v>
      </c>
      <c r="L222" s="5" t="s">
        <v>255</v>
      </c>
      <c r="M222" s="5" t="s">
        <v>255</v>
      </c>
      <c r="N222" s="5" t="s">
        <v>255</v>
      </c>
      <c r="O222" s="5" t="s">
        <v>255</v>
      </c>
      <c r="P222" s="5" t="s">
        <v>255</v>
      </c>
      <c r="Q222" s="5" t="s">
        <v>255</v>
      </c>
      <c r="R222" s="5" t="s">
        <v>255</v>
      </c>
      <c r="S222" s="5">
        <f t="shared" si="0"/>
        <v>1</v>
      </c>
      <c r="T222" s="5" t="str">
        <f ca="1">IFERROR(__xludf.DUMMYFUNCTION("QUERY(transpose(A222:R222),""Select Col1 where Col1 is not null limit 1"",0)"),"Donovan Peoples-Jones")</f>
        <v>Donovan Peoples-Jones</v>
      </c>
      <c r="U222" s="32" t="e">
        <f t="shared" ca="1" si="1"/>
        <v>#NAME?</v>
      </c>
    </row>
    <row r="223" spans="1:21" ht="12.75" x14ac:dyDescent="0.2">
      <c r="A223" s="5" t="s">
        <v>256</v>
      </c>
      <c r="B223" s="5" t="s">
        <v>256</v>
      </c>
      <c r="C223" s="5" t="s">
        <v>256</v>
      </c>
      <c r="D223" s="5" t="s">
        <v>256</v>
      </c>
      <c r="E223" s="5" t="s">
        <v>256</v>
      </c>
      <c r="F223" s="5" t="s">
        <v>256</v>
      </c>
      <c r="G223" s="5" t="s">
        <v>256</v>
      </c>
      <c r="H223" s="5" t="s">
        <v>256</v>
      </c>
      <c r="I223" s="5" t="s">
        <v>256</v>
      </c>
      <c r="J223" s="5" t="s">
        <v>256</v>
      </c>
      <c r="K223" s="5" t="s">
        <v>256</v>
      </c>
      <c r="L223" s="5" t="s">
        <v>256</v>
      </c>
      <c r="M223" s="5" t="s">
        <v>256</v>
      </c>
      <c r="N223" s="5" t="s">
        <v>256</v>
      </c>
      <c r="O223" s="5" t="s">
        <v>256</v>
      </c>
      <c r="P223" s="5" t="s">
        <v>256</v>
      </c>
      <c r="Q223" s="5" t="s">
        <v>256</v>
      </c>
      <c r="R223" s="5" t="s">
        <v>256</v>
      </c>
      <c r="S223" s="5">
        <f t="shared" si="0"/>
        <v>1</v>
      </c>
      <c r="T223" s="5" t="str">
        <f ca="1">IFERROR(__xludf.DUMMYFUNCTION("QUERY(transpose(A223:R223),""Select Col1 where Col1 is not null limit 1"",0)"),"Parris Campbell")</f>
        <v>Parris Campbell</v>
      </c>
      <c r="U223" s="32" t="e">
        <f t="shared" ca="1" si="1"/>
        <v>#NAME?</v>
      </c>
    </row>
    <row r="224" spans="1:21" ht="12.75" x14ac:dyDescent="0.2">
      <c r="A224" s="5" t="s">
        <v>257</v>
      </c>
      <c r="B224" s="5" t="s">
        <v>257</v>
      </c>
      <c r="C224" s="5" t="s">
        <v>257</v>
      </c>
      <c r="D224" s="5" t="s">
        <v>257</v>
      </c>
      <c r="E224" s="5" t="s">
        <v>257</v>
      </c>
      <c r="F224" s="5" t="s">
        <v>257</v>
      </c>
      <c r="G224" s="5" t="s">
        <v>257</v>
      </c>
      <c r="H224" s="5" t="s">
        <v>257</v>
      </c>
      <c r="I224" s="5" t="s">
        <v>257</v>
      </c>
      <c r="J224" s="5" t="s">
        <v>257</v>
      </c>
      <c r="K224" s="5" t="s">
        <v>257</v>
      </c>
      <c r="L224" s="5" t="s">
        <v>257</v>
      </c>
      <c r="M224" s="5" t="s">
        <v>257</v>
      </c>
      <c r="N224" s="5" t="s">
        <v>257</v>
      </c>
      <c r="O224" s="5" t="s">
        <v>257</v>
      </c>
      <c r="P224" s="5" t="s">
        <v>257</v>
      </c>
      <c r="Q224" s="5" t="s">
        <v>257</v>
      </c>
      <c r="R224" s="5" t="s">
        <v>257</v>
      </c>
      <c r="S224" s="5">
        <f t="shared" si="0"/>
        <v>1</v>
      </c>
      <c r="T224" s="5" t="str">
        <f ca="1">IFERROR(__xludf.DUMMYFUNCTION("QUERY(transpose(A224:R224),""Select Col1 where Col1 is not null limit 1"",0)"),"DeAndre Carter")</f>
        <v>DeAndre Carter</v>
      </c>
      <c r="U224" s="32" t="e">
        <f t="shared" ca="1" si="1"/>
        <v>#NAME?</v>
      </c>
    </row>
    <row r="225" spans="1:21" ht="12.75" x14ac:dyDescent="0.2">
      <c r="A225" s="5" t="s">
        <v>258</v>
      </c>
      <c r="B225" s="5" t="s">
        <v>258</v>
      </c>
      <c r="C225" s="5" t="s">
        <v>258</v>
      </c>
      <c r="D225" s="5" t="s">
        <v>258</v>
      </c>
      <c r="E225" s="5" t="s">
        <v>258</v>
      </c>
      <c r="F225" s="5" t="s">
        <v>258</v>
      </c>
      <c r="G225" s="5" t="s">
        <v>258</v>
      </c>
      <c r="H225" s="5" t="s">
        <v>258</v>
      </c>
      <c r="I225" s="5" t="s">
        <v>258</v>
      </c>
      <c r="J225" s="5" t="s">
        <v>258</v>
      </c>
      <c r="K225" s="5" t="s">
        <v>258</v>
      </c>
      <c r="L225" s="5" t="s">
        <v>258</v>
      </c>
      <c r="M225" s="5" t="s">
        <v>258</v>
      </c>
      <c r="N225" s="5" t="s">
        <v>258</v>
      </c>
      <c r="O225" s="5" t="s">
        <v>258</v>
      </c>
      <c r="P225" s="5" t="s">
        <v>258</v>
      </c>
      <c r="Q225" s="5" t="s">
        <v>258</v>
      </c>
      <c r="R225" s="5" t="s">
        <v>258</v>
      </c>
      <c r="S225" s="5">
        <f t="shared" si="0"/>
        <v>1</v>
      </c>
      <c r="T225" s="5" t="str">
        <f ca="1">IFERROR(__xludf.DUMMYFUNCTION("QUERY(transpose(A225:R225),""Select Col1 where Col1 is not null limit 1"",0)"),"Derius Davis")</f>
        <v>Derius Davis</v>
      </c>
      <c r="U225" s="32" t="e">
        <f t="shared" ca="1" si="1"/>
        <v>#NAME?</v>
      </c>
    </row>
    <row r="226" spans="1:21" ht="12.75" x14ac:dyDescent="0.2">
      <c r="A226" s="5" t="s">
        <v>259</v>
      </c>
      <c r="B226" s="5" t="s">
        <v>259</v>
      </c>
      <c r="C226" s="5" t="s">
        <v>259</v>
      </c>
      <c r="D226" s="5" t="s">
        <v>259</v>
      </c>
      <c r="E226" s="5" t="s">
        <v>259</v>
      </c>
      <c r="F226" s="5" t="s">
        <v>259</v>
      </c>
      <c r="G226" s="5" t="s">
        <v>259</v>
      </c>
      <c r="H226" s="5" t="s">
        <v>259</v>
      </c>
      <c r="I226" s="5" t="s">
        <v>259</v>
      </c>
      <c r="J226" s="5" t="s">
        <v>259</v>
      </c>
      <c r="K226" s="5" t="s">
        <v>259</v>
      </c>
      <c r="L226" s="5" t="s">
        <v>259</v>
      </c>
      <c r="M226" s="5" t="s">
        <v>259</v>
      </c>
      <c r="N226" s="5" t="s">
        <v>259</v>
      </c>
      <c r="O226" s="5" t="s">
        <v>259</v>
      </c>
      <c r="P226" s="5" t="s">
        <v>259</v>
      </c>
      <c r="Q226" s="5" t="s">
        <v>259</v>
      </c>
      <c r="R226" s="5" t="s">
        <v>259</v>
      </c>
      <c r="S226" s="5">
        <f t="shared" si="0"/>
        <v>1</v>
      </c>
      <c r="T226" s="5" t="str">
        <f ca="1">IFERROR(__xludf.DUMMYFUNCTION("QUERY(transpose(A226:R226),""Select Col1 where Col1 is not null limit 1"",0)"),"Erik Ezukanma")</f>
        <v>Erik Ezukanma</v>
      </c>
      <c r="U226" s="32" t="e">
        <f t="shared" ca="1" si="1"/>
        <v>#NAME?</v>
      </c>
    </row>
    <row r="227" spans="1:21" ht="12.75" x14ac:dyDescent="0.2">
      <c r="A227" s="5" t="s">
        <v>260</v>
      </c>
      <c r="B227" s="5" t="s">
        <v>260</v>
      </c>
      <c r="C227" s="5" t="s">
        <v>260</v>
      </c>
      <c r="D227" s="5" t="s">
        <v>260</v>
      </c>
      <c r="E227" s="5" t="s">
        <v>260</v>
      </c>
      <c r="F227" s="5" t="s">
        <v>260</v>
      </c>
      <c r="G227" s="5" t="s">
        <v>260</v>
      </c>
      <c r="H227" s="5" t="s">
        <v>260</v>
      </c>
      <c r="I227" s="5" t="s">
        <v>260</v>
      </c>
      <c r="J227" s="5" t="s">
        <v>260</v>
      </c>
      <c r="K227" s="5" t="s">
        <v>260</v>
      </c>
      <c r="L227" s="5" t="s">
        <v>260</v>
      </c>
      <c r="M227" s="5" t="s">
        <v>260</v>
      </c>
      <c r="N227" s="5" t="s">
        <v>260</v>
      </c>
      <c r="O227" s="5" t="s">
        <v>260</v>
      </c>
      <c r="P227" s="5" t="s">
        <v>260</v>
      </c>
      <c r="Q227" s="5" t="s">
        <v>260</v>
      </c>
      <c r="R227" s="5" t="s">
        <v>260</v>
      </c>
      <c r="S227" s="5">
        <f t="shared" si="0"/>
        <v>1</v>
      </c>
      <c r="T227" s="5" t="str">
        <f ca="1">IFERROR(__xludf.DUMMYFUNCTION("QUERY(transpose(A227:R227),""Select Col1 where Col1 is not null limit 1"",0)"),"Xavier Hutchinson")</f>
        <v>Xavier Hutchinson</v>
      </c>
      <c r="U227" s="32" t="e">
        <f t="shared" ca="1" si="1"/>
        <v>#NAME?</v>
      </c>
    </row>
    <row r="228" spans="1:21" ht="12.75" x14ac:dyDescent="0.2">
      <c r="A228" s="5" t="s">
        <v>261</v>
      </c>
      <c r="B228" s="5" t="s">
        <v>261</v>
      </c>
      <c r="C228" s="5" t="s">
        <v>261</v>
      </c>
      <c r="D228" s="5" t="s">
        <v>261</v>
      </c>
      <c r="E228" s="5" t="s">
        <v>261</v>
      </c>
      <c r="F228" s="5" t="s">
        <v>261</v>
      </c>
      <c r="G228" s="5" t="s">
        <v>261</v>
      </c>
      <c r="H228" s="5" t="s">
        <v>261</v>
      </c>
      <c r="I228" s="5" t="s">
        <v>261</v>
      </c>
      <c r="J228" s="5" t="s">
        <v>261</v>
      </c>
      <c r="K228" s="5" t="s">
        <v>261</v>
      </c>
      <c r="L228" s="5" t="s">
        <v>261</v>
      </c>
      <c r="M228" s="5" t="s">
        <v>261</v>
      </c>
      <c r="N228" s="5" t="s">
        <v>261</v>
      </c>
      <c r="O228" s="5" t="s">
        <v>261</v>
      </c>
      <c r="P228" s="5" t="s">
        <v>261</v>
      </c>
      <c r="Q228" s="5" t="s">
        <v>261</v>
      </c>
      <c r="R228" s="5" t="s">
        <v>261</v>
      </c>
      <c r="S228" s="5">
        <f t="shared" si="0"/>
        <v>1</v>
      </c>
      <c r="T228" s="5" t="str">
        <f ca="1">IFERROR(__xludf.DUMMYFUNCTION("QUERY(transpose(A228:R228),""Select Col1 where Col1 is not null limit 1"",0)"),"Richie James")</f>
        <v>Richie James</v>
      </c>
      <c r="U228" s="32" t="e">
        <f t="shared" ca="1" si="1"/>
        <v>#NAME?</v>
      </c>
    </row>
    <row r="229" spans="1:21" ht="12.75" x14ac:dyDescent="0.2">
      <c r="A229" s="5" t="s">
        <v>262</v>
      </c>
      <c r="B229" s="5" t="s">
        <v>262</v>
      </c>
      <c r="C229" s="5" t="s">
        <v>262</v>
      </c>
      <c r="D229" s="5" t="s">
        <v>262</v>
      </c>
      <c r="E229" s="5" t="s">
        <v>262</v>
      </c>
      <c r="F229" s="5" t="s">
        <v>262</v>
      </c>
      <c r="G229" s="5" t="s">
        <v>262</v>
      </c>
      <c r="H229" s="5" t="s">
        <v>262</v>
      </c>
      <c r="I229" s="5" t="s">
        <v>262</v>
      </c>
      <c r="J229" s="5" t="s">
        <v>262</v>
      </c>
      <c r="K229" s="5" t="s">
        <v>262</v>
      </c>
      <c r="L229" s="5" t="s">
        <v>262</v>
      </c>
      <c r="M229" s="5" t="s">
        <v>262</v>
      </c>
      <c r="N229" s="5" t="s">
        <v>262</v>
      </c>
      <c r="O229" s="5" t="s">
        <v>262</v>
      </c>
      <c r="P229" s="5" t="s">
        <v>262</v>
      </c>
      <c r="Q229" s="5" t="s">
        <v>262</v>
      </c>
      <c r="R229" s="5" t="s">
        <v>262</v>
      </c>
      <c r="S229" s="5">
        <f t="shared" si="0"/>
        <v>1</v>
      </c>
      <c r="T229" s="5" t="str">
        <f ca="1">IFERROR(__xludf.DUMMYFUNCTION("QUERY(transpose(A229:R229),""Select Col1 where Col1 is not null limit 1"",0)"),"Marvin Jones")</f>
        <v>Marvin Jones</v>
      </c>
      <c r="U229" s="32" t="e">
        <f t="shared" ca="1" si="1"/>
        <v>#NAME?</v>
      </c>
    </row>
    <row r="230" spans="1:21" ht="12.75" x14ac:dyDescent="0.2">
      <c r="A230" s="5" t="s">
        <v>263</v>
      </c>
      <c r="B230" s="5" t="s">
        <v>263</v>
      </c>
      <c r="C230" s="5" t="s">
        <v>263</v>
      </c>
      <c r="D230" s="5" t="s">
        <v>263</v>
      </c>
      <c r="E230" s="5" t="s">
        <v>263</v>
      </c>
      <c r="F230" s="5" t="s">
        <v>263</v>
      </c>
      <c r="G230" s="5" t="s">
        <v>263</v>
      </c>
      <c r="H230" s="5" t="s">
        <v>263</v>
      </c>
      <c r="I230" s="5" t="s">
        <v>263</v>
      </c>
      <c r="J230" s="5" t="s">
        <v>263</v>
      </c>
      <c r="K230" s="5" t="s">
        <v>263</v>
      </c>
      <c r="L230" s="5" t="s">
        <v>263</v>
      </c>
      <c r="M230" s="5" t="s">
        <v>263</v>
      </c>
      <c r="N230" s="5" t="s">
        <v>263</v>
      </c>
      <c r="O230" s="5" t="s">
        <v>263</v>
      </c>
      <c r="P230" s="5" t="s">
        <v>263</v>
      </c>
      <c r="Q230" s="5" t="s">
        <v>263</v>
      </c>
      <c r="R230" s="5" t="s">
        <v>263</v>
      </c>
      <c r="S230" s="5">
        <f t="shared" si="0"/>
        <v>1</v>
      </c>
      <c r="T230" s="5" t="str">
        <f ca="1">IFERROR(__xludf.DUMMYFUNCTION("QUERY(transpose(A230:R230),""Select Col1 where Col1 is not null limit 1"",0)"),"Christian Kirk")</f>
        <v>Christian Kirk</v>
      </c>
      <c r="U230" s="32" t="e">
        <f t="shared" ca="1" si="1"/>
        <v>#NAME?</v>
      </c>
    </row>
    <row r="231" spans="1:21" ht="12.75" x14ac:dyDescent="0.2">
      <c r="A231" s="5" t="s">
        <v>264</v>
      </c>
      <c r="B231" s="5" t="s">
        <v>264</v>
      </c>
      <c r="C231" s="5" t="s">
        <v>264</v>
      </c>
      <c r="D231" s="5" t="s">
        <v>264</v>
      </c>
      <c r="E231" s="5" t="s">
        <v>264</v>
      </c>
      <c r="F231" s="5" t="s">
        <v>264</v>
      </c>
      <c r="G231" s="5" t="s">
        <v>264</v>
      </c>
      <c r="H231" s="5" t="s">
        <v>264</v>
      </c>
      <c r="I231" s="5" t="s">
        <v>264</v>
      </c>
      <c r="J231" s="5" t="s">
        <v>264</v>
      </c>
      <c r="K231" s="5" t="s">
        <v>264</v>
      </c>
      <c r="L231" s="5" t="s">
        <v>264</v>
      </c>
      <c r="M231" s="5" t="s">
        <v>264</v>
      </c>
      <c r="N231" s="5" t="s">
        <v>264</v>
      </c>
      <c r="O231" s="5" t="s">
        <v>264</v>
      </c>
      <c r="P231" s="5" t="s">
        <v>264</v>
      </c>
      <c r="Q231" s="5" t="s">
        <v>264</v>
      </c>
      <c r="R231" s="5" t="s">
        <v>264</v>
      </c>
      <c r="S231" s="5">
        <f t="shared" si="0"/>
        <v>1</v>
      </c>
      <c r="T231" s="5" t="str">
        <f ca="1">IFERROR(__xludf.DUMMYFUNCTION("QUERY(transpose(A231:R231),""Select Col1 where Col1 is not null limit 1"",0)"),"Josh Palmer")</f>
        <v>Josh Palmer</v>
      </c>
      <c r="U231" s="32" t="e">
        <f t="shared" ca="1" si="1"/>
        <v>#NAME?</v>
      </c>
    </row>
    <row r="232" spans="1:21" ht="12.75" x14ac:dyDescent="0.2">
      <c r="A232" s="5" t="s">
        <v>265</v>
      </c>
      <c r="B232" s="5" t="s">
        <v>265</v>
      </c>
      <c r="C232" s="5" t="s">
        <v>265</v>
      </c>
      <c r="D232" s="5" t="s">
        <v>265</v>
      </c>
      <c r="E232" s="5" t="s">
        <v>265</v>
      </c>
      <c r="F232" s="5" t="s">
        <v>265</v>
      </c>
      <c r="G232" s="5" t="s">
        <v>265</v>
      </c>
      <c r="H232" s="5" t="s">
        <v>265</v>
      </c>
      <c r="I232" s="5" t="s">
        <v>265</v>
      </c>
      <c r="J232" s="5" t="s">
        <v>265</v>
      </c>
      <c r="K232" s="5" t="s">
        <v>265</v>
      </c>
      <c r="L232" s="5" t="s">
        <v>265</v>
      </c>
      <c r="M232" s="5" t="s">
        <v>265</v>
      </c>
      <c r="N232" s="5" t="s">
        <v>265</v>
      </c>
      <c r="O232" s="5" t="s">
        <v>265</v>
      </c>
      <c r="P232" s="5" t="s">
        <v>265</v>
      </c>
      <c r="Q232" s="5" t="s">
        <v>265</v>
      </c>
      <c r="R232" s="5" t="s">
        <v>265</v>
      </c>
      <c r="S232" s="5">
        <f t="shared" si="0"/>
        <v>1</v>
      </c>
      <c r="T232" s="5" t="str">
        <f ca="1">IFERROR(__xludf.DUMMYFUNCTION("QUERY(transpose(A232:R232),""Select Col1 where Col1 is not null limit 1"",0)"),"Alec Pierce")</f>
        <v>Alec Pierce</v>
      </c>
      <c r="U232" s="32" t="e">
        <f t="shared" ca="1" si="1"/>
        <v>#NAME?</v>
      </c>
    </row>
    <row r="233" spans="1:21" ht="12.75" x14ac:dyDescent="0.2">
      <c r="A233" s="5" t="s">
        <v>266</v>
      </c>
      <c r="B233" s="5" t="s">
        <v>266</v>
      </c>
      <c r="C233" s="5" t="s">
        <v>266</v>
      </c>
      <c r="D233" s="5" t="s">
        <v>266</v>
      </c>
      <c r="E233" s="5" t="s">
        <v>266</v>
      </c>
      <c r="F233" s="5" t="s">
        <v>266</v>
      </c>
      <c r="G233" s="5" t="s">
        <v>266</v>
      </c>
      <c r="H233" s="5" t="s">
        <v>266</v>
      </c>
      <c r="I233" s="5" t="s">
        <v>266</v>
      </c>
      <c r="J233" s="5" t="s">
        <v>266</v>
      </c>
      <c r="K233" s="5" t="s">
        <v>266</v>
      </c>
      <c r="L233" s="5" t="s">
        <v>266</v>
      </c>
      <c r="M233" s="5" t="s">
        <v>266</v>
      </c>
      <c r="N233" s="5" t="s">
        <v>266</v>
      </c>
      <c r="O233" s="5" t="s">
        <v>266</v>
      </c>
      <c r="P233" s="5" t="s">
        <v>266</v>
      </c>
      <c r="Q233" s="5" t="s">
        <v>266</v>
      </c>
      <c r="R233" s="5" t="s">
        <v>266</v>
      </c>
      <c r="S233" s="5">
        <f t="shared" si="0"/>
        <v>1</v>
      </c>
      <c r="T233" s="5" t="str">
        <f ca="1">IFERROR(__xludf.DUMMYFUNCTION("QUERY(transpose(A233:R233),""Select Col1 where Col1 is not null limit 1"",0)"),"Justyn Ross")</f>
        <v>Justyn Ross</v>
      </c>
      <c r="U233" s="32" t="e">
        <f t="shared" ca="1" si="1"/>
        <v>#NAME?</v>
      </c>
    </row>
    <row r="234" spans="1:21" ht="12.75" x14ac:dyDescent="0.2">
      <c r="A234" s="5" t="s">
        <v>267</v>
      </c>
      <c r="B234" s="5" t="s">
        <v>267</v>
      </c>
      <c r="C234" s="5" t="s">
        <v>267</v>
      </c>
      <c r="D234" s="5" t="s">
        <v>267</v>
      </c>
      <c r="E234" s="5" t="s">
        <v>267</v>
      </c>
      <c r="F234" s="5" t="s">
        <v>267</v>
      </c>
      <c r="G234" s="5" t="s">
        <v>267</v>
      </c>
      <c r="H234" s="5" t="s">
        <v>267</v>
      </c>
      <c r="I234" s="5" t="s">
        <v>267</v>
      </c>
      <c r="J234" s="5" t="s">
        <v>267</v>
      </c>
      <c r="K234" s="5" t="s">
        <v>267</v>
      </c>
      <c r="L234" s="5" t="s">
        <v>267</v>
      </c>
      <c r="M234" s="5" t="s">
        <v>267</v>
      </c>
      <c r="N234" s="5" t="s">
        <v>267</v>
      </c>
      <c r="O234" s="5" t="s">
        <v>267</v>
      </c>
      <c r="P234" s="5" t="s">
        <v>267</v>
      </c>
      <c r="Q234" s="5" t="s">
        <v>267</v>
      </c>
      <c r="R234" s="5" t="s">
        <v>267</v>
      </c>
      <c r="S234" s="5">
        <f t="shared" si="0"/>
        <v>1</v>
      </c>
      <c r="T234" s="5" t="str">
        <f ca="1">IFERROR(__xludf.DUMMYFUNCTION("QUERY(transpose(A234:R234),""Select Col1 where Col1 is not null limit 1"",0)"),"Kadarius Toney")</f>
        <v>Kadarius Toney</v>
      </c>
      <c r="U234" s="32" t="e">
        <f t="shared" ca="1" si="1"/>
        <v>#NAME?</v>
      </c>
    </row>
    <row r="235" spans="1:21" ht="12.75" x14ac:dyDescent="0.2">
      <c r="A235" s="5" t="s">
        <v>268</v>
      </c>
      <c r="B235" s="5" t="s">
        <v>268</v>
      </c>
      <c r="C235" s="5" t="s">
        <v>268</v>
      </c>
      <c r="D235" s="5" t="s">
        <v>268</v>
      </c>
      <c r="E235" s="5" t="s">
        <v>268</v>
      </c>
      <c r="F235" s="5" t="s">
        <v>268</v>
      </c>
      <c r="G235" s="5" t="s">
        <v>268</v>
      </c>
      <c r="H235" s="5" t="s">
        <v>268</v>
      </c>
      <c r="I235" s="5" t="s">
        <v>268</v>
      </c>
      <c r="J235" s="5" t="s">
        <v>268</v>
      </c>
      <c r="K235" s="5" t="s">
        <v>268</v>
      </c>
      <c r="L235" s="5" t="s">
        <v>268</v>
      </c>
      <c r="M235" s="5" t="s">
        <v>268</v>
      </c>
      <c r="N235" s="5" t="s">
        <v>268</v>
      </c>
      <c r="O235" s="5" t="s">
        <v>268</v>
      </c>
      <c r="P235" s="5" t="s">
        <v>268</v>
      </c>
      <c r="Q235" s="5" t="s">
        <v>268</v>
      </c>
      <c r="R235" s="5" t="s">
        <v>268</v>
      </c>
      <c r="S235" s="5">
        <f t="shared" si="0"/>
        <v>1</v>
      </c>
      <c r="T235" s="5" t="str">
        <f ca="1">IFERROR(__xludf.DUMMYFUNCTION("QUERY(transpose(A235:R235),""Select Col1 where Col1 is not null limit 1"",0)"),"Jamal Agnew")</f>
        <v>Jamal Agnew</v>
      </c>
      <c r="U235" s="32" t="e">
        <f t="shared" ca="1" si="1"/>
        <v>#NAME?</v>
      </c>
    </row>
    <row r="236" spans="1:21" ht="12.75" x14ac:dyDescent="0.2">
      <c r="A236" s="5" t="s">
        <v>269</v>
      </c>
      <c r="B236" s="5" t="s">
        <v>269</v>
      </c>
      <c r="C236" s="5" t="s">
        <v>269</v>
      </c>
      <c r="D236" s="5" t="s">
        <v>269</v>
      </c>
      <c r="E236" s="5" t="s">
        <v>269</v>
      </c>
      <c r="F236" s="5" t="s">
        <v>269</v>
      </c>
      <c r="G236" s="5" t="s">
        <v>269</v>
      </c>
      <c r="H236" s="5" t="s">
        <v>269</v>
      </c>
      <c r="I236" s="5" t="s">
        <v>269</v>
      </c>
      <c r="J236" s="5" t="s">
        <v>269</v>
      </c>
      <c r="K236" s="5" t="s">
        <v>269</v>
      </c>
      <c r="L236" s="5" t="s">
        <v>269</v>
      </c>
      <c r="M236" s="5" t="s">
        <v>269</v>
      </c>
      <c r="N236" s="5" t="s">
        <v>269</v>
      </c>
      <c r="O236" s="5" t="s">
        <v>269</v>
      </c>
      <c r="P236" s="5" t="s">
        <v>269</v>
      </c>
      <c r="Q236" s="5" t="s">
        <v>269</v>
      </c>
      <c r="R236" s="5" t="s">
        <v>269</v>
      </c>
      <c r="S236" s="5">
        <f t="shared" si="0"/>
        <v>1</v>
      </c>
      <c r="T236" s="5" t="str">
        <f ca="1">IFERROR(__xludf.DUMMYFUNCTION("QUERY(transpose(A236:R236),""Select Col1 where Col1 is not null limit 1"",0)"),"Rakim Jarrett")</f>
        <v>Rakim Jarrett</v>
      </c>
      <c r="U236" s="32" t="e">
        <f t="shared" ca="1" si="1"/>
        <v>#NAME?</v>
      </c>
    </row>
    <row r="237" spans="1:21" ht="12.75" x14ac:dyDescent="0.2">
      <c r="A237" s="5" t="s">
        <v>270</v>
      </c>
      <c r="B237" s="5" t="s">
        <v>270</v>
      </c>
      <c r="C237" s="5" t="s">
        <v>270</v>
      </c>
      <c r="D237" s="5" t="s">
        <v>270</v>
      </c>
      <c r="E237" s="5" t="s">
        <v>270</v>
      </c>
      <c r="F237" s="5" t="s">
        <v>270</v>
      </c>
      <c r="G237" s="5" t="s">
        <v>270</v>
      </c>
      <c r="H237" s="5" t="s">
        <v>270</v>
      </c>
      <c r="I237" s="5" t="s">
        <v>270</v>
      </c>
      <c r="J237" s="5" t="s">
        <v>270</v>
      </c>
      <c r="K237" s="5" t="s">
        <v>270</v>
      </c>
      <c r="L237" s="5" t="s">
        <v>270</v>
      </c>
      <c r="M237" s="5" t="s">
        <v>270</v>
      </c>
      <c r="N237" s="5" t="s">
        <v>270</v>
      </c>
      <c r="O237" s="5" t="s">
        <v>270</v>
      </c>
      <c r="P237" s="5" t="s">
        <v>270</v>
      </c>
      <c r="Q237" s="5" t="s">
        <v>270</v>
      </c>
      <c r="R237" s="5" t="s">
        <v>270</v>
      </c>
      <c r="S237" s="5">
        <f t="shared" si="0"/>
        <v>1</v>
      </c>
      <c r="T237" s="5" t="str">
        <f ca="1">IFERROR(__xludf.DUMMYFUNCTION("QUERY(transpose(A237:R237),""Select Col1 where Col1 is not null limit 1"",0)"),"Skyy Moore")</f>
        <v>Skyy Moore</v>
      </c>
      <c r="U237" s="32" t="e">
        <f t="shared" ca="1" si="1"/>
        <v>#NAME?</v>
      </c>
    </row>
    <row r="238" spans="1:21" ht="12.75" x14ac:dyDescent="0.2">
      <c r="A238" s="5" t="s">
        <v>271</v>
      </c>
      <c r="B238" s="5" t="s">
        <v>271</v>
      </c>
      <c r="C238" s="5" t="s">
        <v>271</v>
      </c>
      <c r="D238" s="5" t="s">
        <v>271</v>
      </c>
      <c r="E238" s="5" t="s">
        <v>271</v>
      </c>
      <c r="F238" s="5" t="s">
        <v>271</v>
      </c>
      <c r="G238" s="5" t="s">
        <v>271</v>
      </c>
      <c r="H238" s="5" t="s">
        <v>271</v>
      </c>
      <c r="I238" s="5" t="s">
        <v>271</v>
      </c>
      <c r="J238" s="5" t="s">
        <v>271</v>
      </c>
      <c r="K238" s="5" t="s">
        <v>271</v>
      </c>
      <c r="L238" s="5" t="s">
        <v>271</v>
      </c>
      <c r="M238" s="5" t="s">
        <v>271</v>
      </c>
      <c r="N238" s="5" t="s">
        <v>271</v>
      </c>
      <c r="O238" s="5" t="s">
        <v>271</v>
      </c>
      <c r="P238" s="5" t="s">
        <v>271</v>
      </c>
      <c r="Q238" s="5" t="s">
        <v>271</v>
      </c>
      <c r="R238" s="5" t="s">
        <v>271</v>
      </c>
      <c r="S238" s="5">
        <f t="shared" si="0"/>
        <v>1</v>
      </c>
      <c r="T238" s="5" t="str">
        <f ca="1">IFERROR(__xludf.DUMMYFUNCTION("QUERY(transpose(A238:R238),""Select Col1 where Col1 is not null limit 1"",0)"),"Hunter Henry")</f>
        <v>Hunter Henry</v>
      </c>
      <c r="U238" s="32" t="e">
        <f t="shared" ca="1" si="1"/>
        <v>#NAME?</v>
      </c>
    </row>
    <row r="239" spans="1:21" ht="12.75" x14ac:dyDescent="0.2">
      <c r="A239" s="5" t="s">
        <v>272</v>
      </c>
      <c r="B239" s="5" t="s">
        <v>272</v>
      </c>
      <c r="C239" s="5" t="s">
        <v>272</v>
      </c>
      <c r="D239" s="5" t="s">
        <v>272</v>
      </c>
      <c r="E239" s="5" t="s">
        <v>272</v>
      </c>
      <c r="F239" s="5" t="s">
        <v>272</v>
      </c>
      <c r="G239" s="5" t="s">
        <v>272</v>
      </c>
      <c r="H239" s="5" t="s">
        <v>272</v>
      </c>
      <c r="I239" s="5" t="s">
        <v>272</v>
      </c>
      <c r="J239" s="5" t="s">
        <v>272</v>
      </c>
      <c r="K239" s="5" t="s">
        <v>272</v>
      </c>
      <c r="L239" s="5" t="s">
        <v>272</v>
      </c>
      <c r="M239" s="5" t="s">
        <v>272</v>
      </c>
      <c r="N239" s="5" t="s">
        <v>272</v>
      </c>
      <c r="O239" s="5" t="s">
        <v>272</v>
      </c>
      <c r="P239" s="5" t="s">
        <v>272</v>
      </c>
      <c r="Q239" s="5" t="s">
        <v>272</v>
      </c>
      <c r="R239" s="5" t="s">
        <v>272</v>
      </c>
      <c r="S239" s="5">
        <f t="shared" si="0"/>
        <v>1</v>
      </c>
      <c r="T239" s="5" t="str">
        <f ca="1">IFERROR(__xludf.DUMMYFUNCTION("QUERY(transpose(A239:R239),""Select Col1 where Col1 is not null limit 1"",0)"),"Hayden Hurst")</f>
        <v>Hayden Hurst</v>
      </c>
      <c r="U239" s="32" t="e">
        <f t="shared" ca="1" si="1"/>
        <v>#NAME?</v>
      </c>
    </row>
    <row r="240" spans="1:21" ht="12.75" x14ac:dyDescent="0.2">
      <c r="A240" s="5" t="s">
        <v>273</v>
      </c>
      <c r="B240" s="5" t="s">
        <v>273</v>
      </c>
      <c r="C240" s="5" t="s">
        <v>273</v>
      </c>
      <c r="D240" s="5" t="s">
        <v>273</v>
      </c>
      <c r="E240" s="5" t="s">
        <v>273</v>
      </c>
      <c r="F240" s="5" t="s">
        <v>273</v>
      </c>
      <c r="G240" s="5" t="s">
        <v>273</v>
      </c>
      <c r="H240" s="5" t="s">
        <v>273</v>
      </c>
      <c r="I240" s="5" t="s">
        <v>273</v>
      </c>
      <c r="J240" s="5" t="s">
        <v>273</v>
      </c>
      <c r="K240" s="5" t="s">
        <v>273</v>
      </c>
      <c r="L240" s="5" t="s">
        <v>273</v>
      </c>
      <c r="M240" s="5" t="s">
        <v>273</v>
      </c>
      <c r="N240" s="5" t="s">
        <v>273</v>
      </c>
      <c r="O240" s="5" t="s">
        <v>273</v>
      </c>
      <c r="P240" s="5" t="s">
        <v>273</v>
      </c>
      <c r="Q240" s="5" t="s">
        <v>273</v>
      </c>
      <c r="R240" s="5" t="s">
        <v>273</v>
      </c>
      <c r="S240" s="5">
        <f t="shared" si="0"/>
        <v>1</v>
      </c>
      <c r="T240" s="5" t="str">
        <f ca="1">IFERROR(__xludf.DUMMYFUNCTION("QUERY(transpose(A240:R240),""Select Col1 where Col1 is not null limit 1"",0)"),"T.J. Hockenson")</f>
        <v>T.J. Hockenson</v>
      </c>
      <c r="U240" s="32" t="e">
        <f t="shared" ca="1" si="1"/>
        <v>#NAME?</v>
      </c>
    </row>
    <row r="241" spans="1:21" ht="12.75" x14ac:dyDescent="0.2">
      <c r="A241" s="5" t="s">
        <v>274</v>
      </c>
      <c r="B241" s="5" t="s">
        <v>274</v>
      </c>
      <c r="C241" s="5" t="s">
        <v>274</v>
      </c>
      <c r="D241" s="5" t="s">
        <v>274</v>
      </c>
      <c r="E241" s="5" t="s">
        <v>274</v>
      </c>
      <c r="F241" s="5" t="s">
        <v>274</v>
      </c>
      <c r="G241" s="5" t="s">
        <v>274</v>
      </c>
      <c r="H241" s="5" t="s">
        <v>274</v>
      </c>
      <c r="I241" s="5" t="s">
        <v>274</v>
      </c>
      <c r="J241" s="5" t="s">
        <v>274</v>
      </c>
      <c r="K241" s="5" t="s">
        <v>274</v>
      </c>
      <c r="L241" s="5" t="s">
        <v>274</v>
      </c>
      <c r="M241" s="5" t="s">
        <v>274</v>
      </c>
      <c r="N241" s="5" t="s">
        <v>274</v>
      </c>
      <c r="O241" s="5" t="s">
        <v>274</v>
      </c>
      <c r="P241" s="5" t="s">
        <v>274</v>
      </c>
      <c r="Q241" s="5" t="s">
        <v>274</v>
      </c>
      <c r="R241" s="5" t="s">
        <v>274</v>
      </c>
      <c r="S241" s="5">
        <f t="shared" si="0"/>
        <v>1</v>
      </c>
      <c r="T241" s="5" t="str">
        <f ca="1">IFERROR(__xludf.DUMMYFUNCTION("QUERY(transpose(A241:R241),""Select Col1 where Col1 is not null limit 1"",0)"),"Donald Parham")</f>
        <v>Donald Parham</v>
      </c>
      <c r="U241" s="32" t="e">
        <f t="shared" ca="1" si="1"/>
        <v>#NAME?</v>
      </c>
    </row>
    <row r="242" spans="1:21" ht="12.75" x14ac:dyDescent="0.2">
      <c r="A242" s="5" t="s">
        <v>275</v>
      </c>
      <c r="B242" s="5" t="s">
        <v>275</v>
      </c>
      <c r="C242" s="5" t="s">
        <v>275</v>
      </c>
      <c r="D242" s="5" t="s">
        <v>275</v>
      </c>
      <c r="E242" s="5" t="s">
        <v>275</v>
      </c>
      <c r="F242" s="5" t="s">
        <v>275</v>
      </c>
      <c r="G242" s="5" t="s">
        <v>275</v>
      </c>
      <c r="H242" s="5" t="s">
        <v>275</v>
      </c>
      <c r="I242" s="5" t="s">
        <v>275</v>
      </c>
      <c r="J242" s="5" t="s">
        <v>275</v>
      </c>
      <c r="K242" s="5" t="s">
        <v>275</v>
      </c>
      <c r="L242" s="5" t="s">
        <v>275</v>
      </c>
      <c r="M242" s="5" t="s">
        <v>275</v>
      </c>
      <c r="N242" s="5" t="s">
        <v>275</v>
      </c>
      <c r="O242" s="5" t="s">
        <v>275</v>
      </c>
      <c r="P242" s="5" t="s">
        <v>275</v>
      </c>
      <c r="Q242" s="5" t="s">
        <v>275</v>
      </c>
      <c r="R242" s="5" t="s">
        <v>275</v>
      </c>
      <c r="S242" s="5">
        <f t="shared" si="0"/>
        <v>1</v>
      </c>
      <c r="T242" s="5" t="str">
        <f ca="1">IFERROR(__xludf.DUMMYFUNCTION("QUERY(transpose(A242:R242),""Select Col1 where Col1 is not null limit 1"",0)"),"Blake Bell")</f>
        <v>Blake Bell</v>
      </c>
      <c r="U242" s="32" t="e">
        <f t="shared" ca="1" si="1"/>
        <v>#NAME?</v>
      </c>
    </row>
    <row r="243" spans="1:21" ht="12.75" x14ac:dyDescent="0.2">
      <c r="A243" s="5" t="s">
        <v>276</v>
      </c>
      <c r="B243" s="5" t="s">
        <v>276</v>
      </c>
      <c r="C243" s="5" t="s">
        <v>276</v>
      </c>
      <c r="D243" s="5" t="s">
        <v>276</v>
      </c>
      <c r="E243" s="5" t="s">
        <v>276</v>
      </c>
      <c r="F243" s="5" t="s">
        <v>276</v>
      </c>
      <c r="G243" s="5" t="s">
        <v>276</v>
      </c>
      <c r="H243" s="5" t="s">
        <v>276</v>
      </c>
      <c r="I243" s="5" t="s">
        <v>276</v>
      </c>
      <c r="J243" s="5" t="s">
        <v>276</v>
      </c>
      <c r="K243" s="5" t="s">
        <v>276</v>
      </c>
      <c r="L243" s="5" t="s">
        <v>276</v>
      </c>
      <c r="M243" s="5" t="s">
        <v>276</v>
      </c>
      <c r="N243" s="5" t="s">
        <v>276</v>
      </c>
      <c r="O243" s="5" t="s">
        <v>276</v>
      </c>
      <c r="P243" s="5" t="s">
        <v>276</v>
      </c>
      <c r="Q243" s="5" t="s">
        <v>276</v>
      </c>
      <c r="R243" s="5" t="s">
        <v>276</v>
      </c>
      <c r="S243" s="5">
        <f t="shared" si="0"/>
        <v>1</v>
      </c>
      <c r="T243" s="5" t="str">
        <f ca="1">IFERROR(__xludf.DUMMYFUNCTION("QUERY(transpose(A243:R243),""Select Col1 where Col1 is not null limit 1"",0)"),"Evan Engram")</f>
        <v>Evan Engram</v>
      </c>
      <c r="U243" s="32" t="e">
        <f t="shared" ca="1" si="1"/>
        <v>#NAME?</v>
      </c>
    </row>
    <row r="244" spans="1:21" ht="12.75" x14ac:dyDescent="0.2">
      <c r="A244" s="5" t="s">
        <v>277</v>
      </c>
      <c r="B244" s="5" t="s">
        <v>277</v>
      </c>
      <c r="C244" s="5" t="s">
        <v>277</v>
      </c>
      <c r="D244" s="5" t="s">
        <v>277</v>
      </c>
      <c r="E244" s="5" t="s">
        <v>277</v>
      </c>
      <c r="F244" s="5" t="s">
        <v>277</v>
      </c>
      <c r="G244" s="5" t="s">
        <v>277</v>
      </c>
      <c r="H244" s="5" t="s">
        <v>277</v>
      </c>
      <c r="I244" s="5" t="s">
        <v>277</v>
      </c>
      <c r="J244" s="5" t="s">
        <v>277</v>
      </c>
      <c r="K244" s="5" t="s">
        <v>277</v>
      </c>
      <c r="L244" s="5" t="s">
        <v>277</v>
      </c>
      <c r="M244" s="5" t="s">
        <v>277</v>
      </c>
      <c r="N244" s="5" t="s">
        <v>277</v>
      </c>
      <c r="O244" s="5" t="s">
        <v>277</v>
      </c>
      <c r="P244" s="5" t="s">
        <v>277</v>
      </c>
      <c r="Q244" s="5" t="s">
        <v>277</v>
      </c>
      <c r="R244" s="5" t="s">
        <v>277</v>
      </c>
      <c r="S244" s="5">
        <f t="shared" si="0"/>
        <v>1</v>
      </c>
      <c r="T244" s="5" t="str">
        <f ca="1">IFERROR(__xludf.DUMMYFUNCTION("QUERY(transpose(A244:R244),""Select Col1 where Col1 is not null limit 1"",0)"),"Cole Kmet")</f>
        <v>Cole Kmet</v>
      </c>
      <c r="U244" s="32" t="e">
        <f t="shared" ca="1" si="1"/>
        <v>#NAME?</v>
      </c>
    </row>
    <row r="245" spans="1:21" ht="12.75" x14ac:dyDescent="0.2">
      <c r="A245" s="5" t="s">
        <v>278</v>
      </c>
      <c r="B245" s="5" t="s">
        <v>278</v>
      </c>
      <c r="C245" s="5" t="s">
        <v>278</v>
      </c>
      <c r="D245" s="5" t="s">
        <v>278</v>
      </c>
      <c r="E245" s="5" t="s">
        <v>278</v>
      </c>
      <c r="F245" s="5" t="s">
        <v>278</v>
      </c>
      <c r="G245" s="5" t="s">
        <v>278</v>
      </c>
      <c r="H245" s="5" t="s">
        <v>278</v>
      </c>
      <c r="I245" s="5" t="s">
        <v>278</v>
      </c>
      <c r="J245" s="5" t="s">
        <v>278</v>
      </c>
      <c r="K245" s="5" t="s">
        <v>278</v>
      </c>
      <c r="L245" s="5" t="s">
        <v>278</v>
      </c>
      <c r="M245" s="5" t="s">
        <v>278</v>
      </c>
      <c r="N245" s="5" t="s">
        <v>278</v>
      </c>
      <c r="O245" s="5" t="s">
        <v>278</v>
      </c>
      <c r="P245" s="5" t="s">
        <v>278</v>
      </c>
      <c r="Q245" s="5" t="s">
        <v>278</v>
      </c>
      <c r="R245" s="5" t="s">
        <v>278</v>
      </c>
      <c r="S245" s="5">
        <f t="shared" si="0"/>
        <v>1</v>
      </c>
      <c r="T245" s="5" t="str">
        <f ca="1">IFERROR(__xludf.DUMMYFUNCTION("QUERY(transpose(A245:R245),""Select Col1 where Col1 is not null limit 1"",0)"),"Harrison Bryant")</f>
        <v>Harrison Bryant</v>
      </c>
      <c r="U245" s="32" t="e">
        <f t="shared" ca="1" si="1"/>
        <v>#NAME?</v>
      </c>
    </row>
    <row r="246" spans="1:21" ht="12.75" x14ac:dyDescent="0.2">
      <c r="A246" s="5" t="s">
        <v>279</v>
      </c>
      <c r="B246" s="5" t="s">
        <v>279</v>
      </c>
      <c r="C246" s="5" t="s">
        <v>279</v>
      </c>
      <c r="D246" s="5" t="s">
        <v>279</v>
      </c>
      <c r="E246" s="5" t="s">
        <v>279</v>
      </c>
      <c r="F246" s="5" t="s">
        <v>279</v>
      </c>
      <c r="G246" s="5" t="s">
        <v>279</v>
      </c>
      <c r="H246" s="5" t="s">
        <v>279</v>
      </c>
      <c r="I246" s="5" t="s">
        <v>279</v>
      </c>
      <c r="J246" s="5" t="s">
        <v>279</v>
      </c>
      <c r="K246" s="5" t="s">
        <v>279</v>
      </c>
      <c r="L246" s="5" t="s">
        <v>279</v>
      </c>
      <c r="M246" s="5" t="s">
        <v>279</v>
      </c>
      <c r="N246" s="5" t="s">
        <v>279</v>
      </c>
      <c r="O246" s="5" t="s">
        <v>279</v>
      </c>
      <c r="P246" s="5" t="s">
        <v>279</v>
      </c>
      <c r="Q246" s="5" t="s">
        <v>279</v>
      </c>
      <c r="R246" s="5" t="s">
        <v>279</v>
      </c>
      <c r="S246" s="5">
        <f t="shared" si="0"/>
        <v>1</v>
      </c>
      <c r="T246" s="5" t="str">
        <f ca="1">IFERROR(__xludf.DUMMYFUNCTION("QUERY(transpose(A246:R246),""Select Col1 where Col1 is not null limit 1"",0)"),"Zach Ertz")</f>
        <v>Zach Ertz</v>
      </c>
      <c r="U246" s="32" t="e">
        <f t="shared" ca="1" si="1"/>
        <v>#NAME?</v>
      </c>
    </row>
    <row r="247" spans="1:21" ht="12.75" x14ac:dyDescent="0.2">
      <c r="A247" s="5" t="s">
        <v>280</v>
      </c>
      <c r="B247" s="5" t="s">
        <v>280</v>
      </c>
      <c r="C247" s="5" t="s">
        <v>280</v>
      </c>
      <c r="D247" s="5" t="s">
        <v>280</v>
      </c>
      <c r="E247" s="5" t="s">
        <v>280</v>
      </c>
      <c r="F247" s="5" t="s">
        <v>280</v>
      </c>
      <c r="G247" s="5" t="s">
        <v>280</v>
      </c>
      <c r="H247" s="5" t="s">
        <v>280</v>
      </c>
      <c r="I247" s="5" t="s">
        <v>280</v>
      </c>
      <c r="J247" s="5" t="s">
        <v>280</v>
      </c>
      <c r="K247" s="5" t="s">
        <v>280</v>
      </c>
      <c r="L247" s="5" t="s">
        <v>280</v>
      </c>
      <c r="M247" s="5" t="s">
        <v>280</v>
      </c>
      <c r="N247" s="5" t="s">
        <v>280</v>
      </c>
      <c r="O247" s="5" t="s">
        <v>280</v>
      </c>
      <c r="P247" s="5" t="s">
        <v>280</v>
      </c>
      <c r="Q247" s="5" t="s">
        <v>280</v>
      </c>
      <c r="R247" s="5" t="s">
        <v>280</v>
      </c>
      <c r="S247" s="5">
        <f t="shared" si="0"/>
        <v>1</v>
      </c>
      <c r="T247" s="5" t="str">
        <f ca="1">IFERROR(__xludf.DUMMYFUNCTION("QUERY(transpose(A247:R247),""Select Col1 where Col1 is not null limit 1"",0)"),"Sam LaPorta")</f>
        <v>Sam LaPorta</v>
      </c>
      <c r="U247" s="32" t="e">
        <f t="shared" ca="1" si="1"/>
        <v>#NAME?</v>
      </c>
    </row>
    <row r="248" spans="1:21" ht="12.75" x14ac:dyDescent="0.2">
      <c r="A248" s="5" t="s">
        <v>281</v>
      </c>
      <c r="B248" s="5" t="s">
        <v>281</v>
      </c>
      <c r="C248" s="5" t="s">
        <v>281</v>
      </c>
      <c r="D248" s="5" t="s">
        <v>281</v>
      </c>
      <c r="E248" s="5" t="s">
        <v>281</v>
      </c>
      <c r="F248" s="5" t="s">
        <v>281</v>
      </c>
      <c r="G248" s="5" t="s">
        <v>281</v>
      </c>
      <c r="H248" s="5" t="s">
        <v>281</v>
      </c>
      <c r="I248" s="5" t="s">
        <v>281</v>
      </c>
      <c r="J248" s="5" t="s">
        <v>281</v>
      </c>
      <c r="K248" s="5" t="s">
        <v>281</v>
      </c>
      <c r="L248" s="5" t="s">
        <v>281</v>
      </c>
      <c r="M248" s="5" t="s">
        <v>281</v>
      </c>
      <c r="N248" s="5" t="s">
        <v>281</v>
      </c>
      <c r="O248" s="5" t="s">
        <v>281</v>
      </c>
      <c r="P248" s="5" t="s">
        <v>281</v>
      </c>
      <c r="Q248" s="5" t="s">
        <v>281</v>
      </c>
      <c r="R248" s="5" t="s">
        <v>281</v>
      </c>
      <c r="S248" s="5">
        <f t="shared" si="0"/>
        <v>1</v>
      </c>
      <c r="T248" s="5" t="str">
        <f ca="1">IFERROR(__xludf.DUMMYFUNCTION("QUERY(transpose(A248:R248),""Select Col1 where Col1 is not null limit 1"",0)"),"Luke Musgrave")</f>
        <v>Luke Musgrave</v>
      </c>
      <c r="U248" s="32" t="e">
        <f t="shared" ca="1" si="1"/>
        <v>#NAME?</v>
      </c>
    </row>
    <row r="249" spans="1:21" ht="12.75" x14ac:dyDescent="0.2">
      <c r="A249" s="5" t="s">
        <v>282</v>
      </c>
      <c r="B249" s="5" t="s">
        <v>282</v>
      </c>
      <c r="C249" s="5" t="s">
        <v>282</v>
      </c>
      <c r="D249" s="5" t="s">
        <v>282</v>
      </c>
      <c r="E249" s="5" t="s">
        <v>282</v>
      </c>
      <c r="F249" s="5" t="s">
        <v>282</v>
      </c>
      <c r="G249" s="5" t="s">
        <v>282</v>
      </c>
      <c r="H249" s="5" t="s">
        <v>282</v>
      </c>
      <c r="I249" s="5" t="s">
        <v>282</v>
      </c>
      <c r="J249" s="5" t="s">
        <v>282</v>
      </c>
      <c r="K249" s="5" t="s">
        <v>282</v>
      </c>
      <c r="L249" s="5" t="s">
        <v>282</v>
      </c>
      <c r="M249" s="5" t="s">
        <v>282</v>
      </c>
      <c r="N249" s="5" t="s">
        <v>282</v>
      </c>
      <c r="O249" s="5" t="s">
        <v>282</v>
      </c>
      <c r="P249" s="5" t="s">
        <v>282</v>
      </c>
      <c r="Q249" s="5" t="s">
        <v>282</v>
      </c>
      <c r="R249" s="5" t="s">
        <v>282</v>
      </c>
      <c r="S249" s="5">
        <f t="shared" si="0"/>
        <v>1</v>
      </c>
      <c r="T249" s="5" t="str">
        <f ca="1">IFERROR(__xludf.DUMMYFUNCTION("QUERY(transpose(A249:R249),""Select Col1 where Col1 is not null limit 1"",0)"),"Logan Thomas")</f>
        <v>Logan Thomas</v>
      </c>
      <c r="U249" s="32" t="e">
        <f t="shared" ca="1" si="1"/>
        <v>#NAME?</v>
      </c>
    </row>
    <row r="250" spans="1:21" ht="12.75" x14ac:dyDescent="0.2">
      <c r="A250" s="5" t="s">
        <v>283</v>
      </c>
      <c r="B250" s="5" t="s">
        <v>283</v>
      </c>
      <c r="C250" s="5" t="s">
        <v>283</v>
      </c>
      <c r="D250" s="5" t="s">
        <v>283</v>
      </c>
      <c r="E250" s="5" t="s">
        <v>283</v>
      </c>
      <c r="F250" s="5" t="s">
        <v>283</v>
      </c>
      <c r="G250" s="5" t="s">
        <v>283</v>
      </c>
      <c r="H250" s="5" t="s">
        <v>283</v>
      </c>
      <c r="I250" s="5" t="s">
        <v>283</v>
      </c>
      <c r="J250" s="5" t="s">
        <v>283</v>
      </c>
      <c r="K250" s="5" t="s">
        <v>283</v>
      </c>
      <c r="L250" s="5" t="s">
        <v>283</v>
      </c>
      <c r="M250" s="5" t="s">
        <v>283</v>
      </c>
      <c r="N250" s="5" t="s">
        <v>283</v>
      </c>
      <c r="O250" s="5" t="s">
        <v>283</v>
      </c>
      <c r="P250" s="5" t="s">
        <v>283</v>
      </c>
      <c r="Q250" s="5" t="s">
        <v>283</v>
      </c>
      <c r="R250" s="5" t="s">
        <v>283</v>
      </c>
      <c r="S250" s="5">
        <f t="shared" si="0"/>
        <v>1</v>
      </c>
      <c r="T250" s="5" t="str">
        <f ca="1">IFERROR(__xludf.DUMMYFUNCTION("QUERY(transpose(A250:R250),""Select Col1 where Col1 is not null limit 1"",0)"),"Adam Trautman")</f>
        <v>Adam Trautman</v>
      </c>
      <c r="U250" s="32" t="e">
        <f t="shared" ca="1" si="1"/>
        <v>#NAME?</v>
      </c>
    </row>
    <row r="251" spans="1:21" ht="12.75" x14ac:dyDescent="0.2">
      <c r="A251" s="5" t="s">
        <v>284</v>
      </c>
      <c r="B251" s="5" t="s">
        <v>284</v>
      </c>
      <c r="C251" s="5" t="s">
        <v>284</v>
      </c>
      <c r="D251" s="5" t="s">
        <v>284</v>
      </c>
      <c r="E251" s="5" t="s">
        <v>284</v>
      </c>
      <c r="F251" s="5" t="s">
        <v>284</v>
      </c>
      <c r="G251" s="5" t="s">
        <v>284</v>
      </c>
      <c r="H251" s="5" t="s">
        <v>284</v>
      </c>
      <c r="I251" s="5" t="s">
        <v>284</v>
      </c>
      <c r="J251" s="5" t="s">
        <v>284</v>
      </c>
      <c r="K251" s="5" t="s">
        <v>284</v>
      </c>
      <c r="L251" s="5" t="s">
        <v>284</v>
      </c>
      <c r="M251" s="5" t="s">
        <v>284</v>
      </c>
      <c r="N251" s="5" t="s">
        <v>284</v>
      </c>
      <c r="O251" s="5" t="s">
        <v>284</v>
      </c>
      <c r="P251" s="5" t="s">
        <v>284</v>
      </c>
      <c r="Q251" s="5" t="s">
        <v>284</v>
      </c>
      <c r="R251" s="5" t="s">
        <v>284</v>
      </c>
      <c r="S251" s="5">
        <f t="shared" si="0"/>
        <v>1</v>
      </c>
      <c r="T251" s="5" t="str">
        <f ca="1">IFERROR(__xludf.DUMMYFUNCTION("QUERY(transpose(A251:R251),""Select Col1 where Col1 is not null limit 1"",0)"),"Pat Freiermuth")</f>
        <v>Pat Freiermuth</v>
      </c>
      <c r="U251" s="32" t="e">
        <f t="shared" ca="1" si="1"/>
        <v>#NAME?</v>
      </c>
    </row>
    <row r="252" spans="1:21" ht="12.75" x14ac:dyDescent="0.2">
      <c r="A252" s="5" t="s">
        <v>285</v>
      </c>
      <c r="B252" s="5" t="s">
        <v>285</v>
      </c>
      <c r="C252" s="5" t="s">
        <v>285</v>
      </c>
      <c r="D252" s="5" t="s">
        <v>285</v>
      </c>
      <c r="E252" s="5" t="s">
        <v>285</v>
      </c>
      <c r="F252" s="5" t="s">
        <v>285</v>
      </c>
      <c r="G252" s="5" t="s">
        <v>285</v>
      </c>
      <c r="H252" s="5" t="s">
        <v>285</v>
      </c>
      <c r="I252" s="5" t="s">
        <v>285</v>
      </c>
      <c r="J252" s="5" t="s">
        <v>285</v>
      </c>
      <c r="K252" s="5" t="s">
        <v>285</v>
      </c>
      <c r="L252" s="5" t="s">
        <v>285</v>
      </c>
      <c r="M252" s="5" t="s">
        <v>285</v>
      </c>
      <c r="N252" s="5" t="s">
        <v>285</v>
      </c>
      <c r="O252" s="5" t="s">
        <v>285</v>
      </c>
      <c r="P252" s="5" t="s">
        <v>285</v>
      </c>
      <c r="Q252" s="5" t="s">
        <v>285</v>
      </c>
      <c r="R252" s="5" t="s">
        <v>285</v>
      </c>
      <c r="S252" s="5">
        <f t="shared" si="0"/>
        <v>1</v>
      </c>
      <c r="T252" s="5" t="str">
        <f ca="1">IFERROR(__xludf.DUMMYFUNCTION("QUERY(transpose(A252:R252),""Select Col1 where Col1 is not null limit 1"",0)"),"Kylen Granson")</f>
        <v>Kylen Granson</v>
      </c>
      <c r="U252" s="32" t="e">
        <f t="shared" ca="1" si="1"/>
        <v>#NAME?</v>
      </c>
    </row>
    <row r="253" spans="1:21" ht="12.75" x14ac:dyDescent="0.2">
      <c r="A253" s="5" t="s">
        <v>286</v>
      </c>
      <c r="B253" s="5" t="s">
        <v>286</v>
      </c>
      <c r="C253" s="5" t="s">
        <v>286</v>
      </c>
      <c r="D253" s="5" t="s">
        <v>286</v>
      </c>
      <c r="E253" s="5" t="s">
        <v>286</v>
      </c>
      <c r="F253" s="5" t="s">
        <v>286</v>
      </c>
      <c r="G253" s="5" t="s">
        <v>286</v>
      </c>
      <c r="H253" s="5" t="s">
        <v>286</v>
      </c>
      <c r="I253" s="5" t="s">
        <v>286</v>
      </c>
      <c r="J253" s="5" t="s">
        <v>286</v>
      </c>
      <c r="K253" s="5" t="s">
        <v>286</v>
      </c>
      <c r="L253" s="5" t="s">
        <v>286</v>
      </c>
      <c r="M253" s="5" t="s">
        <v>286</v>
      </c>
      <c r="N253" s="5" t="s">
        <v>286</v>
      </c>
      <c r="O253" s="5" t="s">
        <v>286</v>
      </c>
      <c r="P253" s="5" t="s">
        <v>286</v>
      </c>
      <c r="Q253" s="5" t="s">
        <v>286</v>
      </c>
      <c r="R253" s="5" t="s">
        <v>286</v>
      </c>
      <c r="S253" s="5">
        <f t="shared" si="0"/>
        <v>1</v>
      </c>
      <c r="T253" s="5" t="str">
        <f ca="1">IFERROR(__xludf.DUMMYFUNCTION("QUERY(transpose(A253:R253),""Select Col1 where Col1 is not null limit 1"",0)"),"Tyler Higbee")</f>
        <v>Tyler Higbee</v>
      </c>
      <c r="U253" s="32" t="e">
        <f t="shared" ca="1" si="1"/>
        <v>#NAME?</v>
      </c>
    </row>
    <row r="254" spans="1:21" ht="12.75" x14ac:dyDescent="0.2">
      <c r="A254" s="5" t="s">
        <v>287</v>
      </c>
      <c r="B254" s="5" t="s">
        <v>287</v>
      </c>
      <c r="C254" s="5" t="s">
        <v>287</v>
      </c>
      <c r="D254" s="5" t="s">
        <v>287</v>
      </c>
      <c r="E254" s="5" t="s">
        <v>287</v>
      </c>
      <c r="F254" s="5" t="s">
        <v>287</v>
      </c>
      <c r="G254" s="5" t="s">
        <v>287</v>
      </c>
      <c r="H254" s="5" t="s">
        <v>287</v>
      </c>
      <c r="I254" s="5" t="s">
        <v>287</v>
      </c>
      <c r="J254" s="5" t="s">
        <v>287</v>
      </c>
      <c r="K254" s="5" t="s">
        <v>287</v>
      </c>
      <c r="L254" s="5" t="s">
        <v>287</v>
      </c>
      <c r="M254" s="5" t="s">
        <v>287</v>
      </c>
      <c r="N254" s="5" t="s">
        <v>287</v>
      </c>
      <c r="O254" s="5" t="s">
        <v>287</v>
      </c>
      <c r="P254" s="5" t="s">
        <v>287</v>
      </c>
      <c r="Q254" s="5" t="s">
        <v>287</v>
      </c>
      <c r="R254" s="5" t="s">
        <v>287</v>
      </c>
      <c r="S254" s="5">
        <f t="shared" si="0"/>
        <v>1</v>
      </c>
      <c r="T254" s="5" t="str">
        <f ca="1">IFERROR(__xludf.DUMMYFUNCTION("QUERY(transpose(A254:R254),""Select Col1 where Col1 is not null limit 1"",0)"),"Durham Smythe")</f>
        <v>Durham Smythe</v>
      </c>
      <c r="U254" s="32" t="e">
        <f t="shared" ca="1" si="1"/>
        <v>#NAME?</v>
      </c>
    </row>
    <row r="255" spans="1:21" ht="12.75" x14ac:dyDescent="0.2">
      <c r="A255" s="5" t="s">
        <v>288</v>
      </c>
      <c r="B255" s="5" t="s">
        <v>288</v>
      </c>
      <c r="C255" s="5" t="s">
        <v>288</v>
      </c>
      <c r="D255" s="5" t="s">
        <v>288</v>
      </c>
      <c r="E255" s="5" t="s">
        <v>288</v>
      </c>
      <c r="F255" s="5" t="s">
        <v>288</v>
      </c>
      <c r="G255" s="5" t="s">
        <v>288</v>
      </c>
      <c r="H255" s="5" t="s">
        <v>288</v>
      </c>
      <c r="I255" s="5" t="s">
        <v>288</v>
      </c>
      <c r="J255" s="5" t="s">
        <v>288</v>
      </c>
      <c r="K255" s="5" t="s">
        <v>288</v>
      </c>
      <c r="L255" s="5" t="s">
        <v>288</v>
      </c>
      <c r="M255" s="5" t="s">
        <v>288</v>
      </c>
      <c r="N255" s="5" t="s">
        <v>288</v>
      </c>
      <c r="O255" s="5" t="s">
        <v>288</v>
      </c>
      <c r="P255" s="5" t="s">
        <v>288</v>
      </c>
      <c r="Q255" s="5" t="s">
        <v>288</v>
      </c>
      <c r="R255" s="5" t="s">
        <v>288</v>
      </c>
      <c r="S255" s="5">
        <f t="shared" si="0"/>
        <v>1</v>
      </c>
      <c r="T255" s="5" t="str">
        <f ca="1">IFERROR(__xludf.DUMMYFUNCTION("QUERY(transpose(A255:R255),""Select Col1 where Col1 is not null limit 1"",0)"),"Mike Gesicki")</f>
        <v>Mike Gesicki</v>
      </c>
      <c r="U255" s="32" t="e">
        <f t="shared" ca="1" si="1"/>
        <v>#NAME?</v>
      </c>
    </row>
    <row r="256" spans="1:21" ht="12.75" x14ac:dyDescent="0.2">
      <c r="A256" s="5" t="s">
        <v>289</v>
      </c>
      <c r="B256" s="5" t="s">
        <v>289</v>
      </c>
      <c r="C256" s="5" t="s">
        <v>289</v>
      </c>
      <c r="D256" s="5" t="s">
        <v>289</v>
      </c>
      <c r="E256" s="5" t="s">
        <v>289</v>
      </c>
      <c r="F256" s="5" t="s">
        <v>289</v>
      </c>
      <c r="G256" s="5" t="s">
        <v>289</v>
      </c>
      <c r="H256" s="5" t="s">
        <v>289</v>
      </c>
      <c r="I256" s="5" t="s">
        <v>289</v>
      </c>
      <c r="J256" s="5" t="s">
        <v>289</v>
      </c>
      <c r="K256" s="5" t="s">
        <v>289</v>
      </c>
      <c r="L256" s="5" t="s">
        <v>289</v>
      </c>
      <c r="M256" s="5" t="s">
        <v>289</v>
      </c>
      <c r="N256" s="5" t="s">
        <v>289</v>
      </c>
      <c r="O256" s="5" t="s">
        <v>289</v>
      </c>
      <c r="P256" s="5" t="s">
        <v>289</v>
      </c>
      <c r="Q256" s="5" t="s">
        <v>289</v>
      </c>
      <c r="R256" s="5" t="s">
        <v>289</v>
      </c>
      <c r="S256" s="5">
        <f t="shared" si="0"/>
        <v>1</v>
      </c>
      <c r="T256" s="5" t="str">
        <f ca="1">IFERROR(__xludf.DUMMYFUNCTION("QUERY(transpose(A256:R256),""Select Col1 where Col1 is not null limit 1"",0)"),"Noah Gray")</f>
        <v>Noah Gray</v>
      </c>
      <c r="U256" s="32" t="e">
        <f t="shared" ca="1" si="1"/>
        <v>#NAME?</v>
      </c>
    </row>
    <row r="257" spans="1:21" ht="12.75" x14ac:dyDescent="0.2">
      <c r="A257" s="5" t="s">
        <v>290</v>
      </c>
      <c r="B257" s="5" t="s">
        <v>290</v>
      </c>
      <c r="C257" s="5" t="s">
        <v>290</v>
      </c>
      <c r="D257" s="5" t="s">
        <v>290</v>
      </c>
      <c r="E257" s="5" t="s">
        <v>290</v>
      </c>
      <c r="F257" s="5" t="s">
        <v>290</v>
      </c>
      <c r="G257" s="5" t="s">
        <v>290</v>
      </c>
      <c r="H257" s="5" t="s">
        <v>290</v>
      </c>
      <c r="I257" s="5" t="s">
        <v>290</v>
      </c>
      <c r="J257" s="5" t="s">
        <v>290</v>
      </c>
      <c r="K257" s="5" t="s">
        <v>290</v>
      </c>
      <c r="L257" s="5" t="s">
        <v>290</v>
      </c>
      <c r="M257" s="5" t="s">
        <v>290</v>
      </c>
      <c r="N257" s="5" t="s">
        <v>290</v>
      </c>
      <c r="O257" s="5" t="s">
        <v>290</v>
      </c>
      <c r="P257" s="5" t="s">
        <v>290</v>
      </c>
      <c r="Q257" s="5" t="s">
        <v>290</v>
      </c>
      <c r="R257" s="5" t="s">
        <v>290</v>
      </c>
      <c r="S257" s="5">
        <f t="shared" si="0"/>
        <v>1</v>
      </c>
      <c r="T257" s="5" t="str">
        <f ca="1">IFERROR(__xludf.DUMMYFUNCTION("QUERY(transpose(A257:R257),""Select Col1 where Col1 is not null limit 1"",0)"),"Juwan Johnson")</f>
        <v>Juwan Johnson</v>
      </c>
      <c r="U257" s="32" t="e">
        <f t="shared" ca="1" si="1"/>
        <v>#NAME?</v>
      </c>
    </row>
    <row r="258" spans="1:21" ht="12.75" x14ac:dyDescent="0.2">
      <c r="A258" s="5" t="s">
        <v>291</v>
      </c>
      <c r="B258" s="5" t="s">
        <v>291</v>
      </c>
      <c r="C258" s="5" t="s">
        <v>291</v>
      </c>
      <c r="D258" s="5" t="s">
        <v>291</v>
      </c>
      <c r="E258" s="5" t="s">
        <v>291</v>
      </c>
      <c r="F258" s="5" t="s">
        <v>291</v>
      </c>
      <c r="G258" s="5" t="s">
        <v>291</v>
      </c>
      <c r="H258" s="5" t="s">
        <v>291</v>
      </c>
      <c r="I258" s="5" t="s">
        <v>291</v>
      </c>
      <c r="J258" s="5" t="s">
        <v>291</v>
      </c>
      <c r="K258" s="5" t="s">
        <v>291</v>
      </c>
      <c r="L258" s="5" t="s">
        <v>291</v>
      </c>
      <c r="M258" s="5" t="s">
        <v>291</v>
      </c>
      <c r="N258" s="5" t="s">
        <v>291</v>
      </c>
      <c r="O258" s="5" t="s">
        <v>291</v>
      </c>
      <c r="P258" s="5" t="s">
        <v>291</v>
      </c>
      <c r="Q258" s="5" t="s">
        <v>291</v>
      </c>
      <c r="R258" s="5" t="s">
        <v>291</v>
      </c>
      <c r="S258" s="5">
        <f t="shared" ref="S258:S512" si="2">1+COUNTBLANK(A258:R258)-COUNTBLANK(A$3:R$3)</f>
        <v>1</v>
      </c>
      <c r="T258" s="5" t="str">
        <f ca="1">IFERROR(__xludf.DUMMYFUNCTION("QUERY(transpose(A258:R258),""Select Col1 where Col1 is not null limit 1"",0)"),"Dalton Kincaid")</f>
        <v>Dalton Kincaid</v>
      </c>
      <c r="U258" s="32" t="e">
        <f t="shared" ref="U258:U498" ca="1" si="3">_xludf.IFNA(VLOOKUP($K258,INDIRECT("'W"&amp;$S258&amp;"'!$A$2:$T$500"),2,FALSE),0)</f>
        <v>#NAME?</v>
      </c>
    </row>
    <row r="259" spans="1:21" ht="12.75" x14ac:dyDescent="0.2">
      <c r="A259" s="5" t="s">
        <v>292</v>
      </c>
      <c r="B259" s="5" t="s">
        <v>292</v>
      </c>
      <c r="C259" s="5" t="s">
        <v>292</v>
      </c>
      <c r="D259" s="5" t="s">
        <v>292</v>
      </c>
      <c r="E259" s="5" t="s">
        <v>292</v>
      </c>
      <c r="F259" s="5" t="s">
        <v>292</v>
      </c>
      <c r="G259" s="5" t="s">
        <v>292</v>
      </c>
      <c r="H259" s="5" t="s">
        <v>292</v>
      </c>
      <c r="I259" s="5" t="s">
        <v>292</v>
      </c>
      <c r="J259" s="5" t="s">
        <v>292</v>
      </c>
      <c r="K259" s="5" t="s">
        <v>292</v>
      </c>
      <c r="L259" s="5" t="s">
        <v>292</v>
      </c>
      <c r="M259" s="5" t="s">
        <v>292</v>
      </c>
      <c r="N259" s="5" t="s">
        <v>292</v>
      </c>
      <c r="O259" s="5" t="s">
        <v>292</v>
      </c>
      <c r="P259" s="5" t="s">
        <v>292</v>
      </c>
      <c r="Q259" s="5" t="s">
        <v>292</v>
      </c>
      <c r="R259" s="5" t="s">
        <v>292</v>
      </c>
      <c r="S259" s="5">
        <f t="shared" si="2"/>
        <v>1</v>
      </c>
      <c r="T259" s="5" t="str">
        <f ca="1">IFERROR(__xludf.DUMMYFUNCTION("QUERY(transpose(A259:R259),""Select Col1 where Col1 is not null limit 1"",0)"),"Josh Oliver")</f>
        <v>Josh Oliver</v>
      </c>
      <c r="U259" s="32" t="e">
        <f t="shared" ca="1" si="3"/>
        <v>#NAME?</v>
      </c>
    </row>
    <row r="260" spans="1:21" ht="12.75" x14ac:dyDescent="0.2">
      <c r="A260" s="5" t="s">
        <v>293</v>
      </c>
      <c r="B260" s="5" t="s">
        <v>293</v>
      </c>
      <c r="C260" s="5" t="s">
        <v>293</v>
      </c>
      <c r="D260" s="5" t="s">
        <v>293</v>
      </c>
      <c r="E260" s="5" t="s">
        <v>293</v>
      </c>
      <c r="F260" s="5" t="s">
        <v>293</v>
      </c>
      <c r="G260" s="5" t="s">
        <v>293</v>
      </c>
      <c r="H260" s="5" t="s">
        <v>293</v>
      </c>
      <c r="I260" s="5" t="s">
        <v>293</v>
      </c>
      <c r="J260" s="5" t="s">
        <v>293</v>
      </c>
      <c r="K260" s="5" t="s">
        <v>293</v>
      </c>
      <c r="L260" s="5" t="s">
        <v>293</v>
      </c>
      <c r="M260" s="5" t="s">
        <v>293</v>
      </c>
      <c r="N260" s="5" t="s">
        <v>293</v>
      </c>
      <c r="O260" s="5" t="s">
        <v>293</v>
      </c>
      <c r="P260" s="5" t="s">
        <v>293</v>
      </c>
      <c r="Q260" s="5" t="s">
        <v>293</v>
      </c>
      <c r="R260" s="5" t="s">
        <v>293</v>
      </c>
      <c r="S260" s="5">
        <f t="shared" si="2"/>
        <v>1</v>
      </c>
      <c r="T260" s="5" t="str">
        <f ca="1">IFERROR(__xludf.DUMMYFUNCTION("QUERY(transpose(A260:R260),""Select Col1 where Col1 is not null limit 1"",0)"),"Kyle Pitts")</f>
        <v>Kyle Pitts</v>
      </c>
      <c r="U260" s="32" t="e">
        <f t="shared" ca="1" si="3"/>
        <v>#NAME?</v>
      </c>
    </row>
    <row r="261" spans="1:21" ht="12.75" x14ac:dyDescent="0.2">
      <c r="A261" s="5" t="s">
        <v>294</v>
      </c>
      <c r="B261" s="5" t="s">
        <v>294</v>
      </c>
      <c r="C261" s="5" t="s">
        <v>294</v>
      </c>
      <c r="D261" s="5" t="s">
        <v>294</v>
      </c>
      <c r="E261" s="5" t="s">
        <v>294</v>
      </c>
      <c r="F261" s="5" t="s">
        <v>294</v>
      </c>
      <c r="G261" s="5" t="s">
        <v>294</v>
      </c>
      <c r="H261" s="5" t="s">
        <v>294</v>
      </c>
      <c r="I261" s="5" t="s">
        <v>294</v>
      </c>
      <c r="J261" s="5" t="s">
        <v>294</v>
      </c>
      <c r="K261" s="5" t="s">
        <v>294</v>
      </c>
      <c r="L261" s="5" t="s">
        <v>294</v>
      </c>
      <c r="M261" s="5" t="s">
        <v>294</v>
      </c>
      <c r="N261" s="5" t="s">
        <v>294</v>
      </c>
      <c r="O261" s="5" t="s">
        <v>294</v>
      </c>
      <c r="P261" s="5" t="s">
        <v>294</v>
      </c>
      <c r="Q261" s="5" t="s">
        <v>294</v>
      </c>
      <c r="R261" s="5" t="s">
        <v>294</v>
      </c>
      <c r="S261" s="5">
        <f t="shared" si="2"/>
        <v>1</v>
      </c>
      <c r="T261" s="5" t="str">
        <f ca="1">IFERROR(__xludf.DUMMYFUNCTION("QUERY(transpose(A261:R261),""Select Col1 where Col1 is not null limit 1"",0)"),"Darren Waller")</f>
        <v>Darren Waller</v>
      </c>
      <c r="U261" s="32" t="e">
        <f t="shared" ca="1" si="3"/>
        <v>#NAME?</v>
      </c>
    </row>
    <row r="262" spans="1:21" ht="12.75" x14ac:dyDescent="0.2">
      <c r="A262" s="5" t="s">
        <v>295</v>
      </c>
      <c r="B262" s="5" t="s">
        <v>295</v>
      </c>
      <c r="C262" s="5" t="s">
        <v>295</v>
      </c>
      <c r="D262" s="5" t="s">
        <v>295</v>
      </c>
      <c r="E262" s="5" t="s">
        <v>295</v>
      </c>
      <c r="F262" s="5" t="s">
        <v>295</v>
      </c>
      <c r="G262" s="5" t="s">
        <v>295</v>
      </c>
      <c r="H262" s="5" t="s">
        <v>295</v>
      </c>
      <c r="I262" s="5" t="s">
        <v>295</v>
      </c>
      <c r="J262" s="5" t="s">
        <v>295</v>
      </c>
      <c r="K262" s="5" t="s">
        <v>295</v>
      </c>
      <c r="L262" s="5" t="s">
        <v>295</v>
      </c>
      <c r="M262" s="5" t="s">
        <v>295</v>
      </c>
      <c r="N262" s="5" t="s">
        <v>295</v>
      </c>
      <c r="O262" s="5" t="s">
        <v>295</v>
      </c>
      <c r="P262" s="5" t="s">
        <v>295</v>
      </c>
      <c r="Q262" s="5" t="s">
        <v>295</v>
      </c>
      <c r="R262" s="5" t="s">
        <v>295</v>
      </c>
      <c r="S262" s="5">
        <f t="shared" si="2"/>
        <v>1</v>
      </c>
      <c r="T262" s="5" t="str">
        <f ca="1">IFERROR(__xludf.DUMMYFUNCTION("QUERY(transpose(A262:R262),""Select Col1 where Col1 is not null limit 1"",0)"),"Dawson Knox")</f>
        <v>Dawson Knox</v>
      </c>
      <c r="U262" s="32" t="e">
        <f t="shared" ca="1" si="3"/>
        <v>#NAME?</v>
      </c>
    </row>
    <row r="263" spans="1:21" ht="12.75" x14ac:dyDescent="0.2">
      <c r="A263" s="5" t="s">
        <v>296</v>
      </c>
      <c r="B263" s="5" t="s">
        <v>296</v>
      </c>
      <c r="C263" s="5" t="s">
        <v>296</v>
      </c>
      <c r="D263" s="5" t="s">
        <v>296</v>
      </c>
      <c r="E263" s="5" t="s">
        <v>296</v>
      </c>
      <c r="F263" s="5" t="s">
        <v>296</v>
      </c>
      <c r="G263" s="5" t="s">
        <v>296</v>
      </c>
      <c r="H263" s="5" t="s">
        <v>296</v>
      </c>
      <c r="I263" s="5" t="s">
        <v>296</v>
      </c>
      <c r="J263" s="5" t="s">
        <v>296</v>
      </c>
      <c r="K263" s="5" t="s">
        <v>296</v>
      </c>
      <c r="L263" s="5" t="s">
        <v>296</v>
      </c>
      <c r="M263" s="5" t="s">
        <v>296</v>
      </c>
      <c r="N263" s="5" t="s">
        <v>296</v>
      </c>
      <c r="O263" s="5" t="s">
        <v>296</v>
      </c>
      <c r="P263" s="5" t="s">
        <v>296</v>
      </c>
      <c r="Q263" s="5" t="s">
        <v>296</v>
      </c>
      <c r="R263" s="5" t="s">
        <v>296</v>
      </c>
      <c r="S263" s="5">
        <f t="shared" si="2"/>
        <v>1</v>
      </c>
      <c r="T263" s="5" t="str">
        <f ca="1">IFERROR(__xludf.DUMMYFUNCTION("QUERY(transpose(A263:R263),""Select Col1 where Col1 is not null limit 1"",0)"),"Greg Dulcich")</f>
        <v>Greg Dulcich</v>
      </c>
      <c r="U263" s="32" t="e">
        <f t="shared" ca="1" si="3"/>
        <v>#NAME?</v>
      </c>
    </row>
    <row r="264" spans="1:21" ht="12.75" x14ac:dyDescent="0.2">
      <c r="A264" s="5" t="s">
        <v>297</v>
      </c>
      <c r="B264" s="5" t="s">
        <v>297</v>
      </c>
      <c r="C264" s="5" t="s">
        <v>297</v>
      </c>
      <c r="D264" s="5" t="s">
        <v>297</v>
      </c>
      <c r="E264" s="5" t="s">
        <v>297</v>
      </c>
      <c r="F264" s="5" t="s">
        <v>297</v>
      </c>
      <c r="G264" s="5" t="s">
        <v>297</v>
      </c>
      <c r="H264" s="5" t="s">
        <v>297</v>
      </c>
      <c r="I264" s="5" t="s">
        <v>297</v>
      </c>
      <c r="J264" s="5" t="s">
        <v>297</v>
      </c>
      <c r="K264" s="5" t="s">
        <v>297</v>
      </c>
      <c r="L264" s="5" t="s">
        <v>297</v>
      </c>
      <c r="M264" s="5" t="s">
        <v>297</v>
      </c>
      <c r="N264" s="5" t="s">
        <v>297</v>
      </c>
      <c r="O264" s="5" t="s">
        <v>297</v>
      </c>
      <c r="P264" s="5" t="s">
        <v>297</v>
      </c>
      <c r="Q264" s="5" t="s">
        <v>297</v>
      </c>
      <c r="R264" s="5" t="s">
        <v>297</v>
      </c>
      <c r="S264" s="5">
        <f t="shared" si="2"/>
        <v>1</v>
      </c>
      <c r="T264" s="5" t="str">
        <f ca="1">IFERROR(__xludf.DUMMYFUNCTION("QUERY(transpose(A264:R264),""Select Col1 where Col1 is not null limit 1"",0)"),"Gerald Everett")</f>
        <v>Gerald Everett</v>
      </c>
      <c r="U264" s="32" t="e">
        <f t="shared" ca="1" si="3"/>
        <v>#NAME?</v>
      </c>
    </row>
    <row r="265" spans="1:21" ht="12.75" x14ac:dyDescent="0.2">
      <c r="A265" s="5" t="s">
        <v>298</v>
      </c>
      <c r="B265" s="5" t="s">
        <v>298</v>
      </c>
      <c r="C265" s="5" t="s">
        <v>298</v>
      </c>
      <c r="D265" s="5" t="s">
        <v>298</v>
      </c>
      <c r="E265" s="5" t="s">
        <v>298</v>
      </c>
      <c r="F265" s="5" t="s">
        <v>298</v>
      </c>
      <c r="G265" s="5" t="s">
        <v>298</v>
      </c>
      <c r="H265" s="5" t="s">
        <v>298</v>
      </c>
      <c r="I265" s="5" t="s">
        <v>298</v>
      </c>
      <c r="J265" s="5" t="s">
        <v>298</v>
      </c>
      <c r="K265" s="5" t="s">
        <v>298</v>
      </c>
      <c r="L265" s="5" t="s">
        <v>298</v>
      </c>
      <c r="M265" s="5" t="s">
        <v>298</v>
      </c>
      <c r="N265" s="5" t="s">
        <v>298</v>
      </c>
      <c r="O265" s="5" t="s">
        <v>298</v>
      </c>
      <c r="P265" s="5" t="s">
        <v>298</v>
      </c>
      <c r="Q265" s="5" t="s">
        <v>298</v>
      </c>
      <c r="R265" s="5" t="s">
        <v>298</v>
      </c>
      <c r="S265" s="5">
        <f t="shared" si="2"/>
        <v>1</v>
      </c>
      <c r="T265" s="5" t="str">
        <f ca="1">IFERROR(__xludf.DUMMYFUNCTION("QUERY(transpose(A265:R265),""Select Col1 where Col1 is not null limit 1"",0)"),"George Kittle")</f>
        <v>George Kittle</v>
      </c>
      <c r="U265" s="32" t="e">
        <f t="shared" ca="1" si="3"/>
        <v>#NAME?</v>
      </c>
    </row>
    <row r="266" spans="1:21" ht="12.75" x14ac:dyDescent="0.2">
      <c r="A266" s="5" t="s">
        <v>299</v>
      </c>
      <c r="B266" s="5" t="s">
        <v>299</v>
      </c>
      <c r="C266" s="5" t="s">
        <v>299</v>
      </c>
      <c r="D266" s="5" t="s">
        <v>299</v>
      </c>
      <c r="E266" s="5" t="s">
        <v>299</v>
      </c>
      <c r="F266" s="5" t="s">
        <v>299</v>
      </c>
      <c r="G266" s="5" t="s">
        <v>299</v>
      </c>
      <c r="H266" s="5" t="s">
        <v>299</v>
      </c>
      <c r="I266" s="5" t="s">
        <v>299</v>
      </c>
      <c r="J266" s="5" t="s">
        <v>299</v>
      </c>
      <c r="K266" s="5" t="s">
        <v>299</v>
      </c>
      <c r="L266" s="5" t="s">
        <v>299</v>
      </c>
      <c r="M266" s="5" t="s">
        <v>299</v>
      </c>
      <c r="N266" s="5" t="s">
        <v>299</v>
      </c>
      <c r="O266" s="5" t="s">
        <v>299</v>
      </c>
      <c r="P266" s="5" t="s">
        <v>299</v>
      </c>
      <c r="Q266" s="5" t="s">
        <v>299</v>
      </c>
      <c r="R266" s="5" t="s">
        <v>299</v>
      </c>
      <c r="S266" s="5">
        <f t="shared" si="2"/>
        <v>1</v>
      </c>
      <c r="T266" s="5" t="str">
        <f ca="1">IFERROR(__xludf.DUMMYFUNCTION("QUERY(transpose(A266:R266),""Select Col1 where Col1 is not null limit 1"",0)"),"Trey McBride")</f>
        <v>Trey McBride</v>
      </c>
      <c r="U266" s="32" t="e">
        <f t="shared" ca="1" si="3"/>
        <v>#NAME?</v>
      </c>
    </row>
    <row r="267" spans="1:21" ht="12.75" x14ac:dyDescent="0.2">
      <c r="A267" s="5" t="s">
        <v>300</v>
      </c>
      <c r="B267" s="5" t="s">
        <v>300</v>
      </c>
      <c r="C267" s="5" t="s">
        <v>300</v>
      </c>
      <c r="D267" s="5" t="s">
        <v>300</v>
      </c>
      <c r="E267" s="5" t="s">
        <v>300</v>
      </c>
      <c r="F267" s="5" t="s">
        <v>300</v>
      </c>
      <c r="G267" s="5" t="s">
        <v>300</v>
      </c>
      <c r="H267" s="5" t="s">
        <v>300</v>
      </c>
      <c r="I267" s="5" t="s">
        <v>300</v>
      </c>
      <c r="J267" s="5" t="s">
        <v>300</v>
      </c>
      <c r="K267" s="5" t="s">
        <v>300</v>
      </c>
      <c r="L267" s="5" t="s">
        <v>300</v>
      </c>
      <c r="M267" s="5" t="s">
        <v>300</v>
      </c>
      <c r="N267" s="5" t="s">
        <v>300</v>
      </c>
      <c r="O267" s="5" t="s">
        <v>300</v>
      </c>
      <c r="P267" s="5" t="s">
        <v>300</v>
      </c>
      <c r="Q267" s="5" t="s">
        <v>300</v>
      </c>
      <c r="R267" s="5" t="s">
        <v>300</v>
      </c>
      <c r="S267" s="5">
        <f t="shared" si="2"/>
        <v>1</v>
      </c>
      <c r="T267" s="5" t="str">
        <f ca="1">IFERROR(__xludf.DUMMYFUNCTION("QUERY(transpose(A267:R267),""Select Col1 where Col1 is not null limit 1"",0)"),"David Njoku")</f>
        <v>David Njoku</v>
      </c>
      <c r="U267" s="32" t="e">
        <f t="shared" ca="1" si="3"/>
        <v>#NAME?</v>
      </c>
    </row>
    <row r="268" spans="1:21" ht="12.75" x14ac:dyDescent="0.2">
      <c r="A268" s="5" t="s">
        <v>301</v>
      </c>
      <c r="B268" s="5" t="s">
        <v>301</v>
      </c>
      <c r="C268" s="5" t="s">
        <v>301</v>
      </c>
      <c r="D268" s="5" t="s">
        <v>301</v>
      </c>
      <c r="E268" s="5" t="s">
        <v>301</v>
      </c>
      <c r="F268" s="5" t="s">
        <v>301</v>
      </c>
      <c r="G268" s="5" t="s">
        <v>301</v>
      </c>
      <c r="H268" s="5" t="s">
        <v>301</v>
      </c>
      <c r="I268" s="5" t="s">
        <v>301</v>
      </c>
      <c r="J268" s="5" t="s">
        <v>301</v>
      </c>
      <c r="K268" s="5" t="s">
        <v>301</v>
      </c>
      <c r="L268" s="5" t="s">
        <v>301</v>
      </c>
      <c r="M268" s="5" t="s">
        <v>301</v>
      </c>
      <c r="N268" s="5" t="s">
        <v>301</v>
      </c>
      <c r="O268" s="5" t="s">
        <v>301</v>
      </c>
      <c r="P268" s="5" t="s">
        <v>301</v>
      </c>
      <c r="Q268" s="5" t="s">
        <v>301</v>
      </c>
      <c r="R268" s="5" t="s">
        <v>301</v>
      </c>
      <c r="S268" s="5">
        <f t="shared" si="2"/>
        <v>1</v>
      </c>
      <c r="T268" s="5" t="str">
        <f ca="1">IFERROR(__xludf.DUMMYFUNCTION("QUERY(transpose(A268:R268),""Select Col1 where Col1 is not null limit 1"",0)"),"Irv Smith")</f>
        <v>Irv Smith</v>
      </c>
      <c r="U268" s="32" t="e">
        <f t="shared" ca="1" si="3"/>
        <v>#NAME?</v>
      </c>
    </row>
    <row r="269" spans="1:21" ht="12.75" x14ac:dyDescent="0.2">
      <c r="A269" s="5" t="s">
        <v>302</v>
      </c>
      <c r="B269" s="5" t="s">
        <v>302</v>
      </c>
      <c r="C269" s="5" t="s">
        <v>302</v>
      </c>
      <c r="D269" s="5" t="s">
        <v>302</v>
      </c>
      <c r="E269" s="5" t="s">
        <v>302</v>
      </c>
      <c r="F269" s="5" t="s">
        <v>302</v>
      </c>
      <c r="G269" s="5" t="s">
        <v>302</v>
      </c>
      <c r="H269" s="5" t="s">
        <v>302</v>
      </c>
      <c r="I269" s="5" t="s">
        <v>302</v>
      </c>
      <c r="J269" s="5" t="s">
        <v>302</v>
      </c>
      <c r="K269" s="5" t="s">
        <v>302</v>
      </c>
      <c r="L269" s="5" t="s">
        <v>302</v>
      </c>
      <c r="M269" s="5" t="s">
        <v>302</v>
      </c>
      <c r="N269" s="5" t="s">
        <v>302</v>
      </c>
      <c r="O269" s="5" t="s">
        <v>302</v>
      </c>
      <c r="P269" s="5" t="s">
        <v>302</v>
      </c>
      <c r="Q269" s="5" t="s">
        <v>302</v>
      </c>
      <c r="R269" s="5" t="s">
        <v>302</v>
      </c>
      <c r="S269" s="5">
        <f t="shared" si="2"/>
        <v>1</v>
      </c>
      <c r="T269" s="5" t="str">
        <f ca="1">IFERROR(__xludf.DUMMYFUNCTION("QUERY(transpose(A269:R269),""Select Col1 where Col1 is not null limit 1"",0)"),"Lawrence Cager")</f>
        <v>Lawrence Cager</v>
      </c>
      <c r="U269" s="32" t="e">
        <f t="shared" ca="1" si="3"/>
        <v>#NAME?</v>
      </c>
    </row>
    <row r="270" spans="1:21" ht="12.75" x14ac:dyDescent="0.2">
      <c r="A270" s="5" t="s">
        <v>303</v>
      </c>
      <c r="B270" s="5" t="s">
        <v>303</v>
      </c>
      <c r="C270" s="5" t="s">
        <v>303</v>
      </c>
      <c r="D270" s="5" t="s">
        <v>303</v>
      </c>
      <c r="E270" s="5" t="s">
        <v>303</v>
      </c>
      <c r="F270" s="5" t="s">
        <v>303</v>
      </c>
      <c r="G270" s="5" t="s">
        <v>303</v>
      </c>
      <c r="H270" s="5" t="s">
        <v>303</v>
      </c>
      <c r="I270" s="5" t="s">
        <v>303</v>
      </c>
      <c r="J270" s="5" t="s">
        <v>303</v>
      </c>
      <c r="K270" s="5" t="s">
        <v>303</v>
      </c>
      <c r="L270" s="5" t="s">
        <v>303</v>
      </c>
      <c r="M270" s="5" t="s">
        <v>303</v>
      </c>
      <c r="N270" s="5" t="s">
        <v>303</v>
      </c>
      <c r="O270" s="5" t="s">
        <v>303</v>
      </c>
      <c r="P270" s="5" t="s">
        <v>303</v>
      </c>
      <c r="Q270" s="5" t="s">
        <v>303</v>
      </c>
      <c r="R270" s="5" t="s">
        <v>303</v>
      </c>
      <c r="S270" s="5">
        <f t="shared" si="2"/>
        <v>1</v>
      </c>
      <c r="T270" s="5" t="str">
        <f ca="1">IFERROR(__xludf.DUMMYFUNCTION("QUERY(transpose(A270:R270),""Select Col1 where Col1 is not null limit 1"",0)"),"Will Dissly")</f>
        <v>Will Dissly</v>
      </c>
      <c r="U270" s="32" t="e">
        <f t="shared" ca="1" si="3"/>
        <v>#NAME?</v>
      </c>
    </row>
    <row r="271" spans="1:21" ht="12.75" x14ac:dyDescent="0.2">
      <c r="A271" s="5" t="s">
        <v>304</v>
      </c>
      <c r="B271" s="5" t="s">
        <v>304</v>
      </c>
      <c r="C271" s="5" t="s">
        <v>304</v>
      </c>
      <c r="D271" s="5" t="s">
        <v>304</v>
      </c>
      <c r="E271" s="5" t="s">
        <v>304</v>
      </c>
      <c r="F271" s="5" t="s">
        <v>304</v>
      </c>
      <c r="G271" s="5" t="s">
        <v>304</v>
      </c>
      <c r="H271" s="5" t="s">
        <v>304</v>
      </c>
      <c r="I271" s="5" t="s">
        <v>304</v>
      </c>
      <c r="J271" s="5" t="s">
        <v>304</v>
      </c>
      <c r="K271" s="5" t="s">
        <v>304</v>
      </c>
      <c r="L271" s="5" t="s">
        <v>304</v>
      </c>
      <c r="M271" s="5" t="s">
        <v>304</v>
      </c>
      <c r="N271" s="5" t="s">
        <v>304</v>
      </c>
      <c r="O271" s="5" t="s">
        <v>304</v>
      </c>
      <c r="P271" s="5" t="s">
        <v>304</v>
      </c>
      <c r="Q271" s="5" t="s">
        <v>304</v>
      </c>
      <c r="R271" s="5" t="s">
        <v>304</v>
      </c>
      <c r="S271" s="5">
        <f t="shared" si="2"/>
        <v>1</v>
      </c>
      <c r="T271" s="5" t="str">
        <f ca="1">IFERROR(__xludf.DUMMYFUNCTION("QUERY(transpose(A271:R271),""Select Col1 where Col1 is not null limit 1"",0)"),"Jake Ferguson")</f>
        <v>Jake Ferguson</v>
      </c>
      <c r="U271" s="32" t="e">
        <f t="shared" ca="1" si="3"/>
        <v>#NAME?</v>
      </c>
    </row>
    <row r="272" spans="1:21" ht="12.75" x14ac:dyDescent="0.2">
      <c r="A272" s="5" t="s">
        <v>305</v>
      </c>
      <c r="B272" s="5" t="s">
        <v>305</v>
      </c>
      <c r="C272" s="5" t="s">
        <v>305</v>
      </c>
      <c r="D272" s="5" t="s">
        <v>305</v>
      </c>
      <c r="E272" s="5" t="s">
        <v>305</v>
      </c>
      <c r="F272" s="5" t="s">
        <v>305</v>
      </c>
      <c r="G272" s="5" t="s">
        <v>305</v>
      </c>
      <c r="H272" s="5" t="s">
        <v>305</v>
      </c>
      <c r="I272" s="5" t="s">
        <v>305</v>
      </c>
      <c r="J272" s="5" t="s">
        <v>305</v>
      </c>
      <c r="K272" s="5" t="s">
        <v>305</v>
      </c>
      <c r="L272" s="5" t="s">
        <v>305</v>
      </c>
      <c r="M272" s="5" t="s">
        <v>305</v>
      </c>
      <c r="N272" s="5" t="s">
        <v>305</v>
      </c>
      <c r="O272" s="5" t="s">
        <v>305</v>
      </c>
      <c r="P272" s="5" t="s">
        <v>305</v>
      </c>
      <c r="Q272" s="5" t="s">
        <v>305</v>
      </c>
      <c r="R272" s="5" t="s">
        <v>305</v>
      </c>
      <c r="S272" s="5">
        <f t="shared" si="2"/>
        <v>1</v>
      </c>
      <c r="T272" s="5" t="str">
        <f ca="1">IFERROR(__xludf.DUMMYFUNCTION("QUERY(transpose(A272:R272),""Select Col1 where Col1 is not null limit 1"",0)"),"Connor Heyward")</f>
        <v>Connor Heyward</v>
      </c>
      <c r="U272" s="32" t="e">
        <f t="shared" ca="1" si="3"/>
        <v>#NAME?</v>
      </c>
    </row>
    <row r="273" spans="1:21" ht="12.75" x14ac:dyDescent="0.2">
      <c r="A273" s="5" t="s">
        <v>306</v>
      </c>
      <c r="B273" s="5" t="s">
        <v>306</v>
      </c>
      <c r="C273" s="5" t="s">
        <v>306</v>
      </c>
      <c r="D273" s="5" t="s">
        <v>306</v>
      </c>
      <c r="E273" s="5" t="s">
        <v>306</v>
      </c>
      <c r="F273" s="5" t="s">
        <v>306</v>
      </c>
      <c r="G273" s="5" t="s">
        <v>306</v>
      </c>
      <c r="H273" s="5" t="s">
        <v>306</v>
      </c>
      <c r="I273" s="5" t="s">
        <v>306</v>
      </c>
      <c r="J273" s="5" t="s">
        <v>306</v>
      </c>
      <c r="K273" s="5" t="s">
        <v>306</v>
      </c>
      <c r="L273" s="5" t="s">
        <v>306</v>
      </c>
      <c r="M273" s="5" t="s">
        <v>306</v>
      </c>
      <c r="N273" s="5" t="s">
        <v>306</v>
      </c>
      <c r="O273" s="5" t="s">
        <v>306</v>
      </c>
      <c r="P273" s="5" t="s">
        <v>306</v>
      </c>
      <c r="Q273" s="5" t="s">
        <v>306</v>
      </c>
      <c r="R273" s="5" t="s">
        <v>306</v>
      </c>
      <c r="S273" s="5">
        <f t="shared" si="2"/>
        <v>1</v>
      </c>
      <c r="T273" s="5" t="str">
        <f ca="1">IFERROR(__xludf.DUMMYFUNCTION("QUERY(transpose(A273:R273),""Select Col1 where Col1 is not null limit 1"",0)"),"Austin Hooper")</f>
        <v>Austin Hooper</v>
      </c>
      <c r="U273" s="32" t="e">
        <f t="shared" ca="1" si="3"/>
        <v>#NAME?</v>
      </c>
    </row>
    <row r="274" spans="1:21" ht="12.75" x14ac:dyDescent="0.2">
      <c r="A274" s="5" t="s">
        <v>307</v>
      </c>
      <c r="B274" s="5" t="s">
        <v>307</v>
      </c>
      <c r="C274" s="5" t="s">
        <v>307</v>
      </c>
      <c r="D274" s="5" t="s">
        <v>307</v>
      </c>
      <c r="E274" s="5" t="s">
        <v>307</v>
      </c>
      <c r="F274" s="5" t="s">
        <v>307</v>
      </c>
      <c r="G274" s="5" t="s">
        <v>307</v>
      </c>
      <c r="H274" s="5" t="s">
        <v>307</v>
      </c>
      <c r="I274" s="5" t="s">
        <v>307</v>
      </c>
      <c r="J274" s="5" t="s">
        <v>307</v>
      </c>
      <c r="K274" s="5" t="s">
        <v>307</v>
      </c>
      <c r="L274" s="5" t="s">
        <v>307</v>
      </c>
      <c r="M274" s="5" t="s">
        <v>307</v>
      </c>
      <c r="N274" s="5" t="s">
        <v>307</v>
      </c>
      <c r="O274" s="5" t="s">
        <v>307</v>
      </c>
      <c r="P274" s="5" t="s">
        <v>307</v>
      </c>
      <c r="Q274" s="5" t="s">
        <v>307</v>
      </c>
      <c r="R274" s="5" t="s">
        <v>307</v>
      </c>
      <c r="S274" s="5">
        <f t="shared" si="2"/>
        <v>1</v>
      </c>
      <c r="T274" s="5" t="str">
        <f ca="1">IFERROR(__xludf.DUMMYFUNCTION("QUERY(transpose(A274:R274),""Select Col1 where Col1 is not null limit 1"",0)"),"Brycen Hopkins")</f>
        <v>Brycen Hopkins</v>
      </c>
      <c r="U274" s="32" t="e">
        <f t="shared" ca="1" si="3"/>
        <v>#NAME?</v>
      </c>
    </row>
    <row r="275" spans="1:21" ht="12.75" x14ac:dyDescent="0.2">
      <c r="A275" s="5" t="s">
        <v>308</v>
      </c>
      <c r="B275" s="5" t="s">
        <v>308</v>
      </c>
      <c r="C275" s="5" t="s">
        <v>308</v>
      </c>
      <c r="D275" s="5" t="s">
        <v>308</v>
      </c>
      <c r="E275" s="5" t="s">
        <v>308</v>
      </c>
      <c r="F275" s="5" t="s">
        <v>308</v>
      </c>
      <c r="G275" s="5" t="s">
        <v>308</v>
      </c>
      <c r="H275" s="5" t="s">
        <v>308</v>
      </c>
      <c r="I275" s="5" t="s">
        <v>308</v>
      </c>
      <c r="J275" s="5" t="s">
        <v>308</v>
      </c>
      <c r="K275" s="5" t="s">
        <v>308</v>
      </c>
      <c r="L275" s="5" t="s">
        <v>308</v>
      </c>
      <c r="M275" s="5" t="s">
        <v>308</v>
      </c>
      <c r="N275" s="5" t="s">
        <v>308</v>
      </c>
      <c r="O275" s="5" t="s">
        <v>308</v>
      </c>
      <c r="P275" s="5" t="s">
        <v>308</v>
      </c>
      <c r="Q275" s="5" t="s">
        <v>308</v>
      </c>
      <c r="R275" s="5" t="s">
        <v>308</v>
      </c>
      <c r="S275" s="5">
        <f t="shared" si="2"/>
        <v>1</v>
      </c>
      <c r="T275" s="5" t="str">
        <f ca="1">IFERROR(__xludf.DUMMYFUNCTION("QUERY(transpose(A275:R275),""Select Col1 where Col1 is not null limit 1"",0)"),"Andrew Ogletree")</f>
        <v>Andrew Ogletree</v>
      </c>
      <c r="U275" s="32" t="e">
        <f t="shared" ca="1" si="3"/>
        <v>#NAME?</v>
      </c>
    </row>
    <row r="276" spans="1:21" ht="12.75" x14ac:dyDescent="0.2">
      <c r="A276" s="5" t="s">
        <v>309</v>
      </c>
      <c r="B276" s="5" t="s">
        <v>309</v>
      </c>
      <c r="C276" s="5" t="s">
        <v>309</v>
      </c>
      <c r="D276" s="5" t="s">
        <v>309</v>
      </c>
      <c r="E276" s="5" t="s">
        <v>309</v>
      </c>
      <c r="F276" s="5" t="s">
        <v>309</v>
      </c>
      <c r="G276" s="5" t="s">
        <v>309</v>
      </c>
      <c r="H276" s="5" t="s">
        <v>309</v>
      </c>
      <c r="I276" s="5" t="s">
        <v>309</v>
      </c>
      <c r="J276" s="5" t="s">
        <v>309</v>
      </c>
      <c r="K276" s="5" t="s">
        <v>309</v>
      </c>
      <c r="L276" s="5" t="s">
        <v>309</v>
      </c>
      <c r="M276" s="5" t="s">
        <v>309</v>
      </c>
      <c r="N276" s="5" t="s">
        <v>309</v>
      </c>
      <c r="O276" s="5" t="s">
        <v>309</v>
      </c>
      <c r="P276" s="5" t="s">
        <v>309</v>
      </c>
      <c r="Q276" s="5" t="s">
        <v>309</v>
      </c>
      <c r="R276" s="5" t="s">
        <v>309</v>
      </c>
      <c r="S276" s="5">
        <f t="shared" si="2"/>
        <v>1</v>
      </c>
      <c r="T276" s="5" t="str">
        <f ca="1">IFERROR(__xludf.DUMMYFUNCTION("QUERY(transpose(A276:R276),""Select Col1 where Col1 is not null limit 1"",0)"),"Cade Otton")</f>
        <v>Cade Otton</v>
      </c>
      <c r="U276" s="32" t="e">
        <f t="shared" ca="1" si="3"/>
        <v>#NAME?</v>
      </c>
    </row>
    <row r="277" spans="1:21" ht="12.75" x14ac:dyDescent="0.2">
      <c r="A277" s="5" t="s">
        <v>310</v>
      </c>
      <c r="B277" s="5" t="s">
        <v>310</v>
      </c>
      <c r="C277" s="5" t="s">
        <v>310</v>
      </c>
      <c r="D277" s="5" t="s">
        <v>310</v>
      </c>
      <c r="E277" s="5" t="s">
        <v>310</v>
      </c>
      <c r="F277" s="5" t="s">
        <v>310</v>
      </c>
      <c r="G277" s="5" t="s">
        <v>310</v>
      </c>
      <c r="H277" s="5" t="s">
        <v>310</v>
      </c>
      <c r="I277" s="5" t="s">
        <v>310</v>
      </c>
      <c r="J277" s="5" t="s">
        <v>310</v>
      </c>
      <c r="K277" s="5" t="s">
        <v>310</v>
      </c>
      <c r="L277" s="5" t="s">
        <v>310</v>
      </c>
      <c r="M277" s="5" t="s">
        <v>310</v>
      </c>
      <c r="N277" s="5" t="s">
        <v>310</v>
      </c>
      <c r="O277" s="5" t="s">
        <v>310</v>
      </c>
      <c r="P277" s="5" t="s">
        <v>310</v>
      </c>
      <c r="Q277" s="5" t="s">
        <v>310</v>
      </c>
      <c r="R277" s="5" t="s">
        <v>310</v>
      </c>
      <c r="S277" s="5">
        <f t="shared" si="2"/>
        <v>1</v>
      </c>
      <c r="T277" s="5" t="str">
        <f ca="1">IFERROR(__xludf.DUMMYFUNCTION("QUERY(transpose(A277:R277),""Select Col1 where Col1 is not null limit 1"",0)"),"Brock Wright")</f>
        <v>Brock Wright</v>
      </c>
      <c r="U277" s="32" t="e">
        <f t="shared" ca="1" si="3"/>
        <v>#NAME?</v>
      </c>
    </row>
    <row r="278" spans="1:21" ht="12.75" x14ac:dyDescent="0.2">
      <c r="A278" s="5" t="s">
        <v>311</v>
      </c>
      <c r="B278" s="5" t="s">
        <v>311</v>
      </c>
      <c r="C278" s="5" t="s">
        <v>311</v>
      </c>
      <c r="D278" s="5" t="s">
        <v>311</v>
      </c>
      <c r="E278" s="5" t="s">
        <v>311</v>
      </c>
      <c r="F278" s="5" t="s">
        <v>311</v>
      </c>
      <c r="G278" s="5" t="s">
        <v>311</v>
      </c>
      <c r="H278" s="5" t="s">
        <v>311</v>
      </c>
      <c r="I278" s="5" t="s">
        <v>311</v>
      </c>
      <c r="J278" s="5" t="s">
        <v>311</v>
      </c>
      <c r="K278" s="5" t="s">
        <v>311</v>
      </c>
      <c r="L278" s="5" t="s">
        <v>311</v>
      </c>
      <c r="M278" s="5" t="s">
        <v>311</v>
      </c>
      <c r="N278" s="5" t="s">
        <v>311</v>
      </c>
      <c r="O278" s="5" t="s">
        <v>311</v>
      </c>
      <c r="P278" s="5" t="s">
        <v>311</v>
      </c>
      <c r="Q278" s="5" t="s">
        <v>311</v>
      </c>
      <c r="R278" s="5" t="s">
        <v>311</v>
      </c>
      <c r="S278" s="5">
        <f t="shared" si="2"/>
        <v>1</v>
      </c>
      <c r="T278" s="5" t="str">
        <f ca="1">IFERROR(__xludf.DUMMYFUNCTION("QUERY(transpose(A278:R278),""Select Col1 where Col1 is not null limit 1"",0)"),"Jordan Akins")</f>
        <v>Jordan Akins</v>
      </c>
      <c r="U278" s="32" t="e">
        <f t="shared" ca="1" si="3"/>
        <v>#NAME?</v>
      </c>
    </row>
    <row r="279" spans="1:21" ht="12.75" x14ac:dyDescent="0.2">
      <c r="A279" s="5" t="s">
        <v>312</v>
      </c>
      <c r="B279" s="5" t="s">
        <v>312</v>
      </c>
      <c r="C279" s="5" t="s">
        <v>312</v>
      </c>
      <c r="D279" s="5" t="s">
        <v>312</v>
      </c>
      <c r="E279" s="5" t="s">
        <v>312</v>
      </c>
      <c r="F279" s="5" t="s">
        <v>312</v>
      </c>
      <c r="G279" s="5" t="s">
        <v>312</v>
      </c>
      <c r="H279" s="5" t="s">
        <v>312</v>
      </c>
      <c r="I279" s="5" t="s">
        <v>312</v>
      </c>
      <c r="J279" s="5" t="s">
        <v>312</v>
      </c>
      <c r="K279" s="5" t="s">
        <v>312</v>
      </c>
      <c r="L279" s="5" t="s">
        <v>312</v>
      </c>
      <c r="M279" s="5" t="s">
        <v>312</v>
      </c>
      <c r="N279" s="5" t="s">
        <v>312</v>
      </c>
      <c r="O279" s="5" t="s">
        <v>312</v>
      </c>
      <c r="P279" s="5" t="s">
        <v>312</v>
      </c>
      <c r="Q279" s="5" t="s">
        <v>312</v>
      </c>
      <c r="R279" s="5" t="s">
        <v>312</v>
      </c>
      <c r="S279" s="5">
        <f t="shared" si="2"/>
        <v>1</v>
      </c>
      <c r="T279" s="5" t="str">
        <f ca="1">IFERROR(__xludf.DUMMYFUNCTION("QUERY(transpose(A279:R279),""Select Col1 where Col1 is not null limit 1"",0)"),"Teagan Quitoriano")</f>
        <v>Teagan Quitoriano</v>
      </c>
      <c r="U279" s="32" t="e">
        <f t="shared" ca="1" si="3"/>
        <v>#NAME?</v>
      </c>
    </row>
    <row r="280" spans="1:21" ht="12.75" x14ac:dyDescent="0.2">
      <c r="A280" s="5" t="s">
        <v>313</v>
      </c>
      <c r="B280" s="5" t="s">
        <v>313</v>
      </c>
      <c r="C280" s="5" t="s">
        <v>313</v>
      </c>
      <c r="D280" s="5" t="s">
        <v>313</v>
      </c>
      <c r="E280" s="5" t="s">
        <v>313</v>
      </c>
      <c r="F280" s="5" t="s">
        <v>313</v>
      </c>
      <c r="G280" s="5" t="s">
        <v>313</v>
      </c>
      <c r="H280" s="5" t="s">
        <v>313</v>
      </c>
      <c r="I280" s="5" t="s">
        <v>313</v>
      </c>
      <c r="J280" s="5" t="s">
        <v>313</v>
      </c>
      <c r="K280" s="5" t="s">
        <v>313</v>
      </c>
      <c r="L280" s="5" t="s">
        <v>313</v>
      </c>
      <c r="M280" s="5" t="s">
        <v>313</v>
      </c>
      <c r="N280" s="5" t="s">
        <v>313</v>
      </c>
      <c r="O280" s="5" t="s">
        <v>313</v>
      </c>
      <c r="P280" s="5" t="s">
        <v>313</v>
      </c>
      <c r="Q280" s="5" t="s">
        <v>313</v>
      </c>
      <c r="R280" s="5" t="s">
        <v>313</v>
      </c>
      <c r="S280" s="5">
        <f t="shared" si="2"/>
        <v>1</v>
      </c>
      <c r="T280" s="5" t="str">
        <f ca="1">IFERROR(__xludf.DUMMYFUNCTION("QUERY(transpose(A280:R280),""Select Col1 where Col1 is not null limit 1"",0)"),"Dalton Schultz")</f>
        <v>Dalton Schultz</v>
      </c>
      <c r="U280" s="32" t="e">
        <f t="shared" ca="1" si="3"/>
        <v>#NAME?</v>
      </c>
    </row>
    <row r="281" spans="1:21" ht="12.75" x14ac:dyDescent="0.2">
      <c r="A281" s="5" t="s">
        <v>314</v>
      </c>
      <c r="B281" s="5" t="s">
        <v>314</v>
      </c>
      <c r="C281" s="5" t="s">
        <v>314</v>
      </c>
      <c r="D281" s="5" t="s">
        <v>314</v>
      </c>
      <c r="E281" s="5" t="s">
        <v>314</v>
      </c>
      <c r="F281" s="5" t="s">
        <v>314</v>
      </c>
      <c r="G281" s="5" t="s">
        <v>314</v>
      </c>
      <c r="H281" s="5" t="s">
        <v>314</v>
      </c>
      <c r="I281" s="5" t="s">
        <v>314</v>
      </c>
      <c r="J281" s="5" t="s">
        <v>314</v>
      </c>
      <c r="K281" s="5" t="s">
        <v>314</v>
      </c>
      <c r="L281" s="5" t="s">
        <v>314</v>
      </c>
      <c r="M281" s="5" t="s">
        <v>314</v>
      </c>
      <c r="N281" s="5" t="s">
        <v>314</v>
      </c>
      <c r="O281" s="5" t="s">
        <v>314</v>
      </c>
      <c r="P281" s="5" t="s">
        <v>314</v>
      </c>
      <c r="Q281" s="5" t="s">
        <v>314</v>
      </c>
      <c r="R281" s="5" t="s">
        <v>314</v>
      </c>
      <c r="S281" s="5">
        <f t="shared" si="2"/>
        <v>1</v>
      </c>
      <c r="T281" s="5" t="str">
        <f ca="1">IFERROR(__xludf.DUMMYFUNCTION("QUERY(transpose(A281:R281),""Select Col1 where Col1 is not null limit 1"",0)"),"Cole Turner")</f>
        <v>Cole Turner</v>
      </c>
      <c r="U281" s="32" t="e">
        <f t="shared" ca="1" si="3"/>
        <v>#NAME?</v>
      </c>
    </row>
    <row r="282" spans="1:21" ht="12.75" x14ac:dyDescent="0.2">
      <c r="A282" s="5" t="s">
        <v>315</v>
      </c>
      <c r="B282" s="5" t="s">
        <v>315</v>
      </c>
      <c r="C282" s="5" t="s">
        <v>315</v>
      </c>
      <c r="D282" s="5" t="s">
        <v>315</v>
      </c>
      <c r="E282" s="5" t="s">
        <v>315</v>
      </c>
      <c r="F282" s="5" t="s">
        <v>315</v>
      </c>
      <c r="G282" s="5" t="s">
        <v>315</v>
      </c>
      <c r="H282" s="5" t="s">
        <v>315</v>
      </c>
      <c r="I282" s="5" t="s">
        <v>315</v>
      </c>
      <c r="J282" s="5" t="s">
        <v>315</v>
      </c>
      <c r="K282" s="5" t="s">
        <v>315</v>
      </c>
      <c r="L282" s="5" t="s">
        <v>315</v>
      </c>
      <c r="M282" s="5" t="s">
        <v>315</v>
      </c>
      <c r="N282" s="5" t="s">
        <v>315</v>
      </c>
      <c r="O282" s="5" t="s">
        <v>315</v>
      </c>
      <c r="P282" s="5" t="s">
        <v>315</v>
      </c>
      <c r="Q282" s="5" t="s">
        <v>315</v>
      </c>
      <c r="R282" s="5" t="s">
        <v>315</v>
      </c>
      <c r="S282" s="5">
        <f t="shared" si="2"/>
        <v>1</v>
      </c>
      <c r="T282" s="5" t="str">
        <f ca="1">IFERROR(__xludf.DUMMYFUNCTION("QUERY(transpose(A282:R282),""Select Col1 where Col1 is not null limit 1"",0)"),"Daniel Bellinger")</f>
        <v>Daniel Bellinger</v>
      </c>
      <c r="U282" s="32" t="e">
        <f t="shared" ca="1" si="3"/>
        <v>#NAME?</v>
      </c>
    </row>
    <row r="283" spans="1:21" ht="12.75" x14ac:dyDescent="0.2">
      <c r="A283" s="5" t="s">
        <v>316</v>
      </c>
      <c r="B283" s="5" t="s">
        <v>316</v>
      </c>
      <c r="C283" s="5" t="s">
        <v>316</v>
      </c>
      <c r="D283" s="5" t="s">
        <v>316</v>
      </c>
      <c r="E283" s="5" t="s">
        <v>316</v>
      </c>
      <c r="F283" s="5" t="s">
        <v>316</v>
      </c>
      <c r="G283" s="5" t="s">
        <v>316</v>
      </c>
      <c r="H283" s="5" t="s">
        <v>316</v>
      </c>
      <c r="I283" s="5" t="s">
        <v>316</v>
      </c>
      <c r="J283" s="5" t="s">
        <v>316</v>
      </c>
      <c r="K283" s="5" t="s">
        <v>316</v>
      </c>
      <c r="L283" s="5" t="s">
        <v>316</v>
      </c>
      <c r="M283" s="5" t="s">
        <v>316</v>
      </c>
      <c r="N283" s="5" t="s">
        <v>316</v>
      </c>
      <c r="O283" s="5" t="s">
        <v>316</v>
      </c>
      <c r="P283" s="5" t="s">
        <v>316</v>
      </c>
      <c r="Q283" s="5" t="s">
        <v>316</v>
      </c>
      <c r="R283" s="5" t="s">
        <v>316</v>
      </c>
      <c r="S283" s="5">
        <f t="shared" si="2"/>
        <v>1</v>
      </c>
      <c r="T283" s="5" t="str">
        <f ca="1">IFERROR(__xludf.DUMMYFUNCTION("QUERY(transpose(A283:R283),""Select Col1 where Col1 is not null limit 1"",0)"),"Tyler Conklin")</f>
        <v>Tyler Conklin</v>
      </c>
      <c r="U283" s="32" t="e">
        <f t="shared" ca="1" si="3"/>
        <v>#NAME?</v>
      </c>
    </row>
    <row r="284" spans="1:21" ht="12.75" x14ac:dyDescent="0.2">
      <c r="A284" s="5" t="s">
        <v>317</v>
      </c>
      <c r="B284" s="5" t="s">
        <v>317</v>
      </c>
      <c r="C284" s="5" t="s">
        <v>317</v>
      </c>
      <c r="D284" s="5" t="s">
        <v>317</v>
      </c>
      <c r="E284" s="5" t="s">
        <v>317</v>
      </c>
      <c r="F284" s="5" t="s">
        <v>317</v>
      </c>
      <c r="G284" s="5" t="s">
        <v>317</v>
      </c>
      <c r="H284" s="5" t="s">
        <v>317</v>
      </c>
      <c r="I284" s="5" t="s">
        <v>317</v>
      </c>
      <c r="J284" s="5" t="s">
        <v>317</v>
      </c>
      <c r="K284" s="5" t="s">
        <v>317</v>
      </c>
      <c r="L284" s="5" t="s">
        <v>317</v>
      </c>
      <c r="M284" s="5" t="s">
        <v>317</v>
      </c>
      <c r="N284" s="5" t="s">
        <v>317</v>
      </c>
      <c r="O284" s="5" t="s">
        <v>317</v>
      </c>
      <c r="P284" s="5" t="s">
        <v>317</v>
      </c>
      <c r="Q284" s="5" t="s">
        <v>317</v>
      </c>
      <c r="R284" s="5" t="s">
        <v>317</v>
      </c>
      <c r="S284" s="5">
        <f t="shared" si="2"/>
        <v>1</v>
      </c>
      <c r="T284" s="5" t="str">
        <f ca="1">IFERROR(__xludf.DUMMYFUNCTION("QUERY(transpose(A284:R284),""Select Col1 where Col1 is not null limit 1"",0)"),"Isaiah Likely")</f>
        <v>Isaiah Likely</v>
      </c>
      <c r="U284" s="32" t="e">
        <f t="shared" ca="1" si="3"/>
        <v>#NAME?</v>
      </c>
    </row>
    <row r="285" spans="1:21" ht="12.75" x14ac:dyDescent="0.2">
      <c r="A285" s="5" t="s">
        <v>318</v>
      </c>
      <c r="B285" s="5" t="s">
        <v>318</v>
      </c>
      <c r="C285" s="5" t="s">
        <v>318</v>
      </c>
      <c r="D285" s="5" t="s">
        <v>318</v>
      </c>
      <c r="E285" s="5" t="s">
        <v>318</v>
      </c>
      <c r="F285" s="5" t="s">
        <v>318</v>
      </c>
      <c r="G285" s="5" t="s">
        <v>318</v>
      </c>
      <c r="H285" s="5" t="s">
        <v>318</v>
      </c>
      <c r="I285" s="5" t="s">
        <v>318</v>
      </c>
      <c r="J285" s="5" t="s">
        <v>318</v>
      </c>
      <c r="K285" s="5" t="s">
        <v>318</v>
      </c>
      <c r="L285" s="5" t="s">
        <v>318</v>
      </c>
      <c r="M285" s="5" t="s">
        <v>318</v>
      </c>
      <c r="N285" s="5" t="s">
        <v>318</v>
      </c>
      <c r="O285" s="5" t="s">
        <v>318</v>
      </c>
      <c r="P285" s="5" t="s">
        <v>318</v>
      </c>
      <c r="Q285" s="5" t="s">
        <v>318</v>
      </c>
      <c r="R285" s="5" t="s">
        <v>318</v>
      </c>
      <c r="S285" s="5">
        <f t="shared" si="2"/>
        <v>1</v>
      </c>
      <c r="T285" s="5" t="str">
        <f ca="1">IFERROR(__xludf.DUMMYFUNCTION("QUERY(transpose(A285:R285),""Select Col1 where Col1 is not null limit 1"",0)"),"Colby Parkinson")</f>
        <v>Colby Parkinson</v>
      </c>
      <c r="U285" s="32" t="e">
        <f t="shared" ca="1" si="3"/>
        <v>#NAME?</v>
      </c>
    </row>
    <row r="286" spans="1:21" ht="12.75" x14ac:dyDescent="0.2">
      <c r="A286" s="5" t="s">
        <v>319</v>
      </c>
      <c r="B286" s="5" t="s">
        <v>319</v>
      </c>
      <c r="C286" s="5" t="s">
        <v>319</v>
      </c>
      <c r="D286" s="5" t="s">
        <v>319</v>
      </c>
      <c r="E286" s="5" t="s">
        <v>319</v>
      </c>
      <c r="F286" s="5" t="s">
        <v>319</v>
      </c>
      <c r="G286" s="5" t="s">
        <v>319</v>
      </c>
      <c r="H286" s="5" t="s">
        <v>319</v>
      </c>
      <c r="I286" s="5" t="s">
        <v>319</v>
      </c>
      <c r="J286" s="5" t="s">
        <v>319</v>
      </c>
      <c r="K286" s="5" t="s">
        <v>319</v>
      </c>
      <c r="L286" s="5" t="s">
        <v>319</v>
      </c>
      <c r="M286" s="5" t="s">
        <v>319</v>
      </c>
      <c r="N286" s="5" t="s">
        <v>319</v>
      </c>
      <c r="O286" s="5" t="s">
        <v>319</v>
      </c>
      <c r="P286" s="5" t="s">
        <v>319</v>
      </c>
      <c r="Q286" s="5" t="s">
        <v>319</v>
      </c>
      <c r="R286" s="5" t="s">
        <v>319</v>
      </c>
      <c r="S286" s="5">
        <f t="shared" si="2"/>
        <v>1</v>
      </c>
      <c r="T286" s="5" t="str">
        <f ca="1">IFERROR(__xludf.DUMMYFUNCTION("QUERY(transpose(A286:R286),""Select Col1 where Col1 is not null limit 1"",0)"),"Giovanni Ricci")</f>
        <v>Giovanni Ricci</v>
      </c>
      <c r="U286" s="32" t="e">
        <f t="shared" ca="1" si="3"/>
        <v>#NAME?</v>
      </c>
    </row>
    <row r="287" spans="1:21" ht="12.75" x14ac:dyDescent="0.2">
      <c r="A287" s="5" t="s">
        <v>320</v>
      </c>
      <c r="B287" s="5" t="s">
        <v>320</v>
      </c>
      <c r="C287" s="5" t="s">
        <v>320</v>
      </c>
      <c r="D287" s="5" t="s">
        <v>320</v>
      </c>
      <c r="E287" s="5" t="s">
        <v>320</v>
      </c>
      <c r="F287" s="5" t="s">
        <v>320</v>
      </c>
      <c r="G287" s="5" t="s">
        <v>320</v>
      </c>
      <c r="H287" s="5" t="s">
        <v>320</v>
      </c>
      <c r="I287" s="5" t="s">
        <v>320</v>
      </c>
      <c r="J287" s="5" t="s">
        <v>320</v>
      </c>
      <c r="K287" s="5" t="s">
        <v>320</v>
      </c>
      <c r="L287" s="5" t="s">
        <v>320</v>
      </c>
      <c r="M287" s="5" t="s">
        <v>320</v>
      </c>
      <c r="N287" s="5" t="s">
        <v>320</v>
      </c>
      <c r="O287" s="5" t="s">
        <v>320</v>
      </c>
      <c r="P287" s="5" t="s">
        <v>320</v>
      </c>
      <c r="Q287" s="5" t="s">
        <v>320</v>
      </c>
      <c r="R287" s="5" t="s">
        <v>320</v>
      </c>
      <c r="S287" s="5">
        <f t="shared" si="2"/>
        <v>1</v>
      </c>
      <c r="T287" s="5" t="str">
        <f ca="1">IFERROR(__xludf.DUMMYFUNCTION("QUERY(transpose(A287:R287),""Select Col1 where Col1 is not null limit 1"",0)"),"N/A")</f>
        <v>N/A</v>
      </c>
      <c r="U287" s="32" t="e">
        <f t="shared" ca="1" si="3"/>
        <v>#NAME?</v>
      </c>
    </row>
    <row r="288" spans="1:21" ht="12.75" x14ac:dyDescent="0.2">
      <c r="A288" s="5"/>
      <c r="B288" s="5" t="s">
        <v>326</v>
      </c>
      <c r="C288" s="5" t="s">
        <v>326</v>
      </c>
      <c r="D288" s="5" t="s">
        <v>326</v>
      </c>
      <c r="E288" s="5" t="s">
        <v>326</v>
      </c>
      <c r="F288" s="5" t="s">
        <v>326</v>
      </c>
      <c r="G288" s="5" t="s">
        <v>326</v>
      </c>
      <c r="H288" s="5" t="s">
        <v>326</v>
      </c>
      <c r="I288" s="5" t="s">
        <v>326</v>
      </c>
      <c r="J288" s="5" t="s">
        <v>326</v>
      </c>
      <c r="K288" s="5" t="s">
        <v>326</v>
      </c>
      <c r="L288" s="5" t="s">
        <v>326</v>
      </c>
      <c r="M288" s="5" t="s">
        <v>326</v>
      </c>
      <c r="N288" s="5" t="s">
        <v>326</v>
      </c>
      <c r="O288" s="5" t="s">
        <v>326</v>
      </c>
      <c r="P288" s="5" t="s">
        <v>326</v>
      </c>
      <c r="Q288" s="5" t="s">
        <v>326</v>
      </c>
      <c r="R288" s="5" t="s">
        <v>326</v>
      </c>
      <c r="S288" s="5">
        <f t="shared" si="2"/>
        <v>2</v>
      </c>
      <c r="T288" s="5" t="str">
        <f ca="1">IFERROR(__xludf.DUMMYFUNCTION("QUERY(transpose(A288:R288),""Select Col1 where Col1 is not null limit 1"",0)"),"Tee Higgins")</f>
        <v>Tee Higgins</v>
      </c>
      <c r="U288" s="32" t="e">
        <f t="shared" ca="1" si="3"/>
        <v>#NAME?</v>
      </c>
    </row>
    <row r="289" spans="1:21" ht="12.75" x14ac:dyDescent="0.2">
      <c r="A289" s="5"/>
      <c r="B289" s="5" t="s">
        <v>337</v>
      </c>
      <c r="C289" s="5" t="s">
        <v>337</v>
      </c>
      <c r="D289" s="5" t="s">
        <v>337</v>
      </c>
      <c r="E289" s="5" t="s">
        <v>337</v>
      </c>
      <c r="F289" s="5" t="s">
        <v>337</v>
      </c>
      <c r="G289" s="5" t="s">
        <v>337</v>
      </c>
      <c r="H289" s="5" t="s">
        <v>337</v>
      </c>
      <c r="I289" s="5" t="s">
        <v>337</v>
      </c>
      <c r="J289" s="5" t="s">
        <v>337</v>
      </c>
      <c r="K289" s="5" t="s">
        <v>337</v>
      </c>
      <c r="L289" s="5" t="s">
        <v>337</v>
      </c>
      <c r="M289" s="5" t="s">
        <v>337</v>
      </c>
      <c r="N289" s="5" t="s">
        <v>337</v>
      </c>
      <c r="O289" s="5" t="s">
        <v>337</v>
      </c>
      <c r="P289" s="5" t="s">
        <v>337</v>
      </c>
      <c r="Q289" s="5" t="s">
        <v>337</v>
      </c>
      <c r="R289" s="5" t="s">
        <v>337</v>
      </c>
      <c r="S289" s="5">
        <f t="shared" si="2"/>
        <v>2</v>
      </c>
      <c r="T289" s="5" t="str">
        <f ca="1">IFERROR(__xludf.DUMMYFUNCTION("QUERY(transpose(A289:R289),""Select Col1 where Col1 is not null limit 1"",0)"),"Zack Moss")</f>
        <v>Zack Moss</v>
      </c>
      <c r="U289" s="32" t="e">
        <f t="shared" ca="1" si="3"/>
        <v>#NAME?</v>
      </c>
    </row>
    <row r="290" spans="1:21" ht="12.75" x14ac:dyDescent="0.2">
      <c r="A290" s="5"/>
      <c r="B290" s="5" t="s">
        <v>339</v>
      </c>
      <c r="C290" s="5" t="s">
        <v>339</v>
      </c>
      <c r="D290" s="5" t="s">
        <v>339</v>
      </c>
      <c r="E290" s="5" t="s">
        <v>339</v>
      </c>
      <c r="F290" s="5" t="s">
        <v>339</v>
      </c>
      <c r="G290" s="5" t="s">
        <v>339</v>
      </c>
      <c r="H290" s="5" t="s">
        <v>339</v>
      </c>
      <c r="I290" s="5" t="s">
        <v>339</v>
      </c>
      <c r="J290" s="5" t="s">
        <v>339</v>
      </c>
      <c r="K290" s="5" t="s">
        <v>339</v>
      </c>
      <c r="L290" s="5" t="s">
        <v>339</v>
      </c>
      <c r="M290" s="5" t="s">
        <v>339</v>
      </c>
      <c r="N290" s="5" t="s">
        <v>339</v>
      </c>
      <c r="O290" s="5" t="s">
        <v>339</v>
      </c>
      <c r="P290" s="5" t="s">
        <v>339</v>
      </c>
      <c r="Q290" s="5" t="s">
        <v>339</v>
      </c>
      <c r="R290" s="5" t="s">
        <v>339</v>
      </c>
      <c r="S290" s="5">
        <f t="shared" si="2"/>
        <v>2</v>
      </c>
      <c r="T290" s="5" t="str">
        <f ca="1">IFERROR(__xludf.DUMMYFUNCTION("QUERY(transpose(A290:R290),""Select Col1 where Col1 is not null limit 1"",0)"),"Drake London")</f>
        <v>Drake London</v>
      </c>
      <c r="U290" s="32" t="e">
        <f t="shared" ca="1" si="3"/>
        <v>#NAME?</v>
      </c>
    </row>
    <row r="291" spans="1:21" ht="12.75" x14ac:dyDescent="0.2">
      <c r="A291" s="5"/>
      <c r="B291" s="5" t="s">
        <v>340</v>
      </c>
      <c r="C291" s="5" t="s">
        <v>340</v>
      </c>
      <c r="D291" s="5" t="s">
        <v>340</v>
      </c>
      <c r="E291" s="5" t="s">
        <v>340</v>
      </c>
      <c r="F291" s="5" t="s">
        <v>340</v>
      </c>
      <c r="G291" s="5" t="s">
        <v>340</v>
      </c>
      <c r="H291" s="5" t="s">
        <v>340</v>
      </c>
      <c r="I291" s="5" t="s">
        <v>340</v>
      </c>
      <c r="J291" s="5" t="s">
        <v>340</v>
      </c>
      <c r="K291" s="5" t="s">
        <v>340</v>
      </c>
      <c r="L291" s="5" t="s">
        <v>340</v>
      </c>
      <c r="M291" s="5" t="s">
        <v>340</v>
      </c>
      <c r="N291" s="5" t="s">
        <v>340</v>
      </c>
      <c r="O291" s="5" t="s">
        <v>340</v>
      </c>
      <c r="P291" s="5" t="s">
        <v>340</v>
      </c>
      <c r="Q291" s="5" t="s">
        <v>340</v>
      </c>
      <c r="R291" s="5" t="s">
        <v>340</v>
      </c>
      <c r="S291" s="5">
        <f t="shared" si="2"/>
        <v>2</v>
      </c>
      <c r="T291" s="5" t="str">
        <f ca="1">IFERROR(__xludf.DUMMYFUNCTION("QUERY(transpose(A291:R291),""Select Col1 where Col1 is not null limit 1"",0)"),"Nelson Agholor")</f>
        <v>Nelson Agholor</v>
      </c>
      <c r="U291" s="32" t="e">
        <f t="shared" ca="1" si="3"/>
        <v>#NAME?</v>
      </c>
    </row>
    <row r="292" spans="1:21" ht="12.75" x14ac:dyDescent="0.2">
      <c r="A292" s="5"/>
      <c r="B292" s="5" t="s">
        <v>341</v>
      </c>
      <c r="C292" s="5" t="s">
        <v>341</v>
      </c>
      <c r="D292" s="5" t="s">
        <v>341</v>
      </c>
      <c r="E292" s="5" t="s">
        <v>341</v>
      </c>
      <c r="F292" s="5" t="s">
        <v>341</v>
      </c>
      <c r="G292" s="5" t="s">
        <v>341</v>
      </c>
      <c r="H292" s="5" t="s">
        <v>341</v>
      </c>
      <c r="I292" s="5" t="s">
        <v>341</v>
      </c>
      <c r="J292" s="5" t="s">
        <v>341</v>
      </c>
      <c r="K292" s="5" t="s">
        <v>341</v>
      </c>
      <c r="L292" s="5" t="s">
        <v>341</v>
      </c>
      <c r="M292" s="5" t="s">
        <v>341</v>
      </c>
      <c r="N292" s="5" t="s">
        <v>341</v>
      </c>
      <c r="O292" s="5" t="s">
        <v>341</v>
      </c>
      <c r="P292" s="5" t="s">
        <v>341</v>
      </c>
      <c r="Q292" s="5" t="s">
        <v>341</v>
      </c>
      <c r="R292" s="5" t="s">
        <v>341</v>
      </c>
      <c r="S292" s="5">
        <f t="shared" si="2"/>
        <v>2</v>
      </c>
      <c r="T292" s="5" t="str">
        <f ca="1">IFERROR(__xludf.DUMMYFUNCTION("QUERY(transpose(A292:R292),""Select Col1 where Col1 is not null limit 1"",0)"),"Mark Andrews")</f>
        <v>Mark Andrews</v>
      </c>
      <c r="U292" s="32" t="e">
        <f t="shared" ca="1" si="3"/>
        <v>#NAME?</v>
      </c>
    </row>
    <row r="293" spans="1:21" ht="12.75" x14ac:dyDescent="0.2">
      <c r="A293" s="5"/>
      <c r="B293" s="5" t="s">
        <v>342</v>
      </c>
      <c r="C293" s="5" t="s">
        <v>342</v>
      </c>
      <c r="D293" s="5" t="s">
        <v>342</v>
      </c>
      <c r="E293" s="5" t="s">
        <v>342</v>
      </c>
      <c r="F293" s="5" t="s">
        <v>342</v>
      </c>
      <c r="G293" s="5" t="s">
        <v>342</v>
      </c>
      <c r="H293" s="5" t="s">
        <v>342</v>
      </c>
      <c r="I293" s="5" t="s">
        <v>342</v>
      </c>
      <c r="J293" s="5" t="s">
        <v>342</v>
      </c>
      <c r="K293" s="5" t="s">
        <v>342</v>
      </c>
      <c r="L293" s="5" t="s">
        <v>342</v>
      </c>
      <c r="M293" s="5" t="s">
        <v>342</v>
      </c>
      <c r="N293" s="5" t="s">
        <v>342</v>
      </c>
      <c r="O293" s="5" t="s">
        <v>342</v>
      </c>
      <c r="P293" s="5" t="s">
        <v>342</v>
      </c>
      <c r="Q293" s="5" t="s">
        <v>342</v>
      </c>
      <c r="R293" s="5" t="s">
        <v>342</v>
      </c>
      <c r="S293" s="5">
        <f t="shared" si="2"/>
        <v>2</v>
      </c>
      <c r="T293" s="5" t="str">
        <f ca="1">IFERROR(__xludf.DUMMYFUNCTION("QUERY(transpose(A293:R293),""Select Col1 where Col1 is not null limit 1"",0)"),"Chase Claypool")</f>
        <v>Chase Claypool</v>
      </c>
      <c r="U293" s="32" t="e">
        <f t="shared" ca="1" si="3"/>
        <v>#NAME?</v>
      </c>
    </row>
    <row r="294" spans="1:21" ht="12.75" x14ac:dyDescent="0.2">
      <c r="A294" s="5"/>
      <c r="B294" s="5" t="s">
        <v>343</v>
      </c>
      <c r="C294" s="5" t="s">
        <v>343</v>
      </c>
      <c r="D294" s="5" t="s">
        <v>343</v>
      </c>
      <c r="E294" s="5" t="s">
        <v>343</v>
      </c>
      <c r="F294" s="5" t="s">
        <v>343</v>
      </c>
      <c r="G294" s="5" t="s">
        <v>343</v>
      </c>
      <c r="H294" s="5" t="s">
        <v>343</v>
      </c>
      <c r="I294" s="5" t="s">
        <v>343</v>
      </c>
      <c r="J294" s="5" t="s">
        <v>343</v>
      </c>
      <c r="K294" s="5" t="s">
        <v>343</v>
      </c>
      <c r="L294" s="5" t="s">
        <v>343</v>
      </c>
      <c r="M294" s="5" t="s">
        <v>343</v>
      </c>
      <c r="N294" s="5" t="s">
        <v>343</v>
      </c>
      <c r="O294" s="5" t="s">
        <v>343</v>
      </c>
      <c r="P294" s="5" t="s">
        <v>343</v>
      </c>
      <c r="Q294" s="5" t="s">
        <v>343</v>
      </c>
      <c r="R294" s="5" t="s">
        <v>343</v>
      </c>
      <c r="S294" s="5">
        <f t="shared" si="2"/>
        <v>2</v>
      </c>
      <c r="T294" s="5" t="str">
        <f ca="1">IFERROR(__xludf.DUMMYFUNCTION("QUERY(transpose(A294:R294),""Select Col1 where Col1 is not null limit 1"",0)"),"Travis Kelce")</f>
        <v>Travis Kelce</v>
      </c>
      <c r="U294" s="32" t="e">
        <f t="shared" ca="1" si="3"/>
        <v>#NAME?</v>
      </c>
    </row>
    <row r="295" spans="1:21" ht="12.75" x14ac:dyDescent="0.2">
      <c r="A295" s="5"/>
      <c r="B295" s="5" t="s">
        <v>344</v>
      </c>
      <c r="C295" s="5" t="s">
        <v>344</v>
      </c>
      <c r="D295" s="5" t="s">
        <v>344</v>
      </c>
      <c r="E295" s="5" t="s">
        <v>344</v>
      </c>
      <c r="F295" s="5" t="s">
        <v>344</v>
      </c>
      <c r="G295" s="5" t="s">
        <v>344</v>
      </c>
      <c r="H295" s="5" t="s">
        <v>344</v>
      </c>
      <c r="I295" s="5" t="s">
        <v>344</v>
      </c>
      <c r="J295" s="5" t="s">
        <v>344</v>
      </c>
      <c r="K295" s="5" t="s">
        <v>344</v>
      </c>
      <c r="L295" s="5" t="s">
        <v>344</v>
      </c>
      <c r="M295" s="5" t="s">
        <v>344</v>
      </c>
      <c r="N295" s="5" t="s">
        <v>344</v>
      </c>
      <c r="O295" s="5" t="s">
        <v>344</v>
      </c>
      <c r="P295" s="5" t="s">
        <v>344</v>
      </c>
      <c r="Q295" s="5" t="s">
        <v>344</v>
      </c>
      <c r="R295" s="5" t="s">
        <v>344</v>
      </c>
      <c r="S295" s="5">
        <f t="shared" si="2"/>
        <v>2</v>
      </c>
      <c r="T295" s="5" t="str">
        <f ca="1">IFERROR(__xludf.DUMMYFUNCTION("QUERY(transpose(A295:R295),""Select Col1 where Col1 is not null limit 1"",0)"),"Dontayvion Wicks")</f>
        <v>Dontayvion Wicks</v>
      </c>
      <c r="U295" s="32" t="e">
        <f t="shared" ca="1" si="3"/>
        <v>#NAME?</v>
      </c>
    </row>
    <row r="296" spans="1:21" ht="12.75" x14ac:dyDescent="0.2">
      <c r="A296" s="5"/>
      <c r="B296" s="5" t="s">
        <v>345</v>
      </c>
      <c r="C296" s="5" t="s">
        <v>345</v>
      </c>
      <c r="D296" s="5" t="s">
        <v>345</v>
      </c>
      <c r="E296" s="5" t="s">
        <v>345</v>
      </c>
      <c r="F296" s="5" t="s">
        <v>345</v>
      </c>
      <c r="G296" s="5" t="s">
        <v>345</v>
      </c>
      <c r="H296" s="5" t="s">
        <v>345</v>
      </c>
      <c r="I296" s="5" t="s">
        <v>345</v>
      </c>
      <c r="J296" s="5" t="s">
        <v>345</v>
      </c>
      <c r="K296" s="5" t="s">
        <v>345</v>
      </c>
      <c r="L296" s="5" t="s">
        <v>345</v>
      </c>
      <c r="M296" s="5" t="s">
        <v>345</v>
      </c>
      <c r="N296" s="5" t="s">
        <v>345</v>
      </c>
      <c r="O296" s="5" t="s">
        <v>345</v>
      </c>
      <c r="P296" s="5" t="s">
        <v>345</v>
      </c>
      <c r="Q296" s="5" t="s">
        <v>345</v>
      </c>
      <c r="R296" s="5" t="s">
        <v>345</v>
      </c>
      <c r="S296" s="5">
        <f t="shared" si="2"/>
        <v>2</v>
      </c>
      <c r="T296" s="5" t="str">
        <f ca="1">IFERROR(__xludf.DUMMYFUNCTION("QUERY(transpose(A296:R296),""Select Col1 where Col1 is not null limit 1"",0)"),"DeVante Parker")</f>
        <v>DeVante Parker</v>
      </c>
      <c r="U296" s="32" t="e">
        <f t="shared" ca="1" si="3"/>
        <v>#NAME?</v>
      </c>
    </row>
    <row r="297" spans="1:21" ht="12.75" x14ac:dyDescent="0.2">
      <c r="A297" s="5"/>
      <c r="B297" s="5" t="s">
        <v>346</v>
      </c>
      <c r="C297" s="5" t="s">
        <v>346</v>
      </c>
      <c r="D297" s="5" t="s">
        <v>346</v>
      </c>
      <c r="E297" s="5" t="s">
        <v>346</v>
      </c>
      <c r="F297" s="5" t="s">
        <v>346</v>
      </c>
      <c r="G297" s="5" t="s">
        <v>346</v>
      </c>
      <c r="H297" s="5" t="s">
        <v>346</v>
      </c>
      <c r="I297" s="5" t="s">
        <v>346</v>
      </c>
      <c r="J297" s="5" t="s">
        <v>346</v>
      </c>
      <c r="K297" s="5" t="s">
        <v>346</v>
      </c>
      <c r="L297" s="5" t="s">
        <v>346</v>
      </c>
      <c r="M297" s="5" t="s">
        <v>346</v>
      </c>
      <c r="N297" s="5" t="s">
        <v>346</v>
      </c>
      <c r="O297" s="5" t="s">
        <v>346</v>
      </c>
      <c r="P297" s="5" t="s">
        <v>346</v>
      </c>
      <c r="Q297" s="5" t="s">
        <v>346</v>
      </c>
      <c r="R297" s="5" t="s">
        <v>346</v>
      </c>
      <c r="S297" s="5">
        <f t="shared" si="2"/>
        <v>2</v>
      </c>
      <c r="T297" s="5" t="str">
        <f ca="1">IFERROR(__xludf.DUMMYFUNCTION("QUERY(transpose(A297:R297),""Select Col1 where Col1 is not null limit 1"",0)"),"Jalin Hyatt")</f>
        <v>Jalin Hyatt</v>
      </c>
      <c r="U297" s="32" t="e">
        <f t="shared" ca="1" si="3"/>
        <v>#NAME?</v>
      </c>
    </row>
    <row r="298" spans="1:21" ht="12.75" x14ac:dyDescent="0.2">
      <c r="A298" s="5"/>
      <c r="B298" s="5" t="s">
        <v>347</v>
      </c>
      <c r="C298" s="5" t="s">
        <v>347</v>
      </c>
      <c r="D298" s="5" t="s">
        <v>347</v>
      </c>
      <c r="E298" s="5" t="s">
        <v>347</v>
      </c>
      <c r="F298" s="5" t="s">
        <v>347</v>
      </c>
      <c r="G298" s="5" t="s">
        <v>347</v>
      </c>
      <c r="H298" s="5" t="s">
        <v>347</v>
      </c>
      <c r="I298" s="5" t="s">
        <v>347</v>
      </c>
      <c r="J298" s="5" t="s">
        <v>347</v>
      </c>
      <c r="K298" s="5" t="s">
        <v>347</v>
      </c>
      <c r="L298" s="5" t="s">
        <v>347</v>
      </c>
      <c r="M298" s="5" t="s">
        <v>347</v>
      </c>
      <c r="N298" s="5" t="s">
        <v>347</v>
      </c>
      <c r="O298" s="5" t="s">
        <v>347</v>
      </c>
      <c r="P298" s="5" t="s">
        <v>347</v>
      </c>
      <c r="Q298" s="5" t="s">
        <v>347</v>
      </c>
      <c r="R298" s="5" t="s">
        <v>347</v>
      </c>
      <c r="S298" s="5">
        <f t="shared" si="2"/>
        <v>2</v>
      </c>
      <c r="T298" s="5" t="str">
        <f ca="1">IFERROR(__xludf.DUMMYFUNCTION("QUERY(transpose(A298:R298),""Select Col1 where Col1 is not null limit 1"",0)"),"Noah Fant")</f>
        <v>Noah Fant</v>
      </c>
      <c r="U298" s="32" t="e">
        <f t="shared" ca="1" si="3"/>
        <v>#NAME?</v>
      </c>
    </row>
    <row r="299" spans="1:21" ht="12.75" x14ac:dyDescent="0.2">
      <c r="A299" s="5"/>
      <c r="B299" s="5" t="s">
        <v>348</v>
      </c>
      <c r="C299" s="5" t="s">
        <v>348</v>
      </c>
      <c r="D299" s="5" t="s">
        <v>348</v>
      </c>
      <c r="E299" s="5" t="s">
        <v>348</v>
      </c>
      <c r="F299" s="5" t="s">
        <v>348</v>
      </c>
      <c r="G299" s="5" t="s">
        <v>348</v>
      </c>
      <c r="H299" s="5" t="s">
        <v>348</v>
      </c>
      <c r="I299" s="5" t="s">
        <v>348</v>
      </c>
      <c r="J299" s="5" t="s">
        <v>348</v>
      </c>
      <c r="K299" s="5" t="s">
        <v>348</v>
      </c>
      <c r="L299" s="5" t="s">
        <v>348</v>
      </c>
      <c r="M299" s="5" t="s">
        <v>348</v>
      </c>
      <c r="N299" s="5" t="s">
        <v>348</v>
      </c>
      <c r="O299" s="5" t="s">
        <v>348</v>
      </c>
      <c r="P299" s="5" t="s">
        <v>348</v>
      </c>
      <c r="Q299" s="5" t="s">
        <v>348</v>
      </c>
      <c r="R299" s="5" t="s">
        <v>348</v>
      </c>
      <c r="S299" s="5">
        <f t="shared" si="2"/>
        <v>2</v>
      </c>
      <c r="T299" s="5" t="str">
        <f ca="1">IFERROR(__xludf.DUMMYFUNCTION("QUERY(transpose(A299:R299),""Select Col1 where Col1 is not null limit 1"",0)"),"Jonnu Smith")</f>
        <v>Jonnu Smith</v>
      </c>
      <c r="U299" s="32" t="e">
        <f t="shared" ca="1" si="3"/>
        <v>#NAME?</v>
      </c>
    </row>
    <row r="300" spans="1:21" ht="12.75" x14ac:dyDescent="0.2">
      <c r="A300" s="5"/>
      <c r="B300" s="5" t="s">
        <v>349</v>
      </c>
      <c r="C300" s="5" t="s">
        <v>349</v>
      </c>
      <c r="D300" s="5" t="s">
        <v>349</v>
      </c>
      <c r="E300" s="5" t="s">
        <v>349</v>
      </c>
      <c r="F300" s="5" t="s">
        <v>349</v>
      </c>
      <c r="G300" s="5" t="s">
        <v>349</v>
      </c>
      <c r="H300" s="5" t="s">
        <v>349</v>
      </c>
      <c r="I300" s="5" t="s">
        <v>349</v>
      </c>
      <c r="J300" s="5" t="s">
        <v>349</v>
      </c>
      <c r="K300" s="5" t="s">
        <v>349</v>
      </c>
      <c r="L300" s="5" t="s">
        <v>349</v>
      </c>
      <c r="M300" s="5" t="s">
        <v>349</v>
      </c>
      <c r="N300" s="5" t="s">
        <v>349</v>
      </c>
      <c r="O300" s="5" t="s">
        <v>349</v>
      </c>
      <c r="P300" s="5" t="s">
        <v>349</v>
      </c>
      <c r="Q300" s="5" t="s">
        <v>349</v>
      </c>
      <c r="R300" s="5" t="s">
        <v>349</v>
      </c>
      <c r="S300" s="5">
        <f t="shared" si="2"/>
        <v>2</v>
      </c>
      <c r="T300" s="5" t="str">
        <f ca="1">IFERROR(__xludf.DUMMYFUNCTION("QUERY(transpose(A300:R300),""Select Col1 where Col1 is not null limit 1"",0)"),"Dallas Goedert")</f>
        <v>Dallas Goedert</v>
      </c>
      <c r="U300" s="32" t="e">
        <f t="shared" ca="1" si="3"/>
        <v>#NAME?</v>
      </c>
    </row>
    <row r="301" spans="1:21" ht="12.75" x14ac:dyDescent="0.2">
      <c r="A301" s="5"/>
      <c r="B301" s="5" t="s">
        <v>350</v>
      </c>
      <c r="C301" s="5" t="s">
        <v>350</v>
      </c>
      <c r="D301" s="5" t="s">
        <v>350</v>
      </c>
      <c r="E301" s="5" t="s">
        <v>350</v>
      </c>
      <c r="F301" s="5" t="s">
        <v>350</v>
      </c>
      <c r="G301" s="5" t="s">
        <v>350</v>
      </c>
      <c r="H301" s="5" t="s">
        <v>350</v>
      </c>
      <c r="I301" s="5" t="s">
        <v>350</v>
      </c>
      <c r="J301" s="5" t="s">
        <v>350</v>
      </c>
      <c r="K301" s="5" t="s">
        <v>350</v>
      </c>
      <c r="L301" s="5" t="s">
        <v>350</v>
      </c>
      <c r="M301" s="5" t="s">
        <v>350</v>
      </c>
      <c r="N301" s="5" t="s">
        <v>350</v>
      </c>
      <c r="O301" s="5" t="s">
        <v>350</v>
      </c>
      <c r="P301" s="5" t="s">
        <v>350</v>
      </c>
      <c r="Q301" s="5" t="s">
        <v>350</v>
      </c>
      <c r="R301" s="5" t="s">
        <v>350</v>
      </c>
      <c r="S301" s="5">
        <f t="shared" si="2"/>
        <v>2</v>
      </c>
      <c r="T301" s="5" t="str">
        <f ca="1">IFERROR(__xludf.DUMMYFUNCTION("QUERY(transpose(A301:R301),""Select Col1 where Col1 is not null limit 1"",0)"),"Khalil Shakir")</f>
        <v>Khalil Shakir</v>
      </c>
      <c r="U301" s="32" t="e">
        <f t="shared" ca="1" si="3"/>
        <v>#NAME?</v>
      </c>
    </row>
    <row r="302" spans="1:21" ht="12.75" x14ac:dyDescent="0.2">
      <c r="A302" s="5"/>
      <c r="B302" s="5" t="s">
        <v>351</v>
      </c>
      <c r="C302" s="5" t="s">
        <v>351</v>
      </c>
      <c r="D302" s="5" t="s">
        <v>351</v>
      </c>
      <c r="E302" s="5" t="s">
        <v>351</v>
      </c>
      <c r="F302" s="5" t="s">
        <v>351</v>
      </c>
      <c r="G302" s="5" t="s">
        <v>351</v>
      </c>
      <c r="H302" s="5" t="s">
        <v>351</v>
      </c>
      <c r="I302" s="5" t="s">
        <v>351</v>
      </c>
      <c r="J302" s="5" t="s">
        <v>351</v>
      </c>
      <c r="K302" s="5" t="s">
        <v>351</v>
      </c>
      <c r="L302" s="5" t="s">
        <v>351</v>
      </c>
      <c r="M302" s="5" t="s">
        <v>351</v>
      </c>
      <c r="N302" s="5" t="s">
        <v>351</v>
      </c>
      <c r="O302" s="5" t="s">
        <v>351</v>
      </c>
      <c r="P302" s="5" t="s">
        <v>351</v>
      </c>
      <c r="Q302" s="5" t="s">
        <v>351</v>
      </c>
      <c r="R302" s="5" t="s">
        <v>351</v>
      </c>
      <c r="S302" s="5">
        <f t="shared" si="2"/>
        <v>2</v>
      </c>
      <c r="T302" s="5" t="str">
        <f ca="1">IFERROR(__xludf.DUMMYFUNCTION("QUERY(transpose(A302:R302),""Select Col1 where Col1 is not null limit 1"",0)"),"John Bates")</f>
        <v>John Bates</v>
      </c>
      <c r="U302" s="32" t="e">
        <f t="shared" ca="1" si="3"/>
        <v>#NAME?</v>
      </c>
    </row>
    <row r="303" spans="1:21" ht="12.75" x14ac:dyDescent="0.2">
      <c r="A303" s="5"/>
      <c r="B303" s="5" t="s">
        <v>352</v>
      </c>
      <c r="C303" s="5" t="s">
        <v>352</v>
      </c>
      <c r="D303" s="5" t="s">
        <v>352</v>
      </c>
      <c r="E303" s="5" t="s">
        <v>352</v>
      </c>
      <c r="F303" s="5" t="s">
        <v>352</v>
      </c>
      <c r="G303" s="5" t="s">
        <v>352</v>
      </c>
      <c r="H303" s="5" t="s">
        <v>352</v>
      </c>
      <c r="I303" s="5" t="s">
        <v>352</v>
      </c>
      <c r="J303" s="5" t="s">
        <v>352</v>
      </c>
      <c r="K303" s="5" t="s">
        <v>352</v>
      </c>
      <c r="L303" s="5" t="s">
        <v>352</v>
      </c>
      <c r="M303" s="5" t="s">
        <v>352</v>
      </c>
      <c r="N303" s="5" t="s">
        <v>352</v>
      </c>
      <c r="O303" s="5" t="s">
        <v>352</v>
      </c>
      <c r="P303" s="5" t="s">
        <v>352</v>
      </c>
      <c r="Q303" s="5" t="s">
        <v>352</v>
      </c>
      <c r="R303" s="5" t="s">
        <v>352</v>
      </c>
      <c r="S303" s="5">
        <f t="shared" si="2"/>
        <v>2</v>
      </c>
      <c r="T303" s="5" t="str">
        <f ca="1">IFERROR(__xludf.DUMMYFUNCTION("QUERY(transpose(A303:R303),""Select Col1 where Col1 is not null limit 1"",0)"),"Chigoziem Okonkwo")</f>
        <v>Chigoziem Okonkwo</v>
      </c>
      <c r="U303" s="32" t="e">
        <f t="shared" ca="1" si="3"/>
        <v>#NAME?</v>
      </c>
    </row>
    <row r="304" spans="1:21" ht="12.75" x14ac:dyDescent="0.2">
      <c r="A304" s="5"/>
      <c r="B304" s="5" t="s">
        <v>353</v>
      </c>
      <c r="C304" s="5" t="s">
        <v>353</v>
      </c>
      <c r="D304" s="5" t="s">
        <v>353</v>
      </c>
      <c r="E304" s="5" t="s">
        <v>353</v>
      </c>
      <c r="F304" s="5" t="s">
        <v>353</v>
      </c>
      <c r="G304" s="5" t="s">
        <v>353</v>
      </c>
      <c r="H304" s="5" t="s">
        <v>353</v>
      </c>
      <c r="I304" s="5" t="s">
        <v>353</v>
      </c>
      <c r="J304" s="5" t="s">
        <v>353</v>
      </c>
      <c r="K304" s="5" t="s">
        <v>353</v>
      </c>
      <c r="L304" s="5" t="s">
        <v>353</v>
      </c>
      <c r="M304" s="5" t="s">
        <v>353</v>
      </c>
      <c r="N304" s="5" t="s">
        <v>353</v>
      </c>
      <c r="O304" s="5" t="s">
        <v>353</v>
      </c>
      <c r="P304" s="5" t="s">
        <v>353</v>
      </c>
      <c r="Q304" s="5" t="s">
        <v>353</v>
      </c>
      <c r="R304" s="5" t="s">
        <v>353</v>
      </c>
      <c r="S304" s="5">
        <f t="shared" si="2"/>
        <v>2</v>
      </c>
      <c r="T304" s="5" t="str">
        <f ca="1">IFERROR(__xludf.DUMMYFUNCTION("QUERY(transpose(A304:R304),""Select Col1 where Col1 is not null limit 1"",0)"),"Jauan Jennings")</f>
        <v>Jauan Jennings</v>
      </c>
      <c r="U304" s="32" t="e">
        <f t="shared" ca="1" si="3"/>
        <v>#NAME?</v>
      </c>
    </row>
    <row r="305" spans="1:21" ht="12.75" x14ac:dyDescent="0.2">
      <c r="A305" s="5"/>
      <c r="B305" s="5" t="s">
        <v>354</v>
      </c>
      <c r="C305" s="5" t="s">
        <v>354</v>
      </c>
      <c r="D305" s="5" t="s">
        <v>354</v>
      </c>
      <c r="E305" s="5" t="s">
        <v>354</v>
      </c>
      <c r="F305" s="5" t="s">
        <v>354</v>
      </c>
      <c r="G305" s="5" t="s">
        <v>354</v>
      </c>
      <c r="H305" s="5" t="s">
        <v>354</v>
      </c>
      <c r="I305" s="5" t="s">
        <v>354</v>
      </c>
      <c r="J305" s="5" t="s">
        <v>354</v>
      </c>
      <c r="K305" s="5" t="s">
        <v>354</v>
      </c>
      <c r="L305" s="5" t="s">
        <v>354</v>
      </c>
      <c r="M305" s="5" t="s">
        <v>354</v>
      </c>
      <c r="N305" s="5" t="s">
        <v>354</v>
      </c>
      <c r="O305" s="5" t="s">
        <v>354</v>
      </c>
      <c r="P305" s="5" t="s">
        <v>354</v>
      </c>
      <c r="Q305" s="5" t="s">
        <v>354</v>
      </c>
      <c r="R305" s="5" t="s">
        <v>354</v>
      </c>
      <c r="S305" s="5">
        <f t="shared" si="2"/>
        <v>2</v>
      </c>
      <c r="T305" s="5" t="str">
        <f ca="1">IFERROR(__xludf.DUMMYFUNCTION("QUERY(transpose(A305:R305),""Select Col1 where Col1 is not null limit 1"",0)"),"Luke Schoonmaker")</f>
        <v>Luke Schoonmaker</v>
      </c>
      <c r="U305" s="32" t="e">
        <f t="shared" ca="1" si="3"/>
        <v>#NAME?</v>
      </c>
    </row>
    <row r="306" spans="1:21" ht="12.75" x14ac:dyDescent="0.2">
      <c r="A306" s="5"/>
      <c r="B306" s="5" t="s">
        <v>355</v>
      </c>
      <c r="C306" s="5" t="s">
        <v>355</v>
      </c>
      <c r="D306" s="5" t="s">
        <v>355</v>
      </c>
      <c r="E306" s="5" t="s">
        <v>355</v>
      </c>
      <c r="F306" s="5" t="s">
        <v>355</v>
      </c>
      <c r="G306" s="5" t="s">
        <v>355</v>
      </c>
      <c r="H306" s="5" t="s">
        <v>355</v>
      </c>
      <c r="I306" s="5" t="s">
        <v>355</v>
      </c>
      <c r="J306" s="5" t="s">
        <v>355</v>
      </c>
      <c r="K306" s="5" t="s">
        <v>355</v>
      </c>
      <c r="L306" s="5" t="s">
        <v>355</v>
      </c>
      <c r="M306" s="5" t="s">
        <v>355</v>
      </c>
      <c r="N306" s="5" t="s">
        <v>355</v>
      </c>
      <c r="O306" s="5" t="s">
        <v>355</v>
      </c>
      <c r="P306" s="5" t="s">
        <v>355</v>
      </c>
      <c r="Q306" s="5" t="s">
        <v>355</v>
      </c>
      <c r="R306" s="5" t="s">
        <v>355</v>
      </c>
      <c r="S306" s="5">
        <f t="shared" si="2"/>
        <v>2</v>
      </c>
      <c r="T306" s="5" t="str">
        <f ca="1">IFERROR(__xludf.DUMMYFUNCTION("QUERY(transpose(A306:R306),""Select Col1 where Col1 is not null limit 1"",0)"),"Will Mallory")</f>
        <v>Will Mallory</v>
      </c>
      <c r="U306" s="32" t="e">
        <f t="shared" ca="1" si="3"/>
        <v>#NAME?</v>
      </c>
    </row>
    <row r="307" spans="1:21" ht="12.75" x14ac:dyDescent="0.2">
      <c r="A307" s="5"/>
      <c r="B307" s="5" t="s">
        <v>356</v>
      </c>
      <c r="C307" s="5" t="s">
        <v>356</v>
      </c>
      <c r="D307" s="5" t="s">
        <v>356</v>
      </c>
      <c r="E307" s="5" t="s">
        <v>356</v>
      </c>
      <c r="F307" s="5" t="s">
        <v>356</v>
      </c>
      <c r="G307" s="5" t="s">
        <v>356</v>
      </c>
      <c r="H307" s="5" t="s">
        <v>356</v>
      </c>
      <c r="I307" s="5" t="s">
        <v>356</v>
      </c>
      <c r="J307" s="5" t="s">
        <v>356</v>
      </c>
      <c r="K307" s="5" t="s">
        <v>356</v>
      </c>
      <c r="L307" s="5" t="s">
        <v>356</v>
      </c>
      <c r="M307" s="5" t="s">
        <v>356</v>
      </c>
      <c r="N307" s="5" t="s">
        <v>356</v>
      </c>
      <c r="O307" s="5" t="s">
        <v>356</v>
      </c>
      <c r="P307" s="5" t="s">
        <v>356</v>
      </c>
      <c r="Q307" s="5" t="s">
        <v>356</v>
      </c>
      <c r="R307" s="5" t="s">
        <v>356</v>
      </c>
      <c r="S307" s="5">
        <f t="shared" si="2"/>
        <v>2</v>
      </c>
      <c r="T307" s="5" t="str">
        <f ca="1">IFERROR(__xludf.DUMMYFUNCTION("QUERY(transpose(A307:R307),""Select Col1 where Col1 is not null limit 1"",0)"),"Pierre Strong")</f>
        <v>Pierre Strong</v>
      </c>
      <c r="U307" s="32" t="e">
        <f t="shared" ca="1" si="3"/>
        <v>#NAME?</v>
      </c>
    </row>
    <row r="308" spans="1:21" ht="12.75" x14ac:dyDescent="0.2">
      <c r="A308" s="5"/>
      <c r="B308" s="5" t="s">
        <v>357</v>
      </c>
      <c r="C308" s="5" t="s">
        <v>357</v>
      </c>
      <c r="D308" s="5" t="s">
        <v>357</v>
      </c>
      <c r="E308" s="5" t="s">
        <v>357</v>
      </c>
      <c r="F308" s="5" t="s">
        <v>357</v>
      </c>
      <c r="G308" s="5" t="s">
        <v>357</v>
      </c>
      <c r="H308" s="5" t="s">
        <v>357</v>
      </c>
      <c r="I308" s="5" t="s">
        <v>357</v>
      </c>
      <c r="J308" s="5" t="s">
        <v>357</v>
      </c>
      <c r="K308" s="5" t="s">
        <v>357</v>
      </c>
      <c r="L308" s="5" t="s">
        <v>357</v>
      </c>
      <c r="M308" s="5" t="s">
        <v>357</v>
      </c>
      <c r="N308" s="5" t="s">
        <v>357</v>
      </c>
      <c r="O308" s="5" t="s">
        <v>357</v>
      </c>
      <c r="P308" s="5" t="s">
        <v>357</v>
      </c>
      <c r="Q308" s="5" t="s">
        <v>357</v>
      </c>
      <c r="R308" s="5" t="s">
        <v>357</v>
      </c>
      <c r="S308" s="5">
        <f t="shared" si="2"/>
        <v>2</v>
      </c>
      <c r="T308" s="5" t="str">
        <f ca="1">IFERROR(__xludf.DUMMYFUNCTION("QUERY(transpose(A308:R308),""Select Col1 where Col1 is not null limit 1"",0)"),"Chris Moore")</f>
        <v>Chris Moore</v>
      </c>
      <c r="U308" s="32" t="e">
        <f t="shared" ca="1" si="3"/>
        <v>#NAME?</v>
      </c>
    </row>
    <row r="309" spans="1:21" ht="12.75" x14ac:dyDescent="0.2">
      <c r="A309" s="5"/>
      <c r="B309" s="5" t="s">
        <v>358</v>
      </c>
      <c r="C309" s="5" t="s">
        <v>358</v>
      </c>
      <c r="D309" s="5" t="s">
        <v>358</v>
      </c>
      <c r="E309" s="5" t="s">
        <v>358</v>
      </c>
      <c r="F309" s="5" t="s">
        <v>358</v>
      </c>
      <c r="G309" s="5" t="s">
        <v>358</v>
      </c>
      <c r="H309" s="5" t="s">
        <v>358</v>
      </c>
      <c r="I309" s="5" t="s">
        <v>358</v>
      </c>
      <c r="J309" s="5" t="s">
        <v>358</v>
      </c>
      <c r="K309" s="5" t="s">
        <v>358</v>
      </c>
      <c r="L309" s="5" t="s">
        <v>358</v>
      </c>
      <c r="M309" s="5" t="s">
        <v>358</v>
      </c>
      <c r="N309" s="5" t="s">
        <v>358</v>
      </c>
      <c r="O309" s="5" t="s">
        <v>358</v>
      </c>
      <c r="P309" s="5" t="s">
        <v>358</v>
      </c>
      <c r="Q309" s="5" t="s">
        <v>358</v>
      </c>
      <c r="R309" s="5" t="s">
        <v>358</v>
      </c>
      <c r="S309" s="5">
        <f t="shared" si="2"/>
        <v>2</v>
      </c>
      <c r="T309" s="5" t="str">
        <f ca="1">IFERROR(__xludf.DUMMYFUNCTION("QUERY(transpose(A309:R309),""Select Col1 where Col1 is not null limit 1"",0)"),"David Bell")</f>
        <v>David Bell</v>
      </c>
      <c r="U309" s="32" t="e">
        <f t="shared" ca="1" si="3"/>
        <v>#NAME?</v>
      </c>
    </row>
    <row r="310" spans="1:21" ht="12.75" x14ac:dyDescent="0.2">
      <c r="A310" s="5"/>
      <c r="B310" s="5" t="s">
        <v>359</v>
      </c>
      <c r="C310" s="5" t="s">
        <v>359</v>
      </c>
      <c r="D310" s="5" t="s">
        <v>359</v>
      </c>
      <c r="E310" s="5" t="s">
        <v>359</v>
      </c>
      <c r="F310" s="5" t="s">
        <v>359</v>
      </c>
      <c r="G310" s="5" t="s">
        <v>359</v>
      </c>
      <c r="H310" s="5" t="s">
        <v>359</v>
      </c>
      <c r="I310" s="5" t="s">
        <v>359</v>
      </c>
      <c r="J310" s="5" t="s">
        <v>359</v>
      </c>
      <c r="K310" s="5" t="s">
        <v>359</v>
      </c>
      <c r="L310" s="5" t="s">
        <v>359</v>
      </c>
      <c r="M310" s="5" t="s">
        <v>359</v>
      </c>
      <c r="N310" s="5" t="s">
        <v>359</v>
      </c>
      <c r="O310" s="5" t="s">
        <v>359</v>
      </c>
      <c r="P310" s="5" t="s">
        <v>359</v>
      </c>
      <c r="Q310" s="5" t="s">
        <v>359</v>
      </c>
      <c r="R310" s="5" t="s">
        <v>359</v>
      </c>
      <c r="S310" s="5">
        <f t="shared" si="2"/>
        <v>2</v>
      </c>
      <c r="T310" s="5" t="str">
        <f ca="1">IFERROR(__xludf.DUMMYFUNCTION("QUERY(transpose(A310:R310),""Select Col1 where Col1 is not null limit 1"",0)"),"Dyami Brown")</f>
        <v>Dyami Brown</v>
      </c>
      <c r="U310" s="32" t="e">
        <f t="shared" ca="1" si="3"/>
        <v>#NAME?</v>
      </c>
    </row>
    <row r="311" spans="1:21" ht="12.75" x14ac:dyDescent="0.2">
      <c r="A311" s="5"/>
      <c r="B311" s="5" t="s">
        <v>360</v>
      </c>
      <c r="C311" s="5" t="s">
        <v>360</v>
      </c>
      <c r="D311" s="5" t="s">
        <v>360</v>
      </c>
      <c r="E311" s="5" t="s">
        <v>360</v>
      </c>
      <c r="F311" s="5" t="s">
        <v>360</v>
      </c>
      <c r="G311" s="5" t="s">
        <v>360</v>
      </c>
      <c r="H311" s="5" t="s">
        <v>360</v>
      </c>
      <c r="I311" s="5" t="s">
        <v>360</v>
      </c>
      <c r="J311" s="5" t="s">
        <v>360</v>
      </c>
      <c r="K311" s="5" t="s">
        <v>360</v>
      </c>
      <c r="L311" s="5" t="s">
        <v>360</v>
      </c>
      <c r="M311" s="5" t="s">
        <v>360</v>
      </c>
      <c r="N311" s="5" t="s">
        <v>360</v>
      </c>
      <c r="O311" s="5" t="s">
        <v>360</v>
      </c>
      <c r="P311" s="5" t="s">
        <v>360</v>
      </c>
      <c r="Q311" s="5" t="s">
        <v>360</v>
      </c>
      <c r="R311" s="5" t="s">
        <v>360</v>
      </c>
      <c r="S311" s="5">
        <f t="shared" si="2"/>
        <v>2</v>
      </c>
      <c r="T311" s="5" t="str">
        <f ca="1">IFERROR(__xludf.DUMMYFUNCTION("QUERY(transpose(A311:R311),""Select Col1 where Col1 is not null limit 1"",0)"),"Jerry Jeudy")</f>
        <v>Jerry Jeudy</v>
      </c>
      <c r="U311" s="32" t="e">
        <f t="shared" ca="1" si="3"/>
        <v>#NAME?</v>
      </c>
    </row>
    <row r="312" spans="1:21" ht="12.75" x14ac:dyDescent="0.2">
      <c r="A312" s="5"/>
      <c r="B312" s="5" t="s">
        <v>361</v>
      </c>
      <c r="C312" s="5" t="s">
        <v>361</v>
      </c>
      <c r="D312" s="5" t="s">
        <v>361</v>
      </c>
      <c r="E312" s="5" t="s">
        <v>361</v>
      </c>
      <c r="F312" s="5" t="s">
        <v>361</v>
      </c>
      <c r="G312" s="5" t="s">
        <v>361</v>
      </c>
      <c r="H312" s="5" t="s">
        <v>361</v>
      </c>
      <c r="I312" s="5" t="s">
        <v>361</v>
      </c>
      <c r="J312" s="5" t="s">
        <v>361</v>
      </c>
      <c r="K312" s="5" t="s">
        <v>361</v>
      </c>
      <c r="L312" s="5" t="s">
        <v>361</v>
      </c>
      <c r="M312" s="5" t="s">
        <v>361</v>
      </c>
      <c r="N312" s="5" t="s">
        <v>361</v>
      </c>
      <c r="O312" s="5" t="s">
        <v>361</v>
      </c>
      <c r="P312" s="5" t="s">
        <v>361</v>
      </c>
      <c r="Q312" s="5" t="s">
        <v>361</v>
      </c>
      <c r="R312" s="5" t="s">
        <v>361</v>
      </c>
      <c r="S312" s="5">
        <f t="shared" si="2"/>
        <v>2</v>
      </c>
      <c r="T312" s="5" t="str">
        <f ca="1">IFERROR(__xludf.DUMMYFUNCTION("QUERY(transpose(A312:R312),""Select Col1 where Col1 is not null limit 1"",0)"),"Jalen Tolbert")</f>
        <v>Jalen Tolbert</v>
      </c>
      <c r="U312" s="32" t="e">
        <f t="shared" ca="1" si="3"/>
        <v>#NAME?</v>
      </c>
    </row>
    <row r="313" spans="1:21" ht="12.75" x14ac:dyDescent="0.2">
      <c r="A313" s="5"/>
      <c r="B313" s="5" t="s">
        <v>362</v>
      </c>
      <c r="C313" s="5" t="s">
        <v>362</v>
      </c>
      <c r="D313" s="5" t="s">
        <v>362</v>
      </c>
      <c r="E313" s="5" t="s">
        <v>362</v>
      </c>
      <c r="F313" s="5" t="s">
        <v>362</v>
      </c>
      <c r="G313" s="5" t="s">
        <v>362</v>
      </c>
      <c r="H313" s="5" t="s">
        <v>362</v>
      </c>
      <c r="I313" s="5" t="s">
        <v>362</v>
      </c>
      <c r="J313" s="5" t="s">
        <v>362</v>
      </c>
      <c r="K313" s="5" t="s">
        <v>362</v>
      </c>
      <c r="L313" s="5" t="s">
        <v>362</v>
      </c>
      <c r="M313" s="5" t="s">
        <v>362</v>
      </c>
      <c r="N313" s="5" t="s">
        <v>362</v>
      </c>
      <c r="O313" s="5" t="s">
        <v>362</v>
      </c>
      <c r="P313" s="5" t="s">
        <v>362</v>
      </c>
      <c r="Q313" s="5" t="s">
        <v>362</v>
      </c>
      <c r="R313" s="5" t="s">
        <v>362</v>
      </c>
      <c r="S313" s="5">
        <f t="shared" si="2"/>
        <v>2</v>
      </c>
      <c r="T313" s="5" t="str">
        <f ca="1">IFERROR(__xludf.DUMMYFUNCTION("QUERY(transpose(A313:R313),""Select Col1 where Col1 is not null limit 1"",0)"),"Brevin Jordan")</f>
        <v>Brevin Jordan</v>
      </c>
      <c r="U313" s="32" t="e">
        <f t="shared" ca="1" si="3"/>
        <v>#NAME?</v>
      </c>
    </row>
    <row r="314" spans="1:21" ht="12.75" x14ac:dyDescent="0.2">
      <c r="A314" s="5"/>
      <c r="B314" s="5" t="s">
        <v>363</v>
      </c>
      <c r="C314" s="5" t="s">
        <v>363</v>
      </c>
      <c r="D314" s="5" t="s">
        <v>363</v>
      </c>
      <c r="E314" s="5" t="s">
        <v>363</v>
      </c>
      <c r="F314" s="5" t="s">
        <v>363</v>
      </c>
      <c r="G314" s="5" t="s">
        <v>363</v>
      </c>
      <c r="H314" s="5" t="s">
        <v>363</v>
      </c>
      <c r="I314" s="5" t="s">
        <v>363</v>
      </c>
      <c r="J314" s="5" t="s">
        <v>363</v>
      </c>
      <c r="K314" s="5" t="s">
        <v>363</v>
      </c>
      <c r="L314" s="5" t="s">
        <v>363</v>
      </c>
      <c r="M314" s="5" t="s">
        <v>363</v>
      </c>
      <c r="N314" s="5" t="s">
        <v>363</v>
      </c>
      <c r="O314" s="5" t="s">
        <v>363</v>
      </c>
      <c r="P314" s="5" t="s">
        <v>363</v>
      </c>
      <c r="Q314" s="5" t="s">
        <v>363</v>
      </c>
      <c r="R314" s="5" t="s">
        <v>363</v>
      </c>
      <c r="S314" s="5">
        <f t="shared" si="2"/>
        <v>2</v>
      </c>
      <c r="T314" s="5" t="str">
        <f ca="1">IFERROR(__xludf.DUMMYFUNCTION("QUERY(transpose(A314:R314),""Select Col1 where Col1 is not null limit 1"",0)"),"Foster Moreau")</f>
        <v>Foster Moreau</v>
      </c>
      <c r="U314" s="32" t="e">
        <f t="shared" ca="1" si="3"/>
        <v>#NAME?</v>
      </c>
    </row>
    <row r="315" spans="1:21" ht="12.75" x14ac:dyDescent="0.2">
      <c r="A315" s="5"/>
      <c r="B315" s="5" t="s">
        <v>364</v>
      </c>
      <c r="C315" s="5" t="s">
        <v>364</v>
      </c>
      <c r="D315" s="5" t="s">
        <v>364</v>
      </c>
      <c r="E315" s="5" t="s">
        <v>364</v>
      </c>
      <c r="F315" s="5" t="s">
        <v>364</v>
      </c>
      <c r="G315" s="5" t="s">
        <v>364</v>
      </c>
      <c r="H315" s="5" t="s">
        <v>364</v>
      </c>
      <c r="I315" s="5" t="s">
        <v>364</v>
      </c>
      <c r="J315" s="5" t="s">
        <v>364</v>
      </c>
      <c r="K315" s="5" t="s">
        <v>364</v>
      </c>
      <c r="L315" s="5" t="s">
        <v>364</v>
      </c>
      <c r="M315" s="5" t="s">
        <v>364</v>
      </c>
      <c r="N315" s="5" t="s">
        <v>364</v>
      </c>
      <c r="O315" s="5" t="s">
        <v>364</v>
      </c>
      <c r="P315" s="5" t="s">
        <v>364</v>
      </c>
      <c r="Q315" s="5" t="s">
        <v>364</v>
      </c>
      <c r="R315" s="5" t="s">
        <v>364</v>
      </c>
      <c r="S315" s="5">
        <f t="shared" si="2"/>
        <v>2</v>
      </c>
      <c r="T315" s="5" t="str">
        <f ca="1">IFERROR(__xludf.DUMMYFUNCTION("QUERY(transpose(A315:R315),""Select Col1 where Col1 is not null limit 1"",0)"),"Elijah Dotson")</f>
        <v>Elijah Dotson</v>
      </c>
      <c r="U315" s="32" t="e">
        <f t="shared" ca="1" si="3"/>
        <v>#NAME?</v>
      </c>
    </row>
    <row r="316" spans="1:21" ht="12.75" x14ac:dyDescent="0.2">
      <c r="A316" s="5"/>
      <c r="B316" s="5" t="s">
        <v>365</v>
      </c>
      <c r="C316" s="5" t="s">
        <v>365</v>
      </c>
      <c r="D316" s="5" t="s">
        <v>365</v>
      </c>
      <c r="E316" s="5" t="s">
        <v>365</v>
      </c>
      <c r="F316" s="5" t="s">
        <v>365</v>
      </c>
      <c r="G316" s="5" t="s">
        <v>365</v>
      </c>
      <c r="H316" s="5" t="s">
        <v>365</v>
      </c>
      <c r="I316" s="5" t="s">
        <v>365</v>
      </c>
      <c r="J316" s="5" t="s">
        <v>365</v>
      </c>
      <c r="K316" s="5" t="s">
        <v>365</v>
      </c>
      <c r="L316" s="5" t="s">
        <v>365</v>
      </c>
      <c r="M316" s="5" t="s">
        <v>365</v>
      </c>
      <c r="N316" s="5" t="s">
        <v>365</v>
      </c>
      <c r="O316" s="5" t="s">
        <v>365</v>
      </c>
      <c r="P316" s="5" t="s">
        <v>365</v>
      </c>
      <c r="Q316" s="5" t="s">
        <v>365</v>
      </c>
      <c r="R316" s="5" t="s">
        <v>365</v>
      </c>
      <c r="S316" s="5">
        <f t="shared" si="2"/>
        <v>2</v>
      </c>
      <c r="T316" s="5" t="str">
        <f ca="1">IFERROR(__xludf.DUMMYFUNCTION("QUERY(transpose(A316:R316),""Select Col1 where Col1 is not null limit 1"",0)"),"Tre Tucker")</f>
        <v>Tre Tucker</v>
      </c>
      <c r="U316" s="32" t="e">
        <f t="shared" ca="1" si="3"/>
        <v>#NAME?</v>
      </c>
    </row>
    <row r="317" spans="1:21" ht="12.75" x14ac:dyDescent="0.2">
      <c r="A317" s="5"/>
      <c r="B317" s="5" t="s">
        <v>366</v>
      </c>
      <c r="C317" s="5" t="s">
        <v>366</v>
      </c>
      <c r="D317" s="5" t="s">
        <v>366</v>
      </c>
      <c r="E317" s="5" t="s">
        <v>366</v>
      </c>
      <c r="F317" s="5" t="s">
        <v>366</v>
      </c>
      <c r="G317" s="5" t="s">
        <v>366</v>
      </c>
      <c r="H317" s="5" t="s">
        <v>366</v>
      </c>
      <c r="I317" s="5" t="s">
        <v>366</v>
      </c>
      <c r="J317" s="5" t="s">
        <v>366</v>
      </c>
      <c r="K317" s="5" t="s">
        <v>366</v>
      </c>
      <c r="L317" s="5" t="s">
        <v>366</v>
      </c>
      <c r="M317" s="5" t="s">
        <v>366</v>
      </c>
      <c r="N317" s="5" t="s">
        <v>366</v>
      </c>
      <c r="O317" s="5" t="s">
        <v>366</v>
      </c>
      <c r="P317" s="5" t="s">
        <v>366</v>
      </c>
      <c r="Q317" s="5" t="s">
        <v>366</v>
      </c>
      <c r="R317" s="5" t="s">
        <v>366</v>
      </c>
      <c r="S317" s="5">
        <f t="shared" si="2"/>
        <v>2</v>
      </c>
      <c r="T317" s="5" t="str">
        <f ca="1">IFERROR(__xludf.DUMMYFUNCTION("QUERY(transpose(A317:R317),""Select Col1 where Col1 is not null limit 1"",0)"),"Stone Smartt")</f>
        <v>Stone Smartt</v>
      </c>
      <c r="U317" s="32" t="e">
        <f t="shared" ca="1" si="3"/>
        <v>#NAME?</v>
      </c>
    </row>
    <row r="318" spans="1:21" ht="12.75" x14ac:dyDescent="0.2">
      <c r="A318" s="5"/>
      <c r="B318" s="5" t="s">
        <v>367</v>
      </c>
      <c r="C318" s="5" t="s">
        <v>367</v>
      </c>
      <c r="D318" s="5" t="s">
        <v>367</v>
      </c>
      <c r="E318" s="5" t="s">
        <v>367</v>
      </c>
      <c r="F318" s="5" t="s">
        <v>367</v>
      </c>
      <c r="G318" s="5" t="s">
        <v>367</v>
      </c>
      <c r="H318" s="5" t="s">
        <v>367</v>
      </c>
      <c r="I318" s="5" t="s">
        <v>367</v>
      </c>
      <c r="J318" s="5" t="s">
        <v>367</v>
      </c>
      <c r="K318" s="5" t="s">
        <v>367</v>
      </c>
      <c r="L318" s="5" t="s">
        <v>367</v>
      </c>
      <c r="M318" s="5" t="s">
        <v>367</v>
      </c>
      <c r="N318" s="5" t="s">
        <v>367</v>
      </c>
      <c r="O318" s="5" t="s">
        <v>367</v>
      </c>
      <c r="P318" s="5" t="s">
        <v>367</v>
      </c>
      <c r="Q318" s="5" t="s">
        <v>367</v>
      </c>
      <c r="R318" s="5" t="s">
        <v>367</v>
      </c>
      <c r="S318" s="5">
        <f t="shared" si="2"/>
        <v>2</v>
      </c>
      <c r="T318" s="5" t="str">
        <f ca="1">IFERROR(__xludf.DUMMYFUNCTION("QUERY(transpose(A318:R318),""Select Col1 where Col1 is not null limit 1"",0)"),"Hunter Renfrow")</f>
        <v>Hunter Renfrow</v>
      </c>
      <c r="U318" s="32" t="e">
        <f t="shared" ca="1" si="3"/>
        <v>#NAME?</v>
      </c>
    </row>
    <row r="319" spans="1:21" ht="12.75" x14ac:dyDescent="0.2">
      <c r="A319" s="5"/>
      <c r="B319" s="5" t="s">
        <v>368</v>
      </c>
      <c r="C319" s="5" t="s">
        <v>368</v>
      </c>
      <c r="D319" s="5" t="s">
        <v>368</v>
      </c>
      <c r="E319" s="5" t="s">
        <v>368</v>
      </c>
      <c r="F319" s="5" t="s">
        <v>368</v>
      </c>
      <c r="G319" s="5" t="s">
        <v>368</v>
      </c>
      <c r="H319" s="5" t="s">
        <v>368</v>
      </c>
      <c r="I319" s="5" t="s">
        <v>368</v>
      </c>
      <c r="J319" s="5" t="s">
        <v>368</v>
      </c>
      <c r="K319" s="5" t="s">
        <v>368</v>
      </c>
      <c r="L319" s="5" t="s">
        <v>368</v>
      </c>
      <c r="M319" s="5" t="s">
        <v>368</v>
      </c>
      <c r="N319" s="5" t="s">
        <v>368</v>
      </c>
      <c r="O319" s="5" t="s">
        <v>368</v>
      </c>
      <c r="P319" s="5" t="s">
        <v>368</v>
      </c>
      <c r="Q319" s="5" t="s">
        <v>368</v>
      </c>
      <c r="R319" s="5" t="s">
        <v>368</v>
      </c>
      <c r="S319" s="5">
        <f t="shared" si="2"/>
        <v>2</v>
      </c>
      <c r="T319" s="5" t="str">
        <f ca="1">IFERROR(__xludf.DUMMYFUNCTION("QUERY(transpose(A319:R319),""Select Col1 where Col1 is not null limit 1"",0)"),"Bennett Skowronek")</f>
        <v>Bennett Skowronek</v>
      </c>
      <c r="U319" s="32" t="e">
        <f t="shared" ca="1" si="3"/>
        <v>#NAME?</v>
      </c>
    </row>
    <row r="320" spans="1:21" ht="12.75" x14ac:dyDescent="0.2">
      <c r="A320" s="5"/>
      <c r="B320" s="5" t="s">
        <v>369</v>
      </c>
      <c r="C320" s="5" t="s">
        <v>369</v>
      </c>
      <c r="D320" s="5" t="s">
        <v>369</v>
      </c>
      <c r="E320" s="5" t="s">
        <v>369</v>
      </c>
      <c r="F320" s="5" t="s">
        <v>369</v>
      </c>
      <c r="G320" s="5" t="s">
        <v>369</v>
      </c>
      <c r="H320" s="5" t="s">
        <v>369</v>
      </c>
      <c r="I320" s="5" t="s">
        <v>369</v>
      </c>
      <c r="J320" s="5" t="s">
        <v>369</v>
      </c>
      <c r="K320" s="5" t="s">
        <v>369</v>
      </c>
      <c r="L320" s="5" t="s">
        <v>369</v>
      </c>
      <c r="M320" s="5" t="s">
        <v>369</v>
      </c>
      <c r="N320" s="5" t="s">
        <v>369</v>
      </c>
      <c r="O320" s="5" t="s">
        <v>369</v>
      </c>
      <c r="P320" s="5" t="s">
        <v>369</v>
      </c>
      <c r="Q320" s="5" t="s">
        <v>369</v>
      </c>
      <c r="R320" s="5" t="s">
        <v>369</v>
      </c>
      <c r="S320" s="5">
        <f t="shared" si="2"/>
        <v>2</v>
      </c>
      <c r="T320" s="5" t="str">
        <f ca="1">IFERROR(__xludf.DUMMYFUNCTION("QUERY(transpose(A320:R320),""Select Col1 where Col1 is not null limit 1"",0)"),"John Metchie")</f>
        <v>John Metchie</v>
      </c>
      <c r="U320" s="32" t="e">
        <f t="shared" ca="1" si="3"/>
        <v>#NAME?</v>
      </c>
    </row>
    <row r="321" spans="1:21" ht="12.75" x14ac:dyDescent="0.2">
      <c r="A321" s="5"/>
      <c r="B321" s="5" t="s">
        <v>370</v>
      </c>
      <c r="C321" s="5" t="s">
        <v>370</v>
      </c>
      <c r="D321" s="5" t="s">
        <v>370</v>
      </c>
      <c r="E321" s="5" t="s">
        <v>370</v>
      </c>
      <c r="F321" s="5" t="s">
        <v>370</v>
      </c>
      <c r="G321" s="5" t="s">
        <v>370</v>
      </c>
      <c r="H321" s="5" t="s">
        <v>370</v>
      </c>
      <c r="I321" s="5" t="s">
        <v>370</v>
      </c>
      <c r="J321" s="5" t="s">
        <v>370</v>
      </c>
      <c r="K321" s="5" t="s">
        <v>370</v>
      </c>
      <c r="L321" s="5" t="s">
        <v>370</v>
      </c>
      <c r="M321" s="5" t="s">
        <v>370</v>
      </c>
      <c r="N321" s="5" t="s">
        <v>370</v>
      </c>
      <c r="O321" s="5" t="s">
        <v>370</v>
      </c>
      <c r="P321" s="5" t="s">
        <v>370</v>
      </c>
      <c r="Q321" s="5" t="s">
        <v>370</v>
      </c>
      <c r="R321" s="5" t="s">
        <v>370</v>
      </c>
      <c r="S321" s="5">
        <f t="shared" si="2"/>
        <v>2</v>
      </c>
      <c r="T321" s="5" t="str">
        <f ca="1">IFERROR(__xludf.DUMMYFUNCTION("QUERY(transpose(A321:R321),""Select Col1 where Col1 is not null limit 1"",0)"),"Emari Demercado")</f>
        <v>Emari Demercado</v>
      </c>
      <c r="U321" s="32" t="e">
        <f t="shared" ca="1" si="3"/>
        <v>#NAME?</v>
      </c>
    </row>
    <row r="322" spans="1:21" ht="12.75" x14ac:dyDescent="0.2">
      <c r="A322" s="5"/>
      <c r="B322" s="5" t="s">
        <v>371</v>
      </c>
      <c r="C322" s="5" t="s">
        <v>371</v>
      </c>
      <c r="D322" s="5" t="s">
        <v>371</v>
      </c>
      <c r="E322" s="5" t="s">
        <v>371</v>
      </c>
      <c r="F322" s="5" t="s">
        <v>371</v>
      </c>
      <c r="G322" s="5" t="s">
        <v>371</v>
      </c>
      <c r="H322" s="5" t="s">
        <v>371</v>
      </c>
      <c r="I322" s="5" t="s">
        <v>371</v>
      </c>
      <c r="J322" s="5" t="s">
        <v>371</v>
      </c>
      <c r="K322" s="5" t="s">
        <v>371</v>
      </c>
      <c r="L322" s="5" t="s">
        <v>371</v>
      </c>
      <c r="M322" s="5" t="s">
        <v>371</v>
      </c>
      <c r="N322" s="5" t="s">
        <v>371</v>
      </c>
      <c r="O322" s="5" t="s">
        <v>371</v>
      </c>
      <c r="P322" s="5" t="s">
        <v>371</v>
      </c>
      <c r="Q322" s="5" t="s">
        <v>371</v>
      </c>
      <c r="R322" s="5" t="s">
        <v>371</v>
      </c>
      <c r="S322" s="5">
        <f t="shared" si="2"/>
        <v>2</v>
      </c>
      <c r="T322" s="5" t="str">
        <f ca="1">IFERROR(__xludf.DUMMYFUNCTION("QUERY(transpose(A322:R322),""Select Col1 where Col1 is not null limit 1"",0)"),"D.J. Chark")</f>
        <v>D.J. Chark</v>
      </c>
      <c r="U322" s="32" t="e">
        <f t="shared" ca="1" si="3"/>
        <v>#NAME?</v>
      </c>
    </row>
    <row r="323" spans="1:21" ht="12.75" x14ac:dyDescent="0.2">
      <c r="A323" s="5"/>
      <c r="B323" s="5" t="s">
        <v>372</v>
      </c>
      <c r="C323" s="5" t="s">
        <v>372</v>
      </c>
      <c r="D323" s="5" t="s">
        <v>372</v>
      </c>
      <c r="E323" s="5" t="s">
        <v>372</v>
      </c>
      <c r="F323" s="5" t="s">
        <v>372</v>
      </c>
      <c r="G323" s="5" t="s">
        <v>372</v>
      </c>
      <c r="H323" s="5" t="s">
        <v>372</v>
      </c>
      <c r="I323" s="5" t="s">
        <v>372</v>
      </c>
      <c r="J323" s="5" t="s">
        <v>372</v>
      </c>
      <c r="K323" s="5" t="s">
        <v>372</v>
      </c>
      <c r="L323" s="5" t="s">
        <v>372</v>
      </c>
      <c r="M323" s="5" t="s">
        <v>372</v>
      </c>
      <c r="N323" s="5" t="s">
        <v>372</v>
      </c>
      <c r="O323" s="5" t="s">
        <v>372</v>
      </c>
      <c r="P323" s="5" t="s">
        <v>372</v>
      </c>
      <c r="Q323" s="5" t="s">
        <v>372</v>
      </c>
      <c r="R323" s="5" t="s">
        <v>372</v>
      </c>
      <c r="S323" s="5">
        <f t="shared" si="2"/>
        <v>2</v>
      </c>
      <c r="T323" s="5" t="str">
        <f ca="1">IFERROR(__xludf.DUMMYFUNCTION("QUERY(transpose(A323:R323),""Select Col1 where Col1 is not null limit 1"",0)"),"Mo Alie-Cox")</f>
        <v>Mo Alie-Cox</v>
      </c>
      <c r="U323" s="32" t="e">
        <f t="shared" ca="1" si="3"/>
        <v>#NAME?</v>
      </c>
    </row>
    <row r="324" spans="1:21" ht="12.75" x14ac:dyDescent="0.2">
      <c r="A324" s="5"/>
      <c r="B324" s="5" t="s">
        <v>373</v>
      </c>
      <c r="C324" s="5" t="s">
        <v>373</v>
      </c>
      <c r="D324" s="5" t="s">
        <v>373</v>
      </c>
      <c r="E324" s="5" t="s">
        <v>373</v>
      </c>
      <c r="F324" s="5" t="s">
        <v>373</v>
      </c>
      <c r="G324" s="5" t="s">
        <v>373</v>
      </c>
      <c r="H324" s="5" t="s">
        <v>373</v>
      </c>
      <c r="I324" s="5" t="s">
        <v>373</v>
      </c>
      <c r="J324" s="5" t="s">
        <v>373</v>
      </c>
      <c r="K324" s="5" t="s">
        <v>373</v>
      </c>
      <c r="L324" s="5" t="s">
        <v>373</v>
      </c>
      <c r="M324" s="5" t="s">
        <v>373</v>
      </c>
      <c r="N324" s="5" t="s">
        <v>373</v>
      </c>
      <c r="O324" s="5" t="s">
        <v>373</v>
      </c>
      <c r="P324" s="5" t="s">
        <v>373</v>
      </c>
      <c r="Q324" s="5" t="s">
        <v>373</v>
      </c>
      <c r="R324" s="5" t="s">
        <v>373</v>
      </c>
      <c r="S324" s="5">
        <f t="shared" si="2"/>
        <v>2</v>
      </c>
      <c r="T324" s="5" t="str">
        <f ca="1">IFERROR(__xludf.DUMMYFUNCTION("QUERY(transpose(A324:R324),""Select Col1 where Col1 is not null limit 1"",0)"),"Josiah Deguara")</f>
        <v>Josiah Deguara</v>
      </c>
      <c r="U324" s="32" t="e">
        <f t="shared" ca="1" si="3"/>
        <v>#NAME?</v>
      </c>
    </row>
    <row r="325" spans="1:21" ht="12.75" x14ac:dyDescent="0.2">
      <c r="A325" s="5"/>
      <c r="B325" s="5" t="s">
        <v>374</v>
      </c>
      <c r="C325" s="5" t="s">
        <v>374</v>
      </c>
      <c r="D325" s="5" t="s">
        <v>374</v>
      </c>
      <c r="E325" s="5" t="s">
        <v>374</v>
      </c>
      <c r="F325" s="5" t="s">
        <v>374</v>
      </c>
      <c r="G325" s="5" t="s">
        <v>374</v>
      </c>
      <c r="H325" s="5" t="s">
        <v>374</v>
      </c>
      <c r="I325" s="5" t="s">
        <v>374</v>
      </c>
      <c r="J325" s="5" t="s">
        <v>374</v>
      </c>
      <c r="K325" s="5" t="s">
        <v>374</v>
      </c>
      <c r="L325" s="5" t="s">
        <v>374</v>
      </c>
      <c r="M325" s="5" t="s">
        <v>374</v>
      </c>
      <c r="N325" s="5" t="s">
        <v>374</v>
      </c>
      <c r="O325" s="5" t="s">
        <v>374</v>
      </c>
      <c r="P325" s="5" t="s">
        <v>374</v>
      </c>
      <c r="Q325" s="5" t="s">
        <v>374</v>
      </c>
      <c r="R325" s="5" t="s">
        <v>374</v>
      </c>
      <c r="S325" s="5">
        <f t="shared" si="2"/>
        <v>2</v>
      </c>
      <c r="T325" s="5" t="str">
        <f ca="1">IFERROR(__xludf.DUMMYFUNCTION("QUERY(transpose(A325:R325),""Select Col1 where Col1 is not null limit 1"",0)"),"Rashaad Penny")</f>
        <v>Rashaad Penny</v>
      </c>
      <c r="U325" s="32" t="e">
        <f t="shared" ca="1" si="3"/>
        <v>#NAME?</v>
      </c>
    </row>
    <row r="326" spans="1:21" ht="12.75" x14ac:dyDescent="0.2">
      <c r="A326" s="5"/>
      <c r="B326" s="5" t="s">
        <v>375</v>
      </c>
      <c r="C326" s="5" t="s">
        <v>375</v>
      </c>
      <c r="D326" s="5" t="s">
        <v>375</v>
      </c>
      <c r="E326" s="5" t="s">
        <v>375</v>
      </c>
      <c r="F326" s="5" t="s">
        <v>375</v>
      </c>
      <c r="G326" s="5" t="s">
        <v>375</v>
      </c>
      <c r="H326" s="5" t="s">
        <v>375</v>
      </c>
      <c r="I326" s="5" t="s">
        <v>375</v>
      </c>
      <c r="J326" s="5" t="s">
        <v>375</v>
      </c>
      <c r="K326" s="5" t="s">
        <v>375</v>
      </c>
      <c r="L326" s="5" t="s">
        <v>375</v>
      </c>
      <c r="M326" s="5" t="s">
        <v>375</v>
      </c>
      <c r="N326" s="5" t="s">
        <v>375</v>
      </c>
      <c r="O326" s="5" t="s">
        <v>375</v>
      </c>
      <c r="P326" s="5" t="s">
        <v>375</v>
      </c>
      <c r="Q326" s="5" t="s">
        <v>375</v>
      </c>
      <c r="R326" s="5" t="s">
        <v>375</v>
      </c>
      <c r="S326" s="5">
        <f t="shared" si="2"/>
        <v>2</v>
      </c>
      <c r="T326" s="5" t="str">
        <f ca="1">IFERROR(__xludf.DUMMYFUNCTION("QUERY(transpose(A326:R326),""Select Col1 where Col1 is not null limit 1"",0)"),"De'Von Achane")</f>
        <v>De'Von Achane</v>
      </c>
      <c r="U326" s="32" t="e">
        <f t="shared" ca="1" si="3"/>
        <v>#NAME?</v>
      </c>
    </row>
    <row r="327" spans="1:21" ht="12.75" x14ac:dyDescent="0.2">
      <c r="A327" s="5"/>
      <c r="B327" s="5" t="s">
        <v>376</v>
      </c>
      <c r="C327" s="5" t="s">
        <v>376</v>
      </c>
      <c r="D327" s="5" t="s">
        <v>376</v>
      </c>
      <c r="E327" s="5" t="s">
        <v>376</v>
      </c>
      <c r="F327" s="5" t="s">
        <v>376</v>
      </c>
      <c r="G327" s="5" t="s">
        <v>376</v>
      </c>
      <c r="H327" s="5" t="s">
        <v>376</v>
      </c>
      <c r="I327" s="5" t="s">
        <v>376</v>
      </c>
      <c r="J327" s="5" t="s">
        <v>376</v>
      </c>
      <c r="K327" s="5" t="s">
        <v>376</v>
      </c>
      <c r="L327" s="5" t="s">
        <v>376</v>
      </c>
      <c r="M327" s="5" t="s">
        <v>376</v>
      </c>
      <c r="N327" s="5" t="s">
        <v>376</v>
      </c>
      <c r="O327" s="5" t="s">
        <v>376</v>
      </c>
      <c r="P327" s="5" t="s">
        <v>376</v>
      </c>
      <c r="Q327" s="5" t="s">
        <v>376</v>
      </c>
      <c r="R327" s="5" t="s">
        <v>376</v>
      </c>
      <c r="S327" s="5">
        <f t="shared" si="2"/>
        <v>2</v>
      </c>
      <c r="T327" s="5" t="str">
        <f ca="1">IFERROR(__xludf.DUMMYFUNCTION("QUERY(transpose(A327:R327),""Select Col1 where Col1 is not null limit 1"",0)"),"Zach Pascal")</f>
        <v>Zach Pascal</v>
      </c>
      <c r="U327" s="32" t="e">
        <f t="shared" ca="1" si="3"/>
        <v>#NAME?</v>
      </c>
    </row>
    <row r="328" spans="1:21" ht="12.75" x14ac:dyDescent="0.2">
      <c r="A328" s="5"/>
      <c r="B328" s="5" t="s">
        <v>377</v>
      </c>
      <c r="C328" s="5" t="s">
        <v>377</v>
      </c>
      <c r="D328" s="5" t="s">
        <v>377</v>
      </c>
      <c r="E328" s="5" t="s">
        <v>377</v>
      </c>
      <c r="F328" s="5" t="s">
        <v>377</v>
      </c>
      <c r="G328" s="5" t="s">
        <v>377</v>
      </c>
      <c r="H328" s="5" t="s">
        <v>377</v>
      </c>
      <c r="I328" s="5" t="s">
        <v>377</v>
      </c>
      <c r="J328" s="5" t="s">
        <v>377</v>
      </c>
      <c r="K328" s="5" t="s">
        <v>377</v>
      </c>
      <c r="L328" s="5" t="s">
        <v>377</v>
      </c>
      <c r="M328" s="5" t="s">
        <v>377</v>
      </c>
      <c r="N328" s="5" t="s">
        <v>377</v>
      </c>
      <c r="O328" s="5" t="s">
        <v>377</v>
      </c>
      <c r="P328" s="5" t="s">
        <v>377</v>
      </c>
      <c r="Q328" s="5" t="s">
        <v>377</v>
      </c>
      <c r="R328" s="5" t="s">
        <v>377</v>
      </c>
      <c r="S328" s="5">
        <f t="shared" si="2"/>
        <v>2</v>
      </c>
      <c r="T328" s="5" t="str">
        <f ca="1">IFERROR(__xludf.DUMMYFUNCTION("QUERY(transpose(A328:R328),""Select Col1 where Col1 is not null limit 1"",0)"),"Isaiah McKenzie")</f>
        <v>Isaiah McKenzie</v>
      </c>
      <c r="U328" s="32" t="e">
        <f t="shared" ca="1" si="3"/>
        <v>#NAME?</v>
      </c>
    </row>
    <row r="329" spans="1:21" ht="12.75" x14ac:dyDescent="0.2">
      <c r="A329" s="5"/>
      <c r="B329" s="5" t="s">
        <v>378</v>
      </c>
      <c r="C329" s="5" t="s">
        <v>378</v>
      </c>
      <c r="D329" s="5" t="s">
        <v>378</v>
      </c>
      <c r="E329" s="5" t="s">
        <v>378</v>
      </c>
      <c r="F329" s="5" t="s">
        <v>378</v>
      </c>
      <c r="G329" s="5" t="s">
        <v>378</v>
      </c>
      <c r="H329" s="5" t="s">
        <v>378</v>
      </c>
      <c r="I329" s="5" t="s">
        <v>378</v>
      </c>
      <c r="J329" s="5" t="s">
        <v>378</v>
      </c>
      <c r="K329" s="5" t="s">
        <v>378</v>
      </c>
      <c r="L329" s="5" t="s">
        <v>378</v>
      </c>
      <c r="M329" s="5" t="s">
        <v>378</v>
      </c>
      <c r="N329" s="5" t="s">
        <v>378</v>
      </c>
      <c r="O329" s="5" t="s">
        <v>378</v>
      </c>
      <c r="P329" s="5" t="s">
        <v>378</v>
      </c>
      <c r="Q329" s="5" t="s">
        <v>378</v>
      </c>
      <c r="R329" s="5" t="s">
        <v>378</v>
      </c>
      <c r="S329" s="5">
        <f t="shared" si="2"/>
        <v>2</v>
      </c>
      <c r="T329" s="5" t="str">
        <f ca="1">IFERROR(__xludf.DUMMYFUNCTION("QUERY(transpose(A329:R329),""Select Col1 where Col1 is not null limit 1"",0)"),"Mecole Hardman")</f>
        <v>Mecole Hardman</v>
      </c>
      <c r="U329" s="32" t="e">
        <f t="shared" ca="1" si="3"/>
        <v>#NAME?</v>
      </c>
    </row>
    <row r="330" spans="1:21" ht="12.75" x14ac:dyDescent="0.2">
      <c r="A330" s="5"/>
      <c r="B330" s="5" t="s">
        <v>379</v>
      </c>
      <c r="C330" s="5" t="s">
        <v>379</v>
      </c>
      <c r="D330" s="5" t="s">
        <v>379</v>
      </c>
      <c r="E330" s="5" t="s">
        <v>379</v>
      </c>
      <c r="F330" s="5" t="s">
        <v>379</v>
      </c>
      <c r="G330" s="5" t="s">
        <v>379</v>
      </c>
      <c r="H330" s="5" t="s">
        <v>379</v>
      </c>
      <c r="I330" s="5" t="s">
        <v>379</v>
      </c>
      <c r="J330" s="5" t="s">
        <v>379</v>
      </c>
      <c r="K330" s="5" t="s">
        <v>379</v>
      </c>
      <c r="L330" s="5" t="s">
        <v>379</v>
      </c>
      <c r="M330" s="5" t="s">
        <v>379</v>
      </c>
      <c r="N330" s="5" t="s">
        <v>379</v>
      </c>
      <c r="O330" s="5" t="s">
        <v>379</v>
      </c>
      <c r="P330" s="5" t="s">
        <v>379</v>
      </c>
      <c r="Q330" s="5" t="s">
        <v>379</v>
      </c>
      <c r="R330" s="5" t="s">
        <v>379</v>
      </c>
      <c r="S330" s="5">
        <f t="shared" si="2"/>
        <v>2</v>
      </c>
      <c r="T330" s="5" t="str">
        <f ca="1">IFERROR(__xludf.DUMMYFUNCTION("QUERY(transpose(A330:R330),""Select Col1 where Col1 is not null limit 1"",0)"),"Craig Reynolds")</f>
        <v>Craig Reynolds</v>
      </c>
      <c r="U330" s="32" t="e">
        <f t="shared" ca="1" si="3"/>
        <v>#NAME?</v>
      </c>
    </row>
    <row r="331" spans="1:21" ht="12.75" x14ac:dyDescent="0.2">
      <c r="A331" s="5"/>
      <c r="B331" s="5" t="s">
        <v>380</v>
      </c>
      <c r="C331" s="5" t="s">
        <v>380</v>
      </c>
      <c r="D331" s="5" t="s">
        <v>380</v>
      </c>
      <c r="E331" s="5" t="s">
        <v>380</v>
      </c>
      <c r="F331" s="5" t="s">
        <v>380</v>
      </c>
      <c r="G331" s="5" t="s">
        <v>380</v>
      </c>
      <c r="H331" s="5" t="s">
        <v>380</v>
      </c>
      <c r="I331" s="5" t="s">
        <v>380</v>
      </c>
      <c r="J331" s="5" t="s">
        <v>380</v>
      </c>
      <c r="K331" s="5" t="s">
        <v>380</v>
      </c>
      <c r="L331" s="5" t="s">
        <v>380</v>
      </c>
      <c r="M331" s="5" t="s">
        <v>380</v>
      </c>
      <c r="N331" s="5" t="s">
        <v>380</v>
      </c>
      <c r="O331" s="5" t="s">
        <v>380</v>
      </c>
      <c r="P331" s="5" t="s">
        <v>380</v>
      </c>
      <c r="Q331" s="5" t="s">
        <v>380</v>
      </c>
      <c r="R331" s="5" t="s">
        <v>380</v>
      </c>
      <c r="S331" s="5">
        <f t="shared" si="2"/>
        <v>2</v>
      </c>
      <c r="T331" s="5" t="str">
        <f ca="1">IFERROR(__xludf.DUMMYFUNCTION("QUERY(transpose(A331:R331),""Select Col1 where Col1 is not null limit 1"",0)"),"Ameer Abdullah")</f>
        <v>Ameer Abdullah</v>
      </c>
      <c r="U331" s="32" t="e">
        <f t="shared" ca="1" si="3"/>
        <v>#NAME?</v>
      </c>
    </row>
    <row r="332" spans="1:21" ht="12.75" x14ac:dyDescent="0.2">
      <c r="A332" s="5"/>
      <c r="B332" s="5" t="s">
        <v>381</v>
      </c>
      <c r="C332" s="5" t="s">
        <v>381</v>
      </c>
      <c r="D332" s="5" t="s">
        <v>381</v>
      </c>
      <c r="E332" s="5" t="s">
        <v>381</v>
      </c>
      <c r="F332" s="5" t="s">
        <v>381</v>
      </c>
      <c r="G332" s="5" t="s">
        <v>381</v>
      </c>
      <c r="H332" s="5" t="s">
        <v>381</v>
      </c>
      <c r="I332" s="5" t="s">
        <v>381</v>
      </c>
      <c r="J332" s="5" t="s">
        <v>381</v>
      </c>
      <c r="K332" s="5" t="s">
        <v>381</v>
      </c>
      <c r="L332" s="5" t="s">
        <v>381</v>
      </c>
      <c r="M332" s="5" t="s">
        <v>381</v>
      </c>
      <c r="N332" s="5" t="s">
        <v>381</v>
      </c>
      <c r="O332" s="5" t="s">
        <v>381</v>
      </c>
      <c r="P332" s="5" t="s">
        <v>381</v>
      </c>
      <c r="Q332" s="5" t="s">
        <v>381</v>
      </c>
      <c r="R332" s="5" t="s">
        <v>381</v>
      </c>
      <c r="S332" s="5">
        <f t="shared" si="2"/>
        <v>2</v>
      </c>
      <c r="T332" s="5" t="str">
        <f ca="1">IFERROR(__xludf.DUMMYFUNCTION("QUERY(transpose(A332:R332),""Select Col1 where Col1 is not null limit 1"",0)"),"Miles Boykin")</f>
        <v>Miles Boykin</v>
      </c>
      <c r="U332" s="32" t="e">
        <f t="shared" ca="1" si="3"/>
        <v>#NAME?</v>
      </c>
    </row>
    <row r="333" spans="1:21" ht="12.75" x14ac:dyDescent="0.2">
      <c r="A333" s="5"/>
      <c r="B333" s="5" t="s">
        <v>382</v>
      </c>
      <c r="C333" s="5" t="s">
        <v>382</v>
      </c>
      <c r="D333" s="5" t="s">
        <v>382</v>
      </c>
      <c r="E333" s="5" t="s">
        <v>382</v>
      </c>
      <c r="F333" s="5" t="s">
        <v>382</v>
      </c>
      <c r="G333" s="5" t="s">
        <v>382</v>
      </c>
      <c r="H333" s="5" t="s">
        <v>382</v>
      </c>
      <c r="I333" s="5" t="s">
        <v>382</v>
      </c>
      <c r="J333" s="5" t="s">
        <v>382</v>
      </c>
      <c r="K333" s="5" t="s">
        <v>382</v>
      </c>
      <c r="L333" s="5" t="s">
        <v>382</v>
      </c>
      <c r="M333" s="5" t="s">
        <v>382</v>
      </c>
      <c r="N333" s="5" t="s">
        <v>382</v>
      </c>
      <c r="O333" s="5" t="s">
        <v>382</v>
      </c>
      <c r="P333" s="5" t="s">
        <v>382</v>
      </c>
      <c r="Q333" s="5" t="s">
        <v>382</v>
      </c>
      <c r="R333" s="5" t="s">
        <v>382</v>
      </c>
      <c r="S333" s="5">
        <f t="shared" si="2"/>
        <v>2</v>
      </c>
      <c r="T333" s="5" t="str">
        <f ca="1">IFERROR(__xludf.DUMMYFUNCTION("QUERY(transpose(A333:R333),""Select Col1 where Col1 is not null limit 1"",0)"),"Devin Duvernay")</f>
        <v>Devin Duvernay</v>
      </c>
      <c r="U333" s="32" t="e">
        <f t="shared" ca="1" si="3"/>
        <v>#NAME?</v>
      </c>
    </row>
    <row r="334" spans="1:21" ht="12.75" x14ac:dyDescent="0.2">
      <c r="A334" s="5"/>
      <c r="B334" s="5" t="s">
        <v>383</v>
      </c>
      <c r="C334" s="5" t="s">
        <v>383</v>
      </c>
      <c r="D334" s="5" t="s">
        <v>383</v>
      </c>
      <c r="E334" s="5" t="s">
        <v>383</v>
      </c>
      <c r="F334" s="5" t="s">
        <v>383</v>
      </c>
      <c r="G334" s="5" t="s">
        <v>383</v>
      </c>
      <c r="H334" s="5" t="s">
        <v>383</v>
      </c>
      <c r="I334" s="5" t="s">
        <v>383</v>
      </c>
      <c r="J334" s="5" t="s">
        <v>383</v>
      </c>
      <c r="K334" s="5" t="s">
        <v>383</v>
      </c>
      <c r="L334" s="5" t="s">
        <v>383</v>
      </c>
      <c r="M334" s="5" t="s">
        <v>383</v>
      </c>
      <c r="N334" s="5" t="s">
        <v>383</v>
      </c>
      <c r="O334" s="5" t="s">
        <v>383</v>
      </c>
      <c r="P334" s="5" t="s">
        <v>383</v>
      </c>
      <c r="Q334" s="5" t="s">
        <v>383</v>
      </c>
      <c r="R334" s="5" t="s">
        <v>383</v>
      </c>
      <c r="S334" s="5">
        <f t="shared" si="2"/>
        <v>2</v>
      </c>
      <c r="T334" s="5" t="str">
        <f ca="1">IFERROR(__xludf.DUMMYFUNCTION("QUERY(transpose(A334:R334),""Select Col1 where Col1 is not null limit 1"",0)"),"Ronnie Rivers")</f>
        <v>Ronnie Rivers</v>
      </c>
      <c r="U334" s="32" t="e">
        <f t="shared" ca="1" si="3"/>
        <v>#NAME?</v>
      </c>
    </row>
    <row r="335" spans="1:21" ht="12.75" x14ac:dyDescent="0.2">
      <c r="A335" s="5"/>
      <c r="B335" s="5" t="s">
        <v>384</v>
      </c>
      <c r="C335" s="5" t="s">
        <v>384</v>
      </c>
      <c r="D335" s="5" t="s">
        <v>384</v>
      </c>
      <c r="E335" s="5" t="s">
        <v>384</v>
      </c>
      <c r="F335" s="5" t="s">
        <v>384</v>
      </c>
      <c r="G335" s="5" t="s">
        <v>384</v>
      </c>
      <c r="H335" s="5" t="s">
        <v>384</v>
      </c>
      <c r="I335" s="5" t="s">
        <v>384</v>
      </c>
      <c r="J335" s="5" t="s">
        <v>384</v>
      </c>
      <c r="K335" s="5" t="s">
        <v>384</v>
      </c>
      <c r="L335" s="5" t="s">
        <v>384</v>
      </c>
      <c r="M335" s="5" t="s">
        <v>384</v>
      </c>
      <c r="N335" s="5" t="s">
        <v>384</v>
      </c>
      <c r="O335" s="5" t="s">
        <v>384</v>
      </c>
      <c r="P335" s="5" t="s">
        <v>384</v>
      </c>
      <c r="Q335" s="5" t="s">
        <v>384</v>
      </c>
      <c r="R335" s="5" t="s">
        <v>384</v>
      </c>
      <c r="S335" s="5">
        <f t="shared" si="2"/>
        <v>2</v>
      </c>
      <c r="T335" s="5" t="str">
        <f ca="1">IFERROR(__xludf.DUMMYFUNCTION("QUERY(transpose(A335:R335),""Select Col1 where Col1 is not null limit 1"",0)"),"Byron Pringle")</f>
        <v>Byron Pringle</v>
      </c>
      <c r="U335" s="32" t="e">
        <f t="shared" ca="1" si="3"/>
        <v>#NAME?</v>
      </c>
    </row>
    <row r="336" spans="1:21" ht="12.75" x14ac:dyDescent="0.2">
      <c r="A336" s="5"/>
      <c r="B336" s="5" t="s">
        <v>385</v>
      </c>
      <c r="C336" s="5" t="s">
        <v>385</v>
      </c>
      <c r="D336" s="5" t="s">
        <v>385</v>
      </c>
      <c r="E336" s="5" t="s">
        <v>385</v>
      </c>
      <c r="F336" s="5" t="s">
        <v>385</v>
      </c>
      <c r="G336" s="5" t="s">
        <v>385</v>
      </c>
      <c r="H336" s="5" t="s">
        <v>385</v>
      </c>
      <c r="I336" s="5" t="s">
        <v>385</v>
      </c>
      <c r="J336" s="5" t="s">
        <v>385</v>
      </c>
      <c r="K336" s="5" t="s">
        <v>385</v>
      </c>
      <c r="L336" s="5" t="s">
        <v>385</v>
      </c>
      <c r="M336" s="5" t="s">
        <v>385</v>
      </c>
      <c r="N336" s="5" t="s">
        <v>385</v>
      </c>
      <c r="O336" s="5" t="s">
        <v>385</v>
      </c>
      <c r="P336" s="5" t="s">
        <v>385</v>
      </c>
      <c r="Q336" s="5" t="s">
        <v>385</v>
      </c>
      <c r="R336" s="5" t="s">
        <v>385</v>
      </c>
      <c r="S336" s="5">
        <f t="shared" si="2"/>
        <v>2</v>
      </c>
      <c r="T336" s="5" t="str">
        <f ca="1">IFERROR(__xludf.DUMMYFUNCTION("QUERY(transpose(A336:R336),""Select Col1 where Col1 is not null limit 1"",0)"),"Sterling Shepard")</f>
        <v>Sterling Shepard</v>
      </c>
      <c r="U336" s="32" t="e">
        <f t="shared" ca="1" si="3"/>
        <v>#NAME?</v>
      </c>
    </row>
    <row r="337" spans="1:21" ht="12.75" x14ac:dyDescent="0.2">
      <c r="A337" s="5"/>
      <c r="B337" s="5" t="s">
        <v>386</v>
      </c>
      <c r="C337" s="5" t="s">
        <v>386</v>
      </c>
      <c r="D337" s="5" t="s">
        <v>386</v>
      </c>
      <c r="E337" s="5" t="s">
        <v>386</v>
      </c>
      <c r="F337" s="5" t="s">
        <v>386</v>
      </c>
      <c r="G337" s="5" t="s">
        <v>386</v>
      </c>
      <c r="H337" s="5" t="s">
        <v>386</v>
      </c>
      <c r="I337" s="5" t="s">
        <v>386</v>
      </c>
      <c r="J337" s="5" t="s">
        <v>386</v>
      </c>
      <c r="K337" s="5" t="s">
        <v>386</v>
      </c>
      <c r="L337" s="5" t="s">
        <v>386</v>
      </c>
      <c r="M337" s="5" t="s">
        <v>386</v>
      </c>
      <c r="N337" s="5" t="s">
        <v>386</v>
      </c>
      <c r="O337" s="5" t="s">
        <v>386</v>
      </c>
      <c r="P337" s="5" t="s">
        <v>386</v>
      </c>
      <c r="Q337" s="5" t="s">
        <v>386</v>
      </c>
      <c r="R337" s="5" t="s">
        <v>386</v>
      </c>
      <c r="S337" s="5">
        <f t="shared" si="2"/>
        <v>2</v>
      </c>
      <c r="T337" s="5" t="str">
        <f ca="1">IFERROR(__xludf.DUMMYFUNCTION("QUERY(transpose(A337:R337),""Select Col1 where Col1 is not null limit 1"",0)"),"Reggie Gilliam")</f>
        <v>Reggie Gilliam</v>
      </c>
      <c r="U337" s="32" t="e">
        <f t="shared" ca="1" si="3"/>
        <v>#NAME?</v>
      </c>
    </row>
    <row r="338" spans="1:21" ht="12.75" x14ac:dyDescent="0.2">
      <c r="A338" s="5"/>
      <c r="B338" s="5" t="s">
        <v>387</v>
      </c>
      <c r="C338" s="5" t="s">
        <v>387</v>
      </c>
      <c r="D338" s="5" t="s">
        <v>387</v>
      </c>
      <c r="E338" s="5" t="s">
        <v>387</v>
      </c>
      <c r="F338" s="5" t="s">
        <v>387</v>
      </c>
      <c r="G338" s="5" t="s">
        <v>387</v>
      </c>
      <c r="H338" s="5" t="s">
        <v>387</v>
      </c>
      <c r="I338" s="5" t="s">
        <v>387</v>
      </c>
      <c r="J338" s="5" t="s">
        <v>387</v>
      </c>
      <c r="K338" s="5" t="s">
        <v>387</v>
      </c>
      <c r="L338" s="5" t="s">
        <v>387</v>
      </c>
      <c r="M338" s="5" t="s">
        <v>387</v>
      </c>
      <c r="N338" s="5" t="s">
        <v>387</v>
      </c>
      <c r="O338" s="5" t="s">
        <v>387</v>
      </c>
      <c r="P338" s="5" t="s">
        <v>387</v>
      </c>
      <c r="Q338" s="5" t="s">
        <v>387</v>
      </c>
      <c r="R338" s="5" t="s">
        <v>387</v>
      </c>
      <c r="S338" s="5">
        <f t="shared" si="2"/>
        <v>2</v>
      </c>
      <c r="T338" s="5" t="str">
        <f ca="1">IFERROR(__xludf.DUMMYFUNCTION("QUERY(transpose(A338:R338),""Select Col1 where Col1 is not null limit 1"",0)"),"Jake Bobo")</f>
        <v>Jake Bobo</v>
      </c>
      <c r="U338" s="32" t="e">
        <f t="shared" ca="1" si="3"/>
        <v>#NAME?</v>
      </c>
    </row>
    <row r="339" spans="1:21" ht="12.75" x14ac:dyDescent="0.2">
      <c r="A339" s="5"/>
      <c r="B339" s="5" t="s">
        <v>388</v>
      </c>
      <c r="C339" s="5" t="s">
        <v>388</v>
      </c>
      <c r="D339" s="5" t="s">
        <v>388</v>
      </c>
      <c r="E339" s="5" t="s">
        <v>388</v>
      </c>
      <c r="F339" s="5" t="s">
        <v>388</v>
      </c>
      <c r="G339" s="5" t="s">
        <v>388</v>
      </c>
      <c r="H339" s="5" t="s">
        <v>388</v>
      </c>
      <c r="I339" s="5" t="s">
        <v>388</v>
      </c>
      <c r="J339" s="5" t="s">
        <v>388</v>
      </c>
      <c r="K339" s="5" t="s">
        <v>388</v>
      </c>
      <c r="L339" s="5" t="s">
        <v>388</v>
      </c>
      <c r="M339" s="5" t="s">
        <v>388</v>
      </c>
      <c r="N339" s="5" t="s">
        <v>388</v>
      </c>
      <c r="O339" s="5" t="s">
        <v>388</v>
      </c>
      <c r="P339" s="5" t="s">
        <v>388</v>
      </c>
      <c r="Q339" s="5" t="s">
        <v>388</v>
      </c>
      <c r="R339" s="5" t="s">
        <v>388</v>
      </c>
      <c r="S339" s="5">
        <f t="shared" si="2"/>
        <v>2</v>
      </c>
      <c r="T339" s="5" t="str">
        <f ca="1">IFERROR(__xludf.DUMMYFUNCTION("QUERY(transpose(A339:R339),""Select Col1 where Col1 is not null limit 1"",0)"),"Antoine Green")</f>
        <v>Antoine Green</v>
      </c>
      <c r="U339" s="32" t="e">
        <f t="shared" ca="1" si="3"/>
        <v>#NAME?</v>
      </c>
    </row>
    <row r="340" spans="1:21" ht="12.75" x14ac:dyDescent="0.2">
      <c r="A340" s="5"/>
      <c r="B340" s="5" t="s">
        <v>389</v>
      </c>
      <c r="C340" s="5" t="s">
        <v>389</v>
      </c>
      <c r="D340" s="5" t="s">
        <v>389</v>
      </c>
      <c r="E340" s="5" t="s">
        <v>389</v>
      </c>
      <c r="F340" s="5" t="s">
        <v>389</v>
      </c>
      <c r="G340" s="5" t="s">
        <v>389</v>
      </c>
      <c r="H340" s="5" t="s">
        <v>389</v>
      </c>
      <c r="I340" s="5" t="s">
        <v>389</v>
      </c>
      <c r="J340" s="5" t="s">
        <v>389</v>
      </c>
      <c r="K340" s="5" t="s">
        <v>389</v>
      </c>
      <c r="L340" s="5" t="s">
        <v>389</v>
      </c>
      <c r="M340" s="5" t="s">
        <v>389</v>
      </c>
      <c r="N340" s="5" t="s">
        <v>389</v>
      </c>
      <c r="O340" s="5" t="s">
        <v>389</v>
      </c>
      <c r="P340" s="5" t="s">
        <v>389</v>
      </c>
      <c r="Q340" s="5" t="s">
        <v>389</v>
      </c>
      <c r="R340" s="5" t="s">
        <v>389</v>
      </c>
      <c r="S340" s="5">
        <f t="shared" si="2"/>
        <v>2</v>
      </c>
      <c r="T340" s="5" t="str">
        <f ca="1">IFERROR(__xludf.DUMMYFUNCTION("QUERY(transpose(A340:R340),""Select Col1 where Col1 is not null limit 1"",0)"),"Michael Mayer")</f>
        <v>Michael Mayer</v>
      </c>
      <c r="U340" s="32" t="e">
        <f t="shared" ca="1" si="3"/>
        <v>#NAME?</v>
      </c>
    </row>
    <row r="341" spans="1:21" ht="12.75" x14ac:dyDescent="0.2">
      <c r="A341" s="5"/>
      <c r="B341" s="5" t="s">
        <v>390</v>
      </c>
      <c r="C341" s="5" t="s">
        <v>390</v>
      </c>
      <c r="D341" s="5" t="s">
        <v>390</v>
      </c>
      <c r="E341" s="5" t="s">
        <v>390</v>
      </c>
      <c r="F341" s="5" t="s">
        <v>390</v>
      </c>
      <c r="G341" s="5" t="s">
        <v>390</v>
      </c>
      <c r="H341" s="5" t="s">
        <v>390</v>
      </c>
      <c r="I341" s="5" t="s">
        <v>390</v>
      </c>
      <c r="J341" s="5" t="s">
        <v>390</v>
      </c>
      <c r="K341" s="5" t="s">
        <v>390</v>
      </c>
      <c r="L341" s="5" t="s">
        <v>390</v>
      </c>
      <c r="M341" s="5" t="s">
        <v>390</v>
      </c>
      <c r="N341" s="5" t="s">
        <v>390</v>
      </c>
      <c r="O341" s="5" t="s">
        <v>390</v>
      </c>
      <c r="P341" s="5" t="s">
        <v>390</v>
      </c>
      <c r="Q341" s="5" t="s">
        <v>390</v>
      </c>
      <c r="R341" s="5" t="s">
        <v>390</v>
      </c>
      <c r="S341" s="5">
        <f t="shared" si="2"/>
        <v>2</v>
      </c>
      <c r="T341" s="5" t="str">
        <f ca="1">IFERROR(__xludf.DUMMYFUNCTION("QUERY(transpose(A341:R341),""Select Col1 where Col1 is not null limit 1"",0)"),"David Wells")</f>
        <v>David Wells</v>
      </c>
      <c r="U341" s="32" t="e">
        <f t="shared" ca="1" si="3"/>
        <v>#NAME?</v>
      </c>
    </row>
    <row r="342" spans="1:21" ht="12.75" x14ac:dyDescent="0.2">
      <c r="A342" s="5"/>
      <c r="B342" s="5" t="s">
        <v>391</v>
      </c>
      <c r="C342" s="5" t="s">
        <v>391</v>
      </c>
      <c r="D342" s="5" t="s">
        <v>391</v>
      </c>
      <c r="E342" s="5" t="s">
        <v>391</v>
      </c>
      <c r="F342" s="5" t="s">
        <v>391</v>
      </c>
      <c r="G342" s="5" t="s">
        <v>391</v>
      </c>
      <c r="H342" s="5" t="s">
        <v>391</v>
      </c>
      <c r="I342" s="5" t="s">
        <v>391</v>
      </c>
      <c r="J342" s="5" t="s">
        <v>391</v>
      </c>
      <c r="K342" s="5" t="s">
        <v>391</v>
      </c>
      <c r="L342" s="5" t="s">
        <v>391</v>
      </c>
      <c r="M342" s="5" t="s">
        <v>391</v>
      </c>
      <c r="N342" s="5" t="s">
        <v>391</v>
      </c>
      <c r="O342" s="5" t="s">
        <v>391</v>
      </c>
      <c r="P342" s="5" t="s">
        <v>391</v>
      </c>
      <c r="Q342" s="5" t="s">
        <v>391</v>
      </c>
      <c r="R342" s="5" t="s">
        <v>391</v>
      </c>
      <c r="S342" s="5">
        <f t="shared" si="2"/>
        <v>2</v>
      </c>
      <c r="T342" s="5" t="str">
        <f ca="1">IFERROR(__xludf.DUMMYFUNCTION("QUERY(transpose(A342:R342),""Select Col1 where Col1 is not null limit 1"",0)"),"Emanuel Wilson")</f>
        <v>Emanuel Wilson</v>
      </c>
      <c r="U342" s="32" t="e">
        <f t="shared" ca="1" si="3"/>
        <v>#NAME?</v>
      </c>
    </row>
    <row r="343" spans="1:21" ht="12.75" x14ac:dyDescent="0.2">
      <c r="A343" s="5"/>
      <c r="B343" s="5" t="s">
        <v>392</v>
      </c>
      <c r="C343" s="5" t="s">
        <v>392</v>
      </c>
      <c r="D343" s="5" t="s">
        <v>392</v>
      </c>
      <c r="E343" s="5" t="s">
        <v>392</v>
      </c>
      <c r="F343" s="5" t="s">
        <v>392</v>
      </c>
      <c r="G343" s="5" t="s">
        <v>392</v>
      </c>
      <c r="H343" s="5" t="s">
        <v>392</v>
      </c>
      <c r="I343" s="5" t="s">
        <v>392</v>
      </c>
      <c r="J343" s="5" t="s">
        <v>392</v>
      </c>
      <c r="K343" s="5" t="s">
        <v>392</v>
      </c>
      <c r="L343" s="5" t="s">
        <v>392</v>
      </c>
      <c r="M343" s="5" t="s">
        <v>392</v>
      </c>
      <c r="N343" s="5" t="s">
        <v>392</v>
      </c>
      <c r="O343" s="5" t="s">
        <v>392</v>
      </c>
      <c r="P343" s="5" t="s">
        <v>392</v>
      </c>
      <c r="Q343" s="5" t="s">
        <v>392</v>
      </c>
      <c r="R343" s="5" t="s">
        <v>392</v>
      </c>
      <c r="S343" s="5">
        <f t="shared" si="2"/>
        <v>2</v>
      </c>
      <c r="T343" s="5" t="str">
        <f ca="1">IFERROR(__xludf.DUMMYFUNCTION("QUERY(transpose(A343:R343),""Select Col1 where Col1 is not null limit 1"",0)"),"Dare Ogunbowale")</f>
        <v>Dare Ogunbowale</v>
      </c>
      <c r="U343" s="32" t="e">
        <f t="shared" ca="1" si="3"/>
        <v>#NAME?</v>
      </c>
    </row>
    <row r="344" spans="1:21" ht="12.75" x14ac:dyDescent="0.2">
      <c r="A344" s="5"/>
      <c r="B344" s="5" t="s">
        <v>393</v>
      </c>
      <c r="C344" s="5" t="s">
        <v>393</v>
      </c>
      <c r="D344" s="5" t="s">
        <v>393</v>
      </c>
      <c r="E344" s="5" t="s">
        <v>393</v>
      </c>
      <c r="F344" s="5" t="s">
        <v>393</v>
      </c>
      <c r="G344" s="5" t="s">
        <v>393</v>
      </c>
      <c r="H344" s="5" t="s">
        <v>393</v>
      </c>
      <c r="I344" s="5" t="s">
        <v>393</v>
      </c>
      <c r="J344" s="5" t="s">
        <v>393</v>
      </c>
      <c r="K344" s="5" t="s">
        <v>393</v>
      </c>
      <c r="L344" s="5" t="s">
        <v>393</v>
      </c>
      <c r="M344" s="5" t="s">
        <v>393</v>
      </c>
      <c r="N344" s="5" t="s">
        <v>393</v>
      </c>
      <c r="O344" s="5" t="s">
        <v>393</v>
      </c>
      <c r="P344" s="5" t="s">
        <v>393</v>
      </c>
      <c r="Q344" s="5" t="s">
        <v>393</v>
      </c>
      <c r="R344" s="5" t="s">
        <v>393</v>
      </c>
      <c r="S344" s="5">
        <f t="shared" si="2"/>
        <v>2</v>
      </c>
      <c r="T344" s="5" t="str">
        <f ca="1">IFERROR(__xludf.DUMMYFUNCTION("QUERY(transpose(A344:R344),""Select Col1 where Col1 is not null limit 1"",0)"),"Isaiah Spiller")</f>
        <v>Isaiah Spiller</v>
      </c>
      <c r="U344" s="32" t="e">
        <f t="shared" ca="1" si="3"/>
        <v>#NAME?</v>
      </c>
    </row>
    <row r="345" spans="1:21" ht="12.75" x14ac:dyDescent="0.2">
      <c r="A345" s="5"/>
      <c r="B345" s="5" t="s">
        <v>394</v>
      </c>
      <c r="C345" s="5" t="s">
        <v>394</v>
      </c>
      <c r="D345" s="5" t="s">
        <v>394</v>
      </c>
      <c r="E345" s="5" t="s">
        <v>394</v>
      </c>
      <c r="F345" s="5" t="s">
        <v>394</v>
      </c>
      <c r="G345" s="5" t="s">
        <v>394</v>
      </c>
      <c r="H345" s="5" t="s">
        <v>394</v>
      </c>
      <c r="I345" s="5" t="s">
        <v>394</v>
      </c>
      <c r="J345" s="5" t="s">
        <v>394</v>
      </c>
      <c r="K345" s="5" t="s">
        <v>394</v>
      </c>
      <c r="L345" s="5" t="s">
        <v>394</v>
      </c>
      <c r="M345" s="5" t="s">
        <v>394</v>
      </c>
      <c r="N345" s="5" t="s">
        <v>394</v>
      </c>
      <c r="O345" s="5" t="s">
        <v>394</v>
      </c>
      <c r="P345" s="5" t="s">
        <v>394</v>
      </c>
      <c r="Q345" s="5" t="s">
        <v>394</v>
      </c>
      <c r="R345" s="5" t="s">
        <v>394</v>
      </c>
      <c r="S345" s="5">
        <f t="shared" si="2"/>
        <v>2</v>
      </c>
      <c r="T345" s="5" t="str">
        <f ca="1">IFERROR(__xludf.DUMMYFUNCTION("QUERY(transpose(A345:R345),""Select Col1 where Col1 is not null limit 1"",0)"),"Andrew Beck")</f>
        <v>Andrew Beck</v>
      </c>
      <c r="U345" s="32" t="e">
        <f t="shared" ca="1" si="3"/>
        <v>#NAME?</v>
      </c>
    </row>
    <row r="346" spans="1:21" ht="12.75" x14ac:dyDescent="0.2">
      <c r="A346" s="5"/>
      <c r="B346" s="5" t="s">
        <v>395</v>
      </c>
      <c r="C346" s="5" t="s">
        <v>395</v>
      </c>
      <c r="D346" s="5" t="s">
        <v>395</v>
      </c>
      <c r="E346" s="5" t="s">
        <v>395</v>
      </c>
      <c r="F346" s="5" t="s">
        <v>395</v>
      </c>
      <c r="G346" s="5" t="s">
        <v>395</v>
      </c>
      <c r="H346" s="5" t="s">
        <v>395</v>
      </c>
      <c r="I346" s="5" t="s">
        <v>395</v>
      </c>
      <c r="J346" s="5" t="s">
        <v>395</v>
      </c>
      <c r="K346" s="5" t="s">
        <v>395</v>
      </c>
      <c r="L346" s="5" t="s">
        <v>395</v>
      </c>
      <c r="M346" s="5" t="s">
        <v>395</v>
      </c>
      <c r="N346" s="5" t="s">
        <v>395</v>
      </c>
      <c r="O346" s="5" t="s">
        <v>395</v>
      </c>
      <c r="P346" s="5" t="s">
        <v>395</v>
      </c>
      <c r="Q346" s="5" t="s">
        <v>395</v>
      </c>
      <c r="R346" s="5" t="s">
        <v>395</v>
      </c>
      <c r="S346" s="5">
        <f t="shared" si="2"/>
        <v>2</v>
      </c>
      <c r="T346" s="5" t="str">
        <f ca="1">IFERROR(__xludf.DUMMYFUNCTION("QUERY(transpose(A346:R346),""Select Col1 where Col1 is not null limit 1"",0)"),"Chase Brown")</f>
        <v>Chase Brown</v>
      </c>
      <c r="U346" s="32" t="e">
        <f t="shared" ca="1" si="3"/>
        <v>#NAME?</v>
      </c>
    </row>
    <row r="347" spans="1:21" ht="12.75" x14ac:dyDescent="0.2">
      <c r="A347" s="5"/>
      <c r="B347" s="5" t="s">
        <v>396</v>
      </c>
      <c r="C347" s="5" t="s">
        <v>396</v>
      </c>
      <c r="D347" s="5" t="s">
        <v>396</v>
      </c>
      <c r="E347" s="5" t="s">
        <v>396</v>
      </c>
      <c r="F347" s="5" t="s">
        <v>396</v>
      </c>
      <c r="G347" s="5" t="s">
        <v>396</v>
      </c>
      <c r="H347" s="5" t="s">
        <v>396</v>
      </c>
      <c r="I347" s="5" t="s">
        <v>396</v>
      </c>
      <c r="J347" s="5" t="s">
        <v>396</v>
      </c>
      <c r="K347" s="5" t="s">
        <v>396</v>
      </c>
      <c r="L347" s="5" t="s">
        <v>396</v>
      </c>
      <c r="M347" s="5" t="s">
        <v>396</v>
      </c>
      <c r="N347" s="5" t="s">
        <v>396</v>
      </c>
      <c r="O347" s="5" t="s">
        <v>396</v>
      </c>
      <c r="P347" s="5" t="s">
        <v>396</v>
      </c>
      <c r="Q347" s="5" t="s">
        <v>396</v>
      </c>
      <c r="R347" s="5" t="s">
        <v>396</v>
      </c>
      <c r="S347" s="5">
        <f t="shared" si="2"/>
        <v>2</v>
      </c>
      <c r="T347" s="5" t="str">
        <f ca="1">IFERROR(__xludf.DUMMYFUNCTION("QUERY(transpose(A347:R347),""Select Col1 where Col1 is not null limit 1"",0)"),"Peyton Hendershot")</f>
        <v>Peyton Hendershot</v>
      </c>
      <c r="U347" s="32" t="e">
        <f t="shared" ca="1" si="3"/>
        <v>#NAME?</v>
      </c>
    </row>
    <row r="348" spans="1:21" ht="12.75" x14ac:dyDescent="0.2">
      <c r="A348" s="5"/>
      <c r="B348" s="5" t="s">
        <v>397</v>
      </c>
      <c r="C348" s="5" t="s">
        <v>397</v>
      </c>
      <c r="D348" s="5" t="s">
        <v>397</v>
      </c>
      <c r="E348" s="5" t="s">
        <v>397</v>
      </c>
      <c r="F348" s="5" t="s">
        <v>397</v>
      </c>
      <c r="G348" s="5" t="s">
        <v>397</v>
      </c>
      <c r="H348" s="5" t="s">
        <v>397</v>
      </c>
      <c r="I348" s="5" t="s">
        <v>397</v>
      </c>
      <c r="J348" s="5" t="s">
        <v>397</v>
      </c>
      <c r="K348" s="5" t="s">
        <v>397</v>
      </c>
      <c r="L348" s="5" t="s">
        <v>397</v>
      </c>
      <c r="M348" s="5" t="s">
        <v>397</v>
      </c>
      <c r="N348" s="5" t="s">
        <v>397</v>
      </c>
      <c r="O348" s="5" t="s">
        <v>397</v>
      </c>
      <c r="P348" s="5" t="s">
        <v>397</v>
      </c>
      <c r="Q348" s="5" t="s">
        <v>397</v>
      </c>
      <c r="R348" s="5" t="s">
        <v>397</v>
      </c>
      <c r="S348" s="5">
        <f t="shared" si="2"/>
        <v>2</v>
      </c>
      <c r="T348" s="5" t="str">
        <f ca="1">IFERROR(__xludf.DUMMYFUNCTION("QUERY(transpose(A348:R348),""Select Col1 where Col1 is not null limit 1"",0)"),"Kyle Allen")</f>
        <v>Kyle Allen</v>
      </c>
      <c r="U348" s="32" t="e">
        <f t="shared" ca="1" si="3"/>
        <v>#NAME?</v>
      </c>
    </row>
    <row r="349" spans="1:21" ht="12.75" x14ac:dyDescent="0.2">
      <c r="A349" s="5"/>
      <c r="B349" s="5" t="s">
        <v>398</v>
      </c>
      <c r="C349" s="5" t="s">
        <v>398</v>
      </c>
      <c r="D349" s="5" t="s">
        <v>398</v>
      </c>
      <c r="E349" s="5" t="s">
        <v>398</v>
      </c>
      <c r="F349" s="5" t="s">
        <v>398</v>
      </c>
      <c r="G349" s="5" t="s">
        <v>398</v>
      </c>
      <c r="H349" s="5" t="s">
        <v>398</v>
      </c>
      <c r="I349" s="5" t="s">
        <v>398</v>
      </c>
      <c r="J349" s="5" t="s">
        <v>398</v>
      </c>
      <c r="K349" s="5" t="s">
        <v>398</v>
      </c>
      <c r="L349" s="5" t="s">
        <v>398</v>
      </c>
      <c r="M349" s="5" t="s">
        <v>398</v>
      </c>
      <c r="N349" s="5" t="s">
        <v>398</v>
      </c>
      <c r="O349" s="5" t="s">
        <v>398</v>
      </c>
      <c r="P349" s="5" t="s">
        <v>398</v>
      </c>
      <c r="Q349" s="5" t="s">
        <v>398</v>
      </c>
      <c r="R349" s="5" t="s">
        <v>398</v>
      </c>
      <c r="S349" s="5">
        <f t="shared" si="2"/>
        <v>2</v>
      </c>
      <c r="T349" s="5" t="str">
        <f ca="1">IFERROR(__xludf.DUMMYFUNCTION("QUERY(transpose(A349:R349),""Select Col1 where Col1 is not null limit 1"",0)"),"Velus Jones")</f>
        <v>Velus Jones</v>
      </c>
      <c r="U349" s="32" t="e">
        <f t="shared" ca="1" si="3"/>
        <v>#NAME?</v>
      </c>
    </row>
    <row r="350" spans="1:21" ht="12.75" x14ac:dyDescent="0.2">
      <c r="A350" s="5"/>
      <c r="B350" s="5" t="s">
        <v>399</v>
      </c>
      <c r="C350" s="5" t="s">
        <v>399</v>
      </c>
      <c r="D350" s="5" t="s">
        <v>399</v>
      </c>
      <c r="E350" s="5" t="s">
        <v>399</v>
      </c>
      <c r="F350" s="5" t="s">
        <v>399</v>
      </c>
      <c r="G350" s="5" t="s">
        <v>399</v>
      </c>
      <c r="H350" s="5" t="s">
        <v>399</v>
      </c>
      <c r="I350" s="5" t="s">
        <v>399</v>
      </c>
      <c r="J350" s="5" t="s">
        <v>399</v>
      </c>
      <c r="K350" s="5" t="s">
        <v>399</v>
      </c>
      <c r="L350" s="5" t="s">
        <v>399</v>
      </c>
      <c r="M350" s="5" t="s">
        <v>399</v>
      </c>
      <c r="N350" s="5" t="s">
        <v>399</v>
      </c>
      <c r="O350" s="5" t="s">
        <v>399</v>
      </c>
      <c r="P350" s="5" t="s">
        <v>399</v>
      </c>
      <c r="Q350" s="5" t="s">
        <v>399</v>
      </c>
      <c r="R350" s="5" t="s">
        <v>399</v>
      </c>
      <c r="S350" s="5">
        <f t="shared" si="2"/>
        <v>2</v>
      </c>
      <c r="T350" s="5" t="str">
        <f ca="1">IFERROR(__xludf.DUMMYFUNCTION("QUERY(transpose(A350:R350),""Select Col1 where Col1 is not null limit 1"",0)"),"Gunner Olszewski")</f>
        <v>Gunner Olszewski</v>
      </c>
      <c r="U350" s="32" t="e">
        <f t="shared" ca="1" si="3"/>
        <v>#NAME?</v>
      </c>
    </row>
    <row r="351" spans="1:21" ht="12.75" x14ac:dyDescent="0.2">
      <c r="A351" s="5"/>
      <c r="B351" s="5" t="s">
        <v>400</v>
      </c>
      <c r="C351" s="5" t="s">
        <v>400</v>
      </c>
      <c r="D351" s="5" t="s">
        <v>400</v>
      </c>
      <c r="E351" s="5" t="s">
        <v>400</v>
      </c>
      <c r="F351" s="5" t="s">
        <v>400</v>
      </c>
      <c r="G351" s="5" t="s">
        <v>400</v>
      </c>
      <c r="H351" s="5" t="s">
        <v>400</v>
      </c>
      <c r="I351" s="5" t="s">
        <v>400</v>
      </c>
      <c r="J351" s="5" t="s">
        <v>400</v>
      </c>
      <c r="K351" s="5" t="s">
        <v>400</v>
      </c>
      <c r="L351" s="5" t="s">
        <v>400</v>
      </c>
      <c r="M351" s="5" t="s">
        <v>400</v>
      </c>
      <c r="N351" s="5" t="s">
        <v>400</v>
      </c>
      <c r="O351" s="5" t="s">
        <v>400</v>
      </c>
      <c r="P351" s="5" t="s">
        <v>400</v>
      </c>
      <c r="Q351" s="5" t="s">
        <v>400</v>
      </c>
      <c r="R351" s="5" t="s">
        <v>400</v>
      </c>
      <c r="S351" s="5">
        <f t="shared" si="2"/>
        <v>2</v>
      </c>
      <c r="T351" s="5" t="str">
        <f ca="1">IFERROR(__xludf.DUMMYFUNCTION("QUERY(transpose(A351:R351),""Select Col1 where Col1 is not null limit 1"",0)"),"Brandon Powell")</f>
        <v>Brandon Powell</v>
      </c>
      <c r="U351" s="32" t="e">
        <f t="shared" ca="1" si="3"/>
        <v>#NAME?</v>
      </c>
    </row>
    <row r="352" spans="1:21" ht="12.75" x14ac:dyDescent="0.2">
      <c r="A352" s="5"/>
      <c r="B352" s="5"/>
      <c r="C352" s="5" t="s">
        <v>412</v>
      </c>
      <c r="D352" s="5" t="s">
        <v>412</v>
      </c>
      <c r="E352" s="5" t="s">
        <v>412</v>
      </c>
      <c r="F352" s="5" t="s">
        <v>412</v>
      </c>
      <c r="G352" s="5" t="s">
        <v>412</v>
      </c>
      <c r="H352" s="5" t="s">
        <v>412</v>
      </c>
      <c r="I352" s="5" t="s">
        <v>412</v>
      </c>
      <c r="J352" s="5" t="s">
        <v>412</v>
      </c>
      <c r="K352" s="5" t="s">
        <v>412</v>
      </c>
      <c r="L352" s="5" t="s">
        <v>412</v>
      </c>
      <c r="M352" s="5" t="s">
        <v>412</v>
      </c>
      <c r="N352" s="5" t="s">
        <v>412</v>
      </c>
      <c r="O352" s="5" t="s">
        <v>412</v>
      </c>
      <c r="P352" s="5" t="s">
        <v>412</v>
      </c>
      <c r="Q352" s="5" t="s">
        <v>412</v>
      </c>
      <c r="R352" s="5" t="s">
        <v>412</v>
      </c>
      <c r="S352" s="5">
        <f t="shared" si="2"/>
        <v>3</v>
      </c>
      <c r="T352" s="5" t="str">
        <f ca="1">IFERROR(__xludf.DUMMYFUNCTION("QUERY(transpose(A352:R352),""Select Col1 where Col1 is not null limit 1"",0)"),"Andy Dalton")</f>
        <v>Andy Dalton</v>
      </c>
      <c r="U352" s="32" t="e">
        <f t="shared" ca="1" si="3"/>
        <v>#NAME?</v>
      </c>
    </row>
    <row r="353" spans="1:21" ht="12.75" x14ac:dyDescent="0.2">
      <c r="A353" s="5"/>
      <c r="B353" s="5"/>
      <c r="C353" s="5" t="s">
        <v>417</v>
      </c>
      <c r="D353" s="5" t="s">
        <v>417</v>
      </c>
      <c r="E353" s="5" t="s">
        <v>417</v>
      </c>
      <c r="F353" s="5" t="s">
        <v>417</v>
      </c>
      <c r="G353" s="5" t="s">
        <v>417</v>
      </c>
      <c r="H353" s="5" t="s">
        <v>417</v>
      </c>
      <c r="I353" s="5" t="s">
        <v>417</v>
      </c>
      <c r="J353" s="5" t="s">
        <v>417</v>
      </c>
      <c r="K353" s="5" t="s">
        <v>417</v>
      </c>
      <c r="L353" s="5" t="s">
        <v>417</v>
      </c>
      <c r="M353" s="5" t="s">
        <v>417</v>
      </c>
      <c r="N353" s="5" t="s">
        <v>417</v>
      </c>
      <c r="O353" s="5" t="s">
        <v>417</v>
      </c>
      <c r="P353" s="5" t="s">
        <v>417</v>
      </c>
      <c r="Q353" s="5" t="s">
        <v>417</v>
      </c>
      <c r="R353" s="5" t="s">
        <v>417</v>
      </c>
      <c r="S353" s="5">
        <f t="shared" si="2"/>
        <v>3</v>
      </c>
      <c r="T353" s="5" t="str">
        <f ca="1">IFERROR(__xludf.DUMMYFUNCTION("QUERY(transpose(A353:R353),""Select Col1 where Col1 is not null limit 1"",0)"),"Pharaoh Brown")</f>
        <v>Pharaoh Brown</v>
      </c>
      <c r="U353" s="32" t="e">
        <f t="shared" ca="1" si="3"/>
        <v>#NAME?</v>
      </c>
    </row>
    <row r="354" spans="1:21" ht="12.75" x14ac:dyDescent="0.2">
      <c r="A354" s="5"/>
      <c r="B354" s="5"/>
      <c r="C354" s="5" t="s">
        <v>419</v>
      </c>
      <c r="D354" s="5" t="s">
        <v>419</v>
      </c>
      <c r="E354" s="5" t="s">
        <v>419</v>
      </c>
      <c r="F354" s="5" t="s">
        <v>419</v>
      </c>
      <c r="G354" s="5" t="s">
        <v>419</v>
      </c>
      <c r="H354" s="5" t="s">
        <v>419</v>
      </c>
      <c r="I354" s="5" t="s">
        <v>419</v>
      </c>
      <c r="J354" s="5" t="s">
        <v>419</v>
      </c>
      <c r="K354" s="5" t="s">
        <v>419</v>
      </c>
      <c r="L354" s="5" t="s">
        <v>419</v>
      </c>
      <c r="M354" s="5" t="s">
        <v>419</v>
      </c>
      <c r="N354" s="5" t="s">
        <v>419</v>
      </c>
      <c r="O354" s="5" t="s">
        <v>419</v>
      </c>
      <c r="P354" s="5" t="s">
        <v>419</v>
      </c>
      <c r="Q354" s="5" t="s">
        <v>419</v>
      </c>
      <c r="R354" s="5" t="s">
        <v>419</v>
      </c>
      <c r="S354" s="5">
        <f t="shared" si="2"/>
        <v>3</v>
      </c>
      <c r="T354" s="5" t="str">
        <f ca="1">IFERROR(__xludf.DUMMYFUNCTION("QUERY(transpose(A354:R354),""Select Col1 where Col1 is not null limit 1"",0)"),"Robbie Chosen")</f>
        <v>Robbie Chosen</v>
      </c>
      <c r="U354" s="32" t="e">
        <f t="shared" ca="1" si="3"/>
        <v>#NAME?</v>
      </c>
    </row>
    <row r="355" spans="1:21" ht="12.75" x14ac:dyDescent="0.2">
      <c r="A355" s="5"/>
      <c r="B355" s="5"/>
      <c r="C355" s="5" t="s">
        <v>420</v>
      </c>
      <c r="D355" s="5" t="s">
        <v>420</v>
      </c>
      <c r="E355" s="5" t="s">
        <v>420</v>
      </c>
      <c r="F355" s="5" t="s">
        <v>420</v>
      </c>
      <c r="G355" s="5" t="s">
        <v>420</v>
      </c>
      <c r="H355" s="5" t="s">
        <v>420</v>
      </c>
      <c r="I355" s="5" t="s">
        <v>420</v>
      </c>
      <c r="J355" s="5" t="s">
        <v>420</v>
      </c>
      <c r="K355" s="5" t="s">
        <v>420</v>
      </c>
      <c r="L355" s="5" t="s">
        <v>420</v>
      </c>
      <c r="M355" s="5" t="s">
        <v>420</v>
      </c>
      <c r="N355" s="5" t="s">
        <v>420</v>
      </c>
      <c r="O355" s="5" t="s">
        <v>420</v>
      </c>
      <c r="P355" s="5" t="s">
        <v>420</v>
      </c>
      <c r="Q355" s="5" t="s">
        <v>420</v>
      </c>
      <c r="R355" s="5" t="s">
        <v>420</v>
      </c>
      <c r="S355" s="5">
        <f t="shared" si="2"/>
        <v>3</v>
      </c>
      <c r="T355" s="5" t="str">
        <f ca="1">IFERROR(__xludf.DUMMYFUNCTION("QUERY(transpose(A355:R355),""Select Col1 where Col1 is not null limit 1"",0)"),"Olamide Zaccheaus")</f>
        <v>Olamide Zaccheaus</v>
      </c>
      <c r="U355" s="32" t="e">
        <f t="shared" ca="1" si="3"/>
        <v>#NAME?</v>
      </c>
    </row>
    <row r="356" spans="1:21" ht="12.75" x14ac:dyDescent="0.2">
      <c r="A356" s="5"/>
      <c r="B356" s="5"/>
      <c r="C356" s="5" t="s">
        <v>421</v>
      </c>
      <c r="D356" s="5" t="s">
        <v>421</v>
      </c>
      <c r="E356" s="5" t="s">
        <v>421</v>
      </c>
      <c r="F356" s="5" t="s">
        <v>421</v>
      </c>
      <c r="G356" s="5" t="s">
        <v>421</v>
      </c>
      <c r="H356" s="5" t="s">
        <v>421</v>
      </c>
      <c r="I356" s="5" t="s">
        <v>421</v>
      </c>
      <c r="J356" s="5" t="s">
        <v>421</v>
      </c>
      <c r="K356" s="5" t="s">
        <v>421</v>
      </c>
      <c r="L356" s="5" t="s">
        <v>421</v>
      </c>
      <c r="M356" s="5" t="s">
        <v>421</v>
      </c>
      <c r="N356" s="5" t="s">
        <v>421</v>
      </c>
      <c r="O356" s="5" t="s">
        <v>421</v>
      </c>
      <c r="P356" s="5" t="s">
        <v>421</v>
      </c>
      <c r="Q356" s="5" t="s">
        <v>421</v>
      </c>
      <c r="R356" s="5" t="s">
        <v>421</v>
      </c>
      <c r="S356" s="5">
        <f t="shared" si="2"/>
        <v>3</v>
      </c>
      <c r="T356" s="5" t="str">
        <f ca="1">IFERROR(__xludf.DUMMYFUNCTION("QUERY(transpose(A356:R356),""Select Col1 where Col1 is not null limit 1"",0)"),"Ronnie Bell")</f>
        <v>Ronnie Bell</v>
      </c>
      <c r="U356" s="32" t="e">
        <f t="shared" ca="1" si="3"/>
        <v>#NAME?</v>
      </c>
    </row>
    <row r="357" spans="1:21" ht="12.75" x14ac:dyDescent="0.2">
      <c r="A357" s="5"/>
      <c r="B357" s="5"/>
      <c r="C357" s="5" t="s">
        <v>422</v>
      </c>
      <c r="D357" s="5" t="s">
        <v>422</v>
      </c>
      <c r="E357" s="5" t="s">
        <v>422</v>
      </c>
      <c r="F357" s="5" t="s">
        <v>422</v>
      </c>
      <c r="G357" s="5" t="s">
        <v>422</v>
      </c>
      <c r="H357" s="5" t="s">
        <v>422</v>
      </c>
      <c r="I357" s="5" t="s">
        <v>422</v>
      </c>
      <c r="J357" s="5" t="s">
        <v>422</v>
      </c>
      <c r="K357" s="5" t="s">
        <v>422</v>
      </c>
      <c r="L357" s="5" t="s">
        <v>422</v>
      </c>
      <c r="M357" s="5" t="s">
        <v>422</v>
      </c>
      <c r="N357" s="5" t="s">
        <v>422</v>
      </c>
      <c r="O357" s="5" t="s">
        <v>422</v>
      </c>
      <c r="P357" s="5" t="s">
        <v>422</v>
      </c>
      <c r="Q357" s="5" t="s">
        <v>422</v>
      </c>
      <c r="R357" s="5" t="s">
        <v>422</v>
      </c>
      <c r="S357" s="5">
        <f t="shared" si="2"/>
        <v>3</v>
      </c>
      <c r="T357" s="5" t="str">
        <f ca="1">IFERROR(__xludf.DUMMYFUNCTION("QUERY(transpose(A357:R357),""Select Col1 where Col1 is not null limit 1"",0)"),"Jimmy Graham")</f>
        <v>Jimmy Graham</v>
      </c>
      <c r="U357" s="32" t="e">
        <f t="shared" ca="1" si="3"/>
        <v>#NAME?</v>
      </c>
    </row>
    <row r="358" spans="1:21" ht="12.75" x14ac:dyDescent="0.2">
      <c r="A358" s="5"/>
      <c r="B358" s="5"/>
      <c r="C358" s="5" t="s">
        <v>423</v>
      </c>
      <c r="D358" s="5" t="s">
        <v>423</v>
      </c>
      <c r="E358" s="5" t="s">
        <v>423</v>
      </c>
      <c r="F358" s="5" t="s">
        <v>423</v>
      </c>
      <c r="G358" s="5" t="s">
        <v>423</v>
      </c>
      <c r="H358" s="5" t="s">
        <v>423</v>
      </c>
      <c r="I358" s="5" t="s">
        <v>423</v>
      </c>
      <c r="J358" s="5" t="s">
        <v>423</v>
      </c>
      <c r="K358" s="5" t="s">
        <v>423</v>
      </c>
      <c r="L358" s="5" t="s">
        <v>423</v>
      </c>
      <c r="M358" s="5" t="s">
        <v>423</v>
      </c>
      <c r="N358" s="5" t="s">
        <v>423</v>
      </c>
      <c r="O358" s="5" t="s">
        <v>423</v>
      </c>
      <c r="P358" s="5" t="s">
        <v>423</v>
      </c>
      <c r="Q358" s="5" t="s">
        <v>423</v>
      </c>
      <c r="R358" s="5" t="s">
        <v>423</v>
      </c>
      <c r="S358" s="5">
        <f t="shared" si="2"/>
        <v>3</v>
      </c>
      <c r="T358" s="5" t="str">
        <f ca="1">IFERROR(__xludf.DUMMYFUNCTION("QUERY(transpose(A358:R358),""Select Col1 where Col1 is not null limit 1"",0)"),"Melvin Gordon")</f>
        <v>Melvin Gordon</v>
      </c>
      <c r="U358" s="32" t="e">
        <f t="shared" ca="1" si="3"/>
        <v>#NAME?</v>
      </c>
    </row>
    <row r="359" spans="1:21" ht="12.75" x14ac:dyDescent="0.2">
      <c r="A359" s="5"/>
      <c r="B359" s="5"/>
      <c r="C359" s="5" t="s">
        <v>424</v>
      </c>
      <c r="D359" s="5" t="s">
        <v>424</v>
      </c>
      <c r="E359" s="5" t="s">
        <v>424</v>
      </c>
      <c r="F359" s="5" t="s">
        <v>424</v>
      </c>
      <c r="G359" s="5" t="s">
        <v>424</v>
      </c>
      <c r="H359" s="5" t="s">
        <v>424</v>
      </c>
      <c r="I359" s="5" t="s">
        <v>424</v>
      </c>
      <c r="J359" s="5" t="s">
        <v>424</v>
      </c>
      <c r="K359" s="5" t="s">
        <v>424</v>
      </c>
      <c r="L359" s="5" t="s">
        <v>424</v>
      </c>
      <c r="M359" s="5" t="s">
        <v>424</v>
      </c>
      <c r="N359" s="5" t="s">
        <v>424</v>
      </c>
      <c r="O359" s="5" t="s">
        <v>424</v>
      </c>
      <c r="P359" s="5" t="s">
        <v>424</v>
      </c>
      <c r="Q359" s="5" t="s">
        <v>424</v>
      </c>
      <c r="R359" s="5" t="s">
        <v>424</v>
      </c>
      <c r="S359" s="5">
        <f t="shared" si="2"/>
        <v>3</v>
      </c>
      <c r="T359" s="5" t="str">
        <f ca="1">IFERROR(__xludf.DUMMYFUNCTION("QUERY(transpose(A359:R359),""Select Col1 where Col1 is not null limit 1"",0)"),"Christopher Brooks")</f>
        <v>Christopher Brooks</v>
      </c>
      <c r="U359" s="32" t="e">
        <f t="shared" ca="1" si="3"/>
        <v>#NAME?</v>
      </c>
    </row>
    <row r="360" spans="1:21" ht="12.75" x14ac:dyDescent="0.2">
      <c r="A360" s="5"/>
      <c r="B360" s="5"/>
      <c r="C360" s="5" t="s">
        <v>425</v>
      </c>
      <c r="D360" s="5" t="s">
        <v>425</v>
      </c>
      <c r="E360" s="5" t="s">
        <v>425</v>
      </c>
      <c r="F360" s="5" t="s">
        <v>425</v>
      </c>
      <c r="G360" s="5" t="s">
        <v>425</v>
      </c>
      <c r="H360" s="5" t="s">
        <v>425</v>
      </c>
      <c r="I360" s="5" t="s">
        <v>425</v>
      </c>
      <c r="J360" s="5" t="s">
        <v>425</v>
      </c>
      <c r="K360" s="5" t="s">
        <v>425</v>
      </c>
      <c r="L360" s="5" t="s">
        <v>425</v>
      </c>
      <c r="M360" s="5" t="s">
        <v>425</v>
      </c>
      <c r="N360" s="5" t="s">
        <v>425</v>
      </c>
      <c r="O360" s="5" t="s">
        <v>425</v>
      </c>
      <c r="P360" s="5" t="s">
        <v>425</v>
      </c>
      <c r="Q360" s="5" t="s">
        <v>425</v>
      </c>
      <c r="R360" s="5" t="s">
        <v>425</v>
      </c>
      <c r="S360" s="5">
        <f t="shared" si="2"/>
        <v>3</v>
      </c>
      <c r="T360" s="5" t="str">
        <f ca="1">IFERROR(__xludf.DUMMYFUNCTION("QUERY(transpose(A360:R360),""Select Col1 where Col1 is not null limit 1"",0)"),"Mike White")</f>
        <v>Mike White</v>
      </c>
      <c r="U360" s="32" t="e">
        <f t="shared" ca="1" si="3"/>
        <v>#NAME?</v>
      </c>
    </row>
    <row r="361" spans="1:21" ht="12.75" x14ac:dyDescent="0.2">
      <c r="A361" s="5"/>
      <c r="B361" s="5"/>
      <c r="C361" s="5" t="s">
        <v>426</v>
      </c>
      <c r="D361" s="5" t="s">
        <v>426</v>
      </c>
      <c r="E361" s="5" t="s">
        <v>426</v>
      </c>
      <c r="F361" s="5" t="s">
        <v>426</v>
      </c>
      <c r="G361" s="5" t="s">
        <v>426</v>
      </c>
      <c r="H361" s="5" t="s">
        <v>426</v>
      </c>
      <c r="I361" s="5" t="s">
        <v>426</v>
      </c>
      <c r="J361" s="5" t="s">
        <v>426</v>
      </c>
      <c r="K361" s="5" t="s">
        <v>426</v>
      </c>
      <c r="L361" s="5" t="s">
        <v>426</v>
      </c>
      <c r="M361" s="5" t="s">
        <v>426</v>
      </c>
      <c r="N361" s="5" t="s">
        <v>426</v>
      </c>
      <c r="O361" s="5" t="s">
        <v>426</v>
      </c>
      <c r="P361" s="5" t="s">
        <v>426</v>
      </c>
      <c r="Q361" s="5" t="s">
        <v>426</v>
      </c>
      <c r="R361" s="5" t="s">
        <v>426</v>
      </c>
      <c r="S361" s="5">
        <f t="shared" si="2"/>
        <v>3</v>
      </c>
      <c r="T361" s="5" t="str">
        <f ca="1">IFERROR(__xludf.DUMMYFUNCTION("QUERY(transpose(A361:R361),""Select Col1 where Col1 is not null limit 1"",0)"),"Nick Bawden")</f>
        <v>Nick Bawden</v>
      </c>
      <c r="U361" s="32" t="e">
        <f t="shared" ca="1" si="3"/>
        <v>#NAME?</v>
      </c>
    </row>
    <row r="362" spans="1:21" ht="12.75" x14ac:dyDescent="0.2">
      <c r="A362" s="5"/>
      <c r="B362" s="5"/>
      <c r="C362" s="5" t="s">
        <v>427</v>
      </c>
      <c r="D362" s="5" t="s">
        <v>427</v>
      </c>
      <c r="E362" s="5" t="s">
        <v>427</v>
      </c>
      <c r="F362" s="5" t="s">
        <v>427</v>
      </c>
      <c r="G362" s="5" t="s">
        <v>427</v>
      </c>
      <c r="H362" s="5" t="s">
        <v>427</v>
      </c>
      <c r="I362" s="5" t="s">
        <v>427</v>
      </c>
      <c r="J362" s="5" t="s">
        <v>427</v>
      </c>
      <c r="K362" s="5" t="s">
        <v>427</v>
      </c>
      <c r="L362" s="5" t="s">
        <v>427</v>
      </c>
      <c r="M362" s="5" t="s">
        <v>427</v>
      </c>
      <c r="N362" s="5" t="s">
        <v>427</v>
      </c>
      <c r="O362" s="5" t="s">
        <v>427</v>
      </c>
      <c r="P362" s="5" t="s">
        <v>427</v>
      </c>
      <c r="Q362" s="5" t="s">
        <v>427</v>
      </c>
      <c r="R362" s="5" t="s">
        <v>427</v>
      </c>
      <c r="S362" s="5">
        <f t="shared" si="2"/>
        <v>3</v>
      </c>
      <c r="T362" s="5" t="str">
        <f ca="1">IFERROR(__xludf.DUMMYFUNCTION("QUERY(transpose(A362:R362),""Select Col1 where Col1 is not null limit 1"",0)"),"Wan'Dale Robinson")</f>
        <v>Wan'Dale Robinson</v>
      </c>
      <c r="U362" s="32" t="e">
        <f t="shared" ca="1" si="3"/>
        <v>#NAME?</v>
      </c>
    </row>
    <row r="363" spans="1:21" ht="12.75" x14ac:dyDescent="0.2">
      <c r="A363" s="5"/>
      <c r="B363" s="5"/>
      <c r="C363" s="5" t="s">
        <v>428</v>
      </c>
      <c r="D363" s="5" t="s">
        <v>428</v>
      </c>
      <c r="E363" s="5" t="s">
        <v>428</v>
      </c>
      <c r="F363" s="5" t="s">
        <v>428</v>
      </c>
      <c r="G363" s="5" t="s">
        <v>428</v>
      </c>
      <c r="H363" s="5" t="s">
        <v>428</v>
      </c>
      <c r="I363" s="5" t="s">
        <v>428</v>
      </c>
      <c r="J363" s="5" t="s">
        <v>428</v>
      </c>
      <c r="K363" s="5" t="s">
        <v>428</v>
      </c>
      <c r="L363" s="5" t="s">
        <v>428</v>
      </c>
      <c r="M363" s="5" t="s">
        <v>428</v>
      </c>
      <c r="N363" s="5" t="s">
        <v>428</v>
      </c>
      <c r="O363" s="5" t="s">
        <v>428</v>
      </c>
      <c r="P363" s="5" t="s">
        <v>428</v>
      </c>
      <c r="Q363" s="5" t="s">
        <v>428</v>
      </c>
      <c r="R363" s="5" t="s">
        <v>428</v>
      </c>
      <c r="S363" s="5">
        <f t="shared" si="2"/>
        <v>3</v>
      </c>
      <c r="T363" s="5" t="str">
        <f ca="1">IFERROR(__xludf.DUMMYFUNCTION("QUERY(transpose(A363:R363),""Select Col1 where Col1 is not null limit 1"",0)"),"Kareem Hunt")</f>
        <v>Kareem Hunt</v>
      </c>
      <c r="U363" s="32" t="e">
        <f t="shared" ca="1" si="3"/>
        <v>#NAME?</v>
      </c>
    </row>
    <row r="364" spans="1:21" ht="12.75" x14ac:dyDescent="0.2">
      <c r="A364" s="5"/>
      <c r="B364" s="5"/>
      <c r="C364" s="5" t="s">
        <v>429</v>
      </c>
      <c r="D364" s="5" t="s">
        <v>429</v>
      </c>
      <c r="E364" s="5" t="s">
        <v>429</v>
      </c>
      <c r="F364" s="5" t="s">
        <v>429</v>
      </c>
      <c r="G364" s="5" t="s">
        <v>429</v>
      </c>
      <c r="H364" s="5" t="s">
        <v>429</v>
      </c>
      <c r="I364" s="5" t="s">
        <v>429</v>
      </c>
      <c r="J364" s="5" t="s">
        <v>429</v>
      </c>
      <c r="K364" s="5" t="s">
        <v>429</v>
      </c>
      <c r="L364" s="5" t="s">
        <v>429</v>
      </c>
      <c r="M364" s="5" t="s">
        <v>429</v>
      </c>
      <c r="N364" s="5" t="s">
        <v>429</v>
      </c>
      <c r="O364" s="5" t="s">
        <v>429</v>
      </c>
      <c r="P364" s="5" t="s">
        <v>429</v>
      </c>
      <c r="Q364" s="5" t="s">
        <v>429</v>
      </c>
      <c r="R364" s="5" t="s">
        <v>429</v>
      </c>
      <c r="S364" s="5">
        <f t="shared" si="2"/>
        <v>3</v>
      </c>
      <c r="T364" s="5" t="str">
        <f ca="1">IFERROR(__xludf.DUMMYFUNCTION("QUERY(transpose(A364:R364),""Select Col1 where Col1 is not null limit 1"",0)"),"Tanner Hudson")</f>
        <v>Tanner Hudson</v>
      </c>
      <c r="U364" s="32" t="e">
        <f t="shared" ca="1" si="3"/>
        <v>#NAME?</v>
      </c>
    </row>
    <row r="365" spans="1:21" ht="12.75" x14ac:dyDescent="0.2">
      <c r="A365" s="5"/>
      <c r="B365" s="5"/>
      <c r="C365" s="5" t="s">
        <v>430</v>
      </c>
      <c r="D365" s="5" t="s">
        <v>430</v>
      </c>
      <c r="E365" s="5" t="s">
        <v>430</v>
      </c>
      <c r="F365" s="5" t="s">
        <v>430</v>
      </c>
      <c r="G365" s="5" t="s">
        <v>430</v>
      </c>
      <c r="H365" s="5" t="s">
        <v>430</v>
      </c>
      <c r="I365" s="5" t="s">
        <v>430</v>
      </c>
      <c r="J365" s="5" t="s">
        <v>430</v>
      </c>
      <c r="K365" s="5" t="s">
        <v>430</v>
      </c>
      <c r="L365" s="5" t="s">
        <v>430</v>
      </c>
      <c r="M365" s="5" t="s">
        <v>430</v>
      </c>
      <c r="N365" s="5" t="s">
        <v>430</v>
      </c>
      <c r="O365" s="5" t="s">
        <v>430</v>
      </c>
      <c r="P365" s="5" t="s">
        <v>430</v>
      </c>
      <c r="Q365" s="5" t="s">
        <v>430</v>
      </c>
      <c r="R365" s="5" t="s">
        <v>430</v>
      </c>
      <c r="S365" s="5">
        <f t="shared" si="2"/>
        <v>3</v>
      </c>
      <c r="T365" s="5" t="str">
        <f ca="1">IFERROR(__xludf.DUMMYFUNCTION("QUERY(transpose(A365:R365),""Select Col1 where Col1 is not null limit 1"",0)"),"Kendre Miller")</f>
        <v>Kendre Miller</v>
      </c>
      <c r="U365" s="32" t="e">
        <f t="shared" ca="1" si="3"/>
        <v>#NAME?</v>
      </c>
    </row>
    <row r="366" spans="1:21" ht="12.75" x14ac:dyDescent="0.2">
      <c r="A366" s="5"/>
      <c r="B366" s="5"/>
      <c r="C366" s="5" t="s">
        <v>431</v>
      </c>
      <c r="D366" s="5" t="s">
        <v>431</v>
      </c>
      <c r="E366" s="5" t="s">
        <v>431</v>
      </c>
      <c r="F366" s="5" t="s">
        <v>431</v>
      </c>
      <c r="G366" s="5" t="s">
        <v>431</v>
      </c>
      <c r="H366" s="5" t="s">
        <v>431</v>
      </c>
      <c r="I366" s="5" t="s">
        <v>431</v>
      </c>
      <c r="J366" s="5" t="s">
        <v>431</v>
      </c>
      <c r="K366" s="5" t="s">
        <v>431</v>
      </c>
      <c r="L366" s="5" t="s">
        <v>431</v>
      </c>
      <c r="M366" s="5" t="s">
        <v>431</v>
      </c>
      <c r="N366" s="5" t="s">
        <v>431</v>
      </c>
      <c r="O366" s="5" t="s">
        <v>431</v>
      </c>
      <c r="P366" s="5" t="s">
        <v>431</v>
      </c>
      <c r="Q366" s="5" t="s">
        <v>431</v>
      </c>
      <c r="R366" s="5" t="s">
        <v>431</v>
      </c>
      <c r="S366" s="5">
        <f t="shared" si="2"/>
        <v>3</v>
      </c>
      <c r="T366" s="5" t="str">
        <f ca="1">IFERROR(__xludf.DUMMYFUNCTION("QUERY(transpose(A366:R366),""Select Col1 where Col1 is not null limit 1"",0)"),"Jameis Winston")</f>
        <v>Jameis Winston</v>
      </c>
      <c r="U366" s="32" t="e">
        <f t="shared" ca="1" si="3"/>
        <v>#NAME?</v>
      </c>
    </row>
    <row r="367" spans="1:21" ht="12.75" x14ac:dyDescent="0.2">
      <c r="A367" s="5"/>
      <c r="B367" s="5"/>
      <c r="C367" s="5" t="s">
        <v>432</v>
      </c>
      <c r="D367" s="5" t="s">
        <v>432</v>
      </c>
      <c r="E367" s="5" t="s">
        <v>432</v>
      </c>
      <c r="F367" s="5" t="s">
        <v>432</v>
      </c>
      <c r="G367" s="5" t="s">
        <v>432</v>
      </c>
      <c r="H367" s="5" t="s">
        <v>432</v>
      </c>
      <c r="I367" s="5" t="s">
        <v>432</v>
      </c>
      <c r="J367" s="5" t="s">
        <v>432</v>
      </c>
      <c r="K367" s="5" t="s">
        <v>432</v>
      </c>
      <c r="L367" s="5" t="s">
        <v>432</v>
      </c>
      <c r="M367" s="5" t="s">
        <v>432</v>
      </c>
      <c r="N367" s="5" t="s">
        <v>432</v>
      </c>
      <c r="O367" s="5" t="s">
        <v>432</v>
      </c>
      <c r="P367" s="5" t="s">
        <v>432</v>
      </c>
      <c r="Q367" s="5" t="s">
        <v>432</v>
      </c>
      <c r="R367" s="5" t="s">
        <v>432</v>
      </c>
      <c r="S367" s="5">
        <f t="shared" si="2"/>
        <v>3</v>
      </c>
      <c r="T367" s="5" t="str">
        <f ca="1">IFERROR(__xludf.DUMMYFUNCTION("QUERY(transpose(A367:R367),""Select Col1 where Col1 is not null limit 1"",0)"),"Trent Sherfield")</f>
        <v>Trent Sherfield</v>
      </c>
      <c r="U367" s="32" t="e">
        <f t="shared" ca="1" si="3"/>
        <v>#NAME?</v>
      </c>
    </row>
    <row r="368" spans="1:21" ht="12.75" x14ac:dyDescent="0.2">
      <c r="A368" s="5"/>
      <c r="B368" s="5"/>
      <c r="C368" s="5" t="s">
        <v>433</v>
      </c>
      <c r="D368" s="5" t="s">
        <v>433</v>
      </c>
      <c r="E368" s="5" t="s">
        <v>433</v>
      </c>
      <c r="F368" s="5" t="s">
        <v>433</v>
      </c>
      <c r="G368" s="5" t="s">
        <v>433</v>
      </c>
      <c r="H368" s="5" t="s">
        <v>433</v>
      </c>
      <c r="I368" s="5" t="s">
        <v>433</v>
      </c>
      <c r="J368" s="5" t="s">
        <v>433</v>
      </c>
      <c r="K368" s="5" t="s">
        <v>433</v>
      </c>
      <c r="L368" s="5" t="s">
        <v>433</v>
      </c>
      <c r="M368" s="5" t="s">
        <v>433</v>
      </c>
      <c r="N368" s="5" t="s">
        <v>433</v>
      </c>
      <c r="O368" s="5" t="s">
        <v>433</v>
      </c>
      <c r="P368" s="5" t="s">
        <v>433</v>
      </c>
      <c r="Q368" s="5" t="s">
        <v>433</v>
      </c>
      <c r="R368" s="5" t="s">
        <v>433</v>
      </c>
      <c r="S368" s="5">
        <f t="shared" si="2"/>
        <v>3</v>
      </c>
      <c r="T368" s="5" t="str">
        <f ca="1">IFERROR(__xludf.DUMMYFUNCTION("QUERY(transpose(A368:R368),""Select Col1 where Col1 is not null limit 1"",0)"),"Hunter Luepke")</f>
        <v>Hunter Luepke</v>
      </c>
      <c r="U368" s="32" t="e">
        <f t="shared" ca="1" si="3"/>
        <v>#NAME?</v>
      </c>
    </row>
    <row r="369" spans="1:21" ht="12.75" x14ac:dyDescent="0.2">
      <c r="A369" s="5"/>
      <c r="B369" s="5"/>
      <c r="C369" s="5" t="s">
        <v>434</v>
      </c>
      <c r="D369" s="5" t="s">
        <v>434</v>
      </c>
      <c r="E369" s="5" t="s">
        <v>434</v>
      </c>
      <c r="F369" s="5" t="s">
        <v>434</v>
      </c>
      <c r="G369" s="5" t="s">
        <v>434</v>
      </c>
      <c r="H369" s="5" t="s">
        <v>434</v>
      </c>
      <c r="I369" s="5" t="s">
        <v>434</v>
      </c>
      <c r="J369" s="5" t="s">
        <v>434</v>
      </c>
      <c r="K369" s="5" t="s">
        <v>434</v>
      </c>
      <c r="L369" s="5" t="s">
        <v>434</v>
      </c>
      <c r="M369" s="5" t="s">
        <v>434</v>
      </c>
      <c r="N369" s="5" t="s">
        <v>434</v>
      </c>
      <c r="O369" s="5" t="s">
        <v>434</v>
      </c>
      <c r="P369" s="5" t="s">
        <v>434</v>
      </c>
      <c r="Q369" s="5" t="s">
        <v>434</v>
      </c>
      <c r="R369" s="5" t="s">
        <v>434</v>
      </c>
      <c r="S369" s="5">
        <f t="shared" si="2"/>
        <v>3</v>
      </c>
      <c r="T369" s="5" t="str">
        <f ca="1">IFERROR(__xludf.DUMMYFUNCTION("QUERY(transpose(A369:R369),""Select Col1 where Col1 is not null limit 1"",0)"),"Trey Sermon")</f>
        <v>Trey Sermon</v>
      </c>
      <c r="U369" s="32" t="e">
        <f t="shared" ca="1" si="3"/>
        <v>#NAME?</v>
      </c>
    </row>
    <row r="370" spans="1:21" ht="12.75" x14ac:dyDescent="0.2">
      <c r="A370" s="5"/>
      <c r="B370" s="5"/>
      <c r="C370" s="5" t="s">
        <v>435</v>
      </c>
      <c r="D370" s="5" t="s">
        <v>435</v>
      </c>
      <c r="E370" s="5" t="s">
        <v>435</v>
      </c>
      <c r="F370" s="5" t="s">
        <v>435</v>
      </c>
      <c r="G370" s="5" t="s">
        <v>435</v>
      </c>
      <c r="H370" s="5" t="s">
        <v>435</v>
      </c>
      <c r="I370" s="5" t="s">
        <v>435</v>
      </c>
      <c r="J370" s="5" t="s">
        <v>435</v>
      </c>
      <c r="K370" s="5" t="s">
        <v>435</v>
      </c>
      <c r="L370" s="5" t="s">
        <v>435</v>
      </c>
      <c r="M370" s="5" t="s">
        <v>435</v>
      </c>
      <c r="N370" s="5" t="s">
        <v>435</v>
      </c>
      <c r="O370" s="5" t="s">
        <v>435</v>
      </c>
      <c r="P370" s="5" t="s">
        <v>435</v>
      </c>
      <c r="Q370" s="5" t="s">
        <v>435</v>
      </c>
      <c r="R370" s="5" t="s">
        <v>435</v>
      </c>
      <c r="S370" s="5">
        <f t="shared" si="2"/>
        <v>3</v>
      </c>
      <c r="T370" s="5" t="str">
        <f ca="1">IFERROR(__xludf.DUMMYFUNCTION("QUERY(transpose(A370:R370),""Select Col1 where Col1 is not null limit 1"",0)"),"Tim Jones")</f>
        <v>Tim Jones</v>
      </c>
      <c r="U370" s="32" t="e">
        <f t="shared" ca="1" si="3"/>
        <v>#NAME?</v>
      </c>
    </row>
    <row r="371" spans="1:21" ht="12.75" x14ac:dyDescent="0.2">
      <c r="A371" s="5"/>
      <c r="B371" s="5"/>
      <c r="C371" s="5" t="s">
        <v>436</v>
      </c>
      <c r="D371" s="5" t="s">
        <v>436</v>
      </c>
      <c r="E371" s="5" t="s">
        <v>436</v>
      </c>
      <c r="F371" s="5" t="s">
        <v>436</v>
      </c>
      <c r="G371" s="5" t="s">
        <v>436</v>
      </c>
      <c r="H371" s="5" t="s">
        <v>436</v>
      </c>
      <c r="I371" s="5" t="s">
        <v>436</v>
      </c>
      <c r="J371" s="5" t="s">
        <v>436</v>
      </c>
      <c r="K371" s="5" t="s">
        <v>436</v>
      </c>
      <c r="L371" s="5" t="s">
        <v>436</v>
      </c>
      <c r="M371" s="5" t="s">
        <v>436</v>
      </c>
      <c r="N371" s="5" t="s">
        <v>436</v>
      </c>
      <c r="O371" s="5" t="s">
        <v>436</v>
      </c>
      <c r="P371" s="5" t="s">
        <v>436</v>
      </c>
      <c r="Q371" s="5" t="s">
        <v>436</v>
      </c>
      <c r="R371" s="5" t="s">
        <v>436</v>
      </c>
      <c r="S371" s="5">
        <f t="shared" si="2"/>
        <v>3</v>
      </c>
      <c r="T371" s="5" t="str">
        <f ca="1">IFERROR(__xludf.DUMMYFUNCTION("QUERY(transpose(A371:R371),""Select Col1 where Col1 is not null limit 1"",0)"),"Kenyan Drake")</f>
        <v>Kenyan Drake</v>
      </c>
      <c r="U371" s="32" t="e">
        <f t="shared" ca="1" si="3"/>
        <v>#NAME?</v>
      </c>
    </row>
    <row r="372" spans="1:21" ht="12.75" x14ac:dyDescent="0.2">
      <c r="A372" s="5"/>
      <c r="B372" s="5"/>
      <c r="C372" s="5" t="s">
        <v>437</v>
      </c>
      <c r="D372" s="5" t="s">
        <v>437</v>
      </c>
      <c r="E372" s="5" t="s">
        <v>437</v>
      </c>
      <c r="F372" s="5" t="s">
        <v>437</v>
      </c>
      <c r="G372" s="5" t="s">
        <v>437</v>
      </c>
      <c r="H372" s="5" t="s">
        <v>437</v>
      </c>
      <c r="I372" s="5" t="s">
        <v>437</v>
      </c>
      <c r="J372" s="5" t="s">
        <v>437</v>
      </c>
      <c r="K372" s="5" t="s">
        <v>437</v>
      </c>
      <c r="L372" s="5" t="s">
        <v>437</v>
      </c>
      <c r="M372" s="5" t="s">
        <v>437</v>
      </c>
      <c r="N372" s="5" t="s">
        <v>437</v>
      </c>
      <c r="O372" s="5" t="s">
        <v>437</v>
      </c>
      <c r="P372" s="5" t="s">
        <v>437</v>
      </c>
      <c r="Q372" s="5" t="s">
        <v>437</v>
      </c>
      <c r="R372" s="5" t="s">
        <v>437</v>
      </c>
      <c r="S372" s="5">
        <f t="shared" si="2"/>
        <v>3</v>
      </c>
      <c r="T372" s="5" t="str">
        <f ca="1">IFERROR(__xludf.DUMMYFUNCTION("QUERY(transpose(A372:R372),""Select Col1 where Col1 is not null limit 1"",0)"),"Mitchell Wilcox")</f>
        <v>Mitchell Wilcox</v>
      </c>
      <c r="U372" s="32" t="e">
        <f t="shared" ca="1" si="3"/>
        <v>#NAME?</v>
      </c>
    </row>
    <row r="373" spans="1:21" ht="12.75" x14ac:dyDescent="0.2">
      <c r="A373" s="5"/>
      <c r="B373" s="5"/>
      <c r="C373" s="5" t="s">
        <v>438</v>
      </c>
      <c r="D373" s="5" t="s">
        <v>438</v>
      </c>
      <c r="E373" s="5" t="s">
        <v>438</v>
      </c>
      <c r="F373" s="5" t="s">
        <v>438</v>
      </c>
      <c r="G373" s="5" t="s">
        <v>438</v>
      </c>
      <c r="H373" s="5" t="s">
        <v>438</v>
      </c>
      <c r="I373" s="5" t="s">
        <v>438</v>
      </c>
      <c r="J373" s="5" t="s">
        <v>438</v>
      </c>
      <c r="K373" s="5" t="s">
        <v>438</v>
      </c>
      <c r="L373" s="5" t="s">
        <v>438</v>
      </c>
      <c r="M373" s="5" t="s">
        <v>438</v>
      </c>
      <c r="N373" s="5" t="s">
        <v>438</v>
      </c>
      <c r="O373" s="5" t="s">
        <v>438</v>
      </c>
      <c r="P373" s="5" t="s">
        <v>438</v>
      </c>
      <c r="Q373" s="5" t="s">
        <v>438</v>
      </c>
      <c r="R373" s="5" t="s">
        <v>438</v>
      </c>
      <c r="S373" s="5">
        <f t="shared" si="2"/>
        <v>3</v>
      </c>
      <c r="T373" s="5" t="str">
        <f ca="1">IFERROR(__xludf.DUMMYFUNCTION("QUERY(transpose(A373:R373),""Select Col1 where Col1 is not null limit 1"",0)"),"Brenton Strange")</f>
        <v>Brenton Strange</v>
      </c>
      <c r="U373" s="32" t="e">
        <f t="shared" ca="1" si="3"/>
        <v>#NAME?</v>
      </c>
    </row>
    <row r="374" spans="1:21" ht="12.75" x14ac:dyDescent="0.2">
      <c r="A374" s="5"/>
      <c r="B374" s="5"/>
      <c r="C374" s="5" t="s">
        <v>439</v>
      </c>
      <c r="D374" s="5" t="s">
        <v>439</v>
      </c>
      <c r="E374" s="5" t="s">
        <v>439</v>
      </c>
      <c r="F374" s="5" t="s">
        <v>439</v>
      </c>
      <c r="G374" s="5" t="s">
        <v>439</v>
      </c>
      <c r="H374" s="5" t="s">
        <v>439</v>
      </c>
      <c r="I374" s="5" t="s">
        <v>439</v>
      </c>
      <c r="J374" s="5" t="s">
        <v>439</v>
      </c>
      <c r="K374" s="5" t="s">
        <v>439</v>
      </c>
      <c r="L374" s="5" t="s">
        <v>439</v>
      </c>
      <c r="M374" s="5" t="s">
        <v>439</v>
      </c>
      <c r="N374" s="5" t="s">
        <v>439</v>
      </c>
      <c r="O374" s="5" t="s">
        <v>439</v>
      </c>
      <c r="P374" s="5" t="s">
        <v>439</v>
      </c>
      <c r="Q374" s="5" t="s">
        <v>439</v>
      </c>
      <c r="R374" s="5" t="s">
        <v>439</v>
      </c>
      <c r="S374" s="5">
        <f t="shared" si="2"/>
        <v>3</v>
      </c>
      <c r="T374" s="5" t="str">
        <f ca="1">IFERROR(__xludf.DUMMYFUNCTION("QUERY(transpose(A374:R374),""Select Col1 where Col1 is not null limit 1"",0)"),"Khadarel Hodge")</f>
        <v>Khadarel Hodge</v>
      </c>
      <c r="U374" s="32" t="e">
        <f t="shared" ca="1" si="3"/>
        <v>#NAME?</v>
      </c>
    </row>
    <row r="375" spans="1:21" ht="12.75" x14ac:dyDescent="0.2">
      <c r="A375" s="5"/>
      <c r="B375" s="5"/>
      <c r="C375" s="5" t="s">
        <v>440</v>
      </c>
      <c r="D375" s="5" t="s">
        <v>440</v>
      </c>
      <c r="E375" s="5" t="s">
        <v>440</v>
      </c>
      <c r="F375" s="5" t="s">
        <v>440</v>
      </c>
      <c r="G375" s="5" t="s">
        <v>440</v>
      </c>
      <c r="H375" s="5" t="s">
        <v>440</v>
      </c>
      <c r="I375" s="5" t="s">
        <v>440</v>
      </c>
      <c r="J375" s="5" t="s">
        <v>440</v>
      </c>
      <c r="K375" s="5" t="s">
        <v>440</v>
      </c>
      <c r="L375" s="5" t="s">
        <v>440</v>
      </c>
      <c r="M375" s="5" t="s">
        <v>440</v>
      </c>
      <c r="N375" s="5" t="s">
        <v>440</v>
      </c>
      <c r="O375" s="5" t="s">
        <v>440</v>
      </c>
      <c r="P375" s="5" t="s">
        <v>440</v>
      </c>
      <c r="Q375" s="5" t="s">
        <v>440</v>
      </c>
      <c r="R375" s="5" t="s">
        <v>440</v>
      </c>
      <c r="S375" s="5">
        <f t="shared" si="2"/>
        <v>3</v>
      </c>
      <c r="T375" s="5" t="str">
        <f ca="1">IFERROR(__xludf.DUMMYFUNCTION("QUERY(transpose(A375:R375),""Select Col1 where Col1 is not null limit 1"",0)"),"Tommy Tremble")</f>
        <v>Tommy Tremble</v>
      </c>
      <c r="U375" s="32" t="e">
        <f t="shared" ca="1" si="3"/>
        <v>#NAME?</v>
      </c>
    </row>
    <row r="376" spans="1:21" ht="12.75" x14ac:dyDescent="0.2">
      <c r="A376" s="5"/>
      <c r="B376" s="5"/>
      <c r="C376" s="5" t="s">
        <v>441</v>
      </c>
      <c r="D376" s="5" t="s">
        <v>441</v>
      </c>
      <c r="E376" s="5" t="s">
        <v>441</v>
      </c>
      <c r="F376" s="5" t="s">
        <v>441</v>
      </c>
      <c r="G376" s="5" t="s">
        <v>441</v>
      </c>
      <c r="H376" s="5" t="s">
        <v>441</v>
      </c>
      <c r="I376" s="5" t="s">
        <v>441</v>
      </c>
      <c r="J376" s="5" t="s">
        <v>441</v>
      </c>
      <c r="K376" s="5" t="s">
        <v>441</v>
      </c>
      <c r="L376" s="5" t="s">
        <v>441</v>
      </c>
      <c r="M376" s="5" t="s">
        <v>441</v>
      </c>
      <c r="N376" s="5" t="s">
        <v>441</v>
      </c>
      <c r="O376" s="5" t="s">
        <v>441</v>
      </c>
      <c r="P376" s="5" t="s">
        <v>441</v>
      </c>
      <c r="Q376" s="5" t="s">
        <v>441</v>
      </c>
      <c r="R376" s="5" t="s">
        <v>441</v>
      </c>
      <c r="S376" s="5">
        <f t="shared" si="2"/>
        <v>3</v>
      </c>
      <c r="T376" s="5" t="str">
        <f ca="1">IFERROR(__xludf.DUMMYFUNCTION("QUERY(transpose(A376:R376),""Select Col1 where Col1 is not null limit 1"",0)"),"Randall Cobb")</f>
        <v>Randall Cobb</v>
      </c>
      <c r="U376" s="32" t="e">
        <f t="shared" ca="1" si="3"/>
        <v>#NAME?</v>
      </c>
    </row>
    <row r="377" spans="1:21" ht="12.75" x14ac:dyDescent="0.2">
      <c r="A377" s="5"/>
      <c r="B377" s="5"/>
      <c r="C377" s="5" t="s">
        <v>442</v>
      </c>
      <c r="D377" s="5" t="s">
        <v>442</v>
      </c>
      <c r="E377" s="5" t="s">
        <v>442</v>
      </c>
      <c r="F377" s="5" t="s">
        <v>442</v>
      </c>
      <c r="G377" s="5" t="s">
        <v>442</v>
      </c>
      <c r="H377" s="5" t="s">
        <v>442</v>
      </c>
      <c r="I377" s="5" t="s">
        <v>442</v>
      </c>
      <c r="J377" s="5" t="s">
        <v>442</v>
      </c>
      <c r="K377" s="5" t="s">
        <v>442</v>
      </c>
      <c r="L377" s="5" t="s">
        <v>442</v>
      </c>
      <c r="M377" s="5" t="s">
        <v>442</v>
      </c>
      <c r="N377" s="5" t="s">
        <v>442</v>
      </c>
      <c r="O377" s="5" t="s">
        <v>442</v>
      </c>
      <c r="P377" s="5" t="s">
        <v>442</v>
      </c>
      <c r="Q377" s="5" t="s">
        <v>442</v>
      </c>
      <c r="R377" s="5" t="s">
        <v>442</v>
      </c>
      <c r="S377" s="5">
        <f t="shared" si="2"/>
        <v>3</v>
      </c>
      <c r="T377" s="5" t="str">
        <f ca="1">IFERROR(__xludf.DUMMYFUNCTION("QUERY(transpose(A377:R377),""Select Col1 where Col1 is not null limit 1"",0)"),"Nate Adkins")</f>
        <v>Nate Adkins</v>
      </c>
      <c r="U377" s="32" t="e">
        <f t="shared" ca="1" si="3"/>
        <v>#NAME?</v>
      </c>
    </row>
    <row r="378" spans="1:21" ht="12.75" x14ac:dyDescent="0.2">
      <c r="A378" s="5"/>
      <c r="B378" s="5"/>
      <c r="C378" s="5" t="s">
        <v>443</v>
      </c>
      <c r="D378" s="5" t="s">
        <v>443</v>
      </c>
      <c r="E378" s="5" t="s">
        <v>443</v>
      </c>
      <c r="F378" s="5" t="s">
        <v>443</v>
      </c>
      <c r="G378" s="5" t="s">
        <v>443</v>
      </c>
      <c r="H378" s="5" t="s">
        <v>443</v>
      </c>
      <c r="I378" s="5" t="s">
        <v>443</v>
      </c>
      <c r="J378" s="5" t="s">
        <v>443</v>
      </c>
      <c r="K378" s="5" t="s">
        <v>443</v>
      </c>
      <c r="L378" s="5" t="s">
        <v>443</v>
      </c>
      <c r="M378" s="5" t="s">
        <v>443</v>
      </c>
      <c r="N378" s="5" t="s">
        <v>443</v>
      </c>
      <c r="O378" s="5" t="s">
        <v>443</v>
      </c>
      <c r="P378" s="5" t="s">
        <v>443</v>
      </c>
      <c r="Q378" s="5" t="s">
        <v>443</v>
      </c>
      <c r="R378" s="5" t="s">
        <v>443</v>
      </c>
      <c r="S378" s="5">
        <f t="shared" si="2"/>
        <v>3</v>
      </c>
      <c r="T378" s="5" t="str">
        <f ca="1">IFERROR(__xludf.DUMMYFUNCTION("QUERY(transpose(A378:R378),""Select Col1 where Col1 is not null limit 1"",0)"),"MyCole Pruitt")</f>
        <v>MyCole Pruitt</v>
      </c>
      <c r="U378" s="32" t="e">
        <f t="shared" ca="1" si="3"/>
        <v>#NAME?</v>
      </c>
    </row>
    <row r="379" spans="1:21" ht="12.75" x14ac:dyDescent="0.2">
      <c r="A379" s="5"/>
      <c r="B379" s="5"/>
      <c r="C379" s="5" t="s">
        <v>444</v>
      </c>
      <c r="D379" s="5" t="s">
        <v>444</v>
      </c>
      <c r="E379" s="5" t="s">
        <v>444</v>
      </c>
      <c r="F379" s="5" t="s">
        <v>444</v>
      </c>
      <c r="G379" s="5" t="s">
        <v>444</v>
      </c>
      <c r="H379" s="5" t="s">
        <v>444</v>
      </c>
      <c r="I379" s="5" t="s">
        <v>444</v>
      </c>
      <c r="J379" s="5" t="s">
        <v>444</v>
      </c>
      <c r="K379" s="5" t="s">
        <v>444</v>
      </c>
      <c r="L379" s="5" t="s">
        <v>444</v>
      </c>
      <c r="M379" s="5" t="s">
        <v>444</v>
      </c>
      <c r="N379" s="5" t="s">
        <v>444</v>
      </c>
      <c r="O379" s="5" t="s">
        <v>444</v>
      </c>
      <c r="P379" s="5" t="s">
        <v>444</v>
      </c>
      <c r="Q379" s="5" t="s">
        <v>444</v>
      </c>
      <c r="R379" s="5" t="s">
        <v>444</v>
      </c>
      <c r="S379" s="5">
        <f t="shared" si="2"/>
        <v>3</v>
      </c>
      <c r="T379" s="5" t="str">
        <f ca="1">IFERROR(__xludf.DUMMYFUNCTION("QUERY(transpose(A379:R379),""Select Col1 where Col1 is not null limit 1"",0)"),"C.J. Uzomah")</f>
        <v>C.J. Uzomah</v>
      </c>
      <c r="U379" s="32" t="e">
        <f t="shared" ca="1" si="3"/>
        <v>#NAME?</v>
      </c>
    </row>
    <row r="380" spans="1:21" ht="12.75" x14ac:dyDescent="0.2">
      <c r="A380" s="5"/>
      <c r="B380" s="5"/>
      <c r="C380" s="5" t="s">
        <v>445</v>
      </c>
      <c r="D380" s="5" t="s">
        <v>445</v>
      </c>
      <c r="E380" s="5" t="s">
        <v>445</v>
      </c>
      <c r="F380" s="5" t="s">
        <v>445</v>
      </c>
      <c r="G380" s="5" t="s">
        <v>445</v>
      </c>
      <c r="H380" s="5" t="s">
        <v>445</v>
      </c>
      <c r="I380" s="5" t="s">
        <v>445</v>
      </c>
      <c r="J380" s="5" t="s">
        <v>445</v>
      </c>
      <c r="K380" s="5" t="s">
        <v>445</v>
      </c>
      <c r="L380" s="5" t="s">
        <v>445</v>
      </c>
      <c r="M380" s="5" t="s">
        <v>445</v>
      </c>
      <c r="N380" s="5" t="s">
        <v>445</v>
      </c>
      <c r="O380" s="5" t="s">
        <v>445</v>
      </c>
      <c r="P380" s="5" t="s">
        <v>445</v>
      </c>
      <c r="Q380" s="5" t="s">
        <v>445</v>
      </c>
      <c r="R380" s="5" t="s">
        <v>445</v>
      </c>
      <c r="S380" s="5">
        <f t="shared" si="2"/>
        <v>3</v>
      </c>
      <c r="T380" s="5" t="str">
        <f ca="1">IFERROR(__xludf.DUMMYFUNCTION("QUERY(transpose(A380:R380),""Select Col1 where Col1 is not null limit 1"",0)"),"Ian Thomas")</f>
        <v>Ian Thomas</v>
      </c>
      <c r="U380" s="32" t="e">
        <f t="shared" ca="1" si="3"/>
        <v>#NAME?</v>
      </c>
    </row>
    <row r="381" spans="1:21" ht="12.75" x14ac:dyDescent="0.2">
      <c r="A381" s="5"/>
      <c r="B381" s="5"/>
      <c r="C381" s="5" t="s">
        <v>446</v>
      </c>
      <c r="D381" s="5" t="s">
        <v>446</v>
      </c>
      <c r="E381" s="5" t="s">
        <v>446</v>
      </c>
      <c r="F381" s="5" t="s">
        <v>446</v>
      </c>
      <c r="G381" s="5" t="s">
        <v>446</v>
      </c>
      <c r="H381" s="5" t="s">
        <v>446</v>
      </c>
      <c r="I381" s="5" t="s">
        <v>446</v>
      </c>
      <c r="J381" s="5" t="s">
        <v>446</v>
      </c>
      <c r="K381" s="5" t="s">
        <v>446</v>
      </c>
      <c r="L381" s="5" t="s">
        <v>446</v>
      </c>
      <c r="M381" s="5" t="s">
        <v>446</v>
      </c>
      <c r="N381" s="5" t="s">
        <v>446</v>
      </c>
      <c r="O381" s="5" t="s">
        <v>446</v>
      </c>
      <c r="P381" s="5" t="s">
        <v>446</v>
      </c>
      <c r="Q381" s="5" t="s">
        <v>446</v>
      </c>
      <c r="R381" s="5" t="s">
        <v>446</v>
      </c>
      <c r="S381" s="5">
        <f t="shared" si="2"/>
        <v>3</v>
      </c>
      <c r="T381" s="5" t="str">
        <f ca="1">IFERROR(__xludf.DUMMYFUNCTION("QUERY(transpose(A381:R381),""Select Col1 where Col1 is not null limit 1"",0)"),"Drew Sample")</f>
        <v>Drew Sample</v>
      </c>
      <c r="U381" s="32" t="e">
        <f t="shared" ca="1" si="3"/>
        <v>#NAME?</v>
      </c>
    </row>
    <row r="382" spans="1:21" ht="12.75" x14ac:dyDescent="0.2">
      <c r="A382" s="5"/>
      <c r="B382" s="5"/>
      <c r="C382" s="5" t="s">
        <v>447</v>
      </c>
      <c r="D382" s="5" t="s">
        <v>447</v>
      </c>
      <c r="E382" s="5" t="s">
        <v>447</v>
      </c>
      <c r="F382" s="5" t="s">
        <v>447</v>
      </c>
      <c r="G382" s="5" t="s">
        <v>447</v>
      </c>
      <c r="H382" s="5" t="s">
        <v>447</v>
      </c>
      <c r="I382" s="5" t="s">
        <v>447</v>
      </c>
      <c r="J382" s="5" t="s">
        <v>447</v>
      </c>
      <c r="K382" s="5" t="s">
        <v>447</v>
      </c>
      <c r="L382" s="5" t="s">
        <v>447</v>
      </c>
      <c r="M382" s="5" t="s">
        <v>447</v>
      </c>
      <c r="N382" s="5" t="s">
        <v>447</v>
      </c>
      <c r="O382" s="5" t="s">
        <v>447</v>
      </c>
      <c r="P382" s="5" t="s">
        <v>447</v>
      </c>
      <c r="Q382" s="5" t="s">
        <v>447</v>
      </c>
      <c r="R382" s="5" t="s">
        <v>447</v>
      </c>
      <c r="S382" s="5">
        <f t="shared" si="2"/>
        <v>3</v>
      </c>
      <c r="T382" s="5" t="str">
        <f ca="1">IFERROR(__xludf.DUMMYFUNCTION("QUERY(transpose(A382:R382),""Select Col1 where Col1 is not null limit 1"",0)"),"Charlie Jones")</f>
        <v>Charlie Jones</v>
      </c>
      <c r="U382" s="32" t="e">
        <f t="shared" ca="1" si="3"/>
        <v>#NAME?</v>
      </c>
    </row>
    <row r="383" spans="1:21" ht="12.75" x14ac:dyDescent="0.2">
      <c r="A383" s="5"/>
      <c r="B383" s="5"/>
      <c r="C383" s="5" t="s">
        <v>448</v>
      </c>
      <c r="D383" s="5" t="s">
        <v>448</v>
      </c>
      <c r="E383" s="5" t="s">
        <v>448</v>
      </c>
      <c r="F383" s="5" t="s">
        <v>448</v>
      </c>
      <c r="G383" s="5" t="s">
        <v>448</v>
      </c>
      <c r="H383" s="5" t="s">
        <v>448</v>
      </c>
      <c r="I383" s="5" t="s">
        <v>448</v>
      </c>
      <c r="J383" s="5" t="s">
        <v>448</v>
      </c>
      <c r="K383" s="5" t="s">
        <v>448</v>
      </c>
      <c r="L383" s="5" t="s">
        <v>448</v>
      </c>
      <c r="M383" s="5" t="s">
        <v>448</v>
      </c>
      <c r="N383" s="5" t="s">
        <v>448</v>
      </c>
      <c r="O383" s="5" t="s">
        <v>448</v>
      </c>
      <c r="P383" s="5" t="s">
        <v>448</v>
      </c>
      <c r="Q383" s="5" t="s">
        <v>448</v>
      </c>
      <c r="R383" s="5" t="s">
        <v>448</v>
      </c>
      <c r="S383" s="5">
        <f t="shared" si="2"/>
        <v>3</v>
      </c>
      <c r="T383" s="5" t="str">
        <f ca="1">IFERROR(__xludf.DUMMYFUNCTION("QUERY(transpose(A383:R383),""Select Col1 where Col1 is not null limit 1"",0)"),"Jack Stoll")</f>
        <v>Jack Stoll</v>
      </c>
      <c r="U383" s="32" t="e">
        <f t="shared" ca="1" si="3"/>
        <v>#NAME?</v>
      </c>
    </row>
    <row r="384" spans="1:21" ht="12.75" x14ac:dyDescent="0.2">
      <c r="A384" s="5"/>
      <c r="B384" s="5"/>
      <c r="C384" s="5" t="s">
        <v>449</v>
      </c>
      <c r="D384" s="5" t="s">
        <v>449</v>
      </c>
      <c r="E384" s="5" t="s">
        <v>449</v>
      </c>
      <c r="F384" s="5" t="s">
        <v>449</v>
      </c>
      <c r="G384" s="5" t="s">
        <v>449</v>
      </c>
      <c r="H384" s="5" t="s">
        <v>449</v>
      </c>
      <c r="I384" s="5" t="s">
        <v>449</v>
      </c>
      <c r="J384" s="5" t="s">
        <v>449</v>
      </c>
      <c r="K384" s="5" t="s">
        <v>449</v>
      </c>
      <c r="L384" s="5" t="s">
        <v>449</v>
      </c>
      <c r="M384" s="5" t="s">
        <v>449</v>
      </c>
      <c r="N384" s="5" t="s">
        <v>449</v>
      </c>
      <c r="O384" s="5" t="s">
        <v>449</v>
      </c>
      <c r="P384" s="5" t="s">
        <v>449</v>
      </c>
      <c r="Q384" s="5" t="s">
        <v>449</v>
      </c>
      <c r="R384" s="5" t="s">
        <v>449</v>
      </c>
      <c r="S384" s="5">
        <f t="shared" si="2"/>
        <v>3</v>
      </c>
      <c r="T384" s="5" t="str">
        <f ca="1">IFERROR(__xludf.DUMMYFUNCTION("QUERY(transpose(A384:R384),""Select Col1 where Col1 is not null limit 1"",0)"),"Luke Farrell")</f>
        <v>Luke Farrell</v>
      </c>
      <c r="U384" s="32" t="e">
        <f t="shared" ca="1" si="3"/>
        <v>#NAME?</v>
      </c>
    </row>
    <row r="385" spans="1:21" ht="12.75" x14ac:dyDescent="0.2">
      <c r="A385" s="5"/>
      <c r="B385" s="5"/>
      <c r="C385" s="5" t="s">
        <v>450</v>
      </c>
      <c r="D385" s="5" t="s">
        <v>450</v>
      </c>
      <c r="E385" s="5" t="s">
        <v>450</v>
      </c>
      <c r="F385" s="5" t="s">
        <v>450</v>
      </c>
      <c r="G385" s="5" t="s">
        <v>450</v>
      </c>
      <c r="H385" s="5" t="s">
        <v>450</v>
      </c>
      <c r="I385" s="5" t="s">
        <v>450</v>
      </c>
      <c r="J385" s="5" t="s">
        <v>450</v>
      </c>
      <c r="K385" s="5" t="s">
        <v>450</v>
      </c>
      <c r="L385" s="5" t="s">
        <v>450</v>
      </c>
      <c r="M385" s="5" t="s">
        <v>450</v>
      </c>
      <c r="N385" s="5" t="s">
        <v>450</v>
      </c>
      <c r="O385" s="5" t="s">
        <v>450</v>
      </c>
      <c r="P385" s="5" t="s">
        <v>450</v>
      </c>
      <c r="Q385" s="5" t="s">
        <v>450</v>
      </c>
      <c r="R385" s="5" t="s">
        <v>450</v>
      </c>
      <c r="S385" s="5">
        <f t="shared" si="2"/>
        <v>3</v>
      </c>
      <c r="T385" s="5" t="str">
        <f ca="1">IFERROR(__xludf.DUMMYFUNCTION("QUERY(transpose(A385:R385),""Select Col1 where Col1 is not null limit 1"",0)"),"Zonovan Knight")</f>
        <v>Zonovan Knight</v>
      </c>
      <c r="U385" s="32" t="e">
        <f t="shared" ca="1" si="3"/>
        <v>#NAME?</v>
      </c>
    </row>
    <row r="386" spans="1:21" ht="12.75" x14ac:dyDescent="0.2">
      <c r="A386" s="5"/>
      <c r="B386" s="5"/>
      <c r="C386" s="5" t="s">
        <v>451</v>
      </c>
      <c r="D386" s="5" t="s">
        <v>451</v>
      </c>
      <c r="E386" s="5" t="s">
        <v>451</v>
      </c>
      <c r="F386" s="5" t="s">
        <v>451</v>
      </c>
      <c r="G386" s="5" t="s">
        <v>451</v>
      </c>
      <c r="H386" s="5" t="s">
        <v>451</v>
      </c>
      <c r="I386" s="5" t="s">
        <v>451</v>
      </c>
      <c r="J386" s="5" t="s">
        <v>451</v>
      </c>
      <c r="K386" s="5" t="s">
        <v>451</v>
      </c>
      <c r="L386" s="5" t="s">
        <v>451</v>
      </c>
      <c r="M386" s="5" t="s">
        <v>451</v>
      </c>
      <c r="N386" s="5" t="s">
        <v>451</v>
      </c>
      <c r="O386" s="5" t="s">
        <v>451</v>
      </c>
      <c r="P386" s="5" t="s">
        <v>451</v>
      </c>
      <c r="Q386" s="5" t="s">
        <v>451</v>
      </c>
      <c r="R386" s="5" t="s">
        <v>451</v>
      </c>
      <c r="S386" s="5">
        <f t="shared" si="2"/>
        <v>3</v>
      </c>
      <c r="T386" s="5" t="str">
        <f ca="1">IFERROR(__xludf.DUMMYFUNCTION("QUERY(transpose(A386:R386),""Select Col1 where Col1 is not null limit 1"",0)"),"Jordan Mason")</f>
        <v>Jordan Mason</v>
      </c>
      <c r="U386" s="32" t="e">
        <f t="shared" ca="1" si="3"/>
        <v>#NAME?</v>
      </c>
    </row>
    <row r="387" spans="1:21" ht="12.75" x14ac:dyDescent="0.2">
      <c r="A387" s="5"/>
      <c r="B387" s="5"/>
      <c r="C387" s="5" t="s">
        <v>452</v>
      </c>
      <c r="D387" s="5" t="s">
        <v>452</v>
      </c>
      <c r="E387" s="5" t="s">
        <v>452</v>
      </c>
      <c r="F387" s="5" t="s">
        <v>452</v>
      </c>
      <c r="G387" s="5" t="s">
        <v>452</v>
      </c>
      <c r="H387" s="5" t="s">
        <v>452</v>
      </c>
      <c r="I387" s="5" t="s">
        <v>452</v>
      </c>
      <c r="J387" s="5" t="s">
        <v>452</v>
      </c>
      <c r="K387" s="5" t="s">
        <v>452</v>
      </c>
      <c r="L387" s="5" t="s">
        <v>452</v>
      </c>
      <c r="M387" s="5" t="s">
        <v>452</v>
      </c>
      <c r="N387" s="5" t="s">
        <v>452</v>
      </c>
      <c r="O387" s="5" t="s">
        <v>452</v>
      </c>
      <c r="P387" s="5" t="s">
        <v>452</v>
      </c>
      <c r="Q387" s="5" t="s">
        <v>452</v>
      </c>
      <c r="R387" s="5" t="s">
        <v>452</v>
      </c>
      <c r="S387" s="5">
        <f t="shared" si="2"/>
        <v>3</v>
      </c>
      <c r="T387" s="5" t="str">
        <f ca="1">IFERROR(__xludf.DUMMYFUNCTION("QUERY(transpose(A387:R387),""Select Col1 where Col1 is not null limit 1"",0)"),"C.J. Beathard")</f>
        <v>C.J. Beathard</v>
      </c>
      <c r="U387" s="32" t="e">
        <f t="shared" ca="1" si="3"/>
        <v>#NAME?</v>
      </c>
    </row>
    <row r="388" spans="1:21" ht="12.75" x14ac:dyDescent="0.2">
      <c r="A388" s="5"/>
      <c r="B388" s="5"/>
      <c r="C388" s="5" t="s">
        <v>453</v>
      </c>
      <c r="D388" s="5" t="s">
        <v>453</v>
      </c>
      <c r="E388" s="5" t="s">
        <v>453</v>
      </c>
      <c r="F388" s="5" t="s">
        <v>453</v>
      </c>
      <c r="G388" s="5" t="s">
        <v>453</v>
      </c>
      <c r="H388" s="5" t="s">
        <v>453</v>
      </c>
      <c r="I388" s="5" t="s">
        <v>453</v>
      </c>
      <c r="J388" s="5" t="s">
        <v>453</v>
      </c>
      <c r="K388" s="5" t="s">
        <v>453</v>
      </c>
      <c r="L388" s="5" t="s">
        <v>453</v>
      </c>
      <c r="M388" s="5" t="s">
        <v>453</v>
      </c>
      <c r="N388" s="5" t="s">
        <v>453</v>
      </c>
      <c r="O388" s="5" t="s">
        <v>453</v>
      </c>
      <c r="P388" s="5" t="s">
        <v>453</v>
      </c>
      <c r="Q388" s="5" t="s">
        <v>453</v>
      </c>
      <c r="R388" s="5" t="s">
        <v>453</v>
      </c>
      <c r="S388" s="5">
        <f t="shared" si="2"/>
        <v>3</v>
      </c>
      <c r="T388" s="5" t="str">
        <f ca="1">IFERROR(__xludf.DUMMYFUNCTION("QUERY(transpose(A388:R388),""Select Col1 where Col1 is not null limit 1"",0)"),"Kyle Juszczyk")</f>
        <v>Kyle Juszczyk</v>
      </c>
      <c r="U388" s="32" t="e">
        <f t="shared" ca="1" si="3"/>
        <v>#NAME?</v>
      </c>
    </row>
    <row r="389" spans="1:21" ht="12.75" x14ac:dyDescent="0.2">
      <c r="A389" s="5"/>
      <c r="B389" s="5"/>
      <c r="C389" s="5" t="s">
        <v>454</v>
      </c>
      <c r="D389" s="5" t="s">
        <v>454</v>
      </c>
      <c r="E389" s="5" t="s">
        <v>454</v>
      </c>
      <c r="F389" s="5" t="s">
        <v>454</v>
      </c>
      <c r="G389" s="5" t="s">
        <v>454</v>
      </c>
      <c r="H389" s="5" t="s">
        <v>454</v>
      </c>
      <c r="I389" s="5" t="s">
        <v>454</v>
      </c>
      <c r="J389" s="5" t="s">
        <v>454</v>
      </c>
      <c r="K389" s="5" t="s">
        <v>454</v>
      </c>
      <c r="L389" s="5" t="s">
        <v>454</v>
      </c>
      <c r="M389" s="5" t="s">
        <v>454</v>
      </c>
      <c r="N389" s="5" t="s">
        <v>454</v>
      </c>
      <c r="O389" s="5" t="s">
        <v>454</v>
      </c>
      <c r="P389" s="5" t="s">
        <v>454</v>
      </c>
      <c r="Q389" s="5" t="s">
        <v>454</v>
      </c>
      <c r="R389" s="5" t="s">
        <v>454</v>
      </c>
      <c r="S389" s="5">
        <f t="shared" si="2"/>
        <v>3</v>
      </c>
      <c r="T389" s="5" t="str">
        <f ca="1">IFERROR(__xludf.DUMMYFUNCTION("QUERY(transpose(A389:R389),""Select Col1 where Col1 is not null limit 1"",0)"),"Marquise Goodwin")</f>
        <v>Marquise Goodwin</v>
      </c>
      <c r="U389" s="32" t="e">
        <f t="shared" ca="1" si="3"/>
        <v>#NAME?</v>
      </c>
    </row>
    <row r="390" spans="1:21" ht="12.75" x14ac:dyDescent="0.2">
      <c r="A390" s="5"/>
      <c r="B390" s="5"/>
      <c r="C390" s="5" t="s">
        <v>455</v>
      </c>
      <c r="D390" s="5" t="s">
        <v>455</v>
      </c>
      <c r="E390" s="5" t="s">
        <v>455</v>
      </c>
      <c r="F390" s="5" t="s">
        <v>455</v>
      </c>
      <c r="G390" s="5" t="s">
        <v>455</v>
      </c>
      <c r="H390" s="5" t="s">
        <v>455</v>
      </c>
      <c r="I390" s="5" t="s">
        <v>455</v>
      </c>
      <c r="J390" s="5" t="s">
        <v>455</v>
      </c>
      <c r="K390" s="5" t="s">
        <v>455</v>
      </c>
      <c r="L390" s="5" t="s">
        <v>455</v>
      </c>
      <c r="M390" s="5" t="s">
        <v>455</v>
      </c>
      <c r="N390" s="5" t="s">
        <v>455</v>
      </c>
      <c r="O390" s="5" t="s">
        <v>455</v>
      </c>
      <c r="P390" s="5" t="s">
        <v>455</v>
      </c>
      <c r="Q390" s="5" t="s">
        <v>455</v>
      </c>
      <c r="R390" s="5" t="s">
        <v>455</v>
      </c>
      <c r="S390" s="5">
        <f t="shared" si="2"/>
        <v>3</v>
      </c>
      <c r="T390" s="5" t="str">
        <f ca="1">IFERROR(__xludf.DUMMYFUNCTION("QUERY(transpose(A390:R390),""Select Col1 where Col1 is not null limit 1"",0)"),"Jason Cabinda")</f>
        <v>Jason Cabinda</v>
      </c>
      <c r="U390" s="32" t="e">
        <f t="shared" ca="1" si="3"/>
        <v>#NAME?</v>
      </c>
    </row>
    <row r="391" spans="1:21" ht="12.75" x14ac:dyDescent="0.2">
      <c r="A391" s="5"/>
      <c r="B391" s="5"/>
      <c r="C391" s="5" t="s">
        <v>456</v>
      </c>
      <c r="D391" s="5" t="s">
        <v>456</v>
      </c>
      <c r="E391" s="5" t="s">
        <v>456</v>
      </c>
      <c r="F391" s="5" t="s">
        <v>456</v>
      </c>
      <c r="G391" s="5" t="s">
        <v>456</v>
      </c>
      <c r="H391" s="5" t="s">
        <v>456</v>
      </c>
      <c r="I391" s="5" t="s">
        <v>456</v>
      </c>
      <c r="J391" s="5" t="s">
        <v>456</v>
      </c>
      <c r="K391" s="5" t="s">
        <v>456</v>
      </c>
      <c r="L391" s="5" t="s">
        <v>456</v>
      </c>
      <c r="M391" s="5" t="s">
        <v>456</v>
      </c>
      <c r="N391" s="5" t="s">
        <v>456</v>
      </c>
      <c r="O391" s="5" t="s">
        <v>456</v>
      </c>
      <c r="P391" s="5" t="s">
        <v>456</v>
      </c>
      <c r="Q391" s="5" t="s">
        <v>456</v>
      </c>
      <c r="R391" s="5" t="s">
        <v>456</v>
      </c>
      <c r="S391" s="5">
        <f t="shared" si="2"/>
        <v>3</v>
      </c>
      <c r="T391" s="5" t="str">
        <f ca="1">IFERROR(__xludf.DUMMYFUNCTION("QUERY(transpose(A391:R391),""Select Col1 where Col1 is not null limit 1"",0)"),"Blaine Gabbert")</f>
        <v>Blaine Gabbert</v>
      </c>
      <c r="U391" s="32" t="e">
        <f t="shared" ca="1" si="3"/>
        <v>#NAME?</v>
      </c>
    </row>
    <row r="392" spans="1:21" ht="12.75" x14ac:dyDescent="0.2">
      <c r="A392" s="5"/>
      <c r="B392" s="5"/>
      <c r="C392" s="5"/>
      <c r="D392" s="5" t="s">
        <v>470</v>
      </c>
      <c r="E392" s="5" t="s">
        <v>470</v>
      </c>
      <c r="F392" s="5" t="s">
        <v>470</v>
      </c>
      <c r="G392" s="5" t="s">
        <v>470</v>
      </c>
      <c r="H392" s="5" t="s">
        <v>470</v>
      </c>
      <c r="I392" s="5" t="s">
        <v>470</v>
      </c>
      <c r="J392" s="5" t="s">
        <v>470</v>
      </c>
      <c r="K392" s="5" t="s">
        <v>470</v>
      </c>
      <c r="L392" s="5" t="s">
        <v>470</v>
      </c>
      <c r="M392" s="5" t="s">
        <v>470</v>
      </c>
      <c r="N392" s="5" t="s">
        <v>470</v>
      </c>
      <c r="O392" s="5" t="s">
        <v>470</v>
      </c>
      <c r="P392" s="5" t="s">
        <v>470</v>
      </c>
      <c r="Q392" s="5" t="s">
        <v>470</v>
      </c>
      <c r="R392" s="5" t="s">
        <v>470</v>
      </c>
      <c r="S392" s="5">
        <f t="shared" si="2"/>
        <v>4</v>
      </c>
      <c r="T392" s="5" t="str">
        <f ca="1">IFERROR(__xludf.DUMMYFUNCTION("QUERY(transpose(A392:R392),""Select Col1 where Col1 is not null limit 1"",0)"),"Alvin Kamara")</f>
        <v>Alvin Kamara</v>
      </c>
      <c r="U392" s="32" t="e">
        <f t="shared" ca="1" si="3"/>
        <v>#NAME?</v>
      </c>
    </row>
    <row r="393" spans="1:21" ht="12.75" x14ac:dyDescent="0.2">
      <c r="A393" s="5"/>
      <c r="B393" s="5"/>
      <c r="C393" s="5"/>
      <c r="D393" s="5" t="s">
        <v>474</v>
      </c>
      <c r="E393" s="5" t="s">
        <v>474</v>
      </c>
      <c r="F393" s="5" t="s">
        <v>474</v>
      </c>
      <c r="G393" s="5" t="s">
        <v>474</v>
      </c>
      <c r="H393" s="5" t="s">
        <v>474</v>
      </c>
      <c r="I393" s="5" t="s">
        <v>474</v>
      </c>
      <c r="J393" s="5" t="s">
        <v>474</v>
      </c>
      <c r="K393" s="5" t="s">
        <v>474</v>
      </c>
      <c r="L393" s="5" t="s">
        <v>474</v>
      </c>
      <c r="M393" s="5" t="s">
        <v>474</v>
      </c>
      <c r="N393" s="5" t="s">
        <v>474</v>
      </c>
      <c r="O393" s="5" t="s">
        <v>474</v>
      </c>
      <c r="P393" s="5" t="s">
        <v>474</v>
      </c>
      <c r="Q393" s="5" t="s">
        <v>474</v>
      </c>
      <c r="R393" s="5" t="s">
        <v>474</v>
      </c>
      <c r="S393" s="5">
        <f t="shared" si="2"/>
        <v>4</v>
      </c>
      <c r="T393" s="5" t="str">
        <f ca="1">IFERROR(__xludf.DUMMYFUNCTION("QUERY(transpose(A393:R393),""Select Col1 where Col1 is not null limit 1"",0)"),"Josh Whyle")</f>
        <v>Josh Whyle</v>
      </c>
      <c r="U393" s="32" t="e">
        <f t="shared" ca="1" si="3"/>
        <v>#NAME?</v>
      </c>
    </row>
    <row r="394" spans="1:21" ht="12.75" x14ac:dyDescent="0.2">
      <c r="A394" s="5"/>
      <c r="B394" s="5"/>
      <c r="C394" s="5"/>
      <c r="D394" s="5" t="s">
        <v>475</v>
      </c>
      <c r="E394" s="5" t="s">
        <v>475</v>
      </c>
      <c r="F394" s="5" t="s">
        <v>475</v>
      </c>
      <c r="G394" s="5" t="s">
        <v>475</v>
      </c>
      <c r="H394" s="5" t="s">
        <v>475</v>
      </c>
      <c r="I394" s="5" t="s">
        <v>475</v>
      </c>
      <c r="J394" s="5" t="s">
        <v>475</v>
      </c>
      <c r="K394" s="5" t="s">
        <v>475</v>
      </c>
      <c r="L394" s="5" t="s">
        <v>475</v>
      </c>
      <c r="M394" s="5" t="s">
        <v>475</v>
      </c>
      <c r="N394" s="5" t="s">
        <v>475</v>
      </c>
      <c r="O394" s="5" t="s">
        <v>475</v>
      </c>
      <c r="P394" s="5" t="s">
        <v>475</v>
      </c>
      <c r="Q394" s="5" t="s">
        <v>475</v>
      </c>
      <c r="R394" s="5" t="s">
        <v>475</v>
      </c>
      <c r="S394" s="5">
        <f t="shared" si="2"/>
        <v>4</v>
      </c>
      <c r="T394" s="5" t="str">
        <f ca="1">IFERROR(__xludf.DUMMYFUNCTION("QUERY(transpose(A394:R394),""Select Col1 where Col1 is not null limit 1"",0)"),"Christian Watson")</f>
        <v>Christian Watson</v>
      </c>
      <c r="U394" s="32" t="e">
        <f t="shared" ca="1" si="3"/>
        <v>#NAME?</v>
      </c>
    </row>
    <row r="395" spans="1:21" ht="12.75" x14ac:dyDescent="0.2">
      <c r="A395" s="5"/>
      <c r="B395" s="5"/>
      <c r="C395" s="5"/>
      <c r="D395" s="5" t="s">
        <v>476</v>
      </c>
      <c r="E395" s="5" t="s">
        <v>476</v>
      </c>
      <c r="F395" s="5" t="s">
        <v>476</v>
      </c>
      <c r="G395" s="5" t="s">
        <v>476</v>
      </c>
      <c r="H395" s="5" t="s">
        <v>476</v>
      </c>
      <c r="I395" s="5" t="s">
        <v>476</v>
      </c>
      <c r="J395" s="5" t="s">
        <v>476</v>
      </c>
      <c r="K395" s="5" t="s">
        <v>476</v>
      </c>
      <c r="L395" s="5" t="s">
        <v>476</v>
      </c>
      <c r="M395" s="5" t="s">
        <v>476</v>
      </c>
      <c r="N395" s="5" t="s">
        <v>476</v>
      </c>
      <c r="O395" s="5" t="s">
        <v>476</v>
      </c>
      <c r="P395" s="5" t="s">
        <v>476</v>
      </c>
      <c r="Q395" s="5" t="s">
        <v>476</v>
      </c>
      <c r="R395" s="5" t="s">
        <v>476</v>
      </c>
      <c r="S395" s="5">
        <f t="shared" si="2"/>
        <v>4</v>
      </c>
      <c r="T395" s="5" t="str">
        <f ca="1">IFERROR(__xludf.DUMMYFUNCTION("QUERY(transpose(A395:R395),""Select Col1 where Col1 is not null limit 1"",0)"),"Aidan O'Connell")</f>
        <v>Aidan O'Connell</v>
      </c>
      <c r="U395" s="32" t="e">
        <f t="shared" ca="1" si="3"/>
        <v>#NAME?</v>
      </c>
    </row>
    <row r="396" spans="1:21" ht="12.75" x14ac:dyDescent="0.2">
      <c r="A396" s="5"/>
      <c r="B396" s="5"/>
      <c r="C396" s="5"/>
      <c r="D396" s="5" t="s">
        <v>477</v>
      </c>
      <c r="E396" s="5" t="s">
        <v>477</v>
      </c>
      <c r="F396" s="5" t="s">
        <v>477</v>
      </c>
      <c r="G396" s="5" t="s">
        <v>477</v>
      </c>
      <c r="H396" s="5" t="s">
        <v>477</v>
      </c>
      <c r="I396" s="5" t="s">
        <v>477</v>
      </c>
      <c r="J396" s="5" t="s">
        <v>477</v>
      </c>
      <c r="K396" s="5" t="s">
        <v>477</v>
      </c>
      <c r="L396" s="5" t="s">
        <v>477</v>
      </c>
      <c r="M396" s="5" t="s">
        <v>477</v>
      </c>
      <c r="N396" s="5" t="s">
        <v>477</v>
      </c>
      <c r="O396" s="5" t="s">
        <v>477</v>
      </c>
      <c r="P396" s="5" t="s">
        <v>477</v>
      </c>
      <c r="Q396" s="5" t="s">
        <v>477</v>
      </c>
      <c r="R396" s="5" t="s">
        <v>477</v>
      </c>
      <c r="S396" s="5">
        <f t="shared" si="2"/>
        <v>4</v>
      </c>
      <c r="T396" s="5" t="str">
        <f ca="1">IFERROR(__xludf.DUMMYFUNCTION("QUERY(transpose(A396:R396),""Select Col1 where Col1 is not null limit 1"",0)"),"Jeremy Ruckert")</f>
        <v>Jeremy Ruckert</v>
      </c>
      <c r="U396" s="32" t="e">
        <f t="shared" ca="1" si="3"/>
        <v>#NAME?</v>
      </c>
    </row>
    <row r="397" spans="1:21" ht="12.75" x14ac:dyDescent="0.2">
      <c r="A397" s="5"/>
      <c r="B397" s="5"/>
      <c r="C397" s="5"/>
      <c r="D397" s="5" t="s">
        <v>478</v>
      </c>
      <c r="E397" s="5" t="s">
        <v>478</v>
      </c>
      <c r="F397" s="5" t="s">
        <v>478</v>
      </c>
      <c r="G397" s="5" t="s">
        <v>478</v>
      </c>
      <c r="H397" s="5" t="s">
        <v>478</v>
      </c>
      <c r="I397" s="5" t="s">
        <v>478</v>
      </c>
      <c r="J397" s="5" t="s">
        <v>478</v>
      </c>
      <c r="K397" s="5" t="s">
        <v>478</v>
      </c>
      <c r="L397" s="5" t="s">
        <v>478</v>
      </c>
      <c r="M397" s="5" t="s">
        <v>478</v>
      </c>
      <c r="N397" s="5" t="s">
        <v>478</v>
      </c>
      <c r="O397" s="5" t="s">
        <v>478</v>
      </c>
      <c r="P397" s="5" t="s">
        <v>478</v>
      </c>
      <c r="Q397" s="5" t="s">
        <v>478</v>
      </c>
      <c r="R397" s="5" t="s">
        <v>478</v>
      </c>
      <c r="S397" s="5">
        <f t="shared" si="2"/>
        <v>4</v>
      </c>
      <c r="T397" s="5" t="str">
        <f ca="1">IFERROR(__xludf.DUMMYFUNCTION("QUERY(transpose(A397:R397),""Select Col1 where Col1 is not null limit 1"",0)"),"Ray Ray McCloud")</f>
        <v>Ray Ray McCloud</v>
      </c>
      <c r="U397" s="32" t="e">
        <f t="shared" ca="1" si="3"/>
        <v>#NAME?</v>
      </c>
    </row>
    <row r="398" spans="1:21" ht="12.75" x14ac:dyDescent="0.2">
      <c r="A398" s="5"/>
      <c r="B398" s="5"/>
      <c r="C398" s="5"/>
      <c r="D398" s="5" t="s">
        <v>479</v>
      </c>
      <c r="E398" s="5" t="s">
        <v>479</v>
      </c>
      <c r="F398" s="5" t="s">
        <v>479</v>
      </c>
      <c r="G398" s="5" t="s">
        <v>479</v>
      </c>
      <c r="H398" s="5" t="s">
        <v>479</v>
      </c>
      <c r="I398" s="5" t="s">
        <v>479</v>
      </c>
      <c r="J398" s="5" t="s">
        <v>479</v>
      </c>
      <c r="K398" s="5" t="s">
        <v>479</v>
      </c>
      <c r="L398" s="5" t="s">
        <v>479</v>
      </c>
      <c r="M398" s="5" t="s">
        <v>479</v>
      </c>
      <c r="N398" s="5" t="s">
        <v>479</v>
      </c>
      <c r="O398" s="5" t="s">
        <v>479</v>
      </c>
      <c r="P398" s="5" t="s">
        <v>479</v>
      </c>
      <c r="Q398" s="5" t="s">
        <v>479</v>
      </c>
      <c r="R398" s="5" t="s">
        <v>479</v>
      </c>
      <c r="S398" s="5">
        <f t="shared" si="2"/>
        <v>4</v>
      </c>
      <c r="T398" s="5" t="str">
        <f ca="1">IFERROR(__xludf.DUMMYFUNCTION("QUERY(transpose(A398:R398),""Select Col1 where Col1 is not null limit 1"",0)"),"Robert Tonyan")</f>
        <v>Robert Tonyan</v>
      </c>
      <c r="U398" s="32" t="e">
        <f t="shared" ca="1" si="3"/>
        <v>#NAME?</v>
      </c>
    </row>
    <row r="399" spans="1:21" ht="12.75" x14ac:dyDescent="0.2">
      <c r="A399" s="5"/>
      <c r="B399" s="5"/>
      <c r="C399" s="5"/>
      <c r="D399" s="5" t="s">
        <v>480</v>
      </c>
      <c r="E399" s="5" t="s">
        <v>480</v>
      </c>
      <c r="F399" s="5" t="s">
        <v>480</v>
      </c>
      <c r="G399" s="5" t="s">
        <v>480</v>
      </c>
      <c r="H399" s="5" t="s">
        <v>480</v>
      </c>
      <c r="I399" s="5" t="s">
        <v>480</v>
      </c>
      <c r="J399" s="5" t="s">
        <v>480</v>
      </c>
      <c r="K399" s="5" t="s">
        <v>480</v>
      </c>
      <c r="L399" s="5" t="s">
        <v>480</v>
      </c>
      <c r="M399" s="5" t="s">
        <v>480</v>
      </c>
      <c r="N399" s="5" t="s">
        <v>480</v>
      </c>
      <c r="O399" s="5" t="s">
        <v>480</v>
      </c>
      <c r="P399" s="5" t="s">
        <v>480</v>
      </c>
      <c r="Q399" s="5" t="s">
        <v>480</v>
      </c>
      <c r="R399" s="5" t="s">
        <v>480</v>
      </c>
      <c r="S399" s="5">
        <f t="shared" si="2"/>
        <v>4</v>
      </c>
      <c r="T399" s="5" t="str">
        <f ca="1">IFERROR(__xludf.DUMMYFUNCTION("QUERY(transpose(A399:R399),""Select Col1 where Col1 is not null limit 1"",0)"),"Drew Lock")</f>
        <v>Drew Lock</v>
      </c>
      <c r="U399" s="32" t="e">
        <f t="shared" ca="1" si="3"/>
        <v>#NAME?</v>
      </c>
    </row>
    <row r="400" spans="1:21" ht="12.75" x14ac:dyDescent="0.2">
      <c r="A400" s="5"/>
      <c r="B400" s="5"/>
      <c r="C400" s="5"/>
      <c r="D400" s="5" t="s">
        <v>481</v>
      </c>
      <c r="E400" s="5" t="s">
        <v>481</v>
      </c>
      <c r="F400" s="5" t="s">
        <v>481</v>
      </c>
      <c r="G400" s="5" t="s">
        <v>481</v>
      </c>
      <c r="H400" s="5" t="s">
        <v>481</v>
      </c>
      <c r="I400" s="5" t="s">
        <v>481</v>
      </c>
      <c r="J400" s="5" t="s">
        <v>481</v>
      </c>
      <c r="K400" s="5" t="s">
        <v>481</v>
      </c>
      <c r="L400" s="5" t="s">
        <v>481</v>
      </c>
      <c r="M400" s="5" t="s">
        <v>481</v>
      </c>
      <c r="N400" s="5" t="s">
        <v>481</v>
      </c>
      <c r="O400" s="5" t="s">
        <v>481</v>
      </c>
      <c r="P400" s="5" t="s">
        <v>481</v>
      </c>
      <c r="Q400" s="5" t="s">
        <v>481</v>
      </c>
      <c r="R400" s="5" t="s">
        <v>481</v>
      </c>
      <c r="S400" s="5">
        <f t="shared" si="2"/>
        <v>4</v>
      </c>
      <c r="T400" s="5" t="str">
        <f ca="1">IFERROR(__xludf.DUMMYFUNCTION("QUERY(transpose(A400:R400),""Select Col1 where Col1 is not null limit 1"",0)"),"Equanimeous St. Brown")</f>
        <v>Equanimeous St. Brown</v>
      </c>
      <c r="U400" s="32" t="e">
        <f t="shared" ca="1" si="3"/>
        <v>#NAME?</v>
      </c>
    </row>
    <row r="401" spans="1:21" ht="12.75" x14ac:dyDescent="0.2">
      <c r="A401" s="5"/>
      <c r="B401" s="5"/>
      <c r="C401" s="5"/>
      <c r="D401" s="5" t="s">
        <v>482</v>
      </c>
      <c r="E401" s="5" t="s">
        <v>482</v>
      </c>
      <c r="F401" s="5" t="s">
        <v>482</v>
      </c>
      <c r="G401" s="5" t="s">
        <v>482</v>
      </c>
      <c r="H401" s="5" t="s">
        <v>482</v>
      </c>
      <c r="I401" s="5" t="s">
        <v>482</v>
      </c>
      <c r="J401" s="5" t="s">
        <v>482</v>
      </c>
      <c r="K401" s="5" t="s">
        <v>482</v>
      </c>
      <c r="L401" s="5" t="s">
        <v>482</v>
      </c>
      <c r="M401" s="5" t="s">
        <v>482</v>
      </c>
      <c r="N401" s="5" t="s">
        <v>482</v>
      </c>
      <c r="O401" s="5" t="s">
        <v>482</v>
      </c>
      <c r="P401" s="5" t="s">
        <v>482</v>
      </c>
      <c r="Q401" s="5" t="s">
        <v>482</v>
      </c>
      <c r="R401" s="5" t="s">
        <v>482</v>
      </c>
      <c r="S401" s="5">
        <f t="shared" si="2"/>
        <v>4</v>
      </c>
      <c r="T401" s="5" t="str">
        <f ca="1">IFERROR(__xludf.DUMMYFUNCTION("QUERY(transpose(A401:R401),""Select Col1 where Col1 is not null limit 1"",0)"),"Ke'Shawn Vaughn")</f>
        <v>Ke'Shawn Vaughn</v>
      </c>
      <c r="U401" s="32" t="e">
        <f t="shared" ca="1" si="3"/>
        <v>#NAME?</v>
      </c>
    </row>
    <row r="402" spans="1:21" ht="12.75" x14ac:dyDescent="0.2">
      <c r="A402" s="5"/>
      <c r="B402" s="5"/>
      <c r="C402" s="5"/>
      <c r="D402" s="5" t="s">
        <v>483</v>
      </c>
      <c r="E402" s="5" t="s">
        <v>483</v>
      </c>
      <c r="F402" s="5" t="s">
        <v>483</v>
      </c>
      <c r="G402" s="5" t="s">
        <v>483</v>
      </c>
      <c r="H402" s="5" t="s">
        <v>483</v>
      </c>
      <c r="I402" s="5" t="s">
        <v>483</v>
      </c>
      <c r="J402" s="5" t="s">
        <v>483</v>
      </c>
      <c r="K402" s="5" t="s">
        <v>483</v>
      </c>
      <c r="L402" s="5" t="s">
        <v>483</v>
      </c>
      <c r="M402" s="5" t="s">
        <v>483</v>
      </c>
      <c r="N402" s="5" t="s">
        <v>483</v>
      </c>
      <c r="O402" s="5" t="s">
        <v>483</v>
      </c>
      <c r="P402" s="5" t="s">
        <v>483</v>
      </c>
      <c r="Q402" s="5" t="s">
        <v>483</v>
      </c>
      <c r="R402" s="5" t="s">
        <v>483</v>
      </c>
      <c r="S402" s="5">
        <f t="shared" si="2"/>
        <v>4</v>
      </c>
      <c r="T402" s="5" t="str">
        <f ca="1">IFERROR(__xludf.DUMMYFUNCTION("QUERY(transpose(A402:R402),""Select Col1 where Col1 is not null limit 1"",0)"),"Trenton Irwin")</f>
        <v>Trenton Irwin</v>
      </c>
      <c r="U402" s="32" t="e">
        <f t="shared" ca="1" si="3"/>
        <v>#NAME?</v>
      </c>
    </row>
    <row r="403" spans="1:21" ht="12.75" x14ac:dyDescent="0.2">
      <c r="A403" s="5"/>
      <c r="B403" s="5"/>
      <c r="C403" s="5"/>
      <c r="D403" s="5" t="s">
        <v>484</v>
      </c>
      <c r="E403" s="5" t="s">
        <v>484</v>
      </c>
      <c r="F403" s="5" t="s">
        <v>484</v>
      </c>
      <c r="G403" s="5" t="s">
        <v>484</v>
      </c>
      <c r="H403" s="5" t="s">
        <v>484</v>
      </c>
      <c r="I403" s="5" t="s">
        <v>484</v>
      </c>
      <c r="J403" s="5" t="s">
        <v>484</v>
      </c>
      <c r="K403" s="5" t="s">
        <v>484</v>
      </c>
      <c r="L403" s="5" t="s">
        <v>484</v>
      </c>
      <c r="M403" s="5" t="s">
        <v>484</v>
      </c>
      <c r="N403" s="5" t="s">
        <v>484</v>
      </c>
      <c r="O403" s="5" t="s">
        <v>484</v>
      </c>
      <c r="P403" s="5" t="s">
        <v>484</v>
      </c>
      <c r="Q403" s="5" t="s">
        <v>484</v>
      </c>
      <c r="R403" s="5" t="s">
        <v>484</v>
      </c>
      <c r="S403" s="5">
        <f t="shared" si="2"/>
        <v>4</v>
      </c>
      <c r="T403" s="5" t="str">
        <f ca="1">IFERROR(__xludf.DUMMYFUNCTION("QUERY(transpose(A403:R403),""Select Col1 where Col1 is not null limit 1"",0)"),"Xavier Gipson")</f>
        <v>Xavier Gipson</v>
      </c>
      <c r="U403" s="32" t="e">
        <f t="shared" ca="1" si="3"/>
        <v>#NAME?</v>
      </c>
    </row>
    <row r="404" spans="1:21" ht="12.75" x14ac:dyDescent="0.2">
      <c r="A404" s="5"/>
      <c r="B404" s="5"/>
      <c r="C404" s="5"/>
      <c r="D404" s="5" t="s">
        <v>485</v>
      </c>
      <c r="E404" s="5" t="s">
        <v>485</v>
      </c>
      <c r="F404" s="5" t="s">
        <v>485</v>
      </c>
      <c r="G404" s="5" t="s">
        <v>485</v>
      </c>
      <c r="H404" s="5" t="s">
        <v>485</v>
      </c>
      <c r="I404" s="5" t="s">
        <v>485</v>
      </c>
      <c r="J404" s="5" t="s">
        <v>485</v>
      </c>
      <c r="K404" s="5" t="s">
        <v>485</v>
      </c>
      <c r="L404" s="5" t="s">
        <v>485</v>
      </c>
      <c r="M404" s="5" t="s">
        <v>485</v>
      </c>
      <c r="N404" s="5" t="s">
        <v>485</v>
      </c>
      <c r="O404" s="5" t="s">
        <v>485</v>
      </c>
      <c r="P404" s="5" t="s">
        <v>485</v>
      </c>
      <c r="Q404" s="5" t="s">
        <v>485</v>
      </c>
      <c r="R404" s="5" t="s">
        <v>485</v>
      </c>
      <c r="S404" s="5">
        <f t="shared" si="2"/>
        <v>4</v>
      </c>
      <c r="T404" s="5" t="str">
        <f ca="1">IFERROR(__xludf.DUMMYFUNCTION("QUERY(transpose(A404:R404),""Select Col1 where Col1 is not null limit 1"",0)"),"Cedrick Wilson")</f>
        <v>Cedrick Wilson</v>
      </c>
      <c r="U404" s="32" t="e">
        <f t="shared" ca="1" si="3"/>
        <v>#NAME?</v>
      </c>
    </row>
    <row r="405" spans="1:21" ht="12.75" x14ac:dyDescent="0.2">
      <c r="A405" s="5"/>
      <c r="B405" s="5"/>
      <c r="C405" s="5"/>
      <c r="D405" s="5" t="s">
        <v>486</v>
      </c>
      <c r="E405" s="5" t="s">
        <v>486</v>
      </c>
      <c r="F405" s="5" t="s">
        <v>486</v>
      </c>
      <c r="G405" s="5" t="s">
        <v>486</v>
      </c>
      <c r="H405" s="5" t="s">
        <v>486</v>
      </c>
      <c r="I405" s="5" t="s">
        <v>486</v>
      </c>
      <c r="J405" s="5" t="s">
        <v>486</v>
      </c>
      <c r="K405" s="5" t="s">
        <v>486</v>
      </c>
      <c r="L405" s="5" t="s">
        <v>486</v>
      </c>
      <c r="M405" s="5" t="s">
        <v>486</v>
      </c>
      <c r="N405" s="5" t="s">
        <v>486</v>
      </c>
      <c r="O405" s="5" t="s">
        <v>486</v>
      </c>
      <c r="P405" s="5" t="s">
        <v>486</v>
      </c>
      <c r="Q405" s="5" t="s">
        <v>486</v>
      </c>
      <c r="R405" s="5" t="s">
        <v>486</v>
      </c>
      <c r="S405" s="5">
        <f t="shared" si="2"/>
        <v>4</v>
      </c>
      <c r="T405" s="5" t="str">
        <f ca="1">IFERROR(__xludf.DUMMYFUNCTION("QUERY(transpose(A405:R405),""Select Col1 where Col1 is not null limit 1"",0)"),"Tucker Kraft")</f>
        <v>Tucker Kraft</v>
      </c>
      <c r="U405" s="32" t="e">
        <f t="shared" ca="1" si="3"/>
        <v>#NAME?</v>
      </c>
    </row>
    <row r="406" spans="1:21" ht="12.75" x14ac:dyDescent="0.2">
      <c r="A406" s="5"/>
      <c r="B406" s="5"/>
      <c r="C406" s="5"/>
      <c r="D406" s="5" t="s">
        <v>487</v>
      </c>
      <c r="E406" s="5" t="s">
        <v>487</v>
      </c>
      <c r="F406" s="5" t="s">
        <v>487</v>
      </c>
      <c r="G406" s="5" t="s">
        <v>487</v>
      </c>
      <c r="H406" s="5" t="s">
        <v>487</v>
      </c>
      <c r="I406" s="5" t="s">
        <v>487</v>
      </c>
      <c r="J406" s="5" t="s">
        <v>487</v>
      </c>
      <c r="K406" s="5" t="s">
        <v>487</v>
      </c>
      <c r="L406" s="5" t="s">
        <v>487</v>
      </c>
      <c r="M406" s="5" t="s">
        <v>487</v>
      </c>
      <c r="N406" s="5" t="s">
        <v>487</v>
      </c>
      <c r="O406" s="5" t="s">
        <v>487</v>
      </c>
      <c r="P406" s="5" t="s">
        <v>487</v>
      </c>
      <c r="Q406" s="5" t="s">
        <v>487</v>
      </c>
      <c r="R406" s="5" t="s">
        <v>487</v>
      </c>
      <c r="S406" s="5">
        <f t="shared" si="2"/>
        <v>4</v>
      </c>
      <c r="T406" s="5" t="str">
        <f ca="1">IFERROR(__xludf.DUMMYFUNCTION("QUERY(transpose(A406:R406),""Select Col1 where Col1 is not null limit 1"",0)"),"Patrick Ricard")</f>
        <v>Patrick Ricard</v>
      </c>
      <c r="U406" s="32" t="e">
        <f t="shared" ca="1" si="3"/>
        <v>#NAME?</v>
      </c>
    </row>
    <row r="407" spans="1:21" ht="12.75" x14ac:dyDescent="0.2">
      <c r="A407" s="5"/>
      <c r="B407" s="5"/>
      <c r="C407" s="5"/>
      <c r="D407" s="5" t="s">
        <v>488</v>
      </c>
      <c r="E407" s="5" t="s">
        <v>488</v>
      </c>
      <c r="F407" s="5" t="s">
        <v>488</v>
      </c>
      <c r="G407" s="5" t="s">
        <v>488</v>
      </c>
      <c r="H407" s="5" t="s">
        <v>488</v>
      </c>
      <c r="I407" s="5" t="s">
        <v>488</v>
      </c>
      <c r="J407" s="5" t="s">
        <v>488</v>
      </c>
      <c r="K407" s="5" t="s">
        <v>488</v>
      </c>
      <c r="L407" s="5" t="s">
        <v>488</v>
      </c>
      <c r="M407" s="5" t="s">
        <v>488</v>
      </c>
      <c r="N407" s="5" t="s">
        <v>488</v>
      </c>
      <c r="O407" s="5" t="s">
        <v>488</v>
      </c>
      <c r="P407" s="5" t="s">
        <v>488</v>
      </c>
      <c r="Q407" s="5" t="s">
        <v>488</v>
      </c>
      <c r="R407" s="5" t="s">
        <v>488</v>
      </c>
      <c r="S407" s="5">
        <f t="shared" si="2"/>
        <v>4</v>
      </c>
      <c r="T407" s="5" t="str">
        <f ca="1">IFERROR(__xludf.DUMMYFUNCTION("QUERY(transpose(A407:R407),""Select Col1 where Col1 is not null limit 1"",0)"),"Bailey Zappe")</f>
        <v>Bailey Zappe</v>
      </c>
      <c r="U407" s="32" t="e">
        <f t="shared" ca="1" si="3"/>
        <v>#NAME?</v>
      </c>
    </row>
    <row r="408" spans="1:21" ht="12.75" x14ac:dyDescent="0.2">
      <c r="A408" s="5"/>
      <c r="B408" s="5"/>
      <c r="C408" s="5"/>
      <c r="D408" s="5" t="s">
        <v>489</v>
      </c>
      <c r="E408" s="5" t="s">
        <v>489</v>
      </c>
      <c r="F408" s="5" t="s">
        <v>489</v>
      </c>
      <c r="G408" s="5" t="s">
        <v>489</v>
      </c>
      <c r="H408" s="5" t="s">
        <v>489</v>
      </c>
      <c r="I408" s="5" t="s">
        <v>489</v>
      </c>
      <c r="J408" s="5" t="s">
        <v>489</v>
      </c>
      <c r="K408" s="5" t="s">
        <v>489</v>
      </c>
      <c r="L408" s="5" t="s">
        <v>489</v>
      </c>
      <c r="M408" s="5" t="s">
        <v>489</v>
      </c>
      <c r="N408" s="5" t="s">
        <v>489</v>
      </c>
      <c r="O408" s="5" t="s">
        <v>489</v>
      </c>
      <c r="P408" s="5" t="s">
        <v>489</v>
      </c>
      <c r="Q408" s="5" t="s">
        <v>489</v>
      </c>
      <c r="R408" s="5" t="s">
        <v>489</v>
      </c>
      <c r="S408" s="5">
        <f t="shared" si="2"/>
        <v>4</v>
      </c>
      <c r="T408" s="5" t="str">
        <f ca="1">IFERROR(__xludf.DUMMYFUNCTION("QUERY(transpose(A408:R408),""Select Col1 where Col1 is not null limit 1"",0)"),"Jakob Johnson")</f>
        <v>Jakob Johnson</v>
      </c>
      <c r="U408" s="32" t="e">
        <f t="shared" ca="1" si="3"/>
        <v>#NAME?</v>
      </c>
    </row>
    <row r="409" spans="1:21" ht="12.75" x14ac:dyDescent="0.2">
      <c r="A409" s="5"/>
      <c r="B409" s="5"/>
      <c r="C409" s="5"/>
      <c r="D409" s="5" t="s">
        <v>490</v>
      </c>
      <c r="E409" s="5" t="s">
        <v>490</v>
      </c>
      <c r="F409" s="5" t="s">
        <v>490</v>
      </c>
      <c r="G409" s="5" t="s">
        <v>490</v>
      </c>
      <c r="H409" s="5" t="s">
        <v>490</v>
      </c>
      <c r="I409" s="5" t="s">
        <v>490</v>
      </c>
      <c r="J409" s="5" t="s">
        <v>490</v>
      </c>
      <c r="K409" s="5" t="s">
        <v>490</v>
      </c>
      <c r="L409" s="5" t="s">
        <v>490</v>
      </c>
      <c r="M409" s="5" t="s">
        <v>490</v>
      </c>
      <c r="N409" s="5" t="s">
        <v>490</v>
      </c>
      <c r="O409" s="5" t="s">
        <v>490</v>
      </c>
      <c r="P409" s="5" t="s">
        <v>490</v>
      </c>
      <c r="Q409" s="5" t="s">
        <v>490</v>
      </c>
      <c r="R409" s="5" t="s">
        <v>490</v>
      </c>
      <c r="S409" s="5">
        <f t="shared" si="2"/>
        <v>4</v>
      </c>
      <c r="T409" s="5" t="str">
        <f ca="1">IFERROR(__xludf.DUMMYFUNCTION("QUERY(transpose(A409:R409),""Select Col1 where Col1 is not null limit 1"",0)"),"Cody Thompson")</f>
        <v>Cody Thompson</v>
      </c>
      <c r="U409" s="32" t="e">
        <f t="shared" ca="1" si="3"/>
        <v>#NAME?</v>
      </c>
    </row>
    <row r="410" spans="1:21" ht="12.75" x14ac:dyDescent="0.2">
      <c r="A410" s="5"/>
      <c r="B410" s="5"/>
      <c r="C410" s="5"/>
      <c r="D410" s="5" t="s">
        <v>491</v>
      </c>
      <c r="E410" s="5" t="s">
        <v>491</v>
      </c>
      <c r="F410" s="5" t="s">
        <v>491</v>
      </c>
      <c r="G410" s="5" t="s">
        <v>491</v>
      </c>
      <c r="H410" s="5" t="s">
        <v>491</v>
      </c>
      <c r="I410" s="5" t="s">
        <v>491</v>
      </c>
      <c r="J410" s="5" t="s">
        <v>491</v>
      </c>
      <c r="K410" s="5" t="s">
        <v>491</v>
      </c>
      <c r="L410" s="5" t="s">
        <v>491</v>
      </c>
      <c r="M410" s="5" t="s">
        <v>491</v>
      </c>
      <c r="N410" s="5" t="s">
        <v>491</v>
      </c>
      <c r="O410" s="5" t="s">
        <v>491</v>
      </c>
      <c r="P410" s="5" t="s">
        <v>491</v>
      </c>
      <c r="Q410" s="5" t="s">
        <v>491</v>
      </c>
      <c r="R410" s="5" t="s">
        <v>491</v>
      </c>
      <c r="S410" s="5">
        <f t="shared" si="2"/>
        <v>4</v>
      </c>
      <c r="T410" s="5" t="str">
        <f ca="1">IFERROR(__xludf.DUMMYFUNCTION("QUERY(transpose(A410:R410),""Select Col1 where Col1 is not null limit 1"",0)"),"Chris Manhertz")</f>
        <v>Chris Manhertz</v>
      </c>
      <c r="U410" s="32" t="e">
        <f t="shared" ca="1" si="3"/>
        <v>#NAME?</v>
      </c>
    </row>
    <row r="411" spans="1:21" ht="12.75" x14ac:dyDescent="0.2">
      <c r="A411" s="5"/>
      <c r="B411" s="5"/>
      <c r="C411" s="5"/>
      <c r="D411" s="5" t="s">
        <v>492</v>
      </c>
      <c r="E411" s="5" t="s">
        <v>492</v>
      </c>
      <c r="F411" s="5" t="s">
        <v>492</v>
      </c>
      <c r="G411" s="5" t="s">
        <v>492</v>
      </c>
      <c r="H411" s="5" t="s">
        <v>492</v>
      </c>
      <c r="I411" s="5" t="s">
        <v>492</v>
      </c>
      <c r="J411" s="5" t="s">
        <v>492</v>
      </c>
      <c r="K411" s="5" t="s">
        <v>492</v>
      </c>
      <c r="L411" s="5" t="s">
        <v>492</v>
      </c>
      <c r="M411" s="5" t="s">
        <v>492</v>
      </c>
      <c r="N411" s="5" t="s">
        <v>492</v>
      </c>
      <c r="O411" s="5" t="s">
        <v>492</v>
      </c>
      <c r="P411" s="5" t="s">
        <v>492</v>
      </c>
      <c r="Q411" s="5" t="s">
        <v>492</v>
      </c>
      <c r="R411" s="5" t="s">
        <v>492</v>
      </c>
      <c r="S411" s="5">
        <f t="shared" si="2"/>
        <v>4</v>
      </c>
      <c r="T411" s="5" t="str">
        <f ca="1">IFERROR(__xludf.DUMMYFUNCTION("QUERY(transpose(A411:R411),""Select Col1 where Col1 is not null limit 1"",0)"),"Darnell Washington")</f>
        <v>Darnell Washington</v>
      </c>
      <c r="U411" s="32" t="e">
        <f t="shared" ca="1" si="3"/>
        <v>#NAME?</v>
      </c>
    </row>
    <row r="412" spans="1:21" ht="12.75" x14ac:dyDescent="0.2">
      <c r="A412" s="5"/>
      <c r="B412" s="5"/>
      <c r="C412" s="5"/>
      <c r="D412" s="5" t="s">
        <v>493</v>
      </c>
      <c r="E412" s="5" t="s">
        <v>493</v>
      </c>
      <c r="F412" s="5" t="s">
        <v>493</v>
      </c>
      <c r="G412" s="5" t="s">
        <v>493</v>
      </c>
      <c r="H412" s="5" t="s">
        <v>493</v>
      </c>
      <c r="I412" s="5" t="s">
        <v>493</v>
      </c>
      <c r="J412" s="5" t="s">
        <v>493</v>
      </c>
      <c r="K412" s="5" t="s">
        <v>493</v>
      </c>
      <c r="L412" s="5" t="s">
        <v>493</v>
      </c>
      <c r="M412" s="5" t="s">
        <v>493</v>
      </c>
      <c r="N412" s="5" t="s">
        <v>493</v>
      </c>
      <c r="O412" s="5" t="s">
        <v>493</v>
      </c>
      <c r="P412" s="5" t="s">
        <v>493</v>
      </c>
      <c r="Q412" s="5" t="s">
        <v>493</v>
      </c>
      <c r="R412" s="5" t="s">
        <v>493</v>
      </c>
      <c r="S412" s="5">
        <f t="shared" si="2"/>
        <v>4</v>
      </c>
      <c r="T412" s="5" t="str">
        <f ca="1">IFERROR(__xludf.DUMMYFUNCTION("QUERY(transpose(A412:R412),""Select Col1 where Col1 is not null limit 1"",0)"),"Willie Snead")</f>
        <v>Willie Snead</v>
      </c>
      <c r="U412" s="32" t="e">
        <f t="shared" ca="1" si="3"/>
        <v>#NAME?</v>
      </c>
    </row>
    <row r="413" spans="1:21" ht="12.75" x14ac:dyDescent="0.2">
      <c r="A413" s="5"/>
      <c r="B413" s="5"/>
      <c r="C413" s="5"/>
      <c r="D413" s="5" t="s">
        <v>494</v>
      </c>
      <c r="E413" s="5" t="s">
        <v>494</v>
      </c>
      <c r="F413" s="5" t="s">
        <v>494</v>
      </c>
      <c r="G413" s="5" t="s">
        <v>494</v>
      </c>
      <c r="H413" s="5" t="s">
        <v>494</v>
      </c>
      <c r="I413" s="5" t="s">
        <v>494</v>
      </c>
      <c r="J413" s="5" t="s">
        <v>494</v>
      </c>
      <c r="K413" s="5" t="s">
        <v>494</v>
      </c>
      <c r="L413" s="5" t="s">
        <v>494</v>
      </c>
      <c r="M413" s="5" t="s">
        <v>494</v>
      </c>
      <c r="N413" s="5" t="s">
        <v>494</v>
      </c>
      <c r="O413" s="5" t="s">
        <v>494</v>
      </c>
      <c r="P413" s="5" t="s">
        <v>494</v>
      </c>
      <c r="Q413" s="5" t="s">
        <v>494</v>
      </c>
      <c r="R413" s="5" t="s">
        <v>494</v>
      </c>
      <c r="S413" s="5">
        <f t="shared" si="2"/>
        <v>4</v>
      </c>
      <c r="T413" s="5" t="str">
        <f ca="1">IFERROR(__xludf.DUMMYFUNCTION("QUERY(transpose(A413:R413),""Select Col1 where Col1 is not null limit 1"",0)"),"Marcedes Lewis")</f>
        <v>Marcedes Lewis</v>
      </c>
      <c r="U413" s="32" t="e">
        <f t="shared" ca="1" si="3"/>
        <v>#NAME?</v>
      </c>
    </row>
    <row r="414" spans="1:21" ht="12.75" x14ac:dyDescent="0.2">
      <c r="A414" s="5"/>
      <c r="B414" s="5"/>
      <c r="C414" s="5"/>
      <c r="D414" s="5" t="s">
        <v>495</v>
      </c>
      <c r="E414" s="5" t="s">
        <v>495</v>
      </c>
      <c r="F414" s="5" t="s">
        <v>495</v>
      </c>
      <c r="G414" s="5" t="s">
        <v>495</v>
      </c>
      <c r="H414" s="5" t="s">
        <v>495</v>
      </c>
      <c r="I414" s="5" t="s">
        <v>495</v>
      </c>
      <c r="J414" s="5" t="s">
        <v>495</v>
      </c>
      <c r="K414" s="5" t="s">
        <v>495</v>
      </c>
      <c r="L414" s="5" t="s">
        <v>495</v>
      </c>
      <c r="M414" s="5" t="s">
        <v>495</v>
      </c>
      <c r="N414" s="5" t="s">
        <v>495</v>
      </c>
      <c r="O414" s="5" t="s">
        <v>495</v>
      </c>
      <c r="P414" s="5" t="s">
        <v>495</v>
      </c>
      <c r="Q414" s="5" t="s">
        <v>495</v>
      </c>
      <c r="R414" s="5" t="s">
        <v>495</v>
      </c>
      <c r="S414" s="5">
        <f t="shared" si="2"/>
        <v>4</v>
      </c>
      <c r="T414" s="5" t="str">
        <f ca="1">IFERROR(__xludf.DUMMYFUNCTION("QUERY(transpose(A414:R414),""Select Col1 where Col1 is not null limit 1"",0)"),"Cedric Tillman")</f>
        <v>Cedric Tillman</v>
      </c>
      <c r="U414" s="32" t="e">
        <f t="shared" ca="1" si="3"/>
        <v>#NAME?</v>
      </c>
    </row>
    <row r="415" spans="1:21" ht="12.75" x14ac:dyDescent="0.2">
      <c r="A415" s="5"/>
      <c r="B415" s="5"/>
      <c r="C415" s="5"/>
      <c r="D415" s="5" t="s">
        <v>496</v>
      </c>
      <c r="E415" s="5" t="s">
        <v>496</v>
      </c>
      <c r="F415" s="5" t="s">
        <v>496</v>
      </c>
      <c r="G415" s="5" t="s">
        <v>496</v>
      </c>
      <c r="H415" s="5" t="s">
        <v>496</v>
      </c>
      <c r="I415" s="5" t="s">
        <v>496</v>
      </c>
      <c r="J415" s="5" t="s">
        <v>496</v>
      </c>
      <c r="K415" s="5" t="s">
        <v>496</v>
      </c>
      <c r="L415" s="5" t="s">
        <v>496</v>
      </c>
      <c r="M415" s="5" t="s">
        <v>496</v>
      </c>
      <c r="N415" s="5" t="s">
        <v>496</v>
      </c>
      <c r="O415" s="5" t="s">
        <v>496</v>
      </c>
      <c r="P415" s="5" t="s">
        <v>496</v>
      </c>
      <c r="Q415" s="5" t="s">
        <v>496</v>
      </c>
      <c r="R415" s="5" t="s">
        <v>496</v>
      </c>
      <c r="S415" s="5">
        <f t="shared" si="2"/>
        <v>4</v>
      </c>
      <c r="T415" s="5" t="str">
        <f ca="1">IFERROR(__xludf.DUMMYFUNCTION("QUERY(transpose(A415:R415),""Select Col1 where Col1 is not null limit 1"",0)"),"Dorian Thompson-Robinson")</f>
        <v>Dorian Thompson-Robinson</v>
      </c>
      <c r="U415" s="32" t="e">
        <f t="shared" ca="1" si="3"/>
        <v>#NAME?</v>
      </c>
    </row>
    <row r="416" spans="1:21" ht="12.75" x14ac:dyDescent="0.2">
      <c r="A416" s="5"/>
      <c r="B416" s="5"/>
      <c r="C416" s="5"/>
      <c r="D416" s="5" t="s">
        <v>497</v>
      </c>
      <c r="E416" s="5" t="s">
        <v>497</v>
      </c>
      <c r="F416" s="5" t="s">
        <v>497</v>
      </c>
      <c r="G416" s="5" t="s">
        <v>497</v>
      </c>
      <c r="H416" s="5" t="s">
        <v>497</v>
      </c>
      <c r="I416" s="5" t="s">
        <v>497</v>
      </c>
      <c r="J416" s="5" t="s">
        <v>497</v>
      </c>
      <c r="K416" s="5" t="s">
        <v>497</v>
      </c>
      <c r="L416" s="5" t="s">
        <v>497</v>
      </c>
      <c r="M416" s="5" t="s">
        <v>497</v>
      </c>
      <c r="N416" s="5" t="s">
        <v>497</v>
      </c>
      <c r="O416" s="5" t="s">
        <v>497</v>
      </c>
      <c r="P416" s="5" t="s">
        <v>497</v>
      </c>
      <c r="Q416" s="5" t="s">
        <v>497</v>
      </c>
      <c r="R416" s="5" t="s">
        <v>497</v>
      </c>
      <c r="S416" s="5">
        <f t="shared" si="2"/>
        <v>4</v>
      </c>
      <c r="T416" s="5" t="str">
        <f ca="1">IFERROR(__xludf.DUMMYFUNCTION("QUERY(transpose(A416:R416),""Select Col1 where Col1 is not null limit 1"",0)"),"Tyler Huntley")</f>
        <v>Tyler Huntley</v>
      </c>
      <c r="U416" s="32" t="e">
        <f t="shared" ca="1" si="3"/>
        <v>#NAME?</v>
      </c>
    </row>
    <row r="417" spans="1:21" ht="12.75" x14ac:dyDescent="0.2">
      <c r="A417" s="5"/>
      <c r="B417" s="5"/>
      <c r="C417" s="5"/>
      <c r="D417" s="5" t="s">
        <v>498</v>
      </c>
      <c r="E417" s="5" t="s">
        <v>498</v>
      </c>
      <c r="F417" s="5" t="s">
        <v>498</v>
      </c>
      <c r="G417" s="5" t="s">
        <v>498</v>
      </c>
      <c r="H417" s="5" t="s">
        <v>498</v>
      </c>
      <c r="I417" s="5" t="s">
        <v>498</v>
      </c>
      <c r="J417" s="5" t="s">
        <v>498</v>
      </c>
      <c r="K417" s="5" t="s">
        <v>498</v>
      </c>
      <c r="L417" s="5" t="s">
        <v>498</v>
      </c>
      <c r="M417" s="5" t="s">
        <v>498</v>
      </c>
      <c r="N417" s="5" t="s">
        <v>498</v>
      </c>
      <c r="O417" s="5" t="s">
        <v>498</v>
      </c>
      <c r="P417" s="5" t="s">
        <v>498</v>
      </c>
      <c r="Q417" s="5" t="s">
        <v>498</v>
      </c>
      <c r="R417" s="5" t="s">
        <v>498</v>
      </c>
      <c r="S417" s="5">
        <f t="shared" si="2"/>
        <v>4</v>
      </c>
      <c r="T417" s="5" t="str">
        <f ca="1">IFERROR(__xludf.DUMMYFUNCTION("QUERY(transpose(A417:R417),""Select Col1 where Col1 is not null limit 1"",0)"),"Mitchell Trubisky")</f>
        <v>Mitchell Trubisky</v>
      </c>
      <c r="U417" s="32" t="e">
        <f t="shared" ca="1" si="3"/>
        <v>#NAME?</v>
      </c>
    </row>
    <row r="418" spans="1:21" ht="12.75" x14ac:dyDescent="0.2">
      <c r="A418" s="5"/>
      <c r="B418" s="5"/>
      <c r="C418" s="5"/>
      <c r="D418" s="5" t="s">
        <v>499</v>
      </c>
      <c r="E418" s="5" t="s">
        <v>499</v>
      </c>
      <c r="F418" s="5" t="s">
        <v>499</v>
      </c>
      <c r="G418" s="5" t="s">
        <v>499</v>
      </c>
      <c r="H418" s="5" t="s">
        <v>499</v>
      </c>
      <c r="I418" s="5" t="s">
        <v>499</v>
      </c>
      <c r="J418" s="5" t="s">
        <v>499</v>
      </c>
      <c r="K418" s="5" t="s">
        <v>499</v>
      </c>
      <c r="L418" s="5" t="s">
        <v>499</v>
      </c>
      <c r="M418" s="5" t="s">
        <v>499</v>
      </c>
      <c r="N418" s="5" t="s">
        <v>499</v>
      </c>
      <c r="O418" s="5" t="s">
        <v>499</v>
      </c>
      <c r="P418" s="5" t="s">
        <v>499</v>
      </c>
      <c r="Q418" s="5" t="s">
        <v>499</v>
      </c>
      <c r="R418" s="5" t="s">
        <v>499</v>
      </c>
      <c r="S418" s="5">
        <f t="shared" si="2"/>
        <v>4</v>
      </c>
      <c r="T418" s="5" t="str">
        <f ca="1">IFERROR(__xludf.DUMMYFUNCTION("QUERY(transpose(A418:R418),""Select Col1 where Col1 is not null limit 1"",0)"),"Adam Prentice")</f>
        <v>Adam Prentice</v>
      </c>
      <c r="U418" s="32" t="e">
        <f t="shared" ca="1" si="3"/>
        <v>#NAME?</v>
      </c>
    </row>
    <row r="419" spans="1:21" ht="12.75" x14ac:dyDescent="0.2">
      <c r="A419" s="5"/>
      <c r="B419" s="5"/>
      <c r="C419" s="5"/>
      <c r="D419" s="5"/>
      <c r="E419" s="5" t="s">
        <v>513</v>
      </c>
      <c r="F419" s="5" t="s">
        <v>513</v>
      </c>
      <c r="G419" s="5" t="s">
        <v>513</v>
      </c>
      <c r="H419" s="5" t="s">
        <v>513</v>
      </c>
      <c r="I419" s="5" t="s">
        <v>513</v>
      </c>
      <c r="J419" s="5" t="s">
        <v>513</v>
      </c>
      <c r="K419" s="5" t="s">
        <v>513</v>
      </c>
      <c r="L419" s="5" t="s">
        <v>513</v>
      </c>
      <c r="M419" s="5" t="s">
        <v>513</v>
      </c>
      <c r="N419" s="5" t="s">
        <v>513</v>
      </c>
      <c r="O419" s="5" t="s">
        <v>513</v>
      </c>
      <c r="P419" s="5" t="s">
        <v>513</v>
      </c>
      <c r="Q419" s="5" t="s">
        <v>513</v>
      </c>
      <c r="R419" s="5" t="s">
        <v>513</v>
      </c>
      <c r="S419" s="5">
        <f t="shared" si="2"/>
        <v>5</v>
      </c>
      <c r="T419" s="5" t="str">
        <f ca="1">IFERROR(__xludf.DUMMYFUNCTION("QUERY(transpose(A419:R419),""Select Col1 where Col1 is not null limit 1"",0)"),"Cooper Kupp")</f>
        <v>Cooper Kupp</v>
      </c>
      <c r="U419" s="32" t="e">
        <f t="shared" ca="1" si="3"/>
        <v>#NAME?</v>
      </c>
    </row>
    <row r="420" spans="1:21" ht="12.75" x14ac:dyDescent="0.2">
      <c r="A420" s="5"/>
      <c r="B420" s="5"/>
      <c r="C420" s="5"/>
      <c r="D420" s="5"/>
      <c r="E420" s="5" t="s">
        <v>515</v>
      </c>
      <c r="F420" s="5" t="s">
        <v>515</v>
      </c>
      <c r="G420" s="5" t="s">
        <v>515</v>
      </c>
      <c r="H420" s="5" t="s">
        <v>515</v>
      </c>
      <c r="I420" s="5" t="s">
        <v>515</v>
      </c>
      <c r="J420" s="5" t="s">
        <v>515</v>
      </c>
      <c r="K420" s="5" t="s">
        <v>515</v>
      </c>
      <c r="L420" s="5" t="s">
        <v>515</v>
      </c>
      <c r="M420" s="5" t="s">
        <v>515</v>
      </c>
      <c r="N420" s="5" t="s">
        <v>515</v>
      </c>
      <c r="O420" s="5" t="s">
        <v>515</v>
      </c>
      <c r="P420" s="5" t="s">
        <v>515</v>
      </c>
      <c r="Q420" s="5" t="s">
        <v>515</v>
      </c>
      <c r="R420" s="5" t="s">
        <v>515</v>
      </c>
      <c r="S420" s="5">
        <f t="shared" si="2"/>
        <v>5</v>
      </c>
      <c r="T420" s="5" t="str">
        <f ca="1">IFERROR(__xludf.DUMMYFUNCTION("QUERY(transpose(A420:R420),""Select Col1 where Col1 is not null limit 1"",0)"),"Jonathan Taylor")</f>
        <v>Jonathan Taylor</v>
      </c>
      <c r="U420" s="32" t="e">
        <f t="shared" ca="1" si="3"/>
        <v>#NAME?</v>
      </c>
    </row>
    <row r="421" spans="1:21" ht="12.75" x14ac:dyDescent="0.2">
      <c r="A421" s="5"/>
      <c r="B421" s="5"/>
      <c r="C421" s="5"/>
      <c r="D421" s="5"/>
      <c r="E421" s="5" t="s">
        <v>516</v>
      </c>
      <c r="F421" s="5" t="s">
        <v>516</v>
      </c>
      <c r="G421" s="5" t="s">
        <v>516</v>
      </c>
      <c r="H421" s="5" t="s">
        <v>516</v>
      </c>
      <c r="I421" s="5" t="s">
        <v>516</v>
      </c>
      <c r="J421" s="5" t="s">
        <v>516</v>
      </c>
      <c r="K421" s="5" t="s">
        <v>516</v>
      </c>
      <c r="L421" s="5" t="s">
        <v>516</v>
      </c>
      <c r="M421" s="5" t="s">
        <v>516</v>
      </c>
      <c r="N421" s="5" t="s">
        <v>516</v>
      </c>
      <c r="O421" s="5" t="s">
        <v>516</v>
      </c>
      <c r="P421" s="5" t="s">
        <v>516</v>
      </c>
      <c r="Q421" s="5" t="s">
        <v>516</v>
      </c>
      <c r="R421" s="5" t="s">
        <v>516</v>
      </c>
      <c r="S421" s="5">
        <f t="shared" si="2"/>
        <v>5</v>
      </c>
      <c r="T421" s="5" t="str">
        <f ca="1">IFERROR(__xludf.DUMMYFUNCTION("QUERY(transpose(A421:R421),""Select Col1 where Col1 is not null limit 1"",0)"),"Geoff Swaim")</f>
        <v>Geoff Swaim</v>
      </c>
      <c r="U421" s="32" t="e">
        <f t="shared" ca="1" si="3"/>
        <v>#NAME?</v>
      </c>
    </row>
    <row r="422" spans="1:21" ht="12.75" x14ac:dyDescent="0.2">
      <c r="A422" s="5"/>
      <c r="B422" s="5"/>
      <c r="C422" s="5"/>
      <c r="D422" s="5"/>
      <c r="E422" s="5" t="s">
        <v>517</v>
      </c>
      <c r="F422" s="5" t="s">
        <v>517</v>
      </c>
      <c r="G422" s="5" t="s">
        <v>517</v>
      </c>
      <c r="H422" s="5" t="s">
        <v>517</v>
      </c>
      <c r="I422" s="5" t="s">
        <v>517</v>
      </c>
      <c r="J422" s="5" t="s">
        <v>517</v>
      </c>
      <c r="K422" s="5" t="s">
        <v>517</v>
      </c>
      <c r="L422" s="5" t="s">
        <v>517</v>
      </c>
      <c r="M422" s="5" t="s">
        <v>517</v>
      </c>
      <c r="N422" s="5" t="s">
        <v>517</v>
      </c>
      <c r="O422" s="5" t="s">
        <v>517</v>
      </c>
      <c r="P422" s="5" t="s">
        <v>517</v>
      </c>
      <c r="Q422" s="5" t="s">
        <v>517</v>
      </c>
      <c r="R422" s="5" t="s">
        <v>517</v>
      </c>
      <c r="S422" s="5">
        <f t="shared" si="2"/>
        <v>5</v>
      </c>
      <c r="T422" s="5" t="str">
        <f ca="1">IFERROR(__xludf.DUMMYFUNCTION("QUERY(transpose(A422:R422),""Select Col1 where Col1 is not null limit 1"",0)"),"Jamison Crowder")</f>
        <v>Jamison Crowder</v>
      </c>
      <c r="U422" s="32" t="e">
        <f t="shared" ca="1" si="3"/>
        <v>#NAME?</v>
      </c>
    </row>
    <row r="423" spans="1:21" ht="12.75" x14ac:dyDescent="0.2">
      <c r="A423" s="5"/>
      <c r="B423" s="5"/>
      <c r="C423" s="5"/>
      <c r="D423" s="5"/>
      <c r="E423" s="5" t="s">
        <v>518</v>
      </c>
      <c r="F423" s="5" t="s">
        <v>518</v>
      </c>
      <c r="G423" s="5" t="s">
        <v>518</v>
      </c>
      <c r="H423" s="5" t="s">
        <v>518</v>
      </c>
      <c r="I423" s="5" t="s">
        <v>518</v>
      </c>
      <c r="J423" s="5" t="s">
        <v>518</v>
      </c>
      <c r="K423" s="5" t="s">
        <v>518</v>
      </c>
      <c r="L423" s="5" t="s">
        <v>518</v>
      </c>
      <c r="M423" s="5" t="s">
        <v>518</v>
      </c>
      <c r="N423" s="5" t="s">
        <v>518</v>
      </c>
      <c r="O423" s="5" t="s">
        <v>518</v>
      </c>
      <c r="P423" s="5" t="s">
        <v>518</v>
      </c>
      <c r="Q423" s="5" t="s">
        <v>518</v>
      </c>
      <c r="R423" s="5" t="s">
        <v>518</v>
      </c>
      <c r="S423" s="5">
        <f t="shared" si="2"/>
        <v>5</v>
      </c>
      <c r="T423" s="5" t="str">
        <f ca="1">IFERROR(__xludf.DUMMYFUNCTION("QUERY(transpose(A423:R423),""Select Col1 where Col1 is not null limit 1"",0)"),"Keith Smith")</f>
        <v>Keith Smith</v>
      </c>
      <c r="U423" s="32" t="e">
        <f t="shared" ca="1" si="3"/>
        <v>#NAME?</v>
      </c>
    </row>
    <row r="424" spans="1:21" ht="12.75" x14ac:dyDescent="0.2">
      <c r="A424" s="5"/>
      <c r="B424" s="5"/>
      <c r="C424" s="5"/>
      <c r="D424" s="5"/>
      <c r="E424" s="5" t="s">
        <v>519</v>
      </c>
      <c r="F424" s="5" t="s">
        <v>519</v>
      </c>
      <c r="G424" s="5" t="s">
        <v>519</v>
      </c>
      <c r="H424" s="5" t="s">
        <v>519</v>
      </c>
      <c r="I424" s="5" t="s">
        <v>519</v>
      </c>
      <c r="J424" s="5" t="s">
        <v>519</v>
      </c>
      <c r="K424" s="5" t="s">
        <v>519</v>
      </c>
      <c r="L424" s="5" t="s">
        <v>519</v>
      </c>
      <c r="M424" s="5" t="s">
        <v>519</v>
      </c>
      <c r="N424" s="5" t="s">
        <v>519</v>
      </c>
      <c r="O424" s="5" t="s">
        <v>519</v>
      </c>
      <c r="P424" s="5" t="s">
        <v>519</v>
      </c>
      <c r="Q424" s="5" t="s">
        <v>519</v>
      </c>
      <c r="R424" s="5" t="s">
        <v>519</v>
      </c>
      <c r="S424" s="5">
        <f t="shared" si="2"/>
        <v>5</v>
      </c>
      <c r="T424" s="5" t="str">
        <f ca="1">IFERROR(__xludf.DUMMYFUNCTION("QUERY(transpose(A424:R424),""Select Col1 where Col1 is not null limit 1"",0)"),"Eric Gray")</f>
        <v>Eric Gray</v>
      </c>
      <c r="U424" s="32" t="e">
        <f t="shared" ca="1" si="3"/>
        <v>#NAME?</v>
      </c>
    </row>
    <row r="425" spans="1:21" ht="12.75" x14ac:dyDescent="0.2">
      <c r="A425" s="5"/>
      <c r="B425" s="5"/>
      <c r="C425" s="5"/>
      <c r="D425" s="5"/>
      <c r="E425" s="5" t="s">
        <v>520</v>
      </c>
      <c r="F425" s="5" t="s">
        <v>520</v>
      </c>
      <c r="G425" s="5" t="s">
        <v>520</v>
      </c>
      <c r="H425" s="5" t="s">
        <v>520</v>
      </c>
      <c r="I425" s="5" t="s">
        <v>520</v>
      </c>
      <c r="J425" s="5" t="s">
        <v>520</v>
      </c>
      <c r="K425" s="5" t="s">
        <v>520</v>
      </c>
      <c r="L425" s="5" t="s">
        <v>520</v>
      </c>
      <c r="M425" s="5" t="s">
        <v>520</v>
      </c>
      <c r="N425" s="5" t="s">
        <v>520</v>
      </c>
      <c r="O425" s="5" t="s">
        <v>520</v>
      </c>
      <c r="P425" s="5" t="s">
        <v>520</v>
      </c>
      <c r="Q425" s="5" t="s">
        <v>520</v>
      </c>
      <c r="R425" s="5" t="s">
        <v>520</v>
      </c>
      <c r="S425" s="5">
        <f t="shared" si="2"/>
        <v>5</v>
      </c>
      <c r="T425" s="5" t="str">
        <f ca="1">IFERROR(__xludf.DUMMYFUNCTION("QUERY(transpose(A425:R425),""Select Col1 where Col1 is not null limit 1"",0)"),"Trevon Wesco")</f>
        <v>Trevon Wesco</v>
      </c>
      <c r="U425" s="32" t="e">
        <f t="shared" ca="1" si="3"/>
        <v>#NAME?</v>
      </c>
    </row>
    <row r="426" spans="1:21" ht="12.75" x14ac:dyDescent="0.2">
      <c r="A426" s="5"/>
      <c r="B426" s="5"/>
      <c r="C426" s="5"/>
      <c r="D426" s="5"/>
      <c r="E426" s="5" t="s">
        <v>521</v>
      </c>
      <c r="F426" s="5" t="s">
        <v>521</v>
      </c>
      <c r="G426" s="5" t="s">
        <v>521</v>
      </c>
      <c r="H426" s="5" t="s">
        <v>521</v>
      </c>
      <c r="I426" s="5" t="s">
        <v>521</v>
      </c>
      <c r="J426" s="5" t="s">
        <v>521</v>
      </c>
      <c r="K426" s="5" t="s">
        <v>521</v>
      </c>
      <c r="L426" s="5" t="s">
        <v>521</v>
      </c>
      <c r="M426" s="5" t="s">
        <v>521</v>
      </c>
      <c r="N426" s="5" t="s">
        <v>521</v>
      </c>
      <c r="O426" s="5" t="s">
        <v>521</v>
      </c>
      <c r="P426" s="5" t="s">
        <v>521</v>
      </c>
      <c r="Q426" s="5" t="s">
        <v>521</v>
      </c>
      <c r="R426" s="5" t="s">
        <v>521</v>
      </c>
      <c r="S426" s="5">
        <f t="shared" si="2"/>
        <v>5</v>
      </c>
      <c r="T426" s="5" t="str">
        <f ca="1">IFERROR(__xludf.DUMMYFUNCTION("QUERY(transpose(A426:R426),""Select Col1 where Col1 is not null limit 1"",0)"),"Scott Miller")</f>
        <v>Scott Miller</v>
      </c>
      <c r="U426" s="32" t="e">
        <f t="shared" ca="1" si="3"/>
        <v>#NAME?</v>
      </c>
    </row>
    <row r="427" spans="1:21" ht="12.75" x14ac:dyDescent="0.2">
      <c r="A427" s="5"/>
      <c r="B427" s="5"/>
      <c r="C427" s="5"/>
      <c r="D427" s="5"/>
      <c r="E427" s="5" t="s">
        <v>522</v>
      </c>
      <c r="F427" s="5" t="s">
        <v>522</v>
      </c>
      <c r="G427" s="5" t="s">
        <v>522</v>
      </c>
      <c r="H427" s="5" t="s">
        <v>522</v>
      </c>
      <c r="I427" s="5" t="s">
        <v>522</v>
      </c>
      <c r="J427" s="5" t="s">
        <v>522</v>
      </c>
      <c r="K427" s="5" t="s">
        <v>522</v>
      </c>
      <c r="L427" s="5" t="s">
        <v>522</v>
      </c>
      <c r="M427" s="5" t="s">
        <v>522</v>
      </c>
      <c r="N427" s="5" t="s">
        <v>522</v>
      </c>
      <c r="O427" s="5" t="s">
        <v>522</v>
      </c>
      <c r="P427" s="5" t="s">
        <v>522</v>
      </c>
      <c r="Q427" s="5" t="s">
        <v>522</v>
      </c>
      <c r="R427" s="5" t="s">
        <v>522</v>
      </c>
      <c r="S427" s="5">
        <f t="shared" si="2"/>
        <v>5</v>
      </c>
      <c r="T427" s="5" t="str">
        <f ca="1">IFERROR(__xludf.DUMMYFUNCTION("QUERY(transpose(A427:R427),""Select Col1 where Col1 is not null limit 1"",0)"),"Khari Blasingame")</f>
        <v>Khari Blasingame</v>
      </c>
      <c r="U427" s="32" t="e">
        <f t="shared" ca="1" si="3"/>
        <v>#NAME?</v>
      </c>
    </row>
    <row r="428" spans="1:21" ht="12.75" x14ac:dyDescent="0.2">
      <c r="A428" s="5"/>
      <c r="B428" s="5"/>
      <c r="C428" s="5"/>
      <c r="D428" s="5"/>
      <c r="E428" s="5" t="s">
        <v>523</v>
      </c>
      <c r="F428" s="5" t="s">
        <v>523</v>
      </c>
      <c r="G428" s="5" t="s">
        <v>523</v>
      </c>
      <c r="H428" s="5" t="s">
        <v>523</v>
      </c>
      <c r="I428" s="5" t="s">
        <v>523</v>
      </c>
      <c r="J428" s="5" t="s">
        <v>523</v>
      </c>
      <c r="K428" s="5" t="s">
        <v>523</v>
      </c>
      <c r="L428" s="5" t="s">
        <v>523</v>
      </c>
      <c r="M428" s="5" t="s">
        <v>523</v>
      </c>
      <c r="N428" s="5" t="s">
        <v>523</v>
      </c>
      <c r="O428" s="5" t="s">
        <v>523</v>
      </c>
      <c r="P428" s="5" t="s">
        <v>523</v>
      </c>
      <c r="Q428" s="5" t="s">
        <v>523</v>
      </c>
      <c r="R428" s="5" t="s">
        <v>523</v>
      </c>
      <c r="S428" s="5">
        <f t="shared" si="2"/>
        <v>5</v>
      </c>
      <c r="T428" s="5" t="str">
        <f ca="1">IFERROR(__xludf.DUMMYFUNCTION("QUERY(transpose(A428:R428),""Select Col1 where Col1 is not null limit 1"",0)"),"Jameson Williams")</f>
        <v>Jameson Williams</v>
      </c>
      <c r="U428" s="32" t="e">
        <f t="shared" ca="1" si="3"/>
        <v>#NAME?</v>
      </c>
    </row>
    <row r="429" spans="1:21" ht="12.75" x14ac:dyDescent="0.2">
      <c r="A429" s="5"/>
      <c r="B429" s="5"/>
      <c r="C429" s="5"/>
      <c r="D429" s="5"/>
      <c r="E429" s="5" t="s">
        <v>524</v>
      </c>
      <c r="F429" s="5" t="s">
        <v>524</v>
      </c>
      <c r="G429" s="5" t="s">
        <v>524</v>
      </c>
      <c r="H429" s="5" t="s">
        <v>524</v>
      </c>
      <c r="I429" s="5" t="s">
        <v>524</v>
      </c>
      <c r="J429" s="5" t="s">
        <v>524</v>
      </c>
      <c r="K429" s="5" t="s">
        <v>524</v>
      </c>
      <c r="L429" s="5" t="s">
        <v>524</v>
      </c>
      <c r="M429" s="5" t="s">
        <v>524</v>
      </c>
      <c r="N429" s="5" t="s">
        <v>524</v>
      </c>
      <c r="O429" s="5" t="s">
        <v>524</v>
      </c>
      <c r="P429" s="5" t="s">
        <v>524</v>
      </c>
      <c r="Q429" s="5" t="s">
        <v>524</v>
      </c>
      <c r="R429" s="5" t="s">
        <v>524</v>
      </c>
      <c r="S429" s="5">
        <f t="shared" si="2"/>
        <v>5</v>
      </c>
      <c r="T429" s="5" t="str">
        <f ca="1">IFERROR(__xludf.DUMMYFUNCTION("QUERY(transpose(A429:R429),""Select Col1 where Col1 is not null limit 1"",0)"),"Ben Sims")</f>
        <v>Ben Sims</v>
      </c>
      <c r="U429" s="32" t="e">
        <f t="shared" ca="1" si="3"/>
        <v>#NAME?</v>
      </c>
    </row>
    <row r="430" spans="1:21" ht="12.75" x14ac:dyDescent="0.2">
      <c r="A430" s="5"/>
      <c r="B430" s="5"/>
      <c r="C430" s="5"/>
      <c r="D430" s="5"/>
      <c r="E430" s="5" t="s">
        <v>525</v>
      </c>
      <c r="F430" s="5" t="s">
        <v>525</v>
      </c>
      <c r="G430" s="5" t="s">
        <v>525</v>
      </c>
      <c r="H430" s="5" t="s">
        <v>525</v>
      </c>
      <c r="I430" s="5" t="s">
        <v>525</v>
      </c>
      <c r="J430" s="5" t="s">
        <v>525</v>
      </c>
      <c r="K430" s="5" t="s">
        <v>525</v>
      </c>
      <c r="L430" s="5" t="s">
        <v>525</v>
      </c>
      <c r="M430" s="5" t="s">
        <v>525</v>
      </c>
      <c r="N430" s="5" t="s">
        <v>525</v>
      </c>
      <c r="O430" s="5" t="s">
        <v>525</v>
      </c>
      <c r="P430" s="5" t="s">
        <v>525</v>
      </c>
      <c r="Q430" s="5" t="s">
        <v>525</v>
      </c>
      <c r="R430" s="5" t="s">
        <v>525</v>
      </c>
      <c r="S430" s="5">
        <f t="shared" si="2"/>
        <v>5</v>
      </c>
      <c r="T430" s="5" t="str">
        <f ca="1">IFERROR(__xludf.DUMMYFUNCTION("QUERY(transpose(A430:R430),""Select Col1 where Col1 is not null limit 1"",0)"),"Tyrion Davis-Price")</f>
        <v>Tyrion Davis-Price</v>
      </c>
      <c r="U430" s="32" t="e">
        <f t="shared" ca="1" si="3"/>
        <v>#NAME?</v>
      </c>
    </row>
    <row r="431" spans="1:21" ht="12.75" x14ac:dyDescent="0.2">
      <c r="A431" s="5"/>
      <c r="B431" s="5"/>
      <c r="C431" s="5"/>
      <c r="D431" s="5"/>
      <c r="E431" s="5" t="s">
        <v>526</v>
      </c>
      <c r="F431" s="5" t="s">
        <v>526</v>
      </c>
      <c r="G431" s="5" t="s">
        <v>526</v>
      </c>
      <c r="H431" s="5" t="s">
        <v>526</v>
      </c>
      <c r="I431" s="5" t="s">
        <v>526</v>
      </c>
      <c r="J431" s="5" t="s">
        <v>526</v>
      </c>
      <c r="K431" s="5" t="s">
        <v>526</v>
      </c>
      <c r="L431" s="5" t="s">
        <v>526</v>
      </c>
      <c r="M431" s="5" t="s">
        <v>526</v>
      </c>
      <c r="N431" s="5" t="s">
        <v>526</v>
      </c>
      <c r="O431" s="5" t="s">
        <v>526</v>
      </c>
      <c r="P431" s="5" t="s">
        <v>526</v>
      </c>
      <c r="Q431" s="5" t="s">
        <v>526</v>
      </c>
      <c r="R431" s="5" t="s">
        <v>526</v>
      </c>
      <c r="S431" s="5">
        <f t="shared" si="2"/>
        <v>5</v>
      </c>
      <c r="T431" s="5" t="str">
        <f ca="1">IFERROR(__xludf.DUMMYFUNCTION("QUERY(transpose(A431:R431),""Select Col1 where Col1 is not null limit 1"",0)"),"John Mundt")</f>
        <v>John Mundt</v>
      </c>
      <c r="U431" s="32" t="e">
        <f t="shared" ca="1" si="3"/>
        <v>#NAME?</v>
      </c>
    </row>
    <row r="432" spans="1:21" ht="12.75" x14ac:dyDescent="0.2">
      <c r="A432" s="5"/>
      <c r="B432" s="5"/>
      <c r="C432" s="5"/>
      <c r="D432" s="5"/>
      <c r="E432" s="5" t="s">
        <v>527</v>
      </c>
      <c r="F432" s="5" t="s">
        <v>527</v>
      </c>
      <c r="G432" s="5" t="s">
        <v>527</v>
      </c>
      <c r="H432" s="5" t="s">
        <v>527</v>
      </c>
      <c r="I432" s="5" t="s">
        <v>527</v>
      </c>
      <c r="J432" s="5" t="s">
        <v>527</v>
      </c>
      <c r="K432" s="5" t="s">
        <v>527</v>
      </c>
      <c r="L432" s="5" t="s">
        <v>527</v>
      </c>
      <c r="M432" s="5" t="s">
        <v>527</v>
      </c>
      <c r="N432" s="5" t="s">
        <v>527</v>
      </c>
      <c r="O432" s="5" t="s">
        <v>527</v>
      </c>
      <c r="P432" s="5" t="s">
        <v>527</v>
      </c>
      <c r="Q432" s="5" t="s">
        <v>527</v>
      </c>
      <c r="R432" s="5" t="s">
        <v>527</v>
      </c>
      <c r="S432" s="5">
        <f t="shared" si="2"/>
        <v>5</v>
      </c>
      <c r="T432" s="5" t="str">
        <f ca="1">IFERROR(__xludf.DUMMYFUNCTION("QUERY(transpose(A432:R432),""Select Col1 where Col1 is not null limit 1"",0)"),"Andrei Iosivas")</f>
        <v>Andrei Iosivas</v>
      </c>
      <c r="U432" s="32" t="e">
        <f t="shared" ca="1" si="3"/>
        <v>#NAME?</v>
      </c>
    </row>
    <row r="433" spans="1:21" ht="12.75" x14ac:dyDescent="0.2">
      <c r="A433" s="5"/>
      <c r="B433" s="5"/>
      <c r="C433" s="5"/>
      <c r="D433" s="5"/>
      <c r="E433" s="5" t="s">
        <v>528</v>
      </c>
      <c r="F433" s="5" t="s">
        <v>528</v>
      </c>
      <c r="G433" s="5" t="s">
        <v>528</v>
      </c>
      <c r="H433" s="5" t="s">
        <v>528</v>
      </c>
      <c r="I433" s="5" t="s">
        <v>528</v>
      </c>
      <c r="J433" s="5" t="s">
        <v>528</v>
      </c>
      <c r="K433" s="5" t="s">
        <v>528</v>
      </c>
      <c r="L433" s="5" t="s">
        <v>528</v>
      </c>
      <c r="M433" s="5" t="s">
        <v>528</v>
      </c>
      <c r="N433" s="5" t="s">
        <v>528</v>
      </c>
      <c r="O433" s="5" t="s">
        <v>528</v>
      </c>
      <c r="P433" s="5" t="s">
        <v>528</v>
      </c>
      <c r="Q433" s="5" t="s">
        <v>528</v>
      </c>
      <c r="R433" s="5" t="s">
        <v>528</v>
      </c>
      <c r="S433" s="5">
        <f t="shared" si="2"/>
        <v>5</v>
      </c>
      <c r="T433" s="5" t="str">
        <f ca="1">IFERROR(__xludf.DUMMYFUNCTION("QUERY(transpose(A433:R433),""Select Col1 where Col1 is not null limit 1"",0)"),"Cordarrelle Patterson")</f>
        <v>Cordarrelle Patterson</v>
      </c>
      <c r="U433" s="32" t="e">
        <f t="shared" ca="1" si="3"/>
        <v>#NAME?</v>
      </c>
    </row>
    <row r="434" spans="1:21" ht="12.75" x14ac:dyDescent="0.2">
      <c r="A434" s="5"/>
      <c r="B434" s="5"/>
      <c r="C434" s="5"/>
      <c r="D434" s="5"/>
      <c r="E434" s="5" t="s">
        <v>529</v>
      </c>
      <c r="F434" s="5" t="s">
        <v>529</v>
      </c>
      <c r="G434" s="5" t="s">
        <v>529</v>
      </c>
      <c r="H434" s="5" t="s">
        <v>529</v>
      </c>
      <c r="I434" s="5" t="s">
        <v>529</v>
      </c>
      <c r="J434" s="5" t="s">
        <v>529</v>
      </c>
      <c r="K434" s="5" t="s">
        <v>529</v>
      </c>
      <c r="L434" s="5" t="s">
        <v>529</v>
      </c>
      <c r="M434" s="5" t="s">
        <v>529</v>
      </c>
      <c r="N434" s="5" t="s">
        <v>529</v>
      </c>
      <c r="O434" s="5" t="s">
        <v>529</v>
      </c>
      <c r="P434" s="5" t="s">
        <v>529</v>
      </c>
      <c r="Q434" s="5" t="s">
        <v>529</v>
      </c>
      <c r="R434" s="5" t="s">
        <v>529</v>
      </c>
      <c r="S434" s="5">
        <f t="shared" si="2"/>
        <v>5</v>
      </c>
      <c r="T434" s="5" t="str">
        <f ca="1">IFERROR(__xludf.DUMMYFUNCTION("QUERY(transpose(A434:R434),""Select Col1 where Col1 is not null limit 1"",0)"),"Kwamie Lassiter")</f>
        <v>Kwamie Lassiter</v>
      </c>
      <c r="U434" s="32" t="e">
        <f t="shared" ca="1" si="3"/>
        <v>#NAME?</v>
      </c>
    </row>
    <row r="435" spans="1:21" ht="12.75" x14ac:dyDescent="0.2">
      <c r="A435" s="5"/>
      <c r="B435" s="5"/>
      <c r="C435" s="5"/>
      <c r="D435" s="5"/>
      <c r="E435" s="5" t="s">
        <v>530</v>
      </c>
      <c r="F435" s="5" t="s">
        <v>530</v>
      </c>
      <c r="G435" s="5" t="s">
        <v>530</v>
      </c>
      <c r="H435" s="5" t="s">
        <v>530</v>
      </c>
      <c r="I435" s="5" t="s">
        <v>530</v>
      </c>
      <c r="J435" s="5" t="s">
        <v>530</v>
      </c>
      <c r="K435" s="5" t="s">
        <v>530</v>
      </c>
      <c r="L435" s="5" t="s">
        <v>530</v>
      </c>
      <c r="M435" s="5" t="s">
        <v>530</v>
      </c>
      <c r="N435" s="5" t="s">
        <v>530</v>
      </c>
      <c r="O435" s="5" t="s">
        <v>530</v>
      </c>
      <c r="P435" s="5" t="s">
        <v>530</v>
      </c>
      <c r="Q435" s="5" t="s">
        <v>530</v>
      </c>
      <c r="R435" s="5" t="s">
        <v>530</v>
      </c>
      <c r="S435" s="5">
        <f t="shared" si="2"/>
        <v>5</v>
      </c>
      <c r="T435" s="5" t="str">
        <f ca="1">IFERROR(__xludf.DUMMYFUNCTION("QUERY(transpose(A435:R435),""Select Col1 where Col1 is not null limit 1"",0)"),"Keith Kirkwood")</f>
        <v>Keith Kirkwood</v>
      </c>
      <c r="U435" s="32" t="e">
        <f t="shared" ca="1" si="3"/>
        <v>#NAME?</v>
      </c>
    </row>
    <row r="436" spans="1:21" ht="12.75" x14ac:dyDescent="0.2">
      <c r="A436" s="5"/>
      <c r="B436" s="5"/>
      <c r="C436" s="5"/>
      <c r="D436" s="5"/>
      <c r="E436" s="5" t="s">
        <v>531</v>
      </c>
      <c r="F436" s="5" t="s">
        <v>531</v>
      </c>
      <c r="G436" s="5" t="s">
        <v>531</v>
      </c>
      <c r="H436" s="5" t="s">
        <v>531</v>
      </c>
      <c r="I436" s="5" t="s">
        <v>531</v>
      </c>
      <c r="J436" s="5" t="s">
        <v>531</v>
      </c>
      <c r="K436" s="5" t="s">
        <v>531</v>
      </c>
      <c r="L436" s="5" t="s">
        <v>531</v>
      </c>
      <c r="M436" s="5" t="s">
        <v>531</v>
      </c>
      <c r="N436" s="5" t="s">
        <v>531</v>
      </c>
      <c r="O436" s="5" t="s">
        <v>531</v>
      </c>
      <c r="P436" s="5" t="s">
        <v>531</v>
      </c>
      <c r="Q436" s="5" t="s">
        <v>531</v>
      </c>
      <c r="R436" s="5" t="s">
        <v>531</v>
      </c>
      <c r="S436" s="5">
        <f t="shared" si="2"/>
        <v>5</v>
      </c>
      <c r="T436" s="5" t="str">
        <f ca="1">IFERROR(__xludf.DUMMYFUNCTION("QUERY(transpose(A436:R436),""Select Col1 where Col1 is not null limit 1"",0)"),"Teddy Bridgewater")</f>
        <v>Teddy Bridgewater</v>
      </c>
      <c r="U436" s="32" t="e">
        <f t="shared" ca="1" si="3"/>
        <v>#NAME?</v>
      </c>
    </row>
    <row r="437" spans="1:21" ht="12.75" x14ac:dyDescent="0.2">
      <c r="A437" s="5"/>
      <c r="B437" s="5"/>
      <c r="C437" s="5"/>
      <c r="D437" s="5"/>
      <c r="E437" s="5"/>
      <c r="F437" s="5" t="s">
        <v>547</v>
      </c>
      <c r="G437" s="5" t="s">
        <v>547</v>
      </c>
      <c r="H437" s="5" t="s">
        <v>547</v>
      </c>
      <c r="I437" s="5" t="s">
        <v>547</v>
      </c>
      <c r="J437" s="5" t="s">
        <v>547</v>
      </c>
      <c r="K437" s="5" t="s">
        <v>547</v>
      </c>
      <c r="L437" s="5" t="s">
        <v>547</v>
      </c>
      <c r="M437" s="5" t="s">
        <v>547</v>
      </c>
      <c r="N437" s="5" t="s">
        <v>547</v>
      </c>
      <c r="O437" s="5" t="s">
        <v>547</v>
      </c>
      <c r="P437" s="5" t="s">
        <v>547</v>
      </c>
      <c r="Q437" s="5" t="s">
        <v>547</v>
      </c>
      <c r="R437" s="5" t="s">
        <v>547</v>
      </c>
      <c r="S437" s="5">
        <f t="shared" si="2"/>
        <v>6</v>
      </c>
      <c r="T437" s="5" t="str">
        <f ca="1">IFERROR(__xludf.DUMMYFUNCTION("QUERY(transpose(A437:R437),""Select Col1 where Col1 is not null limit 1"",0)"),"Quintin Morris")</f>
        <v>Quintin Morris</v>
      </c>
      <c r="U437" s="32" t="e">
        <f t="shared" ca="1" si="3"/>
        <v>#NAME?</v>
      </c>
    </row>
    <row r="438" spans="1:21" ht="12.75" x14ac:dyDescent="0.2">
      <c r="A438" s="5"/>
      <c r="B438" s="5"/>
      <c r="C438" s="5"/>
      <c r="D438" s="5"/>
      <c r="E438" s="5"/>
      <c r="F438" s="5" t="s">
        <v>548</v>
      </c>
      <c r="G438" s="5" t="s">
        <v>548</v>
      </c>
      <c r="H438" s="5" t="s">
        <v>548</v>
      </c>
      <c r="I438" s="5" t="s">
        <v>548</v>
      </c>
      <c r="J438" s="5" t="s">
        <v>548</v>
      </c>
      <c r="K438" s="5" t="s">
        <v>548</v>
      </c>
      <c r="L438" s="5" t="s">
        <v>548</v>
      </c>
      <c r="M438" s="5" t="s">
        <v>548</v>
      </c>
      <c r="N438" s="5" t="s">
        <v>548</v>
      </c>
      <c r="O438" s="5" t="s">
        <v>548</v>
      </c>
      <c r="P438" s="5" t="s">
        <v>548</v>
      </c>
      <c r="Q438" s="5" t="s">
        <v>548</v>
      </c>
      <c r="R438" s="5" t="s">
        <v>548</v>
      </c>
      <c r="S438" s="5">
        <f t="shared" si="2"/>
        <v>6</v>
      </c>
      <c r="T438" s="5" t="str">
        <f ca="1">IFERROR(__xludf.DUMMYFUNCTION("QUERY(transpose(A438:R438),""Select Col1 where Col1 is not null limit 1"",0)"),"Tyson Bagent")</f>
        <v>Tyson Bagent</v>
      </c>
      <c r="U438" s="32" t="e">
        <f t="shared" ca="1" si="3"/>
        <v>#NAME?</v>
      </c>
    </row>
    <row r="439" spans="1:21" ht="12.75" x14ac:dyDescent="0.2">
      <c r="A439" s="5"/>
      <c r="B439" s="5"/>
      <c r="C439" s="5"/>
      <c r="D439" s="5"/>
      <c r="E439" s="5"/>
      <c r="F439" s="5" t="s">
        <v>549</v>
      </c>
      <c r="G439" s="5" t="s">
        <v>549</v>
      </c>
      <c r="H439" s="5" t="s">
        <v>549</v>
      </c>
      <c r="I439" s="5" t="s">
        <v>549</v>
      </c>
      <c r="J439" s="5" t="s">
        <v>549</v>
      </c>
      <c r="K439" s="5" t="s">
        <v>549</v>
      </c>
      <c r="L439" s="5" t="s">
        <v>549</v>
      </c>
      <c r="M439" s="5" t="s">
        <v>549</v>
      </c>
      <c r="N439" s="5" t="s">
        <v>549</v>
      </c>
      <c r="O439" s="5" t="s">
        <v>549</v>
      </c>
      <c r="P439" s="5" t="s">
        <v>549</v>
      </c>
      <c r="Q439" s="5" t="s">
        <v>549</v>
      </c>
      <c r="R439" s="5" t="s">
        <v>549</v>
      </c>
      <c r="S439" s="5">
        <f t="shared" si="2"/>
        <v>6</v>
      </c>
      <c r="T439" s="5" t="str">
        <f ca="1">IFERROR(__xludf.DUMMYFUNCTION("QUERY(transpose(A439:R439),""Select Col1 where Col1 is not null limit 1"",0)"),"Damien Williams")</f>
        <v>Damien Williams</v>
      </c>
      <c r="U439" s="32" t="e">
        <f t="shared" ca="1" si="3"/>
        <v>#NAME?</v>
      </c>
    </row>
    <row r="440" spans="1:21" ht="12.75" x14ac:dyDescent="0.2">
      <c r="A440" s="5"/>
      <c r="B440" s="5"/>
      <c r="C440" s="5"/>
      <c r="D440" s="5"/>
      <c r="E440" s="5"/>
      <c r="F440" s="5" t="s">
        <v>550</v>
      </c>
      <c r="G440" s="5" t="s">
        <v>550</v>
      </c>
      <c r="H440" s="5" t="s">
        <v>550</v>
      </c>
      <c r="I440" s="5" t="s">
        <v>550</v>
      </c>
      <c r="J440" s="5" t="s">
        <v>550</v>
      </c>
      <c r="K440" s="5" t="s">
        <v>550</v>
      </c>
      <c r="L440" s="5" t="s">
        <v>550</v>
      </c>
      <c r="M440" s="5" t="s">
        <v>550</v>
      </c>
      <c r="N440" s="5" t="s">
        <v>550</v>
      </c>
      <c r="O440" s="5" t="s">
        <v>550</v>
      </c>
      <c r="P440" s="5" t="s">
        <v>550</v>
      </c>
      <c r="Q440" s="5" t="s">
        <v>550</v>
      </c>
      <c r="R440" s="5" t="s">
        <v>550</v>
      </c>
      <c r="S440" s="5">
        <f t="shared" si="2"/>
        <v>6</v>
      </c>
      <c r="T440" s="5" t="str">
        <f ca="1">IFERROR(__xludf.DUMMYFUNCTION("QUERY(transpose(A440:R440),""Select Col1 where Col1 is not null limit 1"",0)"),"Malik Willis")</f>
        <v>Malik Willis</v>
      </c>
      <c r="U440" s="32" t="e">
        <f t="shared" ca="1" si="3"/>
        <v>#NAME?</v>
      </c>
    </row>
    <row r="441" spans="1:21" ht="12.75" x14ac:dyDescent="0.2">
      <c r="A441" s="5"/>
      <c r="B441" s="5"/>
      <c r="C441" s="5"/>
      <c r="D441" s="5"/>
      <c r="E441" s="5"/>
      <c r="F441" s="5" t="s">
        <v>551</v>
      </c>
      <c r="G441" s="5" t="s">
        <v>551</v>
      </c>
      <c r="H441" s="5" t="s">
        <v>551</v>
      </c>
      <c r="I441" s="5" t="s">
        <v>551</v>
      </c>
      <c r="J441" s="5" t="s">
        <v>551</v>
      </c>
      <c r="K441" s="5" t="s">
        <v>551</v>
      </c>
      <c r="L441" s="5" t="s">
        <v>551</v>
      </c>
      <c r="M441" s="5" t="s">
        <v>551</v>
      </c>
      <c r="N441" s="5" t="s">
        <v>551</v>
      </c>
      <c r="O441" s="5" t="s">
        <v>551</v>
      </c>
      <c r="P441" s="5" t="s">
        <v>551</v>
      </c>
      <c r="Q441" s="5" t="s">
        <v>551</v>
      </c>
      <c r="R441" s="5" t="s">
        <v>551</v>
      </c>
      <c r="S441" s="5">
        <f t="shared" si="2"/>
        <v>6</v>
      </c>
      <c r="T441" s="5" t="str">
        <f ca="1">IFERROR(__xludf.DUMMYFUNCTION("QUERY(transpose(A441:R441),""Select Col1 where Col1 is not null limit 1"",0)"),"Darrynton Evans")</f>
        <v>Darrynton Evans</v>
      </c>
      <c r="U441" s="32" t="e">
        <f t="shared" ca="1" si="3"/>
        <v>#NAME?</v>
      </c>
    </row>
    <row r="442" spans="1:21" ht="12.75" x14ac:dyDescent="0.2">
      <c r="A442" s="5"/>
      <c r="B442" s="5"/>
      <c r="C442" s="5"/>
      <c r="D442" s="5"/>
      <c r="E442" s="5"/>
      <c r="F442" s="5" t="s">
        <v>552</v>
      </c>
      <c r="G442" s="5" t="s">
        <v>552</v>
      </c>
      <c r="H442" s="5" t="s">
        <v>552</v>
      </c>
      <c r="I442" s="5" t="s">
        <v>552</v>
      </c>
      <c r="J442" s="5" t="s">
        <v>552</v>
      </c>
      <c r="K442" s="5" t="s">
        <v>552</v>
      </c>
      <c r="L442" s="5" t="s">
        <v>552</v>
      </c>
      <c r="M442" s="5" t="s">
        <v>552</v>
      </c>
      <c r="N442" s="5" t="s">
        <v>552</v>
      </c>
      <c r="O442" s="5" t="s">
        <v>552</v>
      </c>
      <c r="P442" s="5" t="s">
        <v>552</v>
      </c>
      <c r="Q442" s="5" t="s">
        <v>552</v>
      </c>
      <c r="R442" s="5" t="s">
        <v>552</v>
      </c>
      <c r="S442" s="5">
        <f t="shared" si="2"/>
        <v>6</v>
      </c>
      <c r="T442" s="5" t="str">
        <f ca="1">IFERROR(__xludf.DUMMYFUNCTION("QUERY(transpose(A442:R442),""Select Col1 where Col1 is not null limit 1"",0)"),"Brian Hoyer")</f>
        <v>Brian Hoyer</v>
      </c>
      <c r="U442" s="32" t="e">
        <f t="shared" ca="1" si="3"/>
        <v>#NAME?</v>
      </c>
    </row>
    <row r="443" spans="1:21" ht="12.75" x14ac:dyDescent="0.2">
      <c r="A443" s="5"/>
      <c r="B443" s="5"/>
      <c r="C443" s="5"/>
      <c r="D443" s="5"/>
      <c r="E443" s="5"/>
      <c r="F443" s="5" t="s">
        <v>553</v>
      </c>
      <c r="G443" s="5" t="s">
        <v>553</v>
      </c>
      <c r="H443" s="5" t="s">
        <v>553</v>
      </c>
      <c r="I443" s="5" t="s">
        <v>553</v>
      </c>
      <c r="J443" s="5" t="s">
        <v>553</v>
      </c>
      <c r="K443" s="5" t="s">
        <v>553</v>
      </c>
      <c r="L443" s="5" t="s">
        <v>553</v>
      </c>
      <c r="M443" s="5" t="s">
        <v>553</v>
      </c>
      <c r="N443" s="5" t="s">
        <v>553</v>
      </c>
      <c r="O443" s="5" t="s">
        <v>553</v>
      </c>
      <c r="P443" s="5" t="s">
        <v>553</v>
      </c>
      <c r="Q443" s="5" t="s">
        <v>553</v>
      </c>
      <c r="R443" s="5" t="s">
        <v>553</v>
      </c>
      <c r="S443" s="5">
        <f t="shared" si="2"/>
        <v>6</v>
      </c>
      <c r="T443" s="5" t="str">
        <f ca="1">IFERROR(__xludf.DUMMYFUNCTION("QUERY(transpose(A443:R443),""Select Col1 where Col1 is not null limit 1"",0)"),"Phillip Walker")</f>
        <v>Phillip Walker</v>
      </c>
      <c r="U443" s="32" t="e">
        <f t="shared" ca="1" si="3"/>
        <v>#NAME?</v>
      </c>
    </row>
    <row r="444" spans="1:21" ht="12.75" x14ac:dyDescent="0.2">
      <c r="A444" s="5"/>
      <c r="B444" s="5"/>
      <c r="C444" s="5"/>
      <c r="D444" s="5"/>
      <c r="E444" s="5"/>
      <c r="F444" s="5" t="s">
        <v>554</v>
      </c>
      <c r="G444" s="5" t="s">
        <v>554</v>
      </c>
      <c r="H444" s="5" t="s">
        <v>554</v>
      </c>
      <c r="I444" s="5" t="s">
        <v>554</v>
      </c>
      <c r="J444" s="5" t="s">
        <v>554</v>
      </c>
      <c r="K444" s="5" t="s">
        <v>554</v>
      </c>
      <c r="L444" s="5" t="s">
        <v>554</v>
      </c>
      <c r="M444" s="5" t="s">
        <v>554</v>
      </c>
      <c r="N444" s="5" t="s">
        <v>554</v>
      </c>
      <c r="O444" s="5" t="s">
        <v>554</v>
      </c>
      <c r="P444" s="5" t="s">
        <v>554</v>
      </c>
      <c r="Q444" s="5" t="s">
        <v>554</v>
      </c>
      <c r="R444" s="5" t="s">
        <v>554</v>
      </c>
      <c r="S444" s="5">
        <f t="shared" si="2"/>
        <v>6</v>
      </c>
      <c r="T444" s="5" t="str">
        <f ca="1">IFERROR(__xludf.DUMMYFUNCTION("QUERY(transpose(A444:R444),""Select Col1 where Col1 is not null limit 1"",0)"),"Raheem Blackshear")</f>
        <v>Raheem Blackshear</v>
      </c>
      <c r="U444" s="32" t="e">
        <f t="shared" ca="1" si="3"/>
        <v>#NAME?</v>
      </c>
    </row>
    <row r="445" spans="1:21" ht="12.75" x14ac:dyDescent="0.2">
      <c r="A445" s="5"/>
      <c r="B445" s="5"/>
      <c r="C445" s="5"/>
      <c r="D445" s="5"/>
      <c r="E445" s="5"/>
      <c r="F445" s="5" t="s">
        <v>555</v>
      </c>
      <c r="G445" s="5" t="s">
        <v>555</v>
      </c>
      <c r="H445" s="5" t="s">
        <v>555</v>
      </c>
      <c r="I445" s="5" t="s">
        <v>555</v>
      </c>
      <c r="J445" s="5" t="s">
        <v>555</v>
      </c>
      <c r="K445" s="5" t="s">
        <v>555</v>
      </c>
      <c r="L445" s="5" t="s">
        <v>555</v>
      </c>
      <c r="M445" s="5" t="s">
        <v>555</v>
      </c>
      <c r="N445" s="5" t="s">
        <v>555</v>
      </c>
      <c r="O445" s="5" t="s">
        <v>555</v>
      </c>
      <c r="P445" s="5" t="s">
        <v>555</v>
      </c>
      <c r="Q445" s="5" t="s">
        <v>555</v>
      </c>
      <c r="R445" s="5" t="s">
        <v>555</v>
      </c>
      <c r="S445" s="5">
        <f t="shared" si="2"/>
        <v>6</v>
      </c>
      <c r="T445" s="5" t="str">
        <f ca="1">IFERROR(__xludf.DUMMYFUNCTION("QUERY(transpose(A445:R445),""Select Col1 where Col1 is not null limit 1"",0)"),"Devine Ozigbo")</f>
        <v>Devine Ozigbo</v>
      </c>
      <c r="U445" s="32" t="e">
        <f t="shared" ca="1" si="3"/>
        <v>#NAME?</v>
      </c>
    </row>
    <row r="446" spans="1:21" ht="12.75" x14ac:dyDescent="0.2">
      <c r="A446" s="5"/>
      <c r="B446" s="5"/>
      <c r="C446" s="5"/>
      <c r="D446" s="5"/>
      <c r="E446" s="5"/>
      <c r="F446" s="5" t="s">
        <v>556</v>
      </c>
      <c r="G446" s="5" t="s">
        <v>556</v>
      </c>
      <c r="H446" s="5" t="s">
        <v>556</v>
      </c>
      <c r="I446" s="5" t="s">
        <v>556</v>
      </c>
      <c r="J446" s="5" t="s">
        <v>556</v>
      </c>
      <c r="K446" s="5" t="s">
        <v>556</v>
      </c>
      <c r="L446" s="5" t="s">
        <v>556</v>
      </c>
      <c r="M446" s="5" t="s">
        <v>556</v>
      </c>
      <c r="N446" s="5" t="s">
        <v>556</v>
      </c>
      <c r="O446" s="5" t="s">
        <v>556</v>
      </c>
      <c r="P446" s="5" t="s">
        <v>556</v>
      </c>
      <c r="Q446" s="5" t="s">
        <v>556</v>
      </c>
      <c r="R446" s="5" t="s">
        <v>556</v>
      </c>
      <c r="S446" s="5">
        <f t="shared" si="2"/>
        <v>6</v>
      </c>
      <c r="T446" s="5" t="str">
        <f ca="1">IFERROR(__xludf.DUMMYFUNCTION("QUERY(transpose(A446:R446),""Select Col1 where Col1 is not null limit 1"",0)"),"Payne Durham")</f>
        <v>Payne Durham</v>
      </c>
      <c r="U446" s="32" t="e">
        <f t="shared" ca="1" si="3"/>
        <v>#NAME?</v>
      </c>
    </row>
    <row r="447" spans="1:21" ht="12.75" x14ac:dyDescent="0.2">
      <c r="A447" s="5"/>
      <c r="B447" s="5"/>
      <c r="C447" s="5"/>
      <c r="D447" s="5"/>
      <c r="E447" s="5"/>
      <c r="F447" s="5" t="s">
        <v>557</v>
      </c>
      <c r="G447" s="5" t="s">
        <v>557</v>
      </c>
      <c r="H447" s="5" t="s">
        <v>557</v>
      </c>
      <c r="I447" s="5" t="s">
        <v>557</v>
      </c>
      <c r="J447" s="5" t="s">
        <v>557</v>
      </c>
      <c r="K447" s="5" t="s">
        <v>557</v>
      </c>
      <c r="L447" s="5" t="s">
        <v>557</v>
      </c>
      <c r="M447" s="5" t="s">
        <v>557</v>
      </c>
      <c r="N447" s="5" t="s">
        <v>557</v>
      </c>
      <c r="O447" s="5" t="s">
        <v>557</v>
      </c>
      <c r="P447" s="5" t="s">
        <v>557</v>
      </c>
      <c r="Q447" s="5" t="s">
        <v>557</v>
      </c>
      <c r="R447" s="5" t="s">
        <v>557</v>
      </c>
      <c r="S447" s="5">
        <f t="shared" si="2"/>
        <v>6</v>
      </c>
      <c r="T447" s="5" t="str">
        <f ca="1">IFERROR(__xludf.DUMMYFUNCTION("QUERY(transpose(A447:R447),""Select Col1 where Col1 is not null limit 1"",0)"),"Tyquan Thornton")</f>
        <v>Tyquan Thornton</v>
      </c>
      <c r="U447" s="32" t="e">
        <f t="shared" ca="1" si="3"/>
        <v>#NAME?</v>
      </c>
    </row>
    <row r="448" spans="1:21" ht="12.75" x14ac:dyDescent="0.2">
      <c r="A448" s="5"/>
      <c r="B448" s="5"/>
      <c r="C448" s="5"/>
      <c r="D448" s="5"/>
      <c r="E448" s="5"/>
      <c r="F448" s="5" t="s">
        <v>558</v>
      </c>
      <c r="G448" s="5" t="s">
        <v>558</v>
      </c>
      <c r="H448" s="5" t="s">
        <v>558</v>
      </c>
      <c r="I448" s="5" t="s">
        <v>558</v>
      </c>
      <c r="J448" s="5" t="s">
        <v>558</v>
      </c>
      <c r="K448" s="5" t="s">
        <v>558</v>
      </c>
      <c r="L448" s="5" t="s">
        <v>558</v>
      </c>
      <c r="M448" s="5" t="s">
        <v>558</v>
      </c>
      <c r="N448" s="5" t="s">
        <v>558</v>
      </c>
      <c r="O448" s="5" t="s">
        <v>558</v>
      </c>
      <c r="P448" s="5" t="s">
        <v>558</v>
      </c>
      <c r="Q448" s="5" t="s">
        <v>558</v>
      </c>
      <c r="R448" s="5" t="s">
        <v>558</v>
      </c>
      <c r="S448" s="5">
        <f t="shared" si="2"/>
        <v>6</v>
      </c>
      <c r="T448" s="5" t="str">
        <f ca="1">IFERROR(__xludf.DUMMYFUNCTION("QUERY(transpose(A448:R448),""Select Col1 where Col1 is not null limit 1"",0)"),"Zach Evans")</f>
        <v>Zach Evans</v>
      </c>
      <c r="U448" s="32" t="e">
        <f t="shared" ca="1" si="3"/>
        <v>#NAME?</v>
      </c>
    </row>
    <row r="449" spans="1:21" ht="12.75" x14ac:dyDescent="0.2">
      <c r="A449" s="5"/>
      <c r="B449" s="5"/>
      <c r="C449" s="5"/>
      <c r="D449" s="5"/>
      <c r="E449" s="5"/>
      <c r="F449" s="5" t="s">
        <v>559</v>
      </c>
      <c r="G449" s="5" t="s">
        <v>559</v>
      </c>
      <c r="H449" s="5" t="s">
        <v>559</v>
      </c>
      <c r="I449" s="5" t="s">
        <v>559</v>
      </c>
      <c r="J449" s="5" t="s">
        <v>559</v>
      </c>
      <c r="K449" s="5" t="s">
        <v>559</v>
      </c>
      <c r="L449" s="5" t="s">
        <v>559</v>
      </c>
      <c r="M449" s="5" t="s">
        <v>559</v>
      </c>
      <c r="N449" s="5" t="s">
        <v>559</v>
      </c>
      <c r="O449" s="5" t="s">
        <v>559</v>
      </c>
      <c r="P449" s="5" t="s">
        <v>559</v>
      </c>
      <c r="Q449" s="5" t="s">
        <v>559</v>
      </c>
      <c r="R449" s="5" t="s">
        <v>559</v>
      </c>
      <c r="S449" s="5">
        <f t="shared" si="2"/>
        <v>6</v>
      </c>
      <c r="T449" s="5" t="str">
        <f ca="1">IFERROR(__xludf.DUMMYFUNCTION("QUERY(transpose(A449:R449),""Select Col1 where Col1 is not null limit 1"",0)"),"Kyle Philips")</f>
        <v>Kyle Philips</v>
      </c>
      <c r="U449" s="32" t="e">
        <f t="shared" ca="1" si="3"/>
        <v>#NAME?</v>
      </c>
    </row>
    <row r="450" spans="1:21" ht="12.75" x14ac:dyDescent="0.2">
      <c r="A450" s="5"/>
      <c r="B450" s="5"/>
      <c r="C450" s="5"/>
      <c r="D450" s="5"/>
      <c r="E450" s="5"/>
      <c r="F450" s="5" t="s">
        <v>560</v>
      </c>
      <c r="G450" s="5" t="s">
        <v>560</v>
      </c>
      <c r="H450" s="5" t="s">
        <v>560</v>
      </c>
      <c r="I450" s="5" t="s">
        <v>560</v>
      </c>
      <c r="J450" s="5" t="s">
        <v>560</v>
      </c>
      <c r="K450" s="5" t="s">
        <v>560</v>
      </c>
      <c r="L450" s="5" t="s">
        <v>560</v>
      </c>
      <c r="M450" s="5" t="s">
        <v>560</v>
      </c>
      <c r="N450" s="5" t="s">
        <v>560</v>
      </c>
      <c r="O450" s="5" t="s">
        <v>560</v>
      </c>
      <c r="P450" s="5" t="s">
        <v>560</v>
      </c>
      <c r="Q450" s="5" t="s">
        <v>560</v>
      </c>
      <c r="R450" s="5" t="s">
        <v>560</v>
      </c>
      <c r="S450" s="5">
        <f t="shared" si="2"/>
        <v>6</v>
      </c>
      <c r="T450" s="5" t="str">
        <f ca="1">IFERROR(__xludf.DUMMYFUNCTION("QUERY(transpose(A450:R450),""Select Col1 where Col1 is not null limit 1"",0)"),"Austin Trammell")</f>
        <v>Austin Trammell</v>
      </c>
      <c r="U450" s="32" t="e">
        <f t="shared" ca="1" si="3"/>
        <v>#NAME?</v>
      </c>
    </row>
    <row r="451" spans="1:21" ht="12.75" x14ac:dyDescent="0.2">
      <c r="A451" s="5"/>
      <c r="B451" s="5"/>
      <c r="C451" s="5"/>
      <c r="D451" s="5"/>
      <c r="E451" s="5"/>
      <c r="F451" s="5"/>
      <c r="G451" s="5" t="s">
        <v>574</v>
      </c>
      <c r="H451" s="5" t="s">
        <v>574</v>
      </c>
      <c r="I451" s="5" t="s">
        <v>574</v>
      </c>
      <c r="J451" s="5" t="s">
        <v>574</v>
      </c>
      <c r="K451" s="5" t="s">
        <v>574</v>
      </c>
      <c r="L451" s="5" t="s">
        <v>574</v>
      </c>
      <c r="M451" s="5" t="s">
        <v>574</v>
      </c>
      <c r="N451" s="5" t="s">
        <v>574</v>
      </c>
      <c r="O451" s="5" t="s">
        <v>574</v>
      </c>
      <c r="P451" s="5" t="s">
        <v>574</v>
      </c>
      <c r="Q451" s="5" t="s">
        <v>574</v>
      </c>
      <c r="R451" s="5" t="s">
        <v>574</v>
      </c>
      <c r="S451" s="5">
        <f t="shared" si="2"/>
        <v>7</v>
      </c>
      <c r="T451" s="5" t="str">
        <f ca="1">IFERROR(__xludf.DUMMYFUNCTION("QUERY(transpose(A451:R451),""Select Col1 where Col1 is not null limit 1"",0)"),"Darrell Henderson")</f>
        <v>Darrell Henderson</v>
      </c>
      <c r="U451" s="32" t="e">
        <f t="shared" ca="1" si="3"/>
        <v>#NAME?</v>
      </c>
    </row>
    <row r="452" spans="1:21" ht="12.75" x14ac:dyDescent="0.2">
      <c r="A452" s="5"/>
      <c r="B452" s="5"/>
      <c r="C452" s="5"/>
      <c r="D452" s="5"/>
      <c r="E452" s="5"/>
      <c r="F452" s="5"/>
      <c r="G452" s="5" t="s">
        <v>575</v>
      </c>
      <c r="H452" s="5" t="s">
        <v>575</v>
      </c>
      <c r="I452" s="5" t="s">
        <v>575</v>
      </c>
      <c r="J452" s="5" t="s">
        <v>575</v>
      </c>
      <c r="K452" s="5" t="s">
        <v>575</v>
      </c>
      <c r="L452" s="5" t="s">
        <v>575</v>
      </c>
      <c r="M452" s="5" t="s">
        <v>575</v>
      </c>
      <c r="N452" s="5" t="s">
        <v>575</v>
      </c>
      <c r="O452" s="5" t="s">
        <v>575</v>
      </c>
      <c r="P452" s="5" t="s">
        <v>575</v>
      </c>
      <c r="Q452" s="5" t="s">
        <v>575</v>
      </c>
      <c r="R452" s="5" t="s">
        <v>575</v>
      </c>
      <c r="S452" s="5">
        <f t="shared" si="2"/>
        <v>7</v>
      </c>
      <c r="T452" s="5" t="str">
        <f ca="1">IFERROR(__xludf.DUMMYFUNCTION("QUERY(transpose(A452:R452),""Select Col1 where Col1 is not null limit 1"",0)"),"Royce Freeman")</f>
        <v>Royce Freeman</v>
      </c>
      <c r="U452" s="32" t="e">
        <f t="shared" ca="1" si="3"/>
        <v>#NAME?</v>
      </c>
    </row>
    <row r="453" spans="1:21" ht="12.75" x14ac:dyDescent="0.2">
      <c r="A453" s="5"/>
      <c r="B453" s="5"/>
      <c r="C453" s="5"/>
      <c r="D453" s="5"/>
      <c r="E453" s="5"/>
      <c r="F453" s="5"/>
      <c r="G453" s="5" t="s">
        <v>576</v>
      </c>
      <c r="H453" s="5" t="s">
        <v>576</v>
      </c>
      <c r="I453" s="5" t="s">
        <v>576</v>
      </c>
      <c r="J453" s="5" t="s">
        <v>576</v>
      </c>
      <c r="K453" s="5" t="s">
        <v>576</v>
      </c>
      <c r="L453" s="5" t="s">
        <v>576</v>
      </c>
      <c r="M453" s="5" t="s">
        <v>576</v>
      </c>
      <c r="N453" s="5" t="s">
        <v>576</v>
      </c>
      <c r="O453" s="5" t="s">
        <v>576</v>
      </c>
      <c r="P453" s="5" t="s">
        <v>576</v>
      </c>
      <c r="Q453" s="5" t="s">
        <v>576</v>
      </c>
      <c r="R453" s="5" t="s">
        <v>576</v>
      </c>
      <c r="S453" s="5">
        <f t="shared" si="2"/>
        <v>7</v>
      </c>
      <c r="T453" s="5" t="str">
        <f ca="1">IFERROR(__xludf.DUMMYFUNCTION("QUERY(transpose(A453:R453),""Select Col1 where Col1 is not null limit 1"",0)"),"Ross Dwelley")</f>
        <v>Ross Dwelley</v>
      </c>
      <c r="U453" s="32" t="e">
        <f t="shared" ca="1" si="3"/>
        <v>#NAME?</v>
      </c>
    </row>
    <row r="454" spans="1:21" ht="12.75" x14ac:dyDescent="0.2">
      <c r="A454" s="5"/>
      <c r="B454" s="5"/>
      <c r="C454" s="5"/>
      <c r="D454" s="5"/>
      <c r="E454" s="5"/>
      <c r="F454" s="5"/>
      <c r="G454" s="5" t="s">
        <v>577</v>
      </c>
      <c r="H454" s="5" t="s">
        <v>577</v>
      </c>
      <c r="I454" s="5" t="s">
        <v>577</v>
      </c>
      <c r="J454" s="5" t="s">
        <v>577</v>
      </c>
      <c r="K454" s="5" t="s">
        <v>577</v>
      </c>
      <c r="L454" s="5" t="s">
        <v>577</v>
      </c>
      <c r="M454" s="5" t="s">
        <v>577</v>
      </c>
      <c r="N454" s="5" t="s">
        <v>577</v>
      </c>
      <c r="O454" s="5" t="s">
        <v>577</v>
      </c>
      <c r="P454" s="5" t="s">
        <v>577</v>
      </c>
      <c r="Q454" s="5" t="s">
        <v>577</v>
      </c>
      <c r="R454" s="5" t="s">
        <v>577</v>
      </c>
      <c r="S454" s="5">
        <f t="shared" si="2"/>
        <v>7</v>
      </c>
      <c r="T454" s="5" t="str">
        <f ca="1">IFERROR(__xludf.DUMMYFUNCTION("QUERY(transpose(A454:R454),""Select Col1 where Col1 is not null limit 1"",0)"),"Jalen Reagor")</f>
        <v>Jalen Reagor</v>
      </c>
      <c r="U454" s="32" t="e">
        <f t="shared" ca="1" si="3"/>
        <v>#NAME?</v>
      </c>
    </row>
    <row r="455" spans="1:21" ht="12.75" x14ac:dyDescent="0.2">
      <c r="A455" s="5"/>
      <c r="B455" s="5"/>
      <c r="C455" s="5"/>
      <c r="D455" s="5"/>
      <c r="E455" s="5"/>
      <c r="F455" s="5"/>
      <c r="G455" s="5" t="s">
        <v>578</v>
      </c>
      <c r="H455" s="5" t="s">
        <v>578</v>
      </c>
      <c r="I455" s="5" t="s">
        <v>578</v>
      </c>
      <c r="J455" s="5" t="s">
        <v>578</v>
      </c>
      <c r="K455" s="5" t="s">
        <v>578</v>
      </c>
      <c r="L455" s="5" t="s">
        <v>578</v>
      </c>
      <c r="M455" s="5" t="s">
        <v>578</v>
      </c>
      <c r="N455" s="5" t="s">
        <v>578</v>
      </c>
      <c r="O455" s="5" t="s">
        <v>578</v>
      </c>
      <c r="P455" s="5" t="s">
        <v>578</v>
      </c>
      <c r="Q455" s="5" t="s">
        <v>578</v>
      </c>
      <c r="R455" s="5" t="s">
        <v>578</v>
      </c>
      <c r="S455" s="5">
        <f t="shared" si="2"/>
        <v>7</v>
      </c>
      <c r="T455" s="5" t="str">
        <f ca="1">IFERROR(__xludf.DUMMYFUNCTION("QUERY(transpose(A455:R455),""Select Col1 where Col1 is not null limit 1"",0)"),"Keaton Mitchell")</f>
        <v>Keaton Mitchell</v>
      </c>
      <c r="U455" s="32" t="e">
        <f t="shared" ca="1" si="3"/>
        <v>#NAME?</v>
      </c>
    </row>
    <row r="456" spans="1:21" ht="12.75" x14ac:dyDescent="0.2">
      <c r="A456" s="5"/>
      <c r="B456" s="5"/>
      <c r="C456" s="5"/>
      <c r="D456" s="5"/>
      <c r="E456" s="5"/>
      <c r="F456" s="5"/>
      <c r="G456" s="5" t="s">
        <v>579</v>
      </c>
      <c r="H456" s="5" t="s">
        <v>579</v>
      </c>
      <c r="I456" s="5" t="s">
        <v>579</v>
      </c>
      <c r="J456" s="5" t="s">
        <v>579</v>
      </c>
      <c r="K456" s="5" t="s">
        <v>579</v>
      </c>
      <c r="L456" s="5" t="s">
        <v>579</v>
      </c>
      <c r="M456" s="5" t="s">
        <v>579</v>
      </c>
      <c r="N456" s="5" t="s">
        <v>579</v>
      </c>
      <c r="O456" s="5" t="s">
        <v>579</v>
      </c>
      <c r="P456" s="5" t="s">
        <v>579</v>
      </c>
      <c r="Q456" s="5" t="s">
        <v>579</v>
      </c>
      <c r="R456" s="5" t="s">
        <v>579</v>
      </c>
      <c r="S456" s="5">
        <f t="shared" si="2"/>
        <v>7</v>
      </c>
      <c r="T456" s="5" t="str">
        <f ca="1">IFERROR(__xludf.DUMMYFUNCTION("QUERY(transpose(A456:R456),""Select Col1 where Col1 is not null limit 1"",0)"),"Trishton Jackson")</f>
        <v>Trishton Jackson</v>
      </c>
      <c r="U456" s="32" t="e">
        <f t="shared" ca="1" si="3"/>
        <v>#NAME?</v>
      </c>
    </row>
    <row r="457" spans="1:21" ht="12.75" x14ac:dyDescent="0.2">
      <c r="A457" s="5"/>
      <c r="B457" s="5"/>
      <c r="C457" s="5"/>
      <c r="D457" s="5"/>
      <c r="E457" s="5"/>
      <c r="F457" s="5"/>
      <c r="G457" s="5" t="s">
        <v>580</v>
      </c>
      <c r="H457" s="5" t="s">
        <v>580</v>
      </c>
      <c r="I457" s="5" t="s">
        <v>580</v>
      </c>
      <c r="J457" s="5" t="s">
        <v>580</v>
      </c>
      <c r="K457" s="5" t="s">
        <v>580</v>
      </c>
      <c r="L457" s="5" t="s">
        <v>580</v>
      </c>
      <c r="M457" s="5" t="s">
        <v>580</v>
      </c>
      <c r="N457" s="5" t="s">
        <v>580</v>
      </c>
      <c r="O457" s="5" t="s">
        <v>580</v>
      </c>
      <c r="P457" s="5" t="s">
        <v>580</v>
      </c>
      <c r="Q457" s="5" t="s">
        <v>580</v>
      </c>
      <c r="R457" s="5" t="s">
        <v>580</v>
      </c>
      <c r="S457" s="5">
        <f t="shared" si="2"/>
        <v>7</v>
      </c>
      <c r="T457" s="5" t="str">
        <f ca="1">IFERROR(__xludf.DUMMYFUNCTION("QUERY(transpose(A457:R457),""Select Col1 where Col1 is not null limit 1"",0)"),"Jeffery Wilson")</f>
        <v>Jeffery Wilson</v>
      </c>
      <c r="U457" s="32" t="e">
        <f t="shared" ca="1" si="3"/>
        <v>#NAME?</v>
      </c>
    </row>
    <row r="458" spans="1:21" ht="12.75" x14ac:dyDescent="0.2">
      <c r="A458" s="5"/>
      <c r="B458" s="5"/>
      <c r="C458" s="5"/>
      <c r="D458" s="5"/>
      <c r="E458" s="5"/>
      <c r="F458" s="5"/>
      <c r="G458" s="5" t="s">
        <v>581</v>
      </c>
      <c r="H458" s="5" t="s">
        <v>581</v>
      </c>
      <c r="I458" s="5" t="s">
        <v>581</v>
      </c>
      <c r="J458" s="5" t="s">
        <v>581</v>
      </c>
      <c r="K458" s="5" t="s">
        <v>581</v>
      </c>
      <c r="L458" s="5" t="s">
        <v>581</v>
      </c>
      <c r="M458" s="5" t="s">
        <v>581</v>
      </c>
      <c r="N458" s="5" t="s">
        <v>581</v>
      </c>
      <c r="O458" s="5" t="s">
        <v>581</v>
      </c>
      <c r="P458" s="5" t="s">
        <v>581</v>
      </c>
      <c r="Q458" s="5" t="s">
        <v>581</v>
      </c>
      <c r="R458" s="5" t="s">
        <v>581</v>
      </c>
      <c r="S458" s="5">
        <f t="shared" si="2"/>
        <v>7</v>
      </c>
      <c r="T458" s="5" t="str">
        <f ca="1">IFERROR(__xludf.DUMMYFUNCTION("QUERY(transpose(A458:R458),""Select Col1 where Col1 is not null limit 1"",0)"),"Jesper Horsted")</f>
        <v>Jesper Horsted</v>
      </c>
      <c r="U458" s="32" t="e">
        <f t="shared" ca="1" si="3"/>
        <v>#NAME?</v>
      </c>
    </row>
    <row r="459" spans="1:21" ht="12.75" x14ac:dyDescent="0.2">
      <c r="A459" s="5"/>
      <c r="B459" s="5"/>
      <c r="C459" s="5"/>
      <c r="D459" s="5"/>
      <c r="E459" s="5"/>
      <c r="F459" s="5"/>
      <c r="G459" s="5" t="s">
        <v>582</v>
      </c>
      <c r="H459" s="5" t="s">
        <v>582</v>
      </c>
      <c r="I459" s="5" t="s">
        <v>582</v>
      </c>
      <c r="J459" s="5" t="s">
        <v>582</v>
      </c>
      <c r="K459" s="5" t="s">
        <v>582</v>
      </c>
      <c r="L459" s="5" t="s">
        <v>582</v>
      </c>
      <c r="M459" s="5" t="s">
        <v>582</v>
      </c>
      <c r="N459" s="5" t="s">
        <v>582</v>
      </c>
      <c r="O459" s="5" t="s">
        <v>582</v>
      </c>
      <c r="P459" s="5" t="s">
        <v>582</v>
      </c>
      <c r="Q459" s="5" t="s">
        <v>582</v>
      </c>
      <c r="R459" s="5" t="s">
        <v>582</v>
      </c>
      <c r="S459" s="5">
        <f t="shared" si="2"/>
        <v>7</v>
      </c>
      <c r="T459" s="5" t="str">
        <f ca="1">IFERROR(__xludf.DUMMYFUNCTION("QUERY(transpose(A459:R459),""Select Col1 where Col1 is not null limit 1"",0)"),"Julio Jones")</f>
        <v>Julio Jones</v>
      </c>
      <c r="U459" s="32" t="e">
        <f t="shared" ca="1" si="3"/>
        <v>#NAME?</v>
      </c>
    </row>
    <row r="460" spans="1:21" ht="12.75" x14ac:dyDescent="0.2">
      <c r="A460" s="5"/>
      <c r="B460" s="5"/>
      <c r="C460" s="5"/>
      <c r="D460" s="5"/>
      <c r="E460" s="5"/>
      <c r="F460" s="5"/>
      <c r="G460" s="5" t="s">
        <v>583</v>
      </c>
      <c r="H460" s="5" t="s">
        <v>583</v>
      </c>
      <c r="I460" s="5" t="s">
        <v>583</v>
      </c>
      <c r="J460" s="5" t="s">
        <v>583</v>
      </c>
      <c r="K460" s="5" t="s">
        <v>583</v>
      </c>
      <c r="L460" s="5" t="s">
        <v>583</v>
      </c>
      <c r="M460" s="5" t="s">
        <v>583</v>
      </c>
      <c r="N460" s="5" t="s">
        <v>583</v>
      </c>
      <c r="O460" s="5" t="s">
        <v>583</v>
      </c>
      <c r="P460" s="5" t="s">
        <v>583</v>
      </c>
      <c r="Q460" s="5" t="s">
        <v>583</v>
      </c>
      <c r="R460" s="5" t="s">
        <v>583</v>
      </c>
      <c r="S460" s="5">
        <f t="shared" si="2"/>
        <v>7</v>
      </c>
      <c r="T460" s="5" t="str">
        <f ca="1">IFERROR(__xludf.DUMMYFUNCTION("QUERY(transpose(A460:R460),""Select Col1 where Col1 is not null limit 1"",0)"),"Elijah Higgins")</f>
        <v>Elijah Higgins</v>
      </c>
      <c r="U460" s="32" t="e">
        <f t="shared" ca="1" si="3"/>
        <v>#NAME?</v>
      </c>
    </row>
    <row r="461" spans="1:21" ht="12.75" x14ac:dyDescent="0.2">
      <c r="A461" s="5"/>
      <c r="B461" s="5"/>
      <c r="C461" s="5"/>
      <c r="D461" s="5"/>
      <c r="E461" s="5"/>
      <c r="F461" s="5"/>
      <c r="G461" s="5" t="s">
        <v>584</v>
      </c>
      <c r="H461" s="5" t="s">
        <v>584</v>
      </c>
      <c r="I461" s="5" t="s">
        <v>584</v>
      </c>
      <c r="J461" s="5" t="s">
        <v>584</v>
      </c>
      <c r="K461" s="5" t="s">
        <v>584</v>
      </c>
      <c r="L461" s="5" t="s">
        <v>584</v>
      </c>
      <c r="M461" s="5" t="s">
        <v>584</v>
      </c>
      <c r="N461" s="5" t="s">
        <v>584</v>
      </c>
      <c r="O461" s="5" t="s">
        <v>584</v>
      </c>
      <c r="P461" s="5" t="s">
        <v>584</v>
      </c>
      <c r="Q461" s="5" t="s">
        <v>584</v>
      </c>
      <c r="R461" s="5" t="s">
        <v>584</v>
      </c>
      <c r="S461" s="5">
        <f t="shared" si="2"/>
        <v>7</v>
      </c>
      <c r="T461" s="5" t="str">
        <f ca="1">IFERROR(__xludf.DUMMYFUNCTION("QUERY(transpose(A461:R461),""Select Col1 where Col1 is not null limit 1"",0)"),"Clayton Tune")</f>
        <v>Clayton Tune</v>
      </c>
      <c r="U461" s="32" t="e">
        <f t="shared" ca="1" si="3"/>
        <v>#NAME?</v>
      </c>
    </row>
    <row r="462" spans="1:21" ht="12.75" x14ac:dyDescent="0.2">
      <c r="A462" s="5"/>
      <c r="B462" s="5"/>
      <c r="C462" s="5"/>
      <c r="D462" s="5"/>
      <c r="E462" s="5"/>
      <c r="F462" s="5"/>
      <c r="G462" s="5" t="s">
        <v>585</v>
      </c>
      <c r="H462" s="5" t="s">
        <v>585</v>
      </c>
      <c r="I462" s="5" t="s">
        <v>585</v>
      </c>
      <c r="J462" s="5" t="s">
        <v>585</v>
      </c>
      <c r="K462" s="5" t="s">
        <v>585</v>
      </c>
      <c r="L462" s="5" t="s">
        <v>585</v>
      </c>
      <c r="M462" s="5" t="s">
        <v>585</v>
      </c>
      <c r="N462" s="5" t="s">
        <v>585</v>
      </c>
      <c r="O462" s="5" t="s">
        <v>585</v>
      </c>
      <c r="P462" s="5" t="s">
        <v>585</v>
      </c>
      <c r="Q462" s="5" t="s">
        <v>585</v>
      </c>
      <c r="R462" s="5" t="s">
        <v>585</v>
      </c>
      <c r="S462" s="5">
        <f t="shared" si="2"/>
        <v>7</v>
      </c>
      <c r="T462" s="5" t="str">
        <f ca="1">IFERROR(__xludf.DUMMYFUNCTION("QUERY(transpose(A462:R462),""Select Col1 where Col1 is not null limit 1"",0)"),"Nathan Peterman")</f>
        <v>Nathan Peterman</v>
      </c>
      <c r="U462" s="32" t="e">
        <f t="shared" ca="1" si="3"/>
        <v>#NAME?</v>
      </c>
    </row>
    <row r="463" spans="1:21" ht="12.75" x14ac:dyDescent="0.2">
      <c r="A463" s="5"/>
      <c r="B463" s="5"/>
      <c r="C463" s="5"/>
      <c r="D463" s="5"/>
      <c r="E463" s="5"/>
      <c r="F463" s="5"/>
      <c r="G463" s="5"/>
      <c r="H463" s="5" t="s">
        <v>594</v>
      </c>
      <c r="I463" s="5" t="s">
        <v>594</v>
      </c>
      <c r="J463" s="5" t="s">
        <v>594</v>
      </c>
      <c r="K463" s="5" t="s">
        <v>594</v>
      </c>
      <c r="L463" s="5" t="s">
        <v>594</v>
      </c>
      <c r="M463" s="5" t="s">
        <v>594</v>
      </c>
      <c r="N463" s="5" t="s">
        <v>594</v>
      </c>
      <c r="O463" s="5" t="s">
        <v>594</v>
      </c>
      <c r="P463" s="5" t="s">
        <v>594</v>
      </c>
      <c r="Q463" s="5" t="s">
        <v>594</v>
      </c>
      <c r="R463" s="5" t="s">
        <v>594</v>
      </c>
      <c r="S463" s="5">
        <f t="shared" si="2"/>
        <v>8</v>
      </c>
      <c r="T463" s="5" t="str">
        <f ca="1">IFERROR(__xludf.DUMMYFUNCTION("QUERY(transpose(A463:R463),""Select Col1 where Col1 is not null limit 1"",0)"),"Will Levis")</f>
        <v>Will Levis</v>
      </c>
      <c r="U463" s="32" t="e">
        <f t="shared" ca="1" si="3"/>
        <v>#NAME?</v>
      </c>
    </row>
    <row r="464" spans="1:21" ht="12.75" x14ac:dyDescent="0.2">
      <c r="A464" s="5"/>
      <c r="B464" s="5"/>
      <c r="C464" s="5"/>
      <c r="D464" s="5"/>
      <c r="E464" s="5"/>
      <c r="F464" s="5"/>
      <c r="G464" s="5"/>
      <c r="H464" s="5" t="s">
        <v>603</v>
      </c>
      <c r="I464" s="5" t="s">
        <v>603</v>
      </c>
      <c r="J464" s="5" t="s">
        <v>603</v>
      </c>
      <c r="K464" s="5" t="s">
        <v>603</v>
      </c>
      <c r="L464" s="5" t="s">
        <v>603</v>
      </c>
      <c r="M464" s="5" t="s">
        <v>603</v>
      </c>
      <c r="N464" s="5" t="s">
        <v>603</v>
      </c>
      <c r="O464" s="5" t="s">
        <v>603</v>
      </c>
      <c r="P464" s="5" t="s">
        <v>603</v>
      </c>
      <c r="Q464" s="5" t="s">
        <v>603</v>
      </c>
      <c r="R464" s="5" t="s">
        <v>603</v>
      </c>
      <c r="S464" s="5">
        <f t="shared" si="2"/>
        <v>8</v>
      </c>
      <c r="T464" s="5" t="str">
        <f ca="1">IFERROR(__xludf.DUMMYFUNCTION("QUERY(transpose(A464:R464),""Select Col1 where Col1 is not null limit 1"",0)"),"Taylor Heinicke")</f>
        <v>Taylor Heinicke</v>
      </c>
      <c r="U464" s="32" t="e">
        <f t="shared" ca="1" si="3"/>
        <v>#NAME?</v>
      </c>
    </row>
    <row r="465" spans="1:21" ht="12.75" x14ac:dyDescent="0.2">
      <c r="A465" s="5"/>
      <c r="B465" s="5"/>
      <c r="C465" s="5"/>
      <c r="D465" s="5"/>
      <c r="E465" s="5"/>
      <c r="F465" s="5"/>
      <c r="G465" s="5"/>
      <c r="H465" s="5" t="s">
        <v>604</v>
      </c>
      <c r="I465" s="5" t="s">
        <v>604</v>
      </c>
      <c r="J465" s="5" t="s">
        <v>604</v>
      </c>
      <c r="K465" s="5" t="s">
        <v>604</v>
      </c>
      <c r="L465" s="5" t="s">
        <v>604</v>
      </c>
      <c r="M465" s="5" t="s">
        <v>604</v>
      </c>
      <c r="N465" s="5" t="s">
        <v>604</v>
      </c>
      <c r="O465" s="5" t="s">
        <v>604</v>
      </c>
      <c r="P465" s="5" t="s">
        <v>604</v>
      </c>
      <c r="Q465" s="5" t="s">
        <v>604</v>
      </c>
      <c r="R465" s="5" t="s">
        <v>604</v>
      </c>
      <c r="S465" s="5">
        <f t="shared" si="2"/>
        <v>8</v>
      </c>
      <c r="T465" s="5" t="str">
        <f ca="1">IFERROR(__xludf.DUMMYFUNCTION("QUERY(transpose(A465:R465),""Select Col1 where Col1 is not null limit 1"",0)"),"Simi Fehoko")</f>
        <v>Simi Fehoko</v>
      </c>
      <c r="U465" s="32" t="e">
        <f t="shared" ca="1" si="3"/>
        <v>#NAME?</v>
      </c>
    </row>
    <row r="466" spans="1:21" ht="12.75" x14ac:dyDescent="0.2">
      <c r="A466" s="5"/>
      <c r="B466" s="5"/>
      <c r="C466" s="5"/>
      <c r="D466" s="5"/>
      <c r="E466" s="5"/>
      <c r="F466" s="5"/>
      <c r="G466" s="5"/>
      <c r="H466" s="5" t="s">
        <v>605</v>
      </c>
      <c r="I466" s="5" t="s">
        <v>605</v>
      </c>
      <c r="J466" s="5" t="s">
        <v>605</v>
      </c>
      <c r="K466" s="5" t="s">
        <v>605</v>
      </c>
      <c r="L466" s="5" t="s">
        <v>605</v>
      </c>
      <c r="M466" s="5" t="s">
        <v>605</v>
      </c>
      <c r="N466" s="5" t="s">
        <v>605</v>
      </c>
      <c r="O466" s="5" t="s">
        <v>605</v>
      </c>
      <c r="P466" s="5" t="s">
        <v>605</v>
      </c>
      <c r="Q466" s="5" t="s">
        <v>605</v>
      </c>
      <c r="R466" s="5" t="s">
        <v>605</v>
      </c>
      <c r="S466" s="5">
        <f t="shared" si="2"/>
        <v>8</v>
      </c>
      <c r="T466" s="5" t="str">
        <f ca="1">IFERROR(__xludf.DUMMYFUNCTION("QUERY(transpose(A466:R466),""Select Col1 where Col1 is not null limit 1"",0)"),"Tommy DeVito")</f>
        <v>Tommy DeVito</v>
      </c>
      <c r="U466" s="32" t="e">
        <f t="shared" ca="1" si="3"/>
        <v>#NAME?</v>
      </c>
    </row>
    <row r="467" spans="1:21" ht="12.75" x14ac:dyDescent="0.2">
      <c r="A467" s="5"/>
      <c r="B467" s="5"/>
      <c r="C467" s="5"/>
      <c r="D467" s="5"/>
      <c r="E467" s="5"/>
      <c r="F467" s="5"/>
      <c r="G467" s="5"/>
      <c r="H467" s="5" t="s">
        <v>606</v>
      </c>
      <c r="I467" s="5" t="s">
        <v>606</v>
      </c>
      <c r="J467" s="5" t="s">
        <v>606</v>
      </c>
      <c r="K467" s="5" t="s">
        <v>606</v>
      </c>
      <c r="L467" s="5" t="s">
        <v>606</v>
      </c>
      <c r="M467" s="5" t="s">
        <v>606</v>
      </c>
      <c r="N467" s="5" t="s">
        <v>606</v>
      </c>
      <c r="O467" s="5" t="s">
        <v>606</v>
      </c>
      <c r="P467" s="5" t="s">
        <v>606</v>
      </c>
      <c r="Q467" s="5" t="s">
        <v>606</v>
      </c>
      <c r="R467" s="5" t="s">
        <v>606</v>
      </c>
      <c r="S467" s="5">
        <f t="shared" si="2"/>
        <v>8</v>
      </c>
      <c r="T467" s="5" t="str">
        <f ca="1">IFERROR(__xludf.DUMMYFUNCTION("QUERY(transpose(A467:R467),""Select Col1 where Col1 is not null limit 1"",0)"),"Stephen Sullivan")</f>
        <v>Stephen Sullivan</v>
      </c>
      <c r="U467" s="32" t="e">
        <f t="shared" ca="1" si="3"/>
        <v>#NAME?</v>
      </c>
    </row>
    <row r="468" spans="1:21" ht="12.75" x14ac:dyDescent="0.2">
      <c r="A468" s="5"/>
      <c r="B468" s="5"/>
      <c r="C468" s="5"/>
      <c r="D468" s="5"/>
      <c r="E468" s="5"/>
      <c r="F468" s="5"/>
      <c r="G468" s="5"/>
      <c r="H468" s="5" t="s">
        <v>607</v>
      </c>
      <c r="I468" s="5" t="s">
        <v>607</v>
      </c>
      <c r="J468" s="5" t="s">
        <v>607</v>
      </c>
      <c r="K468" s="5" t="s">
        <v>607</v>
      </c>
      <c r="L468" s="5" t="s">
        <v>607</v>
      </c>
      <c r="M468" s="5" t="s">
        <v>607</v>
      </c>
      <c r="N468" s="5" t="s">
        <v>607</v>
      </c>
      <c r="O468" s="5" t="s">
        <v>607</v>
      </c>
      <c r="P468" s="5" t="s">
        <v>607</v>
      </c>
      <c r="Q468" s="5" t="s">
        <v>607</v>
      </c>
      <c r="R468" s="5" t="s">
        <v>607</v>
      </c>
      <c r="S468" s="5">
        <f t="shared" si="2"/>
        <v>8</v>
      </c>
      <c r="T468" s="5" t="str">
        <f ca="1">IFERROR(__xludf.DUMMYFUNCTION("QUERY(transpose(A468:R468),""Select Col1 where Col1 is not null limit 1"",0)"),"Brett Rypien")</f>
        <v>Brett Rypien</v>
      </c>
      <c r="U468" s="32" t="e">
        <f t="shared" ca="1" si="3"/>
        <v>#NAME?</v>
      </c>
    </row>
    <row r="469" spans="1:21" ht="12.75" x14ac:dyDescent="0.2">
      <c r="A469" s="5"/>
      <c r="B469" s="5"/>
      <c r="C469" s="5"/>
      <c r="D469" s="5"/>
      <c r="E469" s="5"/>
      <c r="F469" s="5"/>
      <c r="G469" s="5"/>
      <c r="H469" s="5" t="s">
        <v>608</v>
      </c>
      <c r="I469" s="5" t="s">
        <v>608</v>
      </c>
      <c r="J469" s="5" t="s">
        <v>608</v>
      </c>
      <c r="K469" s="5" t="s">
        <v>608</v>
      </c>
      <c r="L469" s="5" t="s">
        <v>608</v>
      </c>
      <c r="M469" s="5" t="s">
        <v>608</v>
      </c>
      <c r="N469" s="5" t="s">
        <v>608</v>
      </c>
      <c r="O469" s="5" t="s">
        <v>608</v>
      </c>
      <c r="P469" s="5" t="s">
        <v>608</v>
      </c>
      <c r="Q469" s="5" t="s">
        <v>608</v>
      </c>
      <c r="R469" s="5" t="s">
        <v>608</v>
      </c>
      <c r="S469" s="5">
        <f t="shared" si="2"/>
        <v>8</v>
      </c>
      <c r="T469" s="5" t="str">
        <f ca="1">IFERROR(__xludf.DUMMYFUNCTION("QUERY(transpose(A469:R469),""Select Col1 where Col1 is not null limit 1"",0)"),"Julian Hill")</f>
        <v>Julian Hill</v>
      </c>
      <c r="U469" s="32" t="e">
        <f t="shared" ca="1" si="3"/>
        <v>#NAME?</v>
      </c>
    </row>
    <row r="470" spans="1:21" ht="12.75" x14ac:dyDescent="0.2">
      <c r="A470" s="5"/>
      <c r="B470" s="5"/>
      <c r="C470" s="5"/>
      <c r="D470" s="5"/>
      <c r="E470" s="5"/>
      <c r="F470" s="5"/>
      <c r="G470" s="5"/>
      <c r="H470" s="5" t="s">
        <v>609</v>
      </c>
      <c r="I470" s="5" t="s">
        <v>609</v>
      </c>
      <c r="J470" s="5" t="s">
        <v>609</v>
      </c>
      <c r="K470" s="5" t="s">
        <v>609</v>
      </c>
      <c r="L470" s="5" t="s">
        <v>609</v>
      </c>
      <c r="M470" s="5" t="s">
        <v>609</v>
      </c>
      <c r="N470" s="5" t="s">
        <v>609</v>
      </c>
      <c r="O470" s="5" t="s">
        <v>609</v>
      </c>
      <c r="P470" s="5" t="s">
        <v>609</v>
      </c>
      <c r="Q470" s="5" t="s">
        <v>609</v>
      </c>
      <c r="R470" s="5" t="s">
        <v>609</v>
      </c>
      <c r="S470" s="5">
        <f t="shared" si="2"/>
        <v>8</v>
      </c>
      <c r="T470" s="5" t="str">
        <f ca="1">IFERROR(__xludf.DUMMYFUNCTION("QUERY(transpose(A470:R470),""Select Col1 where Col1 is not null limit 1"",0)"),"Alex Armah")</f>
        <v>Alex Armah</v>
      </c>
      <c r="U470" s="32" t="e">
        <f t="shared" ca="1" si="3"/>
        <v>#NAME?</v>
      </c>
    </row>
    <row r="471" spans="1:21" ht="12.75" x14ac:dyDescent="0.2">
      <c r="A471" s="5"/>
      <c r="B471" s="5"/>
      <c r="C471" s="5"/>
      <c r="D471" s="5"/>
      <c r="E471" s="5"/>
      <c r="F471" s="5"/>
      <c r="G471" s="5"/>
      <c r="H471" s="5" t="s">
        <v>610</v>
      </c>
      <c r="I471" s="5" t="s">
        <v>610</v>
      </c>
      <c r="J471" s="5" t="s">
        <v>610</v>
      </c>
      <c r="K471" s="5" t="s">
        <v>610</v>
      </c>
      <c r="L471" s="5" t="s">
        <v>610</v>
      </c>
      <c r="M471" s="5" t="s">
        <v>610</v>
      </c>
      <c r="N471" s="5" t="s">
        <v>610</v>
      </c>
      <c r="O471" s="5" t="s">
        <v>610</v>
      </c>
      <c r="P471" s="5" t="s">
        <v>610</v>
      </c>
      <c r="Q471" s="5" t="s">
        <v>610</v>
      </c>
      <c r="R471" s="5" t="s">
        <v>610</v>
      </c>
      <c r="S471" s="5">
        <f t="shared" si="2"/>
        <v>8</v>
      </c>
      <c r="T471" s="5" t="str">
        <f ca="1">IFERROR(__xludf.DUMMYFUNCTION("QUERY(transpose(A471:R471),""Select Col1 where Col1 is not null limit 1"",0)"),"Trent Taylor")</f>
        <v>Trent Taylor</v>
      </c>
      <c r="U471" s="32" t="e">
        <f t="shared" ca="1" si="3"/>
        <v>#NAME?</v>
      </c>
    </row>
    <row r="472" spans="1:21" ht="12.75" x14ac:dyDescent="0.2">
      <c r="A472" s="5"/>
      <c r="B472" s="5"/>
      <c r="C472" s="5"/>
      <c r="D472" s="5"/>
      <c r="E472" s="5"/>
      <c r="F472" s="5"/>
      <c r="G472" s="5"/>
      <c r="H472" s="5" t="s">
        <v>611</v>
      </c>
      <c r="I472" s="5" t="s">
        <v>611</v>
      </c>
      <c r="J472" s="5" t="s">
        <v>611</v>
      </c>
      <c r="K472" s="5" t="s">
        <v>611</v>
      </c>
      <c r="L472" s="5" t="s">
        <v>611</v>
      </c>
      <c r="M472" s="5" t="s">
        <v>611</v>
      </c>
      <c r="N472" s="5" t="s">
        <v>611</v>
      </c>
      <c r="O472" s="5" t="s">
        <v>611</v>
      </c>
      <c r="P472" s="5" t="s">
        <v>611</v>
      </c>
      <c r="Q472" s="5" t="s">
        <v>611</v>
      </c>
      <c r="R472" s="5" t="s">
        <v>611</v>
      </c>
      <c r="S472" s="5">
        <f t="shared" si="2"/>
        <v>8</v>
      </c>
      <c r="T472" s="5" t="str">
        <f ca="1">IFERROR(__xludf.DUMMYFUNCTION("QUERY(transpose(A472:R472),""Select Col1 where Col1 is not null limit 1"",0)"),"D'Wayne Eskridge")</f>
        <v>D'Wayne Eskridge</v>
      </c>
      <c r="U472" s="32" t="e">
        <f t="shared" ca="1" si="3"/>
        <v>#NAME?</v>
      </c>
    </row>
    <row r="473" spans="1:21" ht="12.75" x14ac:dyDescent="0.2">
      <c r="A473" s="5"/>
      <c r="B473" s="5"/>
      <c r="C473" s="5"/>
      <c r="D473" s="5"/>
      <c r="E473" s="5"/>
      <c r="F473" s="5"/>
      <c r="G473" s="5"/>
      <c r="H473" s="5" t="s">
        <v>612</v>
      </c>
      <c r="I473" s="5" t="s">
        <v>612</v>
      </c>
      <c r="J473" s="5" t="s">
        <v>612</v>
      </c>
      <c r="K473" s="5" t="s">
        <v>612</v>
      </c>
      <c r="L473" s="5" t="s">
        <v>612</v>
      </c>
      <c r="M473" s="5" t="s">
        <v>612</v>
      </c>
      <c r="N473" s="5" t="s">
        <v>612</v>
      </c>
      <c r="O473" s="5" t="s">
        <v>612</v>
      </c>
      <c r="P473" s="5" t="s">
        <v>612</v>
      </c>
      <c r="Q473" s="5" t="s">
        <v>612</v>
      </c>
      <c r="R473" s="5" t="s">
        <v>612</v>
      </c>
      <c r="S473" s="5">
        <f t="shared" si="2"/>
        <v>8</v>
      </c>
      <c r="T473" s="5" t="str">
        <f ca="1">IFERROR(__xludf.DUMMYFUNCTION("QUERY(transpose(A473:R473),""Select Col1 where Col1 is not null limit 1"",0)"),"Jaren Hall")</f>
        <v>Jaren Hall</v>
      </c>
      <c r="U473" s="32" t="e">
        <f t="shared" ca="1" si="3"/>
        <v>#NAME?</v>
      </c>
    </row>
    <row r="474" spans="1:21" ht="12.75" x14ac:dyDescent="0.2">
      <c r="A474" s="5"/>
      <c r="B474" s="5"/>
      <c r="C474" s="5"/>
      <c r="D474" s="5"/>
      <c r="E474" s="5"/>
      <c r="F474" s="5"/>
      <c r="G474" s="5"/>
      <c r="H474" s="5"/>
      <c r="I474" s="5" t="s">
        <v>627</v>
      </c>
      <c r="J474" s="5" t="s">
        <v>627</v>
      </c>
      <c r="K474" s="5" t="s">
        <v>627</v>
      </c>
      <c r="L474" s="5" t="s">
        <v>627</v>
      </c>
      <c r="M474" s="5" t="s">
        <v>627</v>
      </c>
      <c r="N474" s="5" t="s">
        <v>627</v>
      </c>
      <c r="O474" s="5" t="s">
        <v>627</v>
      </c>
      <c r="P474" s="5" t="s">
        <v>627</v>
      </c>
      <c r="Q474" s="5" t="s">
        <v>627</v>
      </c>
      <c r="R474" s="5" t="s">
        <v>627</v>
      </c>
      <c r="S474" s="5">
        <f t="shared" si="2"/>
        <v>9</v>
      </c>
      <c r="T474" s="5" t="str">
        <f ca="1">IFERROR(__xludf.DUMMYFUNCTION("QUERY(transpose(A474:R474),""Select Col1 where Col1 is not null limit 1"",0)"),"Demarcus Robinson")</f>
        <v>Demarcus Robinson</v>
      </c>
      <c r="U474" s="32" t="e">
        <f t="shared" ca="1" si="3"/>
        <v>#NAME?</v>
      </c>
    </row>
    <row r="475" spans="1:21" ht="12.75" x14ac:dyDescent="0.2">
      <c r="A475" s="5"/>
      <c r="B475" s="5"/>
      <c r="C475" s="5"/>
      <c r="D475" s="5"/>
      <c r="E475" s="5"/>
      <c r="F475" s="5"/>
      <c r="G475" s="5"/>
      <c r="H475" s="5"/>
      <c r="I475" s="5" t="s">
        <v>628</v>
      </c>
      <c r="J475" s="5" t="s">
        <v>628</v>
      </c>
      <c r="K475" s="5" t="s">
        <v>628</v>
      </c>
      <c r="L475" s="5" t="s">
        <v>628</v>
      </c>
      <c r="M475" s="5" t="s">
        <v>628</v>
      </c>
      <c r="N475" s="5" t="s">
        <v>628</v>
      </c>
      <c r="O475" s="5" t="s">
        <v>628</v>
      </c>
      <c r="P475" s="5" t="s">
        <v>628</v>
      </c>
      <c r="Q475" s="5" t="s">
        <v>628</v>
      </c>
      <c r="R475" s="5" t="s">
        <v>628</v>
      </c>
      <c r="S475" s="5">
        <f t="shared" si="2"/>
        <v>9</v>
      </c>
      <c r="T475" s="5" t="str">
        <f ca="1">IFERROR(__xludf.DUMMYFUNCTION("QUERY(transpose(A475:R475),""Select Col1 where Col1 is not null limit 1"",0)"),"Malik Taylor")</f>
        <v>Malik Taylor</v>
      </c>
      <c r="U475" s="32" t="e">
        <f t="shared" ca="1" si="3"/>
        <v>#NAME?</v>
      </c>
    </row>
    <row r="476" spans="1:21" ht="12.75" x14ac:dyDescent="0.2">
      <c r="A476" s="5"/>
      <c r="B476" s="5"/>
      <c r="C476" s="5"/>
      <c r="D476" s="5"/>
      <c r="E476" s="5"/>
      <c r="F476" s="5"/>
      <c r="G476" s="5"/>
      <c r="H476" s="5"/>
      <c r="I476" s="5" t="s">
        <v>629</v>
      </c>
      <c r="J476" s="5" t="s">
        <v>629</v>
      </c>
      <c r="K476" s="5" t="s">
        <v>629</v>
      </c>
      <c r="L476" s="5" t="s">
        <v>629</v>
      </c>
      <c r="M476" s="5" t="s">
        <v>629</v>
      </c>
      <c r="N476" s="5" t="s">
        <v>629</v>
      </c>
      <c r="O476" s="5" t="s">
        <v>629</v>
      </c>
      <c r="P476" s="5" t="s">
        <v>629</v>
      </c>
      <c r="Q476" s="5" t="s">
        <v>629</v>
      </c>
      <c r="R476" s="5" t="s">
        <v>629</v>
      </c>
      <c r="S476" s="5">
        <f t="shared" si="2"/>
        <v>9</v>
      </c>
      <c r="T476" s="5" t="str">
        <f ca="1">IFERROR(__xludf.DUMMYFUNCTION("QUERY(transpose(A476:R476),""Select Col1 where Col1 is not null limit 1"",0)"),"Greg Dortch")</f>
        <v>Greg Dortch</v>
      </c>
      <c r="U476" s="32" t="e">
        <f t="shared" ca="1" si="3"/>
        <v>#NAME?</v>
      </c>
    </row>
    <row r="477" spans="1:21" ht="12.75" x14ac:dyDescent="0.2">
      <c r="A477" s="5"/>
      <c r="B477" s="5"/>
      <c r="C477" s="5"/>
      <c r="D477" s="5"/>
      <c r="E477" s="5"/>
      <c r="F477" s="5"/>
      <c r="G477" s="5"/>
      <c r="H477" s="5"/>
      <c r="I477" s="5" t="s">
        <v>630</v>
      </c>
      <c r="J477" s="5" t="s">
        <v>630</v>
      </c>
      <c r="K477" s="5" t="s">
        <v>630</v>
      </c>
      <c r="L477" s="5" t="s">
        <v>630</v>
      </c>
      <c r="M477" s="5" t="s">
        <v>630</v>
      </c>
      <c r="N477" s="5" t="s">
        <v>630</v>
      </c>
      <c r="O477" s="5" t="s">
        <v>630</v>
      </c>
      <c r="P477" s="5" t="s">
        <v>630</v>
      </c>
      <c r="Q477" s="5" t="s">
        <v>630</v>
      </c>
      <c r="R477" s="5" t="s">
        <v>630</v>
      </c>
      <c r="S477" s="5">
        <f t="shared" si="2"/>
        <v>9</v>
      </c>
      <c r="T477" s="5" t="str">
        <f ca="1">IFERROR(__xludf.DUMMYFUNCTION("QUERY(transpose(A477:R477),""Select Col1 where Col1 is not null limit 1"",0)"),"Lamical Perine")</f>
        <v>Lamical Perine</v>
      </c>
      <c r="U477" s="32" t="e">
        <f t="shared" ca="1" si="3"/>
        <v>#NAME?</v>
      </c>
    </row>
    <row r="478" spans="1:21" ht="12.75" x14ac:dyDescent="0.2">
      <c r="A478" s="5"/>
      <c r="B478" s="5"/>
      <c r="C478" s="5"/>
      <c r="D478" s="5"/>
      <c r="E478" s="5"/>
      <c r="F478" s="5"/>
      <c r="G478" s="5"/>
      <c r="H478" s="5"/>
      <c r="I478" s="5"/>
      <c r="J478" s="5" t="s">
        <v>642</v>
      </c>
      <c r="K478" s="5" t="s">
        <v>642</v>
      </c>
      <c r="L478" s="5" t="s">
        <v>642</v>
      </c>
      <c r="M478" s="5" t="s">
        <v>642</v>
      </c>
      <c r="N478" s="5" t="s">
        <v>642</v>
      </c>
      <c r="O478" s="5" t="s">
        <v>642</v>
      </c>
      <c r="P478" s="5" t="s">
        <v>642</v>
      </c>
      <c r="Q478" s="5" t="s">
        <v>642</v>
      </c>
      <c r="R478" s="5" t="s">
        <v>642</v>
      </c>
      <c r="S478" s="5">
        <f t="shared" si="2"/>
        <v>10</v>
      </c>
      <c r="T478" s="5" t="str">
        <f ca="1">IFERROR(__xludf.DUMMYFUNCTION("QUERY(transpose(A478:R478),""Select Col1 where Col1 is not null limit 1"",0)"),"Kyler Murray")</f>
        <v>Kyler Murray</v>
      </c>
      <c r="U478" s="32" t="e">
        <f t="shared" ca="1" si="3"/>
        <v>#NAME?</v>
      </c>
    </row>
    <row r="479" spans="1:21" ht="12.75" x14ac:dyDescent="0.2">
      <c r="A479" s="5"/>
      <c r="B479" s="5"/>
      <c r="C479" s="5"/>
      <c r="D479" s="5"/>
      <c r="E479" s="5"/>
      <c r="F479" s="5"/>
      <c r="G479" s="5"/>
      <c r="H479" s="5"/>
      <c r="I479" s="5"/>
      <c r="J479" s="5" t="s">
        <v>646</v>
      </c>
      <c r="K479" s="5" t="s">
        <v>646</v>
      </c>
      <c r="L479" s="5" t="s">
        <v>646</v>
      </c>
      <c r="M479" s="5" t="s">
        <v>646</v>
      </c>
      <c r="N479" s="5" t="s">
        <v>646</v>
      </c>
      <c r="O479" s="5" t="s">
        <v>646</v>
      </c>
      <c r="P479" s="5" t="s">
        <v>646</v>
      </c>
      <c r="Q479" s="5" t="s">
        <v>646</v>
      </c>
      <c r="R479" s="5" t="s">
        <v>646</v>
      </c>
      <c r="S479" s="5">
        <f t="shared" si="2"/>
        <v>10</v>
      </c>
      <c r="T479" s="5" t="str">
        <f ca="1">IFERROR(__xludf.DUMMYFUNCTION("QUERY(transpose(A479:R479),""Select Col1 where Col1 is not null limit 1"",0)"),"Jalen Guyton")</f>
        <v>Jalen Guyton</v>
      </c>
      <c r="U479" s="32" t="e">
        <f t="shared" ca="1" si="3"/>
        <v>#NAME?</v>
      </c>
    </row>
    <row r="480" spans="1:21" ht="12.75" x14ac:dyDescent="0.2">
      <c r="A480" s="5"/>
      <c r="B480" s="5"/>
      <c r="C480" s="5"/>
      <c r="D480" s="5"/>
      <c r="E480" s="5"/>
      <c r="F480" s="5"/>
      <c r="G480" s="5"/>
      <c r="H480" s="5"/>
      <c r="I480" s="5"/>
      <c r="J480" s="5" t="s">
        <v>647</v>
      </c>
      <c r="K480" s="5" t="s">
        <v>647</v>
      </c>
      <c r="L480" s="5" t="s">
        <v>647</v>
      </c>
      <c r="M480" s="5" t="s">
        <v>647</v>
      </c>
      <c r="N480" s="5" t="s">
        <v>647</v>
      </c>
      <c r="O480" s="5" t="s">
        <v>647</v>
      </c>
      <c r="P480" s="5" t="s">
        <v>647</v>
      </c>
      <c r="Q480" s="5" t="s">
        <v>647</v>
      </c>
      <c r="R480" s="5" t="s">
        <v>647</v>
      </c>
      <c r="S480" s="5">
        <f t="shared" si="2"/>
        <v>10</v>
      </c>
      <c r="T480" s="5" t="str">
        <f ca="1">IFERROR(__xludf.DUMMYFUNCTION("QUERY(transpose(A480:R480),""Select Col1 where Col1 is not null limit 1"",0)"),"A.T. Perry")</f>
        <v>A.T. Perry</v>
      </c>
      <c r="U480" s="32" t="e">
        <f t="shared" ca="1" si="3"/>
        <v>#NAME?</v>
      </c>
    </row>
    <row r="481" spans="1:21" ht="12.75" x14ac:dyDescent="0.2">
      <c r="A481" s="5"/>
      <c r="B481" s="5"/>
      <c r="C481" s="5"/>
      <c r="D481" s="5"/>
      <c r="E481" s="5"/>
      <c r="F481" s="5"/>
      <c r="G481" s="5"/>
      <c r="H481" s="5"/>
      <c r="I481" s="5"/>
      <c r="J481" s="5" t="s">
        <v>648</v>
      </c>
      <c r="K481" s="5" t="s">
        <v>648</v>
      </c>
      <c r="L481" s="5" t="s">
        <v>648</v>
      </c>
      <c r="M481" s="5" t="s">
        <v>648</v>
      </c>
      <c r="N481" s="5" t="s">
        <v>648</v>
      </c>
      <c r="O481" s="5" t="s">
        <v>648</v>
      </c>
      <c r="P481" s="5" t="s">
        <v>648</v>
      </c>
      <c r="Q481" s="5" t="s">
        <v>648</v>
      </c>
      <c r="R481" s="5" t="s">
        <v>648</v>
      </c>
      <c r="S481" s="5">
        <f t="shared" si="2"/>
        <v>10</v>
      </c>
      <c r="T481" s="5" t="str">
        <f ca="1">IFERROR(__xludf.DUMMYFUNCTION("QUERY(transpose(A481:R481),""Select Col1 where Col1 is not null limit 1"",0)"),"Jalen Brooks")</f>
        <v>Jalen Brooks</v>
      </c>
      <c r="U481" s="32" t="e">
        <f t="shared" ca="1" si="3"/>
        <v>#NAME?</v>
      </c>
    </row>
    <row r="482" spans="1:21" ht="12.75" x14ac:dyDescent="0.2">
      <c r="A482" s="5"/>
      <c r="B482" s="5"/>
      <c r="C482" s="5"/>
      <c r="D482" s="5"/>
      <c r="E482" s="5"/>
      <c r="F482" s="5"/>
      <c r="G482" s="5"/>
      <c r="H482" s="5"/>
      <c r="I482" s="5"/>
      <c r="J482" s="5" t="s">
        <v>649</v>
      </c>
      <c r="K482" s="5" t="s">
        <v>649</v>
      </c>
      <c r="L482" s="5" t="s">
        <v>649</v>
      </c>
      <c r="M482" s="5" t="s">
        <v>649</v>
      </c>
      <c r="N482" s="5" t="s">
        <v>649</v>
      </c>
      <c r="O482" s="5" t="s">
        <v>649</v>
      </c>
      <c r="P482" s="5" t="s">
        <v>649</v>
      </c>
      <c r="Q482" s="5" t="s">
        <v>649</v>
      </c>
      <c r="R482" s="5" t="s">
        <v>649</v>
      </c>
      <c r="S482" s="5">
        <f t="shared" si="2"/>
        <v>10</v>
      </c>
      <c r="T482" s="5" t="str">
        <f ca="1">IFERROR(__xludf.DUMMYFUNCTION("QUERY(transpose(A482:R482),""Select Col1 where Col1 is not null limit 1"",0)"),"Mike Strachan")</f>
        <v>Mike Strachan</v>
      </c>
      <c r="U482" s="32" t="e">
        <f t="shared" ca="1" si="3"/>
        <v>#NAME?</v>
      </c>
    </row>
    <row r="483" spans="1:21" ht="12.75" x14ac:dyDescent="0.2">
      <c r="A483" s="5"/>
      <c r="B483" s="5"/>
      <c r="C483" s="5"/>
      <c r="D483" s="5"/>
      <c r="E483" s="5"/>
      <c r="F483" s="5"/>
      <c r="G483" s="5"/>
      <c r="H483" s="5"/>
      <c r="I483" s="5"/>
      <c r="J483" s="5" t="s">
        <v>650</v>
      </c>
      <c r="K483" s="5" t="s">
        <v>650</v>
      </c>
      <c r="L483" s="5" t="s">
        <v>650</v>
      </c>
      <c r="M483" s="5" t="s">
        <v>650</v>
      </c>
      <c r="N483" s="5" t="s">
        <v>650</v>
      </c>
      <c r="O483" s="5" t="s">
        <v>650</v>
      </c>
      <c r="P483" s="5" t="s">
        <v>650</v>
      </c>
      <c r="Q483" s="5" t="s">
        <v>650</v>
      </c>
      <c r="R483" s="5" t="s">
        <v>650</v>
      </c>
      <c r="S483" s="5">
        <f t="shared" si="2"/>
        <v>10</v>
      </c>
      <c r="T483" s="5" t="str">
        <f ca="1">IFERROR(__xludf.DUMMYFUNCTION("QUERY(transpose(A483:R483),""Select Col1 where Col1 is not null limit 1"",0)"),"Jashaun Corbin")</f>
        <v>Jashaun Corbin</v>
      </c>
      <c r="U483" s="32" t="e">
        <f t="shared" ca="1" si="3"/>
        <v>#NAME?</v>
      </c>
    </row>
    <row r="484" spans="1:21" ht="12.75" x14ac:dyDescent="0.2">
      <c r="A484" s="5"/>
      <c r="B484" s="5"/>
      <c r="C484" s="5"/>
      <c r="D484" s="5"/>
      <c r="E484" s="5"/>
      <c r="F484" s="5"/>
      <c r="G484" s="5"/>
      <c r="H484" s="5"/>
      <c r="I484" s="5"/>
      <c r="J484" s="5" t="s">
        <v>651</v>
      </c>
      <c r="K484" s="5" t="s">
        <v>651</v>
      </c>
      <c r="L484" s="5" t="s">
        <v>651</v>
      </c>
      <c r="M484" s="5" t="s">
        <v>651</v>
      </c>
      <c r="N484" s="5" t="s">
        <v>651</v>
      </c>
      <c r="O484" s="5" t="s">
        <v>651</v>
      </c>
      <c r="P484" s="5" t="s">
        <v>651</v>
      </c>
      <c r="Q484" s="5" t="s">
        <v>651</v>
      </c>
      <c r="R484" s="5" t="s">
        <v>651</v>
      </c>
      <c r="S484" s="5">
        <f t="shared" si="2"/>
        <v>10</v>
      </c>
      <c r="T484" s="5" t="str">
        <f ca="1">IFERROR(__xludf.DUMMYFUNCTION("QUERY(transpose(A484:R484),""Select Col1 where Col1 is not null limit 1"",0)"),"Jalen Nailor")</f>
        <v>Jalen Nailor</v>
      </c>
      <c r="U484" s="32" t="e">
        <f t="shared" ca="1" si="3"/>
        <v>#NAME?</v>
      </c>
    </row>
    <row r="485" spans="1:21" ht="12.75" x14ac:dyDescent="0.2">
      <c r="A485" s="5"/>
      <c r="B485" s="5"/>
      <c r="C485" s="5"/>
      <c r="D485" s="5"/>
      <c r="E485" s="5"/>
      <c r="F485" s="5"/>
      <c r="G485" s="5"/>
      <c r="H485" s="5"/>
      <c r="I485" s="5"/>
      <c r="J485" s="5" t="s">
        <v>652</v>
      </c>
      <c r="K485" s="5" t="s">
        <v>652</v>
      </c>
      <c r="L485" s="5" t="s">
        <v>652</v>
      </c>
      <c r="M485" s="5" t="s">
        <v>652</v>
      </c>
      <c r="N485" s="5" t="s">
        <v>652</v>
      </c>
      <c r="O485" s="5" t="s">
        <v>652</v>
      </c>
      <c r="P485" s="5" t="s">
        <v>652</v>
      </c>
      <c r="Q485" s="5" t="s">
        <v>652</v>
      </c>
      <c r="R485" s="5" t="s">
        <v>652</v>
      </c>
      <c r="S485" s="5">
        <f t="shared" si="2"/>
        <v>10</v>
      </c>
      <c r="T485" s="5" t="str">
        <f ca="1">IFERROR(__xludf.DUMMYFUNCTION("QUERY(transpose(A485:R485),""Select Col1 where Col1 is not null limit 1"",0)"),"Lynn Bowden")</f>
        <v>Lynn Bowden</v>
      </c>
      <c r="U485" s="32" t="e">
        <f t="shared" ca="1" si="3"/>
        <v>#NAME?</v>
      </c>
    </row>
    <row r="486" spans="1:21" ht="12.75" x14ac:dyDescent="0.2">
      <c r="A486" s="5"/>
      <c r="B486" s="5"/>
      <c r="C486" s="5"/>
      <c r="D486" s="5"/>
      <c r="E486" s="5"/>
      <c r="F486" s="5"/>
      <c r="G486" s="5"/>
      <c r="H486" s="5"/>
      <c r="I486" s="5"/>
      <c r="J486" s="5" t="s">
        <v>653</v>
      </c>
      <c r="K486" s="5" t="s">
        <v>653</v>
      </c>
      <c r="L486" s="5" t="s">
        <v>653</v>
      </c>
      <c r="M486" s="5" t="s">
        <v>653</v>
      </c>
      <c r="N486" s="5" t="s">
        <v>653</v>
      </c>
      <c r="O486" s="5" t="s">
        <v>653</v>
      </c>
      <c r="P486" s="5" t="s">
        <v>653</v>
      </c>
      <c r="Q486" s="5" t="s">
        <v>653</v>
      </c>
      <c r="R486" s="5" t="s">
        <v>653</v>
      </c>
      <c r="S486" s="5">
        <f t="shared" si="2"/>
        <v>10</v>
      </c>
      <c r="T486" s="5" t="str">
        <f ca="1">IFERROR(__xludf.DUMMYFUNCTION("QUERY(transpose(A486:R486),""Select Col1 where Col1 is not null limit 1"",0)"),"Kayshon Boutte")</f>
        <v>Kayshon Boutte</v>
      </c>
      <c r="U486" s="32" t="e">
        <f t="shared" ca="1" si="3"/>
        <v>#NAME?</v>
      </c>
    </row>
    <row r="487" spans="1:21" ht="12.75" x14ac:dyDescent="0.2">
      <c r="A487" s="5"/>
      <c r="B487" s="5"/>
      <c r="C487" s="5"/>
      <c r="D487" s="5"/>
      <c r="E487" s="5"/>
      <c r="F487" s="5"/>
      <c r="G487" s="5"/>
      <c r="H487" s="5"/>
      <c r="I487" s="5"/>
      <c r="J487" s="5" t="s">
        <v>654</v>
      </c>
      <c r="K487" s="5" t="s">
        <v>654</v>
      </c>
      <c r="L487" s="5" t="s">
        <v>654</v>
      </c>
      <c r="M487" s="5" t="s">
        <v>654</v>
      </c>
      <c r="N487" s="5" t="s">
        <v>654</v>
      </c>
      <c r="O487" s="5" t="s">
        <v>654</v>
      </c>
      <c r="P487" s="5" t="s">
        <v>654</v>
      </c>
      <c r="Q487" s="5" t="s">
        <v>654</v>
      </c>
      <c r="R487" s="5" t="s">
        <v>654</v>
      </c>
      <c r="S487" s="5">
        <f t="shared" si="2"/>
        <v>10</v>
      </c>
      <c r="T487" s="5" t="str">
        <f ca="1">IFERROR(__xludf.DUMMYFUNCTION("QUERY(transpose(A487:R487),""Select Col1 where Col1 is not null limit 1"",0)"),"Kene Nwangwu")</f>
        <v>Kene Nwangwu</v>
      </c>
      <c r="U487" s="32" t="e">
        <f t="shared" ca="1" si="3"/>
        <v>#NAME?</v>
      </c>
    </row>
    <row r="488" spans="1:21" ht="12.75" x14ac:dyDescent="0.2">
      <c r="A488" s="5"/>
      <c r="B488" s="5"/>
      <c r="C488" s="5"/>
      <c r="D488" s="5"/>
      <c r="E488" s="5"/>
      <c r="F488" s="5"/>
      <c r="G488" s="5"/>
      <c r="H488" s="5"/>
      <c r="I488" s="5"/>
      <c r="J488" s="5" t="s">
        <v>655</v>
      </c>
      <c r="K488" s="5" t="s">
        <v>655</v>
      </c>
      <c r="L488" s="5" t="s">
        <v>655</v>
      </c>
      <c r="M488" s="5" t="s">
        <v>655</v>
      </c>
      <c r="N488" s="5" t="s">
        <v>655</v>
      </c>
      <c r="O488" s="5" t="s">
        <v>655</v>
      </c>
      <c r="P488" s="5" t="s">
        <v>655</v>
      </c>
      <c r="Q488" s="5" t="s">
        <v>655</v>
      </c>
      <c r="R488" s="5" t="s">
        <v>655</v>
      </c>
      <c r="S488" s="5">
        <f t="shared" si="2"/>
        <v>10</v>
      </c>
      <c r="T488" s="5" t="str">
        <f ca="1">IFERROR(__xludf.DUMMYFUNCTION("QUERY(transpose(A488:R488),""Select Col1 where Col1 is not null limit 1"",0)"),"Ty Johnson")</f>
        <v>Ty Johnson</v>
      </c>
      <c r="U488" s="32" t="e">
        <f t="shared" ca="1" si="3"/>
        <v>#NAME?</v>
      </c>
    </row>
    <row r="489" spans="1:21" ht="12.75" x14ac:dyDescent="0.2">
      <c r="A489" s="5"/>
      <c r="B489" s="5"/>
      <c r="C489" s="5"/>
      <c r="D489" s="5"/>
      <c r="E489" s="5"/>
      <c r="F489" s="5"/>
      <c r="G489" s="5"/>
      <c r="H489" s="5"/>
      <c r="I489" s="5"/>
      <c r="J489" s="5" t="s">
        <v>656</v>
      </c>
      <c r="K489" s="5" t="s">
        <v>656</v>
      </c>
      <c r="L489" s="5" t="s">
        <v>656</v>
      </c>
      <c r="M489" s="5" t="s">
        <v>656</v>
      </c>
      <c r="N489" s="5" t="s">
        <v>656</v>
      </c>
      <c r="O489" s="5" t="s">
        <v>656</v>
      </c>
      <c r="P489" s="5" t="s">
        <v>656</v>
      </c>
      <c r="Q489" s="5" t="s">
        <v>656</v>
      </c>
      <c r="R489" s="5" t="s">
        <v>656</v>
      </c>
      <c r="S489" s="5">
        <f t="shared" si="2"/>
        <v>10</v>
      </c>
      <c r="T489" s="5" t="str">
        <f ca="1">IFERROR(__xludf.DUMMYFUNCTION("QUERY(transpose(A489:R489),""Select Col1 where Col1 is not null limit 1"",0)"),"Kyle Trask")</f>
        <v>Kyle Trask</v>
      </c>
      <c r="U489" s="32" t="e">
        <f t="shared" ca="1" si="3"/>
        <v>#NAME?</v>
      </c>
    </row>
    <row r="490" spans="1:21" ht="12.75" x14ac:dyDescent="0.2">
      <c r="A490" s="5"/>
      <c r="B490" s="5"/>
      <c r="C490" s="5"/>
      <c r="D490" s="5"/>
      <c r="E490" s="5"/>
      <c r="F490" s="5"/>
      <c r="G490" s="5"/>
      <c r="H490" s="5"/>
      <c r="I490" s="5"/>
      <c r="J490" s="5" t="s">
        <v>657</v>
      </c>
      <c r="K490" s="5" t="s">
        <v>657</v>
      </c>
      <c r="L490" s="5" t="s">
        <v>657</v>
      </c>
      <c r="M490" s="5" t="s">
        <v>657</v>
      </c>
      <c r="N490" s="5" t="s">
        <v>657</v>
      </c>
      <c r="O490" s="5" t="s">
        <v>657</v>
      </c>
      <c r="P490" s="5" t="s">
        <v>657</v>
      </c>
      <c r="Q490" s="5" t="s">
        <v>657</v>
      </c>
      <c r="R490" s="5" t="s">
        <v>657</v>
      </c>
      <c r="S490" s="5">
        <f t="shared" si="2"/>
        <v>10</v>
      </c>
      <c r="T490" s="5" t="str">
        <f ca="1">IFERROR(__xludf.DUMMYFUNCTION("QUERY(transpose(A490:R490),""Select Col1 where Col1 is not null limit 1"",0)"),"James Proche")</f>
        <v>James Proche</v>
      </c>
      <c r="U490" s="32" t="e">
        <f t="shared" ca="1" si="3"/>
        <v>#NAME?</v>
      </c>
    </row>
    <row r="491" spans="1:21" ht="12.75" x14ac:dyDescent="0.2">
      <c r="A491" s="5"/>
      <c r="B491" s="5"/>
      <c r="C491" s="5"/>
      <c r="D491" s="5"/>
      <c r="E491" s="5"/>
      <c r="F491" s="5"/>
      <c r="G491" s="5"/>
      <c r="H491" s="5"/>
      <c r="I491" s="5"/>
      <c r="J491" s="5"/>
      <c r="K491" s="5" t="s">
        <v>673</v>
      </c>
      <c r="L491" s="5" t="s">
        <v>673</v>
      </c>
      <c r="M491" s="5" t="s">
        <v>673</v>
      </c>
      <c r="N491" s="5" t="s">
        <v>673</v>
      </c>
      <c r="O491" s="5" t="s">
        <v>673</v>
      </c>
      <c r="P491" s="5" t="s">
        <v>673</v>
      </c>
      <c r="Q491" s="5" t="s">
        <v>673</v>
      </c>
      <c r="R491" s="5" t="s">
        <v>673</v>
      </c>
      <c r="S491" s="5">
        <f t="shared" si="2"/>
        <v>11</v>
      </c>
      <c r="T491" s="5" t="str">
        <f ca="1">IFERROR(__xludf.DUMMYFUNCTION("QUERY(transpose(A491:R491),""Select Col1 where Col1 is not null limit 1"",0)"),"Davis Mills")</f>
        <v>Davis Mills</v>
      </c>
      <c r="U491" s="32" t="e">
        <f t="shared" ca="1" si="3"/>
        <v>#NAME?</v>
      </c>
    </row>
    <row r="492" spans="1:21" ht="12.75" x14ac:dyDescent="0.2">
      <c r="A492" s="5"/>
      <c r="B492" s="5"/>
      <c r="C492" s="5"/>
      <c r="D492" s="5"/>
      <c r="E492" s="5"/>
      <c r="F492" s="5"/>
      <c r="G492" s="5"/>
      <c r="H492" s="5"/>
      <c r="I492" s="5"/>
      <c r="J492" s="5"/>
      <c r="K492" s="5" t="s">
        <v>674</v>
      </c>
      <c r="L492" s="5" t="s">
        <v>674</v>
      </c>
      <c r="M492" s="5" t="s">
        <v>674</v>
      </c>
      <c r="N492" s="5" t="s">
        <v>674</v>
      </c>
      <c r="O492" s="5" t="s">
        <v>674</v>
      </c>
      <c r="P492" s="5" t="s">
        <v>674</v>
      </c>
      <c r="Q492" s="5" t="s">
        <v>674</v>
      </c>
      <c r="R492" s="5" t="s">
        <v>674</v>
      </c>
      <c r="S492" s="5">
        <f t="shared" si="2"/>
        <v>11</v>
      </c>
      <c r="T492" s="5" t="str">
        <f ca="1">IFERROR(__xludf.DUMMYFUNCTION("QUERY(transpose(A492:R492),""Select Col1 where Col1 is not null limit 1"",0)"),"Tim Boyle")</f>
        <v>Tim Boyle</v>
      </c>
      <c r="U492" s="32" t="e">
        <f t="shared" ca="1" si="3"/>
        <v>#NAME?</v>
      </c>
    </row>
    <row r="493" spans="1:21" ht="12.75" x14ac:dyDescent="0.2">
      <c r="A493" s="5"/>
      <c r="B493" s="5"/>
      <c r="C493" s="5"/>
      <c r="D493" s="5"/>
      <c r="E493" s="5"/>
      <c r="F493" s="5"/>
      <c r="G493" s="5"/>
      <c r="H493" s="5"/>
      <c r="I493" s="5"/>
      <c r="J493" s="5"/>
      <c r="K493" s="5" t="s">
        <v>675</v>
      </c>
      <c r="L493" s="5" t="s">
        <v>675</v>
      </c>
      <c r="M493" s="5" t="s">
        <v>675</v>
      </c>
      <c r="N493" s="5" t="s">
        <v>675</v>
      </c>
      <c r="O493" s="5" t="s">
        <v>675</v>
      </c>
      <c r="P493" s="5" t="s">
        <v>675</v>
      </c>
      <c r="Q493" s="5" t="s">
        <v>675</v>
      </c>
      <c r="R493" s="5" t="s">
        <v>675</v>
      </c>
      <c r="S493" s="5">
        <f t="shared" si="2"/>
        <v>11</v>
      </c>
      <c r="T493" s="5" t="str">
        <f ca="1">IFERROR(__xludf.DUMMYFUNCTION("QUERY(transpose(A493:R493),""Select Col1 where Col1 is not null limit 1"",0)"),"Derrick Gore")</f>
        <v>Derrick Gore</v>
      </c>
      <c r="U493" s="32" t="e">
        <f t="shared" ca="1" si="3"/>
        <v>#NAME?</v>
      </c>
    </row>
    <row r="494" spans="1:21" ht="12.75" x14ac:dyDescent="0.2">
      <c r="A494" s="5"/>
      <c r="B494" s="5"/>
      <c r="C494" s="5"/>
      <c r="D494" s="5"/>
      <c r="E494" s="5"/>
      <c r="F494" s="5"/>
      <c r="G494" s="5"/>
      <c r="H494" s="5"/>
      <c r="I494" s="5"/>
      <c r="J494" s="5"/>
      <c r="K494" s="5" t="s">
        <v>676</v>
      </c>
      <c r="L494" s="5" t="s">
        <v>676</v>
      </c>
      <c r="M494" s="5" t="s">
        <v>676</v>
      </c>
      <c r="N494" s="5" t="s">
        <v>676</v>
      </c>
      <c r="O494" s="5" t="s">
        <v>676</v>
      </c>
      <c r="P494" s="5" t="s">
        <v>676</v>
      </c>
      <c r="Q494" s="5" t="s">
        <v>676</v>
      </c>
      <c r="R494" s="5" t="s">
        <v>676</v>
      </c>
      <c r="S494" s="5">
        <f t="shared" si="2"/>
        <v>11</v>
      </c>
      <c r="T494" s="5" t="str">
        <f ca="1">IFERROR(__xludf.DUMMYFUNCTION("QUERY(transpose(A494:R494),""Select Col1 where Col1 is not null limit 1"",0)"),"Israel Abanikanda")</f>
        <v>Israel Abanikanda</v>
      </c>
      <c r="U494" s="32" t="e">
        <f t="shared" ca="1" si="3"/>
        <v>#NAME?</v>
      </c>
    </row>
    <row r="495" spans="1:21" ht="12.75" x14ac:dyDescent="0.2">
      <c r="A495" s="5"/>
      <c r="B495" s="5"/>
      <c r="C495" s="5"/>
      <c r="D495" s="5"/>
      <c r="E495" s="5"/>
      <c r="F495" s="5"/>
      <c r="G495" s="5"/>
      <c r="H495" s="5"/>
      <c r="I495" s="5"/>
      <c r="J495" s="5"/>
      <c r="K495" s="5" t="s">
        <v>677</v>
      </c>
      <c r="L495" s="5" t="s">
        <v>677</v>
      </c>
      <c r="M495" s="5" t="s">
        <v>677</v>
      </c>
      <c r="N495" s="5" t="s">
        <v>677</v>
      </c>
      <c r="O495" s="5" t="s">
        <v>677</v>
      </c>
      <c r="P495" s="5" t="s">
        <v>677</v>
      </c>
      <c r="Q495" s="5" t="s">
        <v>677</v>
      </c>
      <c r="R495" s="5" t="s">
        <v>677</v>
      </c>
      <c r="S495" s="5">
        <f t="shared" si="2"/>
        <v>11</v>
      </c>
      <c r="T495" s="5" t="str">
        <f ca="1">IFERROR(__xludf.DUMMYFUNCTION("QUERY(transpose(A495:R495),""Select Col1 where Col1 is not null limit 1"",0)"),"Steven Sims")</f>
        <v>Steven Sims</v>
      </c>
      <c r="U495" s="32" t="e">
        <f t="shared" ca="1" si="3"/>
        <v>#NAME?</v>
      </c>
    </row>
    <row r="496" spans="1:21" ht="12.75" x14ac:dyDescent="0.2">
      <c r="A496" s="5"/>
      <c r="B496" s="5"/>
      <c r="C496" s="5"/>
      <c r="D496" s="5"/>
      <c r="E496" s="5"/>
      <c r="F496" s="5"/>
      <c r="G496" s="5"/>
      <c r="H496" s="5"/>
      <c r="I496" s="5"/>
      <c r="J496" s="5"/>
      <c r="K496" s="5" t="s">
        <v>678</v>
      </c>
      <c r="L496" s="5" t="s">
        <v>678</v>
      </c>
      <c r="M496" s="5" t="s">
        <v>678</v>
      </c>
      <c r="N496" s="5" t="s">
        <v>678</v>
      </c>
      <c r="O496" s="5" t="s">
        <v>678</v>
      </c>
      <c r="P496" s="5" t="s">
        <v>678</v>
      </c>
      <c r="Q496" s="5" t="s">
        <v>678</v>
      </c>
      <c r="R496" s="5" t="s">
        <v>678</v>
      </c>
      <c r="S496" s="5">
        <f t="shared" si="2"/>
        <v>11</v>
      </c>
      <c r="T496" s="5" t="str">
        <f ca="1">IFERROR(__xludf.DUMMYFUNCTION("QUERY(transpose(A496:R496),""Select Col1 where Col1 is not null limit 1"",0)"),"Alex Erickson")</f>
        <v>Alex Erickson</v>
      </c>
      <c r="U496" s="32" t="e">
        <f t="shared" ca="1" si="3"/>
        <v>#NAME?</v>
      </c>
    </row>
    <row r="497" spans="1:21" ht="12.75" x14ac:dyDescent="0.2">
      <c r="A497" s="5"/>
      <c r="B497" s="5"/>
      <c r="C497" s="5"/>
      <c r="D497" s="5"/>
      <c r="E497" s="5"/>
      <c r="F497" s="5"/>
      <c r="G497" s="5"/>
      <c r="H497" s="5"/>
      <c r="I497" s="5"/>
      <c r="J497" s="5"/>
      <c r="K497" s="5" t="s">
        <v>679</v>
      </c>
      <c r="L497" s="5" t="s">
        <v>679</v>
      </c>
      <c r="M497" s="5" t="s">
        <v>679</v>
      </c>
      <c r="N497" s="5" t="s">
        <v>679</v>
      </c>
      <c r="O497" s="5" t="s">
        <v>679</v>
      </c>
      <c r="P497" s="5" t="s">
        <v>679</v>
      </c>
      <c r="Q497" s="5" t="s">
        <v>679</v>
      </c>
      <c r="R497" s="5" t="s">
        <v>679</v>
      </c>
      <c r="S497" s="5">
        <f t="shared" si="2"/>
        <v>11</v>
      </c>
      <c r="T497" s="5" t="str">
        <f ca="1">IFERROR(__xludf.DUMMYFUNCTION("QUERY(transpose(A497:R497),""Select Col1 where Col1 is not null limit 1"",0)"),"Malik Heath")</f>
        <v>Malik Heath</v>
      </c>
      <c r="U497" s="32" t="e">
        <f t="shared" ca="1" si="3"/>
        <v>#NAME?</v>
      </c>
    </row>
    <row r="498" spans="1:21" ht="12.75" x14ac:dyDescent="0.2">
      <c r="A498" s="5"/>
      <c r="B498" s="5"/>
      <c r="C498" s="5"/>
      <c r="D498" s="5"/>
      <c r="E498" s="5"/>
      <c r="F498" s="5"/>
      <c r="G498" s="5"/>
      <c r="H498" s="5"/>
      <c r="I498" s="5"/>
      <c r="J498" s="5"/>
      <c r="K498" s="5" t="s">
        <v>680</v>
      </c>
      <c r="L498" s="5" t="s">
        <v>680</v>
      </c>
      <c r="M498" s="5" t="s">
        <v>680</v>
      </c>
      <c r="N498" s="5" t="s">
        <v>680</v>
      </c>
      <c r="O498" s="5" t="s">
        <v>680</v>
      </c>
      <c r="P498" s="5" t="s">
        <v>680</v>
      </c>
      <c r="Q498" s="5" t="s">
        <v>680</v>
      </c>
      <c r="R498" s="5" t="s">
        <v>680</v>
      </c>
      <c r="S498" s="5">
        <f t="shared" si="2"/>
        <v>11</v>
      </c>
      <c r="T498" s="5" t="str">
        <f ca="1">IFERROR(__xludf.DUMMYFUNCTION("QUERY(transpose(A498:R498),""Select Col1 where Col1 is not null limit 1"",0)"),"Charlie Kolar")</f>
        <v>Charlie Kolar</v>
      </c>
      <c r="U498" s="32" t="e">
        <f t="shared" ca="1" si="3"/>
        <v>#NAME?</v>
      </c>
    </row>
    <row r="499" spans="1:21" ht="12.75" x14ac:dyDescent="0.2">
      <c r="A499" s="5"/>
      <c r="B499" s="5"/>
      <c r="C499" s="5"/>
      <c r="D499" s="5"/>
      <c r="E499" s="5"/>
      <c r="F499" s="5"/>
      <c r="G499" s="5"/>
      <c r="H499" s="5"/>
      <c r="I499" s="5"/>
      <c r="J499" s="5"/>
      <c r="K499" s="5"/>
      <c r="L499" s="5" t="s">
        <v>697</v>
      </c>
      <c r="M499" s="5" t="s">
        <v>697</v>
      </c>
      <c r="N499" s="5" t="s">
        <v>697</v>
      </c>
      <c r="O499" s="5" t="s">
        <v>697</v>
      </c>
      <c r="P499" s="5" t="s">
        <v>697</v>
      </c>
      <c r="Q499" s="5" t="s">
        <v>697</v>
      </c>
      <c r="R499" s="5" t="s">
        <v>697</v>
      </c>
      <c r="S499" s="5">
        <f t="shared" si="2"/>
        <v>12</v>
      </c>
      <c r="T499" s="5" t="str">
        <f ca="1">IFERROR(__xludf.DUMMYFUNCTION("QUERY(transpose(A499:R499),""Select Col1 where Col1 is not null limit 1"",0)"),"Jason Brownlee")</f>
        <v>Jason Brownlee</v>
      </c>
      <c r="U499" s="32" t="e">
        <f t="shared" ref="U499:U502" ca="1" si="4">_xludf.IFNA(VLOOKUP($L499,INDIRECT("'W"&amp;$S499&amp;"'!$A$2:$T$1000"),2,FALSE),0)</f>
        <v>#NAME?</v>
      </c>
    </row>
    <row r="500" spans="1:21" ht="12.75" x14ac:dyDescent="0.2">
      <c r="A500" s="5"/>
      <c r="B500" s="5"/>
      <c r="C500" s="5"/>
      <c r="D500" s="5"/>
      <c r="E500" s="5"/>
      <c r="F500" s="5"/>
      <c r="G500" s="5"/>
      <c r="H500" s="5"/>
      <c r="I500" s="5"/>
      <c r="J500" s="5"/>
      <c r="K500" s="5"/>
      <c r="L500" s="5" t="s">
        <v>698</v>
      </c>
      <c r="M500" s="5" t="s">
        <v>698</v>
      </c>
      <c r="N500" s="5" t="s">
        <v>698</v>
      </c>
      <c r="O500" s="5" t="s">
        <v>698</v>
      </c>
      <c r="P500" s="5" t="s">
        <v>698</v>
      </c>
      <c r="Q500" s="5" t="s">
        <v>698</v>
      </c>
      <c r="R500" s="5" t="s">
        <v>698</v>
      </c>
      <c r="S500" s="5">
        <f t="shared" si="2"/>
        <v>12</v>
      </c>
      <c r="T500" s="5" t="str">
        <f ca="1">IFERROR(__xludf.DUMMYFUNCTION("QUERY(transpose(A500:R500),""Select Col1 where Col1 is not null limit 1"",0)"),"Ihmir Smith-Marsette")</f>
        <v>Ihmir Smith-Marsette</v>
      </c>
      <c r="U500" s="32" t="e">
        <f t="shared" ca="1" si="4"/>
        <v>#NAME?</v>
      </c>
    </row>
    <row r="501" spans="1:21" ht="12.75" x14ac:dyDescent="0.2">
      <c r="A501" s="5"/>
      <c r="B501" s="5"/>
      <c r="C501" s="5"/>
      <c r="D501" s="5"/>
      <c r="E501" s="5"/>
      <c r="F501" s="5"/>
      <c r="G501" s="5"/>
      <c r="H501" s="5"/>
      <c r="I501" s="5"/>
      <c r="J501" s="5"/>
      <c r="K501" s="5"/>
      <c r="L501" s="5" t="s">
        <v>699</v>
      </c>
      <c r="M501" s="5" t="s">
        <v>699</v>
      </c>
      <c r="N501" s="5" t="s">
        <v>699</v>
      </c>
      <c r="O501" s="5" t="s">
        <v>699</v>
      </c>
      <c r="P501" s="5" t="s">
        <v>699</v>
      </c>
      <c r="Q501" s="5" t="s">
        <v>699</v>
      </c>
      <c r="R501" s="5" t="s">
        <v>699</v>
      </c>
      <c r="S501" s="5">
        <f t="shared" si="2"/>
        <v>12</v>
      </c>
      <c r="T501" s="5" t="str">
        <f ca="1">IFERROR(__xludf.DUMMYFUNCTION("QUERY(transpose(A501:R501),""Select Col1 where Col1 is not null limit 1"",0)"),"Davis Allen")</f>
        <v>Davis Allen</v>
      </c>
      <c r="U501" s="32" t="e">
        <f t="shared" ca="1" si="4"/>
        <v>#NAME?</v>
      </c>
    </row>
    <row r="502" spans="1:21" ht="12.75" x14ac:dyDescent="0.2">
      <c r="A502" s="5"/>
      <c r="B502" s="5"/>
      <c r="C502" s="5"/>
      <c r="D502" s="5"/>
      <c r="E502" s="5"/>
      <c r="F502" s="5"/>
      <c r="G502" s="5"/>
      <c r="H502" s="5"/>
      <c r="I502" s="5"/>
      <c r="J502" s="5"/>
      <c r="K502" s="5"/>
      <c r="L502" s="5" t="s">
        <v>700</v>
      </c>
      <c r="M502" s="5" t="s">
        <v>700</v>
      </c>
      <c r="N502" s="5" t="s">
        <v>700</v>
      </c>
      <c r="O502" s="5" t="s">
        <v>700</v>
      </c>
      <c r="P502" s="5" t="s">
        <v>700</v>
      </c>
      <c r="Q502" s="5" t="s">
        <v>700</v>
      </c>
      <c r="R502" s="5" t="s">
        <v>700</v>
      </c>
      <c r="S502" s="5">
        <f t="shared" si="2"/>
        <v>12</v>
      </c>
      <c r="T502" s="5" t="str">
        <f ca="1">IFERROR(__xludf.DUMMYFUNCTION("QUERY(transpose(A502:R502),""Select Col1 where Col1 is not null limit 1"",0)"),"Charlie Woerner")</f>
        <v>Charlie Woerner</v>
      </c>
      <c r="U502" s="32" t="e">
        <f t="shared" ca="1" si="4"/>
        <v>#NAME?</v>
      </c>
    </row>
    <row r="503" spans="1:21" ht="12.75" x14ac:dyDescent="0.2">
      <c r="A503" s="5"/>
      <c r="B503" s="5"/>
      <c r="C503" s="5"/>
      <c r="D503" s="5"/>
      <c r="E503" s="5"/>
      <c r="F503" s="5"/>
      <c r="G503" s="5"/>
      <c r="H503" s="5"/>
      <c r="I503" s="5"/>
      <c r="J503" s="5"/>
      <c r="K503" s="5"/>
      <c r="L503" s="5"/>
      <c r="M503" s="5" t="s">
        <v>712</v>
      </c>
      <c r="N503" s="5" t="s">
        <v>712</v>
      </c>
      <c r="O503" s="5" t="s">
        <v>712</v>
      </c>
      <c r="P503" s="5" t="s">
        <v>712</v>
      </c>
      <c r="Q503" s="5" t="s">
        <v>712</v>
      </c>
      <c r="R503" s="5" t="s">
        <v>712</v>
      </c>
      <c r="S503" s="5">
        <f t="shared" si="2"/>
        <v>13</v>
      </c>
      <c r="T503" s="5" t="str">
        <f ca="1">IFERROR(__xludf.DUMMYFUNCTION("QUERY(transpose(A503:R503),""Select Col1 where Col1 is not null limit 1"",0)"),"Parker Washington")</f>
        <v>Parker Washington</v>
      </c>
      <c r="U503" s="32" t="e">
        <f t="shared" ref="U503:U509" ca="1" si="5">_xludf.IFNA(VLOOKUP($M503,INDIRECT("'W"&amp;$S503&amp;"'!$A$2:$T$1000"),2,FALSE),0)</f>
        <v>#NAME?</v>
      </c>
    </row>
    <row r="504" spans="1:21" ht="12.75" x14ac:dyDescent="0.2">
      <c r="A504" s="5"/>
      <c r="B504" s="5"/>
      <c r="C504" s="5"/>
      <c r="D504" s="5"/>
      <c r="E504" s="5"/>
      <c r="F504" s="5"/>
      <c r="G504" s="5"/>
      <c r="H504" s="5"/>
      <c r="I504" s="5"/>
      <c r="J504" s="5"/>
      <c r="K504" s="5"/>
      <c r="L504" s="5"/>
      <c r="M504" s="5" t="s">
        <v>713</v>
      </c>
      <c r="N504" s="5" t="s">
        <v>713</v>
      </c>
      <c r="O504" s="5" t="s">
        <v>713</v>
      </c>
      <c r="P504" s="5" t="s">
        <v>713</v>
      </c>
      <c r="Q504" s="5" t="s">
        <v>713</v>
      </c>
      <c r="R504" s="5" t="s">
        <v>713</v>
      </c>
      <c r="S504" s="5">
        <f t="shared" si="2"/>
        <v>13</v>
      </c>
      <c r="T504" s="5" t="str">
        <f ca="1">IFERROR(__xludf.DUMMYFUNCTION("QUERY(transpose(A504:R504),""Select Col1 where Col1 is not null limit 1"",0)"),"Joe Flacco")</f>
        <v>Joe Flacco</v>
      </c>
      <c r="U504" s="32" t="e">
        <f t="shared" ca="1" si="5"/>
        <v>#NAME?</v>
      </c>
    </row>
    <row r="505" spans="1:21" ht="12.75" x14ac:dyDescent="0.2">
      <c r="A505" s="5"/>
      <c r="B505" s="5"/>
      <c r="C505" s="5"/>
      <c r="D505" s="5"/>
      <c r="E505" s="5"/>
      <c r="F505" s="5"/>
      <c r="G505" s="5"/>
      <c r="H505" s="5"/>
      <c r="I505" s="5"/>
      <c r="J505" s="5"/>
      <c r="K505" s="5"/>
      <c r="L505" s="5"/>
      <c r="M505" s="5" t="s">
        <v>716</v>
      </c>
      <c r="N505" s="5" t="s">
        <v>716</v>
      </c>
      <c r="O505" s="5" t="s">
        <v>716</v>
      </c>
      <c r="P505" s="5" t="s">
        <v>716</v>
      </c>
      <c r="Q505" s="5" t="s">
        <v>716</v>
      </c>
      <c r="R505" s="5" t="s">
        <v>716</v>
      </c>
      <c r="S505" s="5">
        <f t="shared" si="2"/>
        <v>13</v>
      </c>
      <c r="T505" s="5" t="str">
        <f ca="1">IFERROR(__xludf.DUMMYFUNCTION("QUERY(transpose(A505:R505),""Select Col1 where Col1 is not null limit 1"",0)"),"Tyler Goodson")</f>
        <v>Tyler Goodson</v>
      </c>
      <c r="U505" s="32" t="e">
        <f t="shared" ca="1" si="5"/>
        <v>#NAME?</v>
      </c>
    </row>
    <row r="506" spans="1:21" ht="12.75" x14ac:dyDescent="0.2">
      <c r="A506" s="5"/>
      <c r="B506" s="5"/>
      <c r="C506" s="5"/>
      <c r="D506" s="5"/>
      <c r="E506" s="5"/>
      <c r="F506" s="5"/>
      <c r="G506" s="5"/>
      <c r="H506" s="5"/>
      <c r="I506" s="5"/>
      <c r="J506" s="5"/>
      <c r="K506" s="5"/>
      <c r="L506" s="5"/>
      <c r="M506" s="5" t="s">
        <v>717</v>
      </c>
      <c r="N506" s="5" t="s">
        <v>717</v>
      </c>
      <c r="O506" s="5" t="s">
        <v>717</v>
      </c>
      <c r="P506" s="5" t="s">
        <v>717</v>
      </c>
      <c r="Q506" s="5" t="s">
        <v>717</v>
      </c>
      <c r="R506" s="5" t="s">
        <v>717</v>
      </c>
      <c r="S506" s="5">
        <f t="shared" si="2"/>
        <v>13</v>
      </c>
      <c r="T506" s="5" t="str">
        <f ca="1">IFERROR(__xludf.DUMMYFUNCTION("QUERY(transpose(A506:R506),""Select Col1 where Col1 is not null limit 1"",0)"),"Eric Saubert")</f>
        <v>Eric Saubert</v>
      </c>
      <c r="U506" s="32" t="e">
        <f t="shared" ca="1" si="5"/>
        <v>#NAME?</v>
      </c>
    </row>
    <row r="507" spans="1:21" ht="12.75" x14ac:dyDescent="0.2">
      <c r="A507" s="5"/>
      <c r="B507" s="5"/>
      <c r="C507" s="5"/>
      <c r="D507" s="5"/>
      <c r="E507" s="5"/>
      <c r="F507" s="5"/>
      <c r="G507" s="5"/>
      <c r="H507" s="5"/>
      <c r="I507" s="5"/>
      <c r="J507" s="5"/>
      <c r="K507" s="5"/>
      <c r="L507" s="5"/>
      <c r="M507" s="5" t="s">
        <v>718</v>
      </c>
      <c r="N507" s="5" t="s">
        <v>718</v>
      </c>
      <c r="O507" s="5" t="s">
        <v>718</v>
      </c>
      <c r="P507" s="5" t="s">
        <v>718</v>
      </c>
      <c r="Q507" s="5" t="s">
        <v>718</v>
      </c>
      <c r="R507" s="5" t="s">
        <v>718</v>
      </c>
      <c r="S507" s="5">
        <f t="shared" si="2"/>
        <v>13</v>
      </c>
      <c r="T507" s="5" t="str">
        <f ca="1">IFERROR(__xludf.DUMMYFUNCTION("QUERY(transpose(A507:R507),""Select Col1 where Col1 is not null limit 1"",0)"),"Trevor Siemian")</f>
        <v>Trevor Siemian</v>
      </c>
      <c r="U507" s="32" t="e">
        <f t="shared" ca="1" si="5"/>
        <v>#NAME?</v>
      </c>
    </row>
    <row r="508" spans="1:21" ht="12.75" x14ac:dyDescent="0.2">
      <c r="A508" s="5"/>
      <c r="B508" s="5"/>
      <c r="C508" s="5"/>
      <c r="D508" s="5"/>
      <c r="E508" s="5"/>
      <c r="F508" s="5"/>
      <c r="G508" s="5"/>
      <c r="H508" s="5"/>
      <c r="I508" s="5"/>
      <c r="J508" s="5"/>
      <c r="K508" s="5"/>
      <c r="L508" s="5"/>
      <c r="M508" s="5" t="s">
        <v>719</v>
      </c>
      <c r="N508" s="5" t="s">
        <v>719</v>
      </c>
      <c r="O508" s="5" t="s">
        <v>719</v>
      </c>
      <c r="P508" s="5" t="s">
        <v>719</v>
      </c>
      <c r="Q508" s="5" t="s">
        <v>719</v>
      </c>
      <c r="R508" s="5" t="s">
        <v>719</v>
      </c>
      <c r="S508" s="5">
        <f t="shared" si="2"/>
        <v>13</v>
      </c>
      <c r="T508" s="5" t="str">
        <f ca="1">IFERROR(__xludf.DUMMYFUNCTION("QUERY(transpose(A508:R508),""Select Col1 where Col1 is not null limit 1"",0)"),"Marcus Mariota")</f>
        <v>Marcus Mariota</v>
      </c>
      <c r="U508" s="32" t="e">
        <f t="shared" ca="1" si="5"/>
        <v>#NAME?</v>
      </c>
    </row>
    <row r="509" spans="1:21" ht="12.75" x14ac:dyDescent="0.2">
      <c r="A509" s="5"/>
      <c r="B509" s="5"/>
      <c r="C509" s="5"/>
      <c r="D509" s="5"/>
      <c r="E509" s="5"/>
      <c r="F509" s="5"/>
      <c r="G509" s="5"/>
      <c r="H509" s="5"/>
      <c r="I509" s="5"/>
      <c r="J509" s="5"/>
      <c r="K509" s="5"/>
      <c r="L509" s="5"/>
      <c r="M509" s="5" t="s">
        <v>720</v>
      </c>
      <c r="N509" s="5" t="s">
        <v>720</v>
      </c>
      <c r="O509" s="5" t="s">
        <v>720</v>
      </c>
      <c r="P509" s="5" t="s">
        <v>720</v>
      </c>
      <c r="Q509" s="5" t="s">
        <v>720</v>
      </c>
      <c r="R509" s="5" t="s">
        <v>720</v>
      </c>
      <c r="S509" s="5">
        <f t="shared" si="2"/>
        <v>13</v>
      </c>
      <c r="T509" s="5" t="str">
        <f ca="1">IFERROR(__xludf.DUMMYFUNCTION("QUERY(transpose(A509:R509),""Select Col1 where Col1 is not null limit 1"",0)"),"James Robinson")</f>
        <v>James Robinson</v>
      </c>
      <c r="U509" s="32" t="e">
        <f t="shared" ca="1" si="5"/>
        <v>#NAME?</v>
      </c>
    </row>
    <row r="510" spans="1:21" ht="12.75" x14ac:dyDescent="0.2">
      <c r="A510" s="5"/>
      <c r="B510" s="5"/>
      <c r="C510" s="5"/>
      <c r="D510" s="5"/>
      <c r="E510" s="5"/>
      <c r="F510" s="5"/>
      <c r="G510" s="5"/>
      <c r="H510" s="5"/>
      <c r="I510" s="5"/>
      <c r="J510" s="5"/>
      <c r="K510" s="5"/>
      <c r="L510" s="5"/>
      <c r="M510" s="5"/>
      <c r="N510" s="5" t="s">
        <v>736</v>
      </c>
      <c r="O510" s="5" t="s">
        <v>736</v>
      </c>
      <c r="P510" s="5" t="s">
        <v>736</v>
      </c>
      <c r="Q510" s="5" t="s">
        <v>736</v>
      </c>
      <c r="R510" s="5" t="s">
        <v>736</v>
      </c>
      <c r="S510" s="5">
        <f t="shared" si="2"/>
        <v>14</v>
      </c>
      <c r="T510" s="5" t="str">
        <f ca="1">IFERROR(__xludf.DUMMYFUNCTION("QUERY(transpose(A510:R510),""Select Col1 where Col1 is not null limit 1"",0)"),"Easton Stick")</f>
        <v>Easton Stick</v>
      </c>
      <c r="U510" s="32" t="e">
        <f t="shared" ref="U510:U514" ca="1" si="6">_xludf.IFNA(VLOOKUP($N510,INDIRECT("'W"&amp;$S510&amp;"'!$A$2:$T$1000"),2,FALSE),0)</f>
        <v>#NAME?</v>
      </c>
    </row>
    <row r="511" spans="1:21" ht="12.75" x14ac:dyDescent="0.2">
      <c r="A511" s="5"/>
      <c r="B511" s="5"/>
      <c r="C511" s="5"/>
      <c r="D511" s="5"/>
      <c r="E511" s="5"/>
      <c r="F511" s="5"/>
      <c r="G511" s="5"/>
      <c r="H511" s="5"/>
      <c r="I511" s="5"/>
      <c r="J511" s="5"/>
      <c r="K511" s="5"/>
      <c r="L511" s="5"/>
      <c r="M511" s="5"/>
      <c r="N511" s="5" t="s">
        <v>737</v>
      </c>
      <c r="O511" s="5" t="s">
        <v>737</v>
      </c>
      <c r="P511" s="5" t="s">
        <v>737</v>
      </c>
      <c r="Q511" s="5" t="s">
        <v>737</v>
      </c>
      <c r="R511" s="5" t="s">
        <v>737</v>
      </c>
      <c r="S511" s="5">
        <f t="shared" si="2"/>
        <v>14</v>
      </c>
      <c r="T511" s="5" t="str">
        <f ca="1">IFERROR(__xludf.DUMMYFUNCTION("QUERY(transpose(A511:R511),""Select Col1 where Col1 is not null limit 1"",0)"),"Lucas Krull")</f>
        <v>Lucas Krull</v>
      </c>
      <c r="U511" s="32" t="e">
        <f t="shared" ca="1" si="6"/>
        <v>#NAME?</v>
      </c>
    </row>
    <row r="512" spans="1:21" ht="12.75" x14ac:dyDescent="0.2">
      <c r="A512" s="5"/>
      <c r="B512" s="5"/>
      <c r="C512" s="5"/>
      <c r="D512" s="5"/>
      <c r="E512" s="5"/>
      <c r="F512" s="5"/>
      <c r="G512" s="5"/>
      <c r="H512" s="5"/>
      <c r="I512" s="5"/>
      <c r="J512" s="5"/>
      <c r="K512" s="5"/>
      <c r="L512" s="5"/>
      <c r="M512" s="5"/>
      <c r="N512" s="5" t="s">
        <v>738</v>
      </c>
      <c r="O512" s="5" t="s">
        <v>738</v>
      </c>
      <c r="P512" s="5" t="s">
        <v>738</v>
      </c>
      <c r="Q512" s="5" t="s">
        <v>738</v>
      </c>
      <c r="R512" s="5" t="s">
        <v>738</v>
      </c>
      <c r="S512" s="5">
        <f t="shared" si="2"/>
        <v>14</v>
      </c>
      <c r="T512" s="5" t="str">
        <f ca="1">IFERROR(__xludf.DUMMYFUNCTION("QUERY(transpose(A512:R512),""Select Col1 where Col1 is not null limit 1"",0)"),"Nick Mullens")</f>
        <v>Nick Mullens</v>
      </c>
      <c r="U512" s="32" t="e">
        <f t="shared" ca="1" si="6"/>
        <v>#NAME?</v>
      </c>
    </row>
    <row r="513" spans="1:21" ht="12.75" x14ac:dyDescent="0.2">
      <c r="A513" s="5"/>
      <c r="B513" s="5"/>
      <c r="C513" s="5"/>
      <c r="D513" s="5"/>
      <c r="E513" s="5"/>
      <c r="F513" s="5"/>
      <c r="G513" s="5"/>
      <c r="H513" s="5"/>
      <c r="I513" s="5"/>
      <c r="J513" s="5"/>
      <c r="K513" s="5"/>
      <c r="L513" s="5"/>
      <c r="M513" s="5"/>
      <c r="N513" s="5" t="s">
        <v>739</v>
      </c>
      <c r="O513" s="5" t="s">
        <v>739</v>
      </c>
      <c r="P513" s="5" t="s">
        <v>739</v>
      </c>
      <c r="Q513" s="5" t="s">
        <v>739</v>
      </c>
      <c r="R513" s="5" t="s">
        <v>739</v>
      </c>
      <c r="S513" s="5">
        <f t="shared" ref="S513:S549" si="7">1+COUNTBLANK(A513:R513)-COUNTBLANK(A$3:R$3)</f>
        <v>14</v>
      </c>
      <c r="T513" s="5" t="str">
        <f ca="1">IFERROR(__xludf.DUMMYFUNCTION("QUERY(transpose(A513:R513),""Select Col1 where Col1 is not null limit 1"",0)"),"David Moore")</f>
        <v>David Moore</v>
      </c>
      <c r="U513" s="32" t="e">
        <f t="shared" ca="1" si="6"/>
        <v>#NAME?</v>
      </c>
    </row>
    <row r="514" spans="1:21" ht="12.75" x14ac:dyDescent="0.2">
      <c r="A514" s="5"/>
      <c r="B514" s="5"/>
      <c r="C514" s="5"/>
      <c r="D514" s="5"/>
      <c r="E514" s="5"/>
      <c r="F514" s="5"/>
      <c r="G514" s="5"/>
      <c r="H514" s="5"/>
      <c r="I514" s="5"/>
      <c r="J514" s="5"/>
      <c r="K514" s="5"/>
      <c r="L514" s="5"/>
      <c r="M514" s="5"/>
      <c r="N514" s="5" t="s">
        <v>740</v>
      </c>
      <c r="O514" s="5" t="s">
        <v>740</v>
      </c>
      <c r="P514" s="5" t="s">
        <v>740</v>
      </c>
      <c r="Q514" s="5" t="s">
        <v>740</v>
      </c>
      <c r="R514" s="5" t="s">
        <v>740</v>
      </c>
      <c r="S514" s="5">
        <f t="shared" si="7"/>
        <v>14</v>
      </c>
      <c r="T514" s="5" t="str">
        <f ca="1">IFERROR(__xludf.DUMMYFUNCTION("QUERY(transpose(A514:R514),""Select Col1 where Col1 is not null limit 1"",0)"),"A.J. McCarron")</f>
        <v>A.J. McCarron</v>
      </c>
      <c r="U514" s="32" t="e">
        <f t="shared" ca="1" si="6"/>
        <v>#NAME?</v>
      </c>
    </row>
    <row r="515" spans="1:21" ht="12.75" x14ac:dyDescent="0.2">
      <c r="A515" s="5"/>
      <c r="B515" s="5"/>
      <c r="C515" s="5"/>
      <c r="D515" s="5"/>
      <c r="E515" s="5"/>
      <c r="F515" s="5"/>
      <c r="G515" s="5"/>
      <c r="H515" s="5"/>
      <c r="I515" s="5"/>
      <c r="J515" s="5"/>
      <c r="K515" s="5"/>
      <c r="L515" s="5"/>
      <c r="M515" s="5"/>
      <c r="N515" s="5"/>
      <c r="O515" s="5" t="s">
        <v>754</v>
      </c>
      <c r="P515" s="5" t="s">
        <v>754</v>
      </c>
      <c r="Q515" s="5" t="s">
        <v>754</v>
      </c>
      <c r="R515" s="5" t="s">
        <v>754</v>
      </c>
      <c r="S515" s="5">
        <f t="shared" si="7"/>
        <v>15</v>
      </c>
      <c r="T515" s="5" t="str">
        <f ca="1">IFERROR(__xludf.DUMMYFUNCTION("QUERY(transpose(A515:R515),""Select Col1 where Col1 is not null limit 1"",0)"),"Jacoby Brissett")</f>
        <v>Jacoby Brissett</v>
      </c>
      <c r="U515" s="32" t="e">
        <f t="shared" ref="U515:U524" ca="1" si="8">_xludf.IFNA(VLOOKUP($O515,INDIRECT("'W"&amp;$S515&amp;"'!$A$2:$T$1000"),2,FALSE),0)</f>
        <v>#NAME?</v>
      </c>
    </row>
    <row r="516" spans="1:21" ht="12.75" x14ac:dyDescent="0.2">
      <c r="A516" s="5"/>
      <c r="B516" s="5"/>
      <c r="C516" s="5"/>
      <c r="D516" s="5"/>
      <c r="E516" s="5"/>
      <c r="F516" s="5"/>
      <c r="G516" s="5"/>
      <c r="H516" s="5"/>
      <c r="I516" s="5"/>
      <c r="J516" s="5"/>
      <c r="K516" s="5"/>
      <c r="L516" s="5"/>
      <c r="M516" s="5"/>
      <c r="N516" s="5"/>
      <c r="O516" s="5" t="s">
        <v>756</v>
      </c>
      <c r="P516" s="5" t="s">
        <v>756</v>
      </c>
      <c r="Q516" s="5" t="s">
        <v>756</v>
      </c>
      <c r="R516" s="5" t="s">
        <v>756</v>
      </c>
      <c r="S516" s="5">
        <f t="shared" si="7"/>
        <v>15</v>
      </c>
      <c r="T516" s="5" t="str">
        <f ca="1">IFERROR(__xludf.DUMMYFUNCTION("QUERY(transpose(A516:R516),""Select Col1 where Col1 is not null limit 1"",0)"),"Case Keenum")</f>
        <v>Case Keenum</v>
      </c>
      <c r="U516" s="32" t="e">
        <f t="shared" ca="1" si="8"/>
        <v>#NAME?</v>
      </c>
    </row>
    <row r="517" spans="1:21" ht="12.75" x14ac:dyDescent="0.2">
      <c r="A517" s="5"/>
      <c r="B517" s="5"/>
      <c r="C517" s="5"/>
      <c r="D517" s="5"/>
      <c r="E517" s="5"/>
      <c r="F517" s="5"/>
      <c r="G517" s="5"/>
      <c r="H517" s="5"/>
      <c r="I517" s="5"/>
      <c r="J517" s="5"/>
      <c r="K517" s="5"/>
      <c r="L517" s="5"/>
      <c r="M517" s="5"/>
      <c r="N517" s="5"/>
      <c r="O517" s="5" t="s">
        <v>759</v>
      </c>
      <c r="P517" s="5" t="s">
        <v>759</v>
      </c>
      <c r="Q517" s="5" t="s">
        <v>759</v>
      </c>
      <c r="R517" s="5" t="s">
        <v>759</v>
      </c>
      <c r="S517" s="5">
        <f t="shared" si="7"/>
        <v>15</v>
      </c>
      <c r="T517" s="5" t="str">
        <f ca="1">IFERROR(__xludf.DUMMYFUNCTION("QUERY(transpose(A517:R517),""Select Col1 where Col1 is not null limit 1"",0)"),"Mason Rudolph")</f>
        <v>Mason Rudolph</v>
      </c>
      <c r="U517" s="32" t="e">
        <f t="shared" ca="1" si="8"/>
        <v>#NAME?</v>
      </c>
    </row>
    <row r="518" spans="1:21" ht="12.75" x14ac:dyDescent="0.2">
      <c r="A518" s="5"/>
      <c r="B518" s="5"/>
      <c r="C518" s="5"/>
      <c r="D518" s="5"/>
      <c r="E518" s="5"/>
      <c r="F518" s="5"/>
      <c r="G518" s="5"/>
      <c r="H518" s="5"/>
      <c r="I518" s="5"/>
      <c r="J518" s="5"/>
      <c r="K518" s="5"/>
      <c r="L518" s="5"/>
      <c r="M518" s="5"/>
      <c r="N518" s="5"/>
      <c r="O518" s="5" t="s">
        <v>760</v>
      </c>
      <c r="P518" s="5" t="s">
        <v>760</v>
      </c>
      <c r="Q518" s="5" t="s">
        <v>760</v>
      </c>
      <c r="R518" s="5" t="s">
        <v>760</v>
      </c>
      <c r="S518" s="5">
        <f t="shared" si="7"/>
        <v>15</v>
      </c>
      <c r="T518" s="5" t="str">
        <f ca="1">IFERROR(__xludf.DUMMYFUNCTION("QUERY(transpose(A518:R518),""Select Col1 where Col1 is not null limit 1"",0)"),"Brandon Bolden")</f>
        <v>Brandon Bolden</v>
      </c>
      <c r="U518" s="32" t="e">
        <f t="shared" ca="1" si="8"/>
        <v>#NAME?</v>
      </c>
    </row>
    <row r="519" spans="1:21" ht="12.75" x14ac:dyDescent="0.2">
      <c r="A519" s="5"/>
      <c r="B519" s="5"/>
      <c r="C519" s="5"/>
      <c r="D519" s="5"/>
      <c r="E519" s="5"/>
      <c r="F519" s="5"/>
      <c r="G519" s="5"/>
      <c r="H519" s="5"/>
      <c r="I519" s="5"/>
      <c r="J519" s="5"/>
      <c r="K519" s="5"/>
      <c r="L519" s="5"/>
      <c r="M519" s="5"/>
      <c r="N519" s="5"/>
      <c r="O519" s="5" t="s">
        <v>761</v>
      </c>
      <c r="P519" s="5" t="s">
        <v>761</v>
      </c>
      <c r="Q519" s="5" t="s">
        <v>761</v>
      </c>
      <c r="R519" s="5" t="s">
        <v>761</v>
      </c>
      <c r="S519" s="5">
        <f t="shared" si="7"/>
        <v>15</v>
      </c>
      <c r="T519" s="5" t="str">
        <f ca="1">IFERROR(__xludf.DUMMYFUNCTION("QUERY(transpose(A519:R519),""Select Col1 where Col1 is not null limit 1"",0)"),"Kevin Harris")</f>
        <v>Kevin Harris</v>
      </c>
      <c r="U519" s="32" t="e">
        <f t="shared" ca="1" si="8"/>
        <v>#NAME?</v>
      </c>
    </row>
    <row r="520" spans="1:21" ht="12.75" x14ac:dyDescent="0.2">
      <c r="A520" s="5"/>
      <c r="B520" s="5"/>
      <c r="C520" s="5"/>
      <c r="D520" s="5"/>
      <c r="E520" s="5"/>
      <c r="F520" s="5"/>
      <c r="G520" s="5"/>
      <c r="H520" s="5"/>
      <c r="I520" s="5"/>
      <c r="J520" s="5"/>
      <c r="K520" s="5"/>
      <c r="L520" s="5"/>
      <c r="M520" s="5"/>
      <c r="N520" s="5"/>
      <c r="O520" s="5" t="s">
        <v>762</v>
      </c>
      <c r="P520" s="5" t="s">
        <v>762</v>
      </c>
      <c r="Q520" s="5" t="s">
        <v>762</v>
      </c>
      <c r="R520" s="5" t="s">
        <v>762</v>
      </c>
      <c r="S520" s="5">
        <f t="shared" si="7"/>
        <v>15</v>
      </c>
      <c r="T520" s="5" t="str">
        <f ca="1">IFERROR(__xludf.DUMMYFUNCTION("QUERY(transpose(A520:R520),""Select Col1 where Col1 is not null limit 1"",0)"),"Jonathan Williams")</f>
        <v>Jonathan Williams</v>
      </c>
      <c r="U520" s="32" t="e">
        <f t="shared" ca="1" si="8"/>
        <v>#NAME?</v>
      </c>
    </row>
    <row r="521" spans="1:21" ht="12.75" x14ac:dyDescent="0.2">
      <c r="A521" s="5"/>
      <c r="B521" s="5"/>
      <c r="C521" s="5"/>
      <c r="D521" s="5"/>
      <c r="E521" s="5"/>
      <c r="F521" s="5"/>
      <c r="G521" s="5"/>
      <c r="H521" s="5"/>
      <c r="I521" s="5"/>
      <c r="J521" s="5"/>
      <c r="K521" s="5"/>
      <c r="L521" s="5"/>
      <c r="M521" s="5"/>
      <c r="N521" s="5"/>
      <c r="O521" s="5" t="s">
        <v>763</v>
      </c>
      <c r="P521" s="5" t="s">
        <v>763</v>
      </c>
      <c r="Q521" s="5" t="s">
        <v>763</v>
      </c>
      <c r="R521" s="5" t="s">
        <v>763</v>
      </c>
      <c r="S521" s="5">
        <f t="shared" si="7"/>
        <v>15</v>
      </c>
      <c r="T521" s="5" t="str">
        <f ca="1">IFERROR(__xludf.DUMMYFUNCTION("QUERY(transpose(A521:R521),""Select Col1 where Col1 is not null limit 1"",0)"),"D.J. Montgomery")</f>
        <v>D.J. Montgomery</v>
      </c>
      <c r="U521" s="32" t="e">
        <f t="shared" ca="1" si="8"/>
        <v>#NAME?</v>
      </c>
    </row>
    <row r="522" spans="1:21" ht="12.75" x14ac:dyDescent="0.2">
      <c r="A522" s="5"/>
      <c r="B522" s="5"/>
      <c r="C522" s="5"/>
      <c r="D522" s="5"/>
      <c r="E522" s="5"/>
      <c r="F522" s="5"/>
      <c r="G522" s="5"/>
      <c r="H522" s="5"/>
      <c r="I522" s="5"/>
      <c r="J522" s="5"/>
      <c r="K522" s="5"/>
      <c r="L522" s="5"/>
      <c r="M522" s="5"/>
      <c r="N522" s="5"/>
      <c r="O522" s="5" t="s">
        <v>764</v>
      </c>
      <c r="P522" s="5" t="s">
        <v>764</v>
      </c>
      <c r="Q522" s="5" t="s">
        <v>764</v>
      </c>
      <c r="R522" s="5" t="s">
        <v>764</v>
      </c>
      <c r="S522" s="5">
        <f t="shared" si="7"/>
        <v>15</v>
      </c>
      <c r="T522" s="5" t="str">
        <f ca="1">IFERROR(__xludf.DUMMYFUNCTION("QUERY(transpose(A522:R522),""Select Col1 where Col1 is not null limit 1"",0)"),"Bo Melton")</f>
        <v>Bo Melton</v>
      </c>
      <c r="U522" s="32" t="e">
        <f t="shared" ca="1" si="8"/>
        <v>#NAME?</v>
      </c>
    </row>
    <row r="523" spans="1:21" ht="12.75" x14ac:dyDescent="0.2">
      <c r="A523" s="5"/>
      <c r="B523" s="5"/>
      <c r="C523" s="5"/>
      <c r="D523" s="5"/>
      <c r="E523" s="5"/>
      <c r="F523" s="5"/>
      <c r="G523" s="5"/>
      <c r="H523" s="5"/>
      <c r="I523" s="5"/>
      <c r="J523" s="5"/>
      <c r="K523" s="5"/>
      <c r="L523" s="5"/>
      <c r="M523" s="5"/>
      <c r="N523" s="5"/>
      <c r="O523" s="5" t="s">
        <v>765</v>
      </c>
      <c r="P523" s="5" t="s">
        <v>765</v>
      </c>
      <c r="Q523" s="5" t="s">
        <v>765</v>
      </c>
      <c r="R523" s="5" t="s">
        <v>765</v>
      </c>
      <c r="S523" s="5">
        <f t="shared" si="7"/>
        <v>15</v>
      </c>
      <c r="T523" s="5" t="str">
        <f ca="1">IFERROR(__xludf.DUMMYFUNCTION("QUERY(transpose(A523:R523),""Select Col1 where Col1 is not null limit 1"",0)"),"Ko Kieft")</f>
        <v>Ko Kieft</v>
      </c>
      <c r="U523" s="32" t="e">
        <f t="shared" ca="1" si="8"/>
        <v>#NAME?</v>
      </c>
    </row>
    <row r="524" spans="1:21" ht="12.75" x14ac:dyDescent="0.2">
      <c r="A524" s="5"/>
      <c r="B524" s="5"/>
      <c r="C524" s="5"/>
      <c r="D524" s="5"/>
      <c r="E524" s="5"/>
      <c r="F524" s="5"/>
      <c r="G524" s="5"/>
      <c r="H524" s="5"/>
      <c r="I524" s="5"/>
      <c r="J524" s="5"/>
      <c r="K524" s="5"/>
      <c r="L524" s="5"/>
      <c r="M524" s="5"/>
      <c r="N524" s="5"/>
      <c r="O524" s="5" t="s">
        <v>766</v>
      </c>
      <c r="P524" s="5" t="s">
        <v>766</v>
      </c>
      <c r="Q524" s="5" t="s">
        <v>766</v>
      </c>
      <c r="R524" s="5" t="s">
        <v>766</v>
      </c>
      <c r="S524" s="5">
        <f t="shared" si="7"/>
        <v>15</v>
      </c>
      <c r="T524" s="5" t="str">
        <f ca="1">IFERROR(__xludf.DUMMYFUNCTION("QUERY(transpose(A524:R524),""Select Col1 where Col1 is not null limit 1"",0)"),"Tucker Fisk")</f>
        <v>Tucker Fisk</v>
      </c>
      <c r="U524" s="32" t="e">
        <f t="shared" ca="1" si="8"/>
        <v>#NAME?</v>
      </c>
    </row>
    <row r="525" spans="1:21" ht="12.75" x14ac:dyDescent="0.2">
      <c r="A525" s="5"/>
      <c r="B525" s="5"/>
      <c r="C525" s="5"/>
      <c r="D525" s="5"/>
      <c r="E525" s="5"/>
      <c r="F525" s="5"/>
      <c r="G525" s="5"/>
      <c r="H525" s="5"/>
      <c r="I525" s="5"/>
      <c r="J525" s="5"/>
      <c r="K525" s="5"/>
      <c r="L525" s="5"/>
      <c r="M525" s="5"/>
      <c r="N525" s="5"/>
      <c r="O525" s="5"/>
      <c r="P525" s="5" t="s">
        <v>783</v>
      </c>
      <c r="Q525" s="5" t="s">
        <v>783</v>
      </c>
      <c r="R525" s="5" t="s">
        <v>783</v>
      </c>
      <c r="S525" s="5">
        <f t="shared" si="7"/>
        <v>16</v>
      </c>
      <c r="T525" s="5" t="str">
        <f ca="1">IFERROR(__xludf.DUMMYFUNCTION("QUERY(transpose(A525:R525),""Select Col1 where Col1 is not null limit 1"",0)"),"Leonard Fournette")</f>
        <v>Leonard Fournette</v>
      </c>
      <c r="U525" s="32" t="e">
        <f t="shared" ref="U525:U531" ca="1" si="9">_xludf.IFNA(VLOOKUP($P525,INDIRECT("'W"&amp;$S525&amp;"'!$A$2:$T$1000"),2,FALSE),0)</f>
        <v>#NAME?</v>
      </c>
    </row>
    <row r="526" spans="1:21" ht="12.75" x14ac:dyDescent="0.2">
      <c r="A526" s="5"/>
      <c r="B526" s="5"/>
      <c r="C526" s="5"/>
      <c r="D526" s="5"/>
      <c r="E526" s="5"/>
      <c r="F526" s="5"/>
      <c r="G526" s="5"/>
      <c r="H526" s="5"/>
      <c r="I526" s="5"/>
      <c r="J526" s="5"/>
      <c r="K526" s="5"/>
      <c r="L526" s="5"/>
      <c r="M526" s="5"/>
      <c r="N526" s="5"/>
      <c r="O526" s="5"/>
      <c r="P526" s="5" t="s">
        <v>784</v>
      </c>
      <c r="Q526" s="5" t="s">
        <v>784</v>
      </c>
      <c r="R526" s="5" t="s">
        <v>784</v>
      </c>
      <c r="S526" s="5">
        <f t="shared" si="7"/>
        <v>16</v>
      </c>
      <c r="T526" s="5" t="str">
        <f ca="1">IFERROR(__xludf.DUMMYFUNCTION("QUERY(transpose(A526:R526),""Select Col1 where Col1 is not null limit 1"",0)"),"Elijah Cooks")</f>
        <v>Elijah Cooks</v>
      </c>
      <c r="U526" s="32" t="e">
        <f t="shared" ca="1" si="9"/>
        <v>#NAME?</v>
      </c>
    </row>
    <row r="527" spans="1:21" ht="12.75" x14ac:dyDescent="0.2">
      <c r="A527" s="5"/>
      <c r="B527" s="5"/>
      <c r="C527" s="5"/>
      <c r="D527" s="5"/>
      <c r="E527" s="5"/>
      <c r="F527" s="5"/>
      <c r="G527" s="5"/>
      <c r="H527" s="5"/>
      <c r="I527" s="5"/>
      <c r="J527" s="5"/>
      <c r="K527" s="5"/>
      <c r="L527" s="5"/>
      <c r="M527" s="5"/>
      <c r="N527" s="5"/>
      <c r="O527" s="5"/>
      <c r="P527" s="5" t="s">
        <v>785</v>
      </c>
      <c r="Q527" s="5" t="s">
        <v>785</v>
      </c>
      <c r="R527" s="5" t="s">
        <v>785</v>
      </c>
      <c r="S527" s="5">
        <f t="shared" si="7"/>
        <v>16</v>
      </c>
      <c r="T527" s="5" t="str">
        <f ca="1">IFERROR(__xludf.DUMMYFUNCTION("QUERY(transpose(A527:R527),""Select Col1 where Col1 is not null limit 1"",0)"),"Britain Covey")</f>
        <v>Britain Covey</v>
      </c>
      <c r="U527" s="32" t="e">
        <f t="shared" ca="1" si="9"/>
        <v>#NAME?</v>
      </c>
    </row>
    <row r="528" spans="1:21" ht="12.75" x14ac:dyDescent="0.2">
      <c r="A528" s="5"/>
      <c r="B528" s="5"/>
      <c r="C528" s="5"/>
      <c r="D528" s="5"/>
      <c r="E528" s="5"/>
      <c r="F528" s="5"/>
      <c r="G528" s="5"/>
      <c r="H528" s="5"/>
      <c r="I528" s="5"/>
      <c r="J528" s="5"/>
      <c r="K528" s="5"/>
      <c r="L528" s="5"/>
      <c r="M528" s="5"/>
      <c r="N528" s="5"/>
      <c r="O528" s="5"/>
      <c r="P528" s="5" t="s">
        <v>786</v>
      </c>
      <c r="Q528" s="5" t="s">
        <v>786</v>
      </c>
      <c r="R528" s="5" t="s">
        <v>786</v>
      </c>
      <c r="S528" s="5">
        <f t="shared" si="7"/>
        <v>16</v>
      </c>
      <c r="T528" s="5" t="str">
        <f ca="1">IFERROR(__xludf.DUMMYFUNCTION("QUERY(transpose(A528:R528),""Select Col1 where Col1 is not null limit 1"",0)"),"Colton Dowell")</f>
        <v>Colton Dowell</v>
      </c>
      <c r="U528" s="32" t="e">
        <f t="shared" ca="1" si="9"/>
        <v>#NAME?</v>
      </c>
    </row>
    <row r="529" spans="1:21" ht="12.75" x14ac:dyDescent="0.2">
      <c r="A529" s="5"/>
      <c r="B529" s="5"/>
      <c r="C529" s="5"/>
      <c r="D529" s="5"/>
      <c r="E529" s="5"/>
      <c r="F529" s="5"/>
      <c r="G529" s="5"/>
      <c r="H529" s="5"/>
      <c r="I529" s="5"/>
      <c r="J529" s="5"/>
      <c r="K529" s="5"/>
      <c r="L529" s="5"/>
      <c r="M529" s="5"/>
      <c r="N529" s="5"/>
      <c r="O529" s="5"/>
      <c r="P529" s="5" t="s">
        <v>787</v>
      </c>
      <c r="Q529" s="5" t="s">
        <v>787</v>
      </c>
      <c r="R529" s="5" t="s">
        <v>787</v>
      </c>
      <c r="S529" s="5">
        <f t="shared" si="7"/>
        <v>16</v>
      </c>
      <c r="T529" s="5" t="str">
        <f ca="1">IFERROR(__xludf.DUMMYFUNCTION("QUERY(transpose(A529:R529),""Select Col1 where Col1 is not null limit 1"",0)"),"Mason Kinsey")</f>
        <v>Mason Kinsey</v>
      </c>
      <c r="U529" s="32" t="e">
        <f t="shared" ca="1" si="9"/>
        <v>#NAME?</v>
      </c>
    </row>
    <row r="530" spans="1:21" ht="12.75" x14ac:dyDescent="0.2">
      <c r="A530" s="5"/>
      <c r="B530" s="5"/>
      <c r="C530" s="5"/>
      <c r="D530" s="5"/>
      <c r="E530" s="5"/>
      <c r="F530" s="5"/>
      <c r="G530" s="5"/>
      <c r="H530" s="5"/>
      <c r="I530" s="5"/>
      <c r="J530" s="5"/>
      <c r="K530" s="5"/>
      <c r="L530" s="5"/>
      <c r="M530" s="5"/>
      <c r="N530" s="5"/>
      <c r="O530" s="5"/>
      <c r="P530" s="5" t="s">
        <v>788</v>
      </c>
      <c r="Q530" s="5" t="s">
        <v>788</v>
      </c>
      <c r="R530" s="5" t="s">
        <v>788</v>
      </c>
      <c r="S530" s="5">
        <f t="shared" si="7"/>
        <v>16</v>
      </c>
      <c r="T530" s="5" t="str">
        <f ca="1">IFERROR(__xludf.DUMMYFUNCTION("QUERY(transpose(A530:R530),""Select Col1 where Col1 is not null limit 1"",0)"),"Grant Calcaterra")</f>
        <v>Grant Calcaterra</v>
      </c>
      <c r="U530" s="32" t="e">
        <f t="shared" ca="1" si="9"/>
        <v>#NAME?</v>
      </c>
    </row>
    <row r="531" spans="1:21" ht="12.75" x14ac:dyDescent="0.2">
      <c r="A531" s="5"/>
      <c r="B531" s="5"/>
      <c r="C531" s="5"/>
      <c r="D531" s="5"/>
      <c r="E531" s="5"/>
      <c r="F531" s="5"/>
      <c r="G531" s="5"/>
      <c r="H531" s="5"/>
      <c r="I531" s="5"/>
      <c r="J531" s="5"/>
      <c r="K531" s="5"/>
      <c r="L531" s="5"/>
      <c r="M531" s="5"/>
      <c r="N531" s="5"/>
      <c r="O531" s="5"/>
      <c r="P531" s="5" t="s">
        <v>789</v>
      </c>
      <c r="Q531" s="5" t="s">
        <v>789</v>
      </c>
      <c r="R531" s="5" t="s">
        <v>789</v>
      </c>
      <c r="S531" s="5">
        <f t="shared" si="7"/>
        <v>16</v>
      </c>
      <c r="T531" s="5" t="str">
        <f ca="1">IFERROR(__xludf.DUMMYFUNCTION("QUERY(transpose(A531:R531),""Select Col1 where Col1 is not null limit 1"",0)"),"Cole Fotheringham")</f>
        <v>Cole Fotheringham</v>
      </c>
      <c r="U531" s="32" t="e">
        <f t="shared" ca="1" si="9"/>
        <v>#NAME?</v>
      </c>
    </row>
    <row r="532" spans="1:21" ht="12.75" x14ac:dyDescent="0.2">
      <c r="A532" s="5"/>
      <c r="B532" s="5"/>
      <c r="C532" s="5"/>
      <c r="D532" s="5"/>
      <c r="E532" s="5"/>
      <c r="F532" s="5"/>
      <c r="G532" s="5"/>
      <c r="H532" s="5"/>
      <c r="I532" s="5"/>
      <c r="J532" s="5"/>
      <c r="K532" s="5"/>
      <c r="L532" s="5"/>
      <c r="M532" s="5"/>
      <c r="N532" s="5"/>
      <c r="O532" s="5"/>
      <c r="P532" s="5"/>
      <c r="Q532" s="5" t="s">
        <v>803</v>
      </c>
      <c r="R532" s="5" t="s">
        <v>803</v>
      </c>
      <c r="S532" s="5">
        <f t="shared" si="7"/>
        <v>17</v>
      </c>
      <c r="T532" s="5" t="str">
        <f ca="1">IFERROR(__xludf.DUMMYFUNCTION("QUERY(transpose(A532:R532),""Select Col1 where Col1 is not null limit 1"",0)"),"Jarrett Stidham")</f>
        <v>Jarrett Stidham</v>
      </c>
      <c r="U532" s="32" t="e">
        <f t="shared" ref="U532:U539" ca="1" si="10">_xludf.IFNA(VLOOKUP($Q532,INDIRECT("'W"&amp;$S532&amp;"'!$A$2:$T$1000"),2,FALSE),0)</f>
        <v>#NAME?</v>
      </c>
    </row>
    <row r="533" spans="1:21" ht="12.75" x14ac:dyDescent="0.2">
      <c r="A533" s="5"/>
      <c r="B533" s="5"/>
      <c r="C533" s="5"/>
      <c r="D533" s="5"/>
      <c r="E533" s="5"/>
      <c r="F533" s="5"/>
      <c r="G533" s="5"/>
      <c r="H533" s="5"/>
      <c r="I533" s="5"/>
      <c r="J533" s="5"/>
      <c r="K533" s="5"/>
      <c r="L533" s="5"/>
      <c r="M533" s="5"/>
      <c r="N533" s="5"/>
      <c r="O533" s="5"/>
      <c r="P533" s="5"/>
      <c r="Q533" s="5" t="s">
        <v>807</v>
      </c>
      <c r="R533" s="5" t="s">
        <v>807</v>
      </c>
      <c r="S533" s="5">
        <f t="shared" si="7"/>
        <v>17</v>
      </c>
      <c r="T533" s="5" t="str">
        <f ca="1">IFERROR(__xludf.DUMMYFUNCTION("QUERY(transpose(A533:R533),""Select Col1 where Col1 is not null limit 1"",0)"),"Matt Barkley")</f>
        <v>Matt Barkley</v>
      </c>
      <c r="U533" s="32" t="e">
        <f t="shared" ca="1" si="10"/>
        <v>#NAME?</v>
      </c>
    </row>
    <row r="534" spans="1:21" ht="12.75" x14ac:dyDescent="0.2">
      <c r="A534" s="5"/>
      <c r="B534" s="5"/>
      <c r="C534" s="5"/>
      <c r="D534" s="5"/>
      <c r="E534" s="5"/>
      <c r="F534" s="5"/>
      <c r="G534" s="5"/>
      <c r="H534" s="5"/>
      <c r="I534" s="5"/>
      <c r="J534" s="5"/>
      <c r="K534" s="5"/>
      <c r="L534" s="5"/>
      <c r="M534" s="5"/>
      <c r="N534" s="5"/>
      <c r="O534" s="5"/>
      <c r="P534" s="5"/>
      <c r="Q534" s="5" t="s">
        <v>808</v>
      </c>
      <c r="R534" s="5" t="s">
        <v>808</v>
      </c>
      <c r="S534" s="5">
        <f t="shared" si="7"/>
        <v>17</v>
      </c>
      <c r="T534" s="5" t="str">
        <f ca="1">IFERROR(__xludf.DUMMYFUNCTION("QUERY(transpose(A534:R534),""Select Col1 where Col1 is not null limit 1"",0)"),"Jonathan Ward")</f>
        <v>Jonathan Ward</v>
      </c>
      <c r="U534" s="32" t="e">
        <f t="shared" ca="1" si="10"/>
        <v>#NAME?</v>
      </c>
    </row>
    <row r="535" spans="1:21" ht="12.75" x14ac:dyDescent="0.2">
      <c r="A535" s="5"/>
      <c r="B535" s="5"/>
      <c r="C535" s="5"/>
      <c r="D535" s="5"/>
      <c r="E535" s="5"/>
      <c r="F535" s="5"/>
      <c r="G535" s="5"/>
      <c r="H535" s="5"/>
      <c r="I535" s="5"/>
      <c r="J535" s="5"/>
      <c r="K535" s="5"/>
      <c r="L535" s="5"/>
      <c r="M535" s="5"/>
      <c r="N535" s="5"/>
      <c r="O535" s="5"/>
      <c r="P535" s="5"/>
      <c r="Q535" s="5" t="s">
        <v>809</v>
      </c>
      <c r="R535" s="5" t="s">
        <v>809</v>
      </c>
      <c r="S535" s="5">
        <f t="shared" si="7"/>
        <v>17</v>
      </c>
      <c r="T535" s="5" t="str">
        <f ca="1">IFERROR(__xludf.DUMMYFUNCTION("QUERY(transpose(A535:R535),""Select Col1 where Col1 is not null limit 1"",0)"),"Keelan Doss")</f>
        <v>Keelan Doss</v>
      </c>
      <c r="U535" s="32" t="e">
        <f t="shared" ca="1" si="10"/>
        <v>#NAME?</v>
      </c>
    </row>
    <row r="536" spans="1:21" ht="12.75" x14ac:dyDescent="0.2">
      <c r="A536" s="5"/>
      <c r="B536" s="5"/>
      <c r="C536" s="5"/>
      <c r="D536" s="5"/>
      <c r="E536" s="5"/>
      <c r="F536" s="5"/>
      <c r="G536" s="5"/>
      <c r="H536" s="5"/>
      <c r="I536" s="5"/>
      <c r="J536" s="5"/>
      <c r="K536" s="5"/>
      <c r="L536" s="5"/>
      <c r="M536" s="5"/>
      <c r="N536" s="5"/>
      <c r="O536" s="5"/>
      <c r="P536" s="5"/>
      <c r="Q536" s="5" t="s">
        <v>810</v>
      </c>
      <c r="R536" s="5" t="s">
        <v>810</v>
      </c>
      <c r="S536" s="5">
        <f t="shared" si="7"/>
        <v>17</v>
      </c>
      <c r="T536" s="5" t="str">
        <f ca="1">IFERROR(__xludf.DUMMYFUNCTION("QUERY(transpose(A536:R536),""Select Col1 where Col1 is not null limit 1"",0)"),"Collin Johnson")</f>
        <v>Collin Johnson</v>
      </c>
      <c r="U536" s="32" t="e">
        <f t="shared" ca="1" si="10"/>
        <v>#NAME?</v>
      </c>
    </row>
    <row r="537" spans="1:21" ht="12.75" x14ac:dyDescent="0.2">
      <c r="A537" s="5"/>
      <c r="B537" s="5"/>
      <c r="C537" s="5"/>
      <c r="D537" s="5"/>
      <c r="E537" s="5"/>
      <c r="F537" s="5"/>
      <c r="G537" s="5"/>
      <c r="H537" s="5"/>
      <c r="I537" s="5"/>
      <c r="J537" s="5"/>
      <c r="K537" s="5"/>
      <c r="L537" s="5"/>
      <c r="M537" s="5"/>
      <c r="N537" s="5"/>
      <c r="O537" s="5"/>
      <c r="P537" s="5"/>
      <c r="Q537" s="5" t="s">
        <v>811</v>
      </c>
      <c r="R537" s="5" t="s">
        <v>811</v>
      </c>
      <c r="S537" s="5">
        <f t="shared" si="7"/>
        <v>17</v>
      </c>
      <c r="T537" s="5" t="str">
        <f ca="1">IFERROR(__xludf.DUMMYFUNCTION("QUERY(transpose(A537:R537),""Select Col1 where Col1 is not null limit 1"",0)"),"Kenny Yeboah")</f>
        <v>Kenny Yeboah</v>
      </c>
      <c r="U537" s="32" t="e">
        <f t="shared" ca="1" si="10"/>
        <v>#NAME?</v>
      </c>
    </row>
    <row r="538" spans="1:21" ht="12.75" x14ac:dyDescent="0.2">
      <c r="A538" s="5"/>
      <c r="B538" s="5"/>
      <c r="C538" s="5"/>
      <c r="D538" s="5"/>
      <c r="E538" s="5"/>
      <c r="F538" s="5"/>
      <c r="G538" s="5"/>
      <c r="H538" s="5"/>
      <c r="I538" s="5"/>
      <c r="J538" s="5"/>
      <c r="K538" s="5"/>
      <c r="L538" s="5"/>
      <c r="M538" s="5"/>
      <c r="N538" s="5"/>
      <c r="O538" s="5"/>
      <c r="P538" s="5"/>
      <c r="Q538" s="5" t="s">
        <v>812</v>
      </c>
      <c r="R538" s="5" t="s">
        <v>812</v>
      </c>
      <c r="S538" s="5">
        <f t="shared" si="7"/>
        <v>17</v>
      </c>
      <c r="T538" s="5" t="str">
        <f ca="1">IFERROR(__xludf.DUMMYFUNCTION("QUERY(transpose(A538:R538),""Select Col1 where Col1 is not null limit 1"",0)"),"James Mitchell")</f>
        <v>James Mitchell</v>
      </c>
      <c r="U538" s="32" t="e">
        <f t="shared" ca="1" si="10"/>
        <v>#NAME?</v>
      </c>
    </row>
    <row r="539" spans="1:21" ht="12.75" x14ac:dyDescent="0.2">
      <c r="A539" s="5"/>
      <c r="B539" s="5"/>
      <c r="C539" s="5"/>
      <c r="D539" s="5"/>
      <c r="E539" s="5"/>
      <c r="F539" s="5"/>
      <c r="G539" s="5"/>
      <c r="H539" s="5"/>
      <c r="I539" s="5"/>
      <c r="J539" s="5"/>
      <c r="K539" s="5"/>
      <c r="L539" s="5"/>
      <c r="M539" s="5"/>
      <c r="N539" s="5"/>
      <c r="O539" s="5"/>
      <c r="P539" s="5"/>
      <c r="Q539" s="5" t="s">
        <v>813</v>
      </c>
      <c r="R539" s="5" t="s">
        <v>813</v>
      </c>
      <c r="S539" s="5">
        <f t="shared" si="7"/>
        <v>17</v>
      </c>
      <c r="T539" s="5" t="str">
        <f ca="1">IFERROR(__xludf.DUMMYFUNCTION("QUERY(transpose(A539:R539),""Select Col1 where Col1 is not null limit 1"",0)"),"Kevin Rader")</f>
        <v>Kevin Rader</v>
      </c>
      <c r="U539" s="32" t="e">
        <f t="shared" ca="1" si="10"/>
        <v>#NAME?</v>
      </c>
    </row>
    <row r="540" spans="1:21" ht="12.75" x14ac:dyDescent="0.2">
      <c r="A540" s="5"/>
      <c r="B540" s="5"/>
      <c r="C540" s="5"/>
      <c r="D540" s="5"/>
      <c r="E540" s="5"/>
      <c r="F540" s="5"/>
      <c r="G540" s="5"/>
      <c r="H540" s="5"/>
      <c r="I540" s="5"/>
      <c r="J540" s="5"/>
      <c r="K540" s="5"/>
      <c r="L540" s="5"/>
      <c r="M540" s="5"/>
      <c r="N540" s="5"/>
      <c r="O540" s="5"/>
      <c r="P540" s="5"/>
      <c r="Q540" s="5"/>
      <c r="R540" s="5" t="s">
        <v>816</v>
      </c>
      <c r="S540" s="5">
        <f t="shared" si="7"/>
        <v>18</v>
      </c>
      <c r="T540" s="5" t="str">
        <f ca="1">IFERROR(__xludf.DUMMYFUNCTION("QUERY(transpose(A540:R540),""Select Col1 where Col1 is not null limit 1"",0)"),"Carson Wentz")</f>
        <v>Carson Wentz</v>
      </c>
      <c r="U540" s="32" t="e">
        <f t="shared" ref="U540:U549" ca="1" si="11">_xludf.IFNA(VLOOKUP($R540,INDIRECT("'W"&amp;$S540&amp;"'!$A$2:$T$1000"),2,FALSE),0)</f>
        <v>#NAME?</v>
      </c>
    </row>
    <row r="541" spans="1:21" ht="12.75" x14ac:dyDescent="0.2">
      <c r="A541" s="5"/>
      <c r="B541" s="5"/>
      <c r="C541" s="5"/>
      <c r="D541" s="5"/>
      <c r="E541" s="5"/>
      <c r="F541" s="5"/>
      <c r="G541" s="5"/>
      <c r="H541" s="5"/>
      <c r="I541" s="5"/>
      <c r="J541" s="5"/>
      <c r="K541" s="5"/>
      <c r="L541" s="5"/>
      <c r="M541" s="5"/>
      <c r="N541" s="5"/>
      <c r="O541" s="5"/>
      <c r="P541" s="5"/>
      <c r="Q541" s="5"/>
      <c r="R541" s="5" t="s">
        <v>827</v>
      </c>
      <c r="S541" s="5">
        <f t="shared" si="7"/>
        <v>18</v>
      </c>
      <c r="T541" s="5" t="str">
        <f ca="1">IFERROR(__xludf.DUMMYFUNCTION("QUERY(transpose(A541:R541),""Select Col1 where Col1 is not null limit 1"",0)"),"Jeff Driskel")</f>
        <v>Jeff Driskel</v>
      </c>
      <c r="U541" s="32" t="e">
        <f t="shared" ca="1" si="11"/>
        <v>#NAME?</v>
      </c>
    </row>
    <row r="542" spans="1:21" ht="12.75" x14ac:dyDescent="0.2">
      <c r="A542" s="5"/>
      <c r="B542" s="5"/>
      <c r="C542" s="5"/>
      <c r="D542" s="5"/>
      <c r="E542" s="5"/>
      <c r="F542" s="5"/>
      <c r="G542" s="5"/>
      <c r="H542" s="5"/>
      <c r="I542" s="5"/>
      <c r="J542" s="5"/>
      <c r="K542" s="5"/>
      <c r="L542" s="5"/>
      <c r="M542" s="5"/>
      <c r="N542" s="5"/>
      <c r="O542" s="5"/>
      <c r="P542" s="5"/>
      <c r="Q542" s="5"/>
      <c r="R542" s="5" t="s">
        <v>832</v>
      </c>
      <c r="S542" s="5">
        <f t="shared" si="7"/>
        <v>18</v>
      </c>
      <c r="T542" s="5" t="str">
        <f ca="1">IFERROR(__xludf.DUMMYFUNCTION("QUERY(transpose(A542:R542),""Select Col1 where Col1 is not null limit 1"",0)"),"Logan Woodside")</f>
        <v>Logan Woodside</v>
      </c>
      <c r="U542" s="32" t="e">
        <f t="shared" ca="1" si="11"/>
        <v>#NAME?</v>
      </c>
    </row>
    <row r="543" spans="1:21" ht="12.75" x14ac:dyDescent="0.2">
      <c r="A543" s="5"/>
      <c r="B543" s="5"/>
      <c r="C543" s="5"/>
      <c r="D543" s="5"/>
      <c r="E543" s="5"/>
      <c r="F543" s="5"/>
      <c r="G543" s="5"/>
      <c r="H543" s="5"/>
      <c r="I543" s="5"/>
      <c r="J543" s="5"/>
      <c r="K543" s="5"/>
      <c r="L543" s="5"/>
      <c r="M543" s="5"/>
      <c r="N543" s="5"/>
      <c r="O543" s="5"/>
      <c r="P543" s="5"/>
      <c r="Q543" s="5"/>
      <c r="R543" s="5" t="s">
        <v>833</v>
      </c>
      <c r="S543" s="5">
        <f t="shared" si="7"/>
        <v>18</v>
      </c>
      <c r="T543" s="5" t="str">
        <f ca="1">IFERROR(__xludf.DUMMYFUNCTION("QUERY(transpose(A543:R543),""Select Col1 where Col1 is not null limit 1"",0)"),"Chris Conley")</f>
        <v>Chris Conley</v>
      </c>
      <c r="U543" s="32" t="e">
        <f t="shared" ca="1" si="11"/>
        <v>#NAME?</v>
      </c>
    </row>
    <row r="544" spans="1:21" ht="12.75" x14ac:dyDescent="0.2">
      <c r="A544" s="5"/>
      <c r="B544" s="5"/>
      <c r="C544" s="5"/>
      <c r="D544" s="5"/>
      <c r="E544" s="5"/>
      <c r="F544" s="5"/>
      <c r="G544" s="5"/>
      <c r="H544" s="5"/>
      <c r="I544" s="5"/>
      <c r="J544" s="5"/>
      <c r="K544" s="5"/>
      <c r="L544" s="5"/>
      <c r="M544" s="5"/>
      <c r="N544" s="5"/>
      <c r="O544" s="5"/>
      <c r="P544" s="5"/>
      <c r="Q544" s="5"/>
      <c r="R544" s="5" t="s">
        <v>834</v>
      </c>
      <c r="S544" s="5">
        <f t="shared" si="7"/>
        <v>18</v>
      </c>
      <c r="T544" s="5" t="str">
        <f ca="1">IFERROR(__xludf.DUMMYFUNCTION("QUERY(transpose(A544:R544),""Select Col1 where Col1 is not null limit 1"",0)"),"Tyler Johnson")</f>
        <v>Tyler Johnson</v>
      </c>
      <c r="U544" s="32" t="e">
        <f t="shared" ca="1" si="11"/>
        <v>#NAME?</v>
      </c>
    </row>
    <row r="545" spans="1:21" ht="12.75" x14ac:dyDescent="0.2">
      <c r="A545" s="5"/>
      <c r="B545" s="5"/>
      <c r="C545" s="5"/>
      <c r="D545" s="5"/>
      <c r="E545" s="5"/>
      <c r="F545" s="5"/>
      <c r="G545" s="5"/>
      <c r="H545" s="5"/>
      <c r="I545" s="5"/>
      <c r="J545" s="5"/>
      <c r="K545" s="5"/>
      <c r="L545" s="5"/>
      <c r="M545" s="5"/>
      <c r="N545" s="5"/>
      <c r="O545" s="5"/>
      <c r="P545" s="5"/>
      <c r="Q545" s="5"/>
      <c r="R545" s="5" t="s">
        <v>835</v>
      </c>
      <c r="S545" s="5">
        <f t="shared" si="7"/>
        <v>18</v>
      </c>
      <c r="T545" s="5" t="str">
        <f ca="1">IFERROR(__xludf.DUMMYFUNCTION("QUERY(transpose(A545:R545),""Select Col1 where Col1 is not null limit 1"",0)"),"Laquon Treadwell")</f>
        <v>Laquon Treadwell</v>
      </c>
      <c r="U545" s="32" t="e">
        <f t="shared" ca="1" si="11"/>
        <v>#NAME?</v>
      </c>
    </row>
    <row r="546" spans="1:21" ht="12.75" x14ac:dyDescent="0.2">
      <c r="A546" s="5"/>
      <c r="B546" s="5"/>
      <c r="C546" s="5"/>
      <c r="D546" s="5"/>
      <c r="E546" s="5"/>
      <c r="F546" s="5"/>
      <c r="G546" s="5"/>
      <c r="H546" s="5"/>
      <c r="I546" s="5"/>
      <c r="J546" s="5"/>
      <c r="K546" s="5"/>
      <c r="L546" s="5"/>
      <c r="M546" s="5"/>
      <c r="N546" s="5"/>
      <c r="O546" s="5"/>
      <c r="P546" s="5"/>
      <c r="Q546" s="5"/>
      <c r="R546" s="5" t="s">
        <v>836</v>
      </c>
      <c r="S546" s="5">
        <f t="shared" si="7"/>
        <v>18</v>
      </c>
      <c r="T546" s="5" t="str">
        <f ca="1">IFERROR(__xludf.DUMMYFUNCTION("QUERY(transpose(A546:R546),""Select Col1 where Col1 is not null limit 1"",0)"),"Tylan Wallace")</f>
        <v>Tylan Wallace</v>
      </c>
      <c r="U546" s="32" t="e">
        <f t="shared" ca="1" si="11"/>
        <v>#NAME?</v>
      </c>
    </row>
    <row r="547" spans="1:21" ht="12.75" x14ac:dyDescent="0.2">
      <c r="A547" s="5"/>
      <c r="B547" s="5"/>
      <c r="C547" s="5"/>
      <c r="D547" s="5"/>
      <c r="E547" s="5"/>
      <c r="F547" s="5"/>
      <c r="G547" s="5"/>
      <c r="H547" s="5"/>
      <c r="I547" s="5"/>
      <c r="J547" s="5"/>
      <c r="K547" s="5"/>
      <c r="L547" s="5"/>
      <c r="M547" s="5"/>
      <c r="N547" s="5"/>
      <c r="O547" s="5"/>
      <c r="P547" s="5"/>
      <c r="Q547" s="5"/>
      <c r="R547" s="5" t="s">
        <v>837</v>
      </c>
      <c r="S547" s="5">
        <f t="shared" si="7"/>
        <v>18</v>
      </c>
      <c r="T547" s="5" t="str">
        <f ca="1">IFERROR(__xludf.DUMMYFUNCTION("QUERY(transpose(A547:R547),""Select Col1 where Col1 is not null limit 1"",0)"),"Nick Muse")</f>
        <v>Nick Muse</v>
      </c>
      <c r="U547" s="32" t="e">
        <f t="shared" ca="1" si="11"/>
        <v>#NAME?</v>
      </c>
    </row>
    <row r="548" spans="1:21" ht="12.75" x14ac:dyDescent="0.2">
      <c r="A548" s="5"/>
      <c r="B548" s="5"/>
      <c r="C548" s="5"/>
      <c r="D548" s="5"/>
      <c r="E548" s="5"/>
      <c r="F548" s="5"/>
      <c r="G548" s="5"/>
      <c r="H548" s="5"/>
      <c r="I548" s="5"/>
      <c r="J548" s="5"/>
      <c r="K548" s="5"/>
      <c r="L548" s="5"/>
      <c r="M548" s="5"/>
      <c r="N548" s="5"/>
      <c r="O548" s="5"/>
      <c r="P548" s="5"/>
      <c r="Q548" s="5"/>
      <c r="R548" s="5" t="s">
        <v>838</v>
      </c>
      <c r="S548" s="5">
        <f t="shared" si="7"/>
        <v>18</v>
      </c>
      <c r="T548" s="5" t="str">
        <f ca="1">IFERROR(__xludf.DUMMYFUNCTION("QUERY(transpose(A548:R548),""Select Col1 where Col1 is not null limit 1"",0)"),"John FitzPatrick")</f>
        <v>John FitzPatrick</v>
      </c>
      <c r="U548" s="32" t="e">
        <f t="shared" ca="1" si="11"/>
        <v>#NAME?</v>
      </c>
    </row>
    <row r="549" spans="1:21" ht="12.75" x14ac:dyDescent="0.2">
      <c r="A549" s="5"/>
      <c r="B549" s="5"/>
      <c r="C549" s="5"/>
      <c r="D549" s="5"/>
      <c r="E549" s="5"/>
      <c r="F549" s="5"/>
      <c r="G549" s="5"/>
      <c r="H549" s="5"/>
      <c r="I549" s="5"/>
      <c r="J549" s="5"/>
      <c r="K549" s="5"/>
      <c r="L549" s="5"/>
      <c r="M549" s="5"/>
      <c r="N549" s="5"/>
      <c r="O549" s="5"/>
      <c r="P549" s="5"/>
      <c r="Q549" s="5"/>
      <c r="R549" s="5" t="s">
        <v>839</v>
      </c>
      <c r="S549" s="5">
        <f t="shared" si="7"/>
        <v>18</v>
      </c>
      <c r="T549" s="5" t="str">
        <f ca="1">IFERROR(__xludf.DUMMYFUNCTION("QUERY(transpose(A549:R549),""Select Col1 where Col1 is not null limit 1"",0)"),"Nick Vannett")</f>
        <v>Nick Vannett</v>
      </c>
      <c r="U549" s="32" t="e">
        <f t="shared" ca="1" si="11"/>
        <v>#NAME?</v>
      </c>
    </row>
    <row r="550" spans="1:21" ht="12.75" x14ac:dyDescent="0.2">
      <c r="A550" s="5"/>
      <c r="B550" s="5"/>
      <c r="C550" s="5"/>
      <c r="D550" s="5"/>
      <c r="E550" s="5"/>
      <c r="F550" s="5"/>
      <c r="G550" s="5"/>
      <c r="H550" s="5"/>
      <c r="I550" s="5"/>
      <c r="J550" s="5"/>
      <c r="K550" s="5"/>
      <c r="L550" s="5"/>
      <c r="M550" s="5"/>
      <c r="N550" s="5"/>
      <c r="O550" s="5"/>
      <c r="P550" s="5"/>
      <c r="Q550" s="5"/>
      <c r="R550" s="5"/>
      <c r="S550" s="5"/>
      <c r="T550" s="5"/>
      <c r="U550"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3C47D"/>
    <outlinePr summaryBelow="0" summaryRight="0"/>
  </sheetPr>
  <dimension ref="A1:X600"/>
  <sheetViews>
    <sheetView tabSelected="1" workbookViewId="0">
      <pane ySplit="1" topLeftCell="A2" activePane="bottomLeft" state="frozen"/>
      <selection pane="bottomLeft" activeCell="AB12" sqref="AB12"/>
    </sheetView>
  </sheetViews>
  <sheetFormatPr defaultColWidth="12.5703125" defaultRowHeight="15.75" customHeight="1" x14ac:dyDescent="0.2"/>
  <cols>
    <col min="1" max="1" width="20.85546875" customWidth="1"/>
    <col min="2" max="2" width="6.42578125" customWidth="1"/>
    <col min="3" max="20" width="5.85546875" customWidth="1"/>
    <col min="21" max="22" width="7.42578125" customWidth="1"/>
    <col min="23" max="23" width="11.42578125" customWidth="1"/>
    <col min="24" max="24" width="9.28515625" customWidth="1"/>
  </cols>
  <sheetData>
    <row r="1" spans="1:24" ht="12.75" x14ac:dyDescent="0.2">
      <c r="A1" s="33" t="s">
        <v>4</v>
      </c>
      <c r="B1" s="33" t="s">
        <v>842</v>
      </c>
      <c r="C1" s="34">
        <v>1</v>
      </c>
      <c r="D1" s="34">
        <v>2</v>
      </c>
      <c r="E1" s="34">
        <v>3</v>
      </c>
      <c r="F1" s="34">
        <v>4</v>
      </c>
      <c r="G1" s="34">
        <v>5</v>
      </c>
      <c r="H1" s="34">
        <v>6</v>
      </c>
      <c r="I1" s="34">
        <v>7</v>
      </c>
      <c r="J1" s="34">
        <v>8</v>
      </c>
      <c r="K1" s="34">
        <v>9</v>
      </c>
      <c r="L1" s="34">
        <v>10</v>
      </c>
      <c r="M1" s="34">
        <v>11</v>
      </c>
      <c r="N1" s="34">
        <v>12</v>
      </c>
      <c r="O1" s="34">
        <v>13</v>
      </c>
      <c r="P1" s="34">
        <v>14</v>
      </c>
      <c r="Q1" s="34">
        <v>15</v>
      </c>
      <c r="R1" s="34">
        <v>16</v>
      </c>
      <c r="S1" s="34">
        <v>17</v>
      </c>
      <c r="T1" s="34">
        <v>18</v>
      </c>
      <c r="U1" s="34" t="s">
        <v>843</v>
      </c>
      <c r="V1" s="34" t="s">
        <v>844</v>
      </c>
      <c r="W1" s="34" t="s">
        <v>845</v>
      </c>
      <c r="X1" s="35" t="s">
        <v>846</v>
      </c>
    </row>
    <row r="2" spans="1:24" ht="12.75" x14ac:dyDescent="0.2">
      <c r="A2" s="36" t="s">
        <v>192</v>
      </c>
      <c r="B2" s="36" t="s">
        <v>162</v>
      </c>
      <c r="C2" s="37">
        <f ca="1">_xlfn.IFNA(VLOOKUP($A2,INDIRECT("'W"&amp;C$1&amp;"'!$A$2:$T$1000"),4,FALSE),0)</f>
        <v>11.7</v>
      </c>
      <c r="D2" s="37">
        <f ca="1">_xlfn.IFNA(VLOOKUP($A2,INDIRECT("'W"&amp;D$1&amp;"'!$A$2:$T$1000"),4,FALSE),0)</f>
        <v>25.3</v>
      </c>
      <c r="E2" s="37">
        <f ca="1">_xlfn.IFNA(VLOOKUP($A2,INDIRECT("'W"&amp;E$1&amp;"'!$A$2:$T$1000"),4,FALSE),0)</f>
        <v>10.200000000000001</v>
      </c>
      <c r="F2" s="37">
        <f ca="1">_xlfn.IFNA(VLOOKUP($A2,INDIRECT("'W"&amp;F$1&amp;"'!$A$2:$T$1000"),4,FALSE),0)</f>
        <v>14.8</v>
      </c>
      <c r="G2" s="37">
        <f ca="1">_xlfn.IFNA(VLOOKUP($A2,INDIRECT("'W"&amp;G$1&amp;"'!$A$2:$T$1000"),4,FALSE),0)</f>
        <v>8.9</v>
      </c>
      <c r="H2" s="37">
        <f ca="1">_xlfn.IFNA(VLOOKUP($A2,INDIRECT("'W"&amp;H$1&amp;"'!$A$2:$T$1000"),4,FALSE),0)</f>
        <v>18.700000000000003</v>
      </c>
      <c r="I2" s="37">
        <f ca="1">_xlfn.IFNA(VLOOKUP($A2,INDIRECT("'W"&amp;I$1&amp;"'!$A$2:$T$1000"),4,FALSE),0)</f>
        <v>0</v>
      </c>
      <c r="J2" s="37">
        <f ca="1">_xlfn.IFNA(VLOOKUP($A2,INDIRECT("'W"&amp;J$1&amp;"'!$A$2:$T$1000"),4,FALSE),0)</f>
        <v>41</v>
      </c>
      <c r="K2" s="37">
        <f ca="1">_xlfn.IFNA(VLOOKUP($A2,INDIRECT("'W"&amp;K$1&amp;"'!$A$2:$T$1000"),4,FALSE),0)</f>
        <v>28.1</v>
      </c>
      <c r="L2" s="37">
        <f ca="1">_xlfn.IFNA(VLOOKUP($A2,INDIRECT("'W"&amp;L$1&amp;"'!$A$2:$T$1000"),4,FALSE),0)</f>
        <v>39.5</v>
      </c>
      <c r="M2" s="37">
        <f ca="1">_xlfn.IFNA(VLOOKUP($A2,INDIRECT("'W"&amp;M$1&amp;"'!$A$2:$T$1000"),4,FALSE),0)</f>
        <v>16.5</v>
      </c>
      <c r="N2" s="37">
        <f ca="1">_xlfn.IFNA(VLOOKUP($A2,INDIRECT("'W"&amp;N$1&amp;"'!$A$2:$T$1000"),4,FALSE),0)</f>
        <v>17.3</v>
      </c>
      <c r="O2" s="37">
        <f ca="1">_xlfn.IFNA(VLOOKUP($A2,INDIRECT("'W"&amp;O$1&amp;"'!$A$2:$T$1000"),4,FALSE),0)</f>
        <v>32.6</v>
      </c>
      <c r="P2" s="37">
        <f ca="1">_xlfn.IFNA(VLOOKUP($A2,INDIRECT("'W"&amp;P$1&amp;"'!$A$2:$T$1000"),4,FALSE),0)</f>
        <v>19.100000000000001</v>
      </c>
      <c r="Q2" s="37">
        <f ca="1">_xlfn.IFNA(VLOOKUP($A2,INDIRECT("'W"&amp;Q$1&amp;"'!$A$2:$T$1000"),4,FALSE),0)</f>
        <v>18.600000000000001</v>
      </c>
      <c r="R2" s="37">
        <f ca="1">_xlfn.IFNA(VLOOKUP($A2,INDIRECT("'W"&amp;R$1&amp;"'!$A$2:$T$1000"),4,FALSE),0)</f>
        <v>25.200000000000003</v>
      </c>
      <c r="S2" s="37">
        <f ca="1">_xlfn.IFNA(VLOOKUP($A2,INDIRECT("'W"&amp;S$1&amp;"'!$A$2:$T$1000"),4,FALSE),0)</f>
        <v>40.200000000000003</v>
      </c>
      <c r="T2" s="37">
        <f ca="1">_xlfn.IFNA(VLOOKUP($A2,INDIRECT("'W"&amp;T$1&amp;"'!$A$2:$T$1000"),4,FALSE),0)</f>
        <v>35.5</v>
      </c>
      <c r="U2" s="36">
        <f ca="1">COUNTIF(C2:T2,"&gt; 15")</f>
        <v>13</v>
      </c>
      <c r="V2" s="36">
        <f ca="1">SUM(C2:T2)</f>
        <v>403.20000000000005</v>
      </c>
      <c r="W2" s="36"/>
      <c r="X2" s="38">
        <v>15</v>
      </c>
    </row>
    <row r="3" spans="1:24" ht="12.75" x14ac:dyDescent="0.2">
      <c r="A3" s="36" t="s">
        <v>48</v>
      </c>
      <c r="B3" s="36" t="s">
        <v>17</v>
      </c>
      <c r="C3" s="37">
        <f ca="1">_xlfn.IFNA(VLOOKUP($A3,INDIRECT("'W"&amp;C$1&amp;"'!$A$2:$T$1000"),4,FALSE),0)</f>
        <v>9.0399999999999991</v>
      </c>
      <c r="D3" s="37">
        <f ca="1">_xlfn.IFNA(VLOOKUP($A3,INDIRECT("'W"&amp;D$1&amp;"'!$A$2:$T$1000"),4,FALSE),0)</f>
        <v>23.66</v>
      </c>
      <c r="E3" s="37">
        <f ca="1">_xlfn.IFNA(VLOOKUP($A3,INDIRECT("'W"&amp;E$1&amp;"'!$A$2:$T$1000"),4,FALSE),0)</f>
        <v>21.32</v>
      </c>
      <c r="F3" s="37">
        <f ca="1">_xlfn.IFNA(VLOOKUP($A3,INDIRECT("'W"&amp;F$1&amp;"'!$A$2:$T$1000"),4,FALSE),0)</f>
        <v>36.5</v>
      </c>
      <c r="G3" s="37">
        <f ca="1">_xlfn.IFNA(VLOOKUP($A3,INDIRECT("'W"&amp;G$1&amp;"'!$A$2:$T$1000"),4,FALSE),0)</f>
        <v>27.759999999999998</v>
      </c>
      <c r="H3" s="37">
        <f ca="1">_xlfn.IFNA(VLOOKUP($A3,INDIRECT("'W"&amp;H$1&amp;"'!$A$2:$T$1000"),4,FALSE),0)</f>
        <v>13.86</v>
      </c>
      <c r="I3" s="37">
        <f ca="1">_xlfn.IFNA(VLOOKUP($A3,INDIRECT("'W"&amp;I$1&amp;"'!$A$2:$T$1000"),4,FALSE),0)</f>
        <v>24.3</v>
      </c>
      <c r="J3" s="37">
        <f ca="1">_xlfn.IFNA(VLOOKUP($A3,INDIRECT("'W"&amp;J$1&amp;"'!$A$2:$T$1000"),4,FALSE),0)</f>
        <v>29.060000000000002</v>
      </c>
      <c r="K3" s="37">
        <f ca="1">_xlfn.IFNA(VLOOKUP($A3,INDIRECT("'W"&amp;K$1&amp;"'!$A$2:$T$1000"),4,FALSE),0)</f>
        <v>24.72</v>
      </c>
      <c r="L3" s="37">
        <f ca="1">_xlfn.IFNA(VLOOKUP($A3,INDIRECT("'W"&amp;L$1&amp;"'!$A$2:$T$1000"),4,FALSE),0)</f>
        <v>14.380000000000003</v>
      </c>
      <c r="M3" s="37">
        <f ca="1">_xlfn.IFNA(VLOOKUP($A3,INDIRECT("'W"&amp;M$1&amp;"'!$A$2:$T$1000"),4,FALSE),0)</f>
        <v>22.5</v>
      </c>
      <c r="N3" s="37">
        <f ca="1">_xlfn.IFNA(VLOOKUP($A3,INDIRECT("'W"&amp;N$1&amp;"'!$A$2:$T$1000"),4,FALSE),0)</f>
        <v>39.660000000000004</v>
      </c>
      <c r="O3" s="37">
        <f ca="1">_xlfn.IFNA(VLOOKUP($A3,INDIRECT("'W"&amp;O$1&amp;"'!$A$2:$T$1000"),4,FALSE),0)</f>
        <v>0</v>
      </c>
      <c r="P3" s="37">
        <f ca="1">_xlfn.IFNA(VLOOKUP($A3,INDIRECT("'W"&amp;P$1&amp;"'!$A$2:$T$1000"),4,FALSE),0)</f>
        <v>20.52</v>
      </c>
      <c r="Q3" s="37">
        <f ca="1">_xlfn.IFNA(VLOOKUP($A3,INDIRECT("'W"&amp;Q$1&amp;"'!$A$2:$T$1000"),4,FALSE),0)</f>
        <v>16.16</v>
      </c>
      <c r="R3" s="37">
        <f ca="1">_xlfn.IFNA(VLOOKUP($A3,INDIRECT("'W"&amp;R$1&amp;"'!$A$2:$T$1000"),4,FALSE),0)</f>
        <v>24.98</v>
      </c>
      <c r="S3" s="37">
        <f ca="1">_xlfn.IFNA(VLOOKUP($A3,INDIRECT("'W"&amp;S$1&amp;"'!$A$2:$T$1000"),4,FALSE),0)</f>
        <v>21.16</v>
      </c>
      <c r="T3" s="37">
        <f ca="1">_xlfn.IFNA(VLOOKUP($A3,INDIRECT("'W"&amp;T$1&amp;"'!$A$2:$T$1000"),4,FALSE),0)</f>
        <v>23.06</v>
      </c>
      <c r="U3" s="36">
        <f ca="1">COUNTIF(C3:T3,"&gt; 15")</f>
        <v>14</v>
      </c>
      <c r="V3" s="36">
        <f ca="1">SUM(C3:T3)</f>
        <v>392.64000000000004</v>
      </c>
      <c r="W3" s="36">
        <v>1</v>
      </c>
      <c r="X3" s="38">
        <v>18</v>
      </c>
    </row>
    <row r="4" spans="1:24" ht="12.75" x14ac:dyDescent="0.2">
      <c r="A4" s="36" t="s">
        <v>77</v>
      </c>
      <c r="B4" s="36" t="s">
        <v>75</v>
      </c>
      <c r="C4" s="37">
        <f ca="1">_xlfn.IFNA(VLOOKUP($A4,INDIRECT("'W"&amp;C$1&amp;"'!$A$2:$T$1000"),4,FALSE),0)</f>
        <v>25.900000000000002</v>
      </c>
      <c r="D4" s="37">
        <f ca="1">_xlfn.IFNA(VLOOKUP($A4,INDIRECT("'W"&amp;D$1&amp;"'!$A$2:$T$1000"),4,FALSE),0)</f>
        <v>22.5</v>
      </c>
      <c r="E4" s="37">
        <f ca="1">_xlfn.IFNA(VLOOKUP($A4,INDIRECT("'W"&amp;E$1&amp;"'!$A$2:$T$1000"),4,FALSE),0)</f>
        <v>22.9</v>
      </c>
      <c r="F4" s="37">
        <f ca="1">_xlfn.IFNA(VLOOKUP($A4,INDIRECT("'W"&amp;F$1&amp;"'!$A$2:$T$1000"),4,FALSE),0)</f>
        <v>48.7</v>
      </c>
      <c r="G4" s="37">
        <f ca="1">_xlfn.IFNA(VLOOKUP($A4,INDIRECT("'W"&amp;G$1&amp;"'!$A$2:$T$1000"),4,FALSE),0)</f>
        <v>13.8</v>
      </c>
      <c r="H4" s="37">
        <f ca="1">_xlfn.IFNA(VLOOKUP($A4,INDIRECT("'W"&amp;H$1&amp;"'!$A$2:$T$1000"),4,FALSE),0)</f>
        <v>14.2</v>
      </c>
      <c r="I4" s="37">
        <f ca="1">_xlfn.IFNA(VLOOKUP($A4,INDIRECT("'W"&amp;I$1&amp;"'!$A$2:$T$1000"),4,FALSE),0)</f>
        <v>22.6</v>
      </c>
      <c r="J4" s="37">
        <f ca="1">_xlfn.IFNA(VLOOKUP($A4,INDIRECT("'W"&amp;J$1&amp;"'!$A$2:$T$1000"),4,FALSE),0)</f>
        <v>29.799999999999997</v>
      </c>
      <c r="K4" s="37">
        <f ca="1">_xlfn.IFNA(VLOOKUP($A4,INDIRECT("'W"&amp;K$1&amp;"'!$A$2:$T$1000"),4,FALSE),0)</f>
        <v>0</v>
      </c>
      <c r="L4" s="37">
        <f ca="1">_xlfn.IFNA(VLOOKUP($A4,INDIRECT("'W"&amp;L$1&amp;"'!$A$2:$T$1000"),4,FALSE),0)</f>
        <v>20.2</v>
      </c>
      <c r="M4" s="37">
        <f ca="1">_xlfn.IFNA(VLOOKUP($A4,INDIRECT("'W"&amp;M$1&amp;"'!$A$2:$T$1000"),4,FALSE),0)</f>
        <v>21.3</v>
      </c>
      <c r="N4" s="37">
        <f ca="1">_xlfn.IFNA(VLOOKUP($A4,INDIRECT("'W"&amp;N$1&amp;"'!$A$2:$T$1000"),4,FALSE),0)</f>
        <v>30.9</v>
      </c>
      <c r="O4" s="37">
        <f ca="1">_xlfn.IFNA(VLOOKUP($A4,INDIRECT("'W"&amp;O$1&amp;"'!$A$2:$T$1000"),4,FALSE),0)</f>
        <v>22.3</v>
      </c>
      <c r="P4" s="37">
        <f ca="1">_xlfn.IFNA(VLOOKUP($A4,INDIRECT("'W"&amp;P$1&amp;"'!$A$2:$T$1000"),4,FALSE),0)</f>
        <v>16.3</v>
      </c>
      <c r="Q4" s="37">
        <f ca="1">_xlfn.IFNA(VLOOKUP($A4,INDIRECT("'W"&amp;Q$1&amp;"'!$A$2:$T$1000"),4,FALSE),0)</f>
        <v>41.7</v>
      </c>
      <c r="R4" s="37">
        <f ca="1">_xlfn.IFNA(VLOOKUP($A4,INDIRECT("'W"&amp;R$1&amp;"'!$A$2:$T$1000"),4,FALSE),0)</f>
        <v>25.1</v>
      </c>
      <c r="S4" s="37">
        <f ca="1">_xlfn.IFNA(VLOOKUP($A4,INDIRECT("'W"&amp;S$1&amp;"'!$A$2:$T$1000"),4,FALSE),0)</f>
        <v>13.100000000000001</v>
      </c>
      <c r="T4" s="37">
        <f ca="1">_xlfn.IFNA(VLOOKUP($A4,INDIRECT("'W"&amp;T$1&amp;"'!$A$2:$T$1000"),4,FALSE),0)</f>
        <v>0</v>
      </c>
      <c r="U4" s="36">
        <f ca="1">COUNTIF(C4:T4,"&gt; 15")</f>
        <v>13</v>
      </c>
      <c r="V4" s="36">
        <f ca="1">SUM(C4:T4)</f>
        <v>391.3</v>
      </c>
      <c r="W4" s="36"/>
      <c r="X4" s="38">
        <v>4</v>
      </c>
    </row>
    <row r="5" spans="1:24" ht="12.75" x14ac:dyDescent="0.2">
      <c r="A5" s="36" t="s">
        <v>161</v>
      </c>
      <c r="B5" s="36" t="s">
        <v>162</v>
      </c>
      <c r="C5" s="37">
        <f ca="1">_xlfn.IFNA(VLOOKUP($A5,INDIRECT("'W"&amp;C$1&amp;"'!$A$2:$T$1000"),4,FALSE),0)</f>
        <v>44.5</v>
      </c>
      <c r="D5" s="37">
        <f ca="1">_xlfn.IFNA(VLOOKUP($A5,INDIRECT("'W"&amp;D$1&amp;"'!$A$2:$T$1000"),4,FALSE),0)</f>
        <v>15</v>
      </c>
      <c r="E5" s="37">
        <f ca="1">_xlfn.IFNA(VLOOKUP($A5,INDIRECT("'W"&amp;E$1&amp;"'!$A$2:$T$1000"),4,FALSE),0)</f>
        <v>30.700000000000003</v>
      </c>
      <c r="F5" s="37">
        <f ca="1">_xlfn.IFNA(VLOOKUP($A5,INDIRECT("'W"&amp;F$1&amp;"'!$A$2:$T$1000"),4,FALSE),0)</f>
        <v>10.200000000000001</v>
      </c>
      <c r="G5" s="37">
        <f ca="1">_xlfn.IFNA(VLOOKUP($A5,INDIRECT("'W"&amp;G$1&amp;"'!$A$2:$T$1000"),4,FALSE),0)</f>
        <v>32.1</v>
      </c>
      <c r="H5" s="37">
        <f ca="1">_xlfn.IFNA(VLOOKUP($A5,INDIRECT("'W"&amp;H$1&amp;"'!$A$2:$T$1000"),4,FALSE),0)</f>
        <v>28.3</v>
      </c>
      <c r="I5" s="37">
        <f ca="1">_xlfn.IFNA(VLOOKUP($A5,INDIRECT("'W"&amp;I$1&amp;"'!$A$2:$T$1000"),4,FALSE),0)</f>
        <v>25.8</v>
      </c>
      <c r="J5" s="37">
        <f ca="1">_xlfn.IFNA(VLOOKUP($A5,INDIRECT("'W"&amp;J$1&amp;"'!$A$2:$T$1000"),4,FALSE),0)</f>
        <v>25.200000000000003</v>
      </c>
      <c r="K5" s="37">
        <f ca="1">_xlfn.IFNA(VLOOKUP($A5,INDIRECT("'W"&amp;K$1&amp;"'!$A$2:$T$1000"),4,FALSE),0)</f>
        <v>12.5</v>
      </c>
      <c r="L5" s="37">
        <f ca="1">_xlfn.IFNA(VLOOKUP($A5,INDIRECT("'W"&amp;L$1&amp;"'!$A$2:$T$1000"),4,FALSE),0)</f>
        <v>0</v>
      </c>
      <c r="M5" s="37">
        <f ca="1">_xlfn.IFNA(VLOOKUP($A5,INDIRECT("'W"&amp;M$1&amp;"'!$A$2:$T$1000"),4,FALSE),0)</f>
        <v>30.6</v>
      </c>
      <c r="N5" s="37">
        <f ca="1">_xlfn.IFNA(VLOOKUP($A5,INDIRECT("'W"&amp;N$1&amp;"'!$A$2:$T$1000"),4,FALSE),0)</f>
        <v>25.4</v>
      </c>
      <c r="O5" s="37">
        <f ca="1">_xlfn.IFNA(VLOOKUP($A5,INDIRECT("'W"&amp;O$1&amp;"'!$A$2:$T$1000"),4,FALSE),0)</f>
        <v>32.299999999999997</v>
      </c>
      <c r="P5" s="37">
        <f ca="1">_xlfn.IFNA(VLOOKUP($A5,INDIRECT("'W"&amp;P$1&amp;"'!$A$2:$T$1000"),4,FALSE),0)</f>
        <v>10.100000000000001</v>
      </c>
      <c r="Q5" s="37">
        <f ca="1">_xlfn.IFNA(VLOOKUP($A5,INDIRECT("'W"&amp;Q$1&amp;"'!$A$2:$T$1000"),4,FALSE),0)</f>
        <v>0</v>
      </c>
      <c r="R5" s="37">
        <f ca="1">_xlfn.IFNA(VLOOKUP($A5,INDIRECT("'W"&amp;R$1&amp;"'!$A$2:$T$1000"),4,FALSE),0)</f>
        <v>18.899999999999999</v>
      </c>
      <c r="S5" s="37">
        <f ca="1">_xlfn.IFNA(VLOOKUP($A5,INDIRECT("'W"&amp;S$1&amp;"'!$A$2:$T$1000"),4,FALSE),0)</f>
        <v>13.600000000000001</v>
      </c>
      <c r="T5" s="37">
        <f ca="1">_xlfn.IFNA(VLOOKUP($A5,INDIRECT("'W"&amp;T$1&amp;"'!$A$2:$T$1000"),4,FALSE),0)</f>
        <v>21.200000000000003</v>
      </c>
      <c r="U5" s="36">
        <f ca="1">COUNTIF(C5:T5,"&gt; 15")</f>
        <v>11</v>
      </c>
      <c r="V5" s="36">
        <f ca="1">SUM(C5:T5)</f>
        <v>376.40000000000003</v>
      </c>
      <c r="W5" s="36"/>
      <c r="X5" s="38">
        <v>5</v>
      </c>
    </row>
    <row r="6" spans="1:24" ht="12.75" x14ac:dyDescent="0.2">
      <c r="A6" s="36" t="s">
        <v>45</v>
      </c>
      <c r="B6" s="36" t="s">
        <v>17</v>
      </c>
      <c r="C6" s="37">
        <f ca="1">_xlfn.IFNA(VLOOKUP($A6,INDIRECT("'W"&amp;C$1&amp;"'!$A$2:$T$1000"),4,FALSE),0)</f>
        <v>12.5</v>
      </c>
      <c r="D6" s="37">
        <f ca="1">_xlfn.IFNA(VLOOKUP($A6,INDIRECT("'W"&amp;D$1&amp;"'!$A$2:$T$1000"),4,FALSE),0)</f>
        <v>25.22</v>
      </c>
      <c r="E6" s="37">
        <f ca="1">_xlfn.IFNA(VLOOKUP($A6,INDIRECT("'W"&amp;E$1&amp;"'!$A$2:$T$1000"),4,FALSE),0)</f>
        <v>19.880000000000003</v>
      </c>
      <c r="F6" s="37">
        <f ca="1">_xlfn.IFNA(VLOOKUP($A6,INDIRECT("'W"&amp;F$1&amp;"'!$A$2:$T$1000"),4,FALSE),0)</f>
        <v>24.159999999999997</v>
      </c>
      <c r="G6" s="37">
        <f ca="1">_xlfn.IFNA(VLOOKUP($A6,INDIRECT("'W"&amp;G$1&amp;"'!$A$2:$T$1000"),4,FALSE),0)</f>
        <v>27.32</v>
      </c>
      <c r="H6" s="37">
        <f ca="1">_xlfn.IFNA(VLOOKUP($A6,INDIRECT("'W"&amp;H$1&amp;"'!$A$2:$T$1000"),4,FALSE),0)</f>
        <v>19.900000000000002</v>
      </c>
      <c r="I6" s="37">
        <f ca="1">_xlfn.IFNA(VLOOKUP($A6,INDIRECT("'W"&amp;I$1&amp;"'!$A$2:$T$1000"),4,FALSE),0)</f>
        <v>23.26</v>
      </c>
      <c r="J6" s="37">
        <f ca="1">_xlfn.IFNA(VLOOKUP($A6,INDIRECT("'W"&amp;J$1&amp;"'!$A$2:$T$1000"),4,FALSE),0)</f>
        <v>27.36</v>
      </c>
      <c r="K6" s="37">
        <f ca="1">_xlfn.IFNA(VLOOKUP($A6,INDIRECT("'W"&amp;K$1&amp;"'!$A$2:$T$1000"),4,FALSE),0)</f>
        <v>25.880000000000003</v>
      </c>
      <c r="L6" s="37">
        <f ca="1">_xlfn.IFNA(VLOOKUP($A6,INDIRECT("'W"&amp;L$1&amp;"'!$A$2:$T$1000"),4,FALSE),0)</f>
        <v>0</v>
      </c>
      <c r="M6" s="37">
        <f ca="1">_xlfn.IFNA(VLOOKUP($A6,INDIRECT("'W"&amp;M$1&amp;"'!$A$2:$T$1000"),4,FALSE),0)</f>
        <v>18.899999999999999</v>
      </c>
      <c r="N6" s="37">
        <f ca="1">_xlfn.IFNA(VLOOKUP($A6,INDIRECT("'W"&amp;N$1&amp;"'!$A$2:$T$1000"),4,FALSE),0)</f>
        <v>34.5</v>
      </c>
      <c r="O6" s="37">
        <f ca="1">_xlfn.IFNA(VLOOKUP($A6,INDIRECT("'W"&amp;O$1&amp;"'!$A$2:$T$1000"),4,FALSE),0)</f>
        <v>23.92</v>
      </c>
      <c r="P6" s="37">
        <f ca="1">_xlfn.IFNA(VLOOKUP($A6,INDIRECT("'W"&amp;P$1&amp;"'!$A$2:$T$1000"),4,FALSE),0)</f>
        <v>8.879999999999999</v>
      </c>
      <c r="Q6" s="37">
        <f ca="1">_xlfn.IFNA(VLOOKUP($A6,INDIRECT("'W"&amp;Q$1&amp;"'!$A$2:$T$1000"),4,FALSE),0)</f>
        <v>21.92</v>
      </c>
      <c r="R6" s="37">
        <f ca="1">_xlfn.IFNA(VLOOKUP($A6,INDIRECT("'W"&amp;R$1&amp;"'!$A$2:$T$1000"),4,FALSE),0)</f>
        <v>23.439999999999998</v>
      </c>
      <c r="S6" s="37">
        <f ca="1">_xlfn.IFNA(VLOOKUP($A6,INDIRECT("'W"&amp;S$1&amp;"'!$A$2:$T$1000"),4,FALSE),0)</f>
        <v>19.18</v>
      </c>
      <c r="T6" s="37">
        <f ca="1">_xlfn.IFNA(VLOOKUP($A6,INDIRECT("'W"&amp;T$1&amp;"'!$A$2:$T$1000"),4,FALSE),0)</f>
        <v>0.6000000000000002</v>
      </c>
      <c r="U6" s="36">
        <f ca="1">COUNTIF(C6:T6,"&gt; 15")</f>
        <v>14</v>
      </c>
      <c r="V6" s="36">
        <f ca="1">SUM(C6:T6)</f>
        <v>356.82000000000005</v>
      </c>
      <c r="W6" s="36">
        <v>1</v>
      </c>
      <c r="X6" s="38">
        <v>25</v>
      </c>
    </row>
    <row r="7" spans="1:24" ht="12.75" x14ac:dyDescent="0.2">
      <c r="A7" s="36" t="s">
        <v>59</v>
      </c>
      <c r="B7" s="36" t="s">
        <v>17</v>
      </c>
      <c r="C7" s="37">
        <f ca="1">_xlfn.IFNA(VLOOKUP($A7,INDIRECT("'W"&amp;C$1&amp;"'!$A$2:$T$1000"),4,FALSE),0)</f>
        <v>6.32</v>
      </c>
      <c r="D7" s="37">
        <f ca="1">_xlfn.IFNA(VLOOKUP($A7,INDIRECT("'W"&amp;D$1&amp;"'!$A$2:$T$1000"),4,FALSE),0)</f>
        <v>19.600000000000001</v>
      </c>
      <c r="E7" s="37">
        <f ca="1">_xlfn.IFNA(VLOOKUP($A7,INDIRECT("'W"&amp;E$1&amp;"'!$A$2:$T$1000"),4,FALSE),0)</f>
        <v>14.360000000000001</v>
      </c>
      <c r="F7" s="37">
        <f ca="1">_xlfn.IFNA(VLOOKUP($A7,INDIRECT("'W"&amp;F$1&amp;"'!$A$2:$T$1000"),4,FALSE),0)</f>
        <v>14.34</v>
      </c>
      <c r="G7" s="37">
        <f ca="1">_xlfn.IFNA(VLOOKUP($A7,INDIRECT("'W"&amp;G$1&amp;"'!$A$2:$T$1000"),4,FALSE),0)</f>
        <v>4.3200000000000012</v>
      </c>
      <c r="H7" s="37">
        <f ca="1">_xlfn.IFNA(VLOOKUP($A7,INDIRECT("'W"&amp;H$1&amp;"'!$A$2:$T$1000"),4,FALSE),0)</f>
        <v>24.880000000000003</v>
      </c>
      <c r="I7" s="37">
        <f ca="1">_xlfn.IFNA(VLOOKUP($A7,INDIRECT("'W"&amp;I$1&amp;"'!$A$2:$T$1000"),4,FALSE),0)</f>
        <v>0</v>
      </c>
      <c r="J7" s="37">
        <f ca="1">_xlfn.IFNA(VLOOKUP($A7,INDIRECT("'W"&amp;J$1&amp;"'!$A$2:$T$1000"),4,FALSE),0)</f>
        <v>28.06</v>
      </c>
      <c r="K7" s="37">
        <f ca="1">_xlfn.IFNA(VLOOKUP($A7,INDIRECT("'W"&amp;K$1&amp;"'!$A$2:$T$1000"),4,FALSE),0)</f>
        <v>28.36</v>
      </c>
      <c r="L7" s="37">
        <f ca="1">_xlfn.IFNA(VLOOKUP($A7,INDIRECT("'W"&amp;L$1&amp;"'!$A$2:$T$1000"),4,FALSE),0)</f>
        <v>37.86</v>
      </c>
      <c r="M7" s="37">
        <f ca="1">_xlfn.IFNA(VLOOKUP($A7,INDIRECT("'W"&amp;M$1&amp;"'!$A$2:$T$1000"),4,FALSE),0)</f>
        <v>16.16</v>
      </c>
      <c r="N7" s="37">
        <f ca="1">_xlfn.IFNA(VLOOKUP($A7,INDIRECT("'W"&amp;N$1&amp;"'!$A$2:$T$1000"),4,FALSE),0)</f>
        <v>32.24</v>
      </c>
      <c r="O7" s="37">
        <f ca="1">_xlfn.IFNA(VLOOKUP($A7,INDIRECT("'W"&amp;O$1&amp;"'!$A$2:$T$1000"),4,FALSE),0)</f>
        <v>28.26</v>
      </c>
      <c r="P7" s="37">
        <f ca="1">_xlfn.IFNA(VLOOKUP($A7,INDIRECT("'W"&amp;P$1&amp;"'!$A$2:$T$1000"),4,FALSE),0)</f>
        <v>17.940000000000001</v>
      </c>
      <c r="Q7" s="37">
        <f ca="1">_xlfn.IFNA(VLOOKUP($A7,INDIRECT("'W"&amp;Q$1&amp;"'!$A$2:$T$1000"),4,FALSE),0)</f>
        <v>6.0600000000000005</v>
      </c>
      <c r="R7" s="37">
        <f ca="1">_xlfn.IFNA(VLOOKUP($A7,INDIRECT("'W"&amp;R$1&amp;"'!$A$2:$T$1000"),4,FALSE),0)</f>
        <v>18.62</v>
      </c>
      <c r="S7" s="37">
        <f ca="1">_xlfn.IFNA(VLOOKUP($A7,INDIRECT("'W"&amp;S$1&amp;"'!$A$2:$T$1000"),4,FALSE),0)</f>
        <v>20.3</v>
      </c>
      <c r="T7" s="37">
        <f ca="1">_xlfn.IFNA(VLOOKUP($A7,INDIRECT("'W"&amp;T$1&amp;"'!$A$2:$T$1000"),4,FALSE),0)</f>
        <v>25.16</v>
      </c>
      <c r="U7" s="36">
        <f ca="1">COUNTIF(C7:T7,"&gt; 15")</f>
        <v>12</v>
      </c>
      <c r="V7" s="36">
        <f ca="1">SUM(C7:T7)</f>
        <v>342.84000000000009</v>
      </c>
      <c r="W7" s="36">
        <v>1</v>
      </c>
      <c r="X7" s="38">
        <v>61</v>
      </c>
    </row>
    <row r="8" spans="1:24" ht="12.75" x14ac:dyDescent="0.2">
      <c r="A8" s="36" t="s">
        <v>58</v>
      </c>
      <c r="B8" s="36" t="s">
        <v>17</v>
      </c>
      <c r="C8" s="37">
        <f ca="1">_xlfn.IFNA(VLOOKUP($A8,INDIRECT("'W"&amp;C$1&amp;"'!$A$2:$T$1000"),4,FALSE),0)</f>
        <v>6.5600000000000005</v>
      </c>
      <c r="D8" s="37">
        <f ca="1">_xlfn.IFNA(VLOOKUP($A8,INDIRECT("'W"&amp;D$1&amp;"'!$A$2:$T$1000"),4,FALSE),0)</f>
        <v>22.880000000000003</v>
      </c>
      <c r="E8" s="37">
        <f ca="1">_xlfn.IFNA(VLOOKUP($A8,INDIRECT("'W"&amp;E$1&amp;"'!$A$2:$T$1000"),4,FALSE),0)</f>
        <v>28.18</v>
      </c>
      <c r="F8" s="37">
        <f ca="1">_xlfn.IFNA(VLOOKUP($A8,INDIRECT("'W"&amp;F$1&amp;"'!$A$2:$T$1000"),4,FALSE),0)</f>
        <v>28.14</v>
      </c>
      <c r="G8" s="37">
        <f ca="1">_xlfn.IFNA(VLOOKUP($A8,INDIRECT("'W"&amp;G$1&amp;"'!$A$2:$T$1000"),4,FALSE),0)</f>
        <v>9.94</v>
      </c>
      <c r="H8" s="37">
        <f ca="1">_xlfn.IFNA(VLOOKUP($A8,INDIRECT("'W"&amp;H$1&amp;"'!$A$2:$T$1000"),4,FALSE),0)</f>
        <v>17.12</v>
      </c>
      <c r="I8" s="37">
        <f ca="1">_xlfn.IFNA(VLOOKUP($A8,INDIRECT("'W"&amp;I$1&amp;"'!$A$2:$T$1000"),4,FALSE),0)</f>
        <v>33.880000000000003</v>
      </c>
      <c r="J8" s="37">
        <f ca="1">_xlfn.IFNA(VLOOKUP($A8,INDIRECT("'W"&amp;J$1&amp;"'!$A$2:$T$1000"),4,FALSE),0)</f>
        <v>11.98</v>
      </c>
      <c r="K8" s="37">
        <f ca="1">_xlfn.IFNA(VLOOKUP($A8,INDIRECT("'W"&amp;K$1&amp;"'!$A$2:$T$1000"),4,FALSE),0)</f>
        <v>11.48</v>
      </c>
      <c r="L8" s="37">
        <f ca="1">_xlfn.IFNA(VLOOKUP($A8,INDIRECT("'W"&amp;L$1&amp;"'!$A$2:$T$1000"),4,FALSE),0)</f>
        <v>13.02</v>
      </c>
      <c r="M8" s="37">
        <f ca="1">_xlfn.IFNA(VLOOKUP($A8,INDIRECT("'W"&amp;M$1&amp;"'!$A$2:$T$1000"),4,FALSE),0)</f>
        <v>23.96</v>
      </c>
      <c r="N8" s="37">
        <f ca="1">_xlfn.IFNA(VLOOKUP($A8,INDIRECT("'W"&amp;N$1&amp;"'!$A$2:$T$1000"),4,FALSE),0)</f>
        <v>14.98</v>
      </c>
      <c r="O8" s="37">
        <f ca="1">_xlfn.IFNA(VLOOKUP($A8,INDIRECT("'W"&amp;O$1&amp;"'!$A$2:$T$1000"),4,FALSE),0)</f>
        <v>0</v>
      </c>
      <c r="P8" s="37">
        <f ca="1">_xlfn.IFNA(VLOOKUP($A8,INDIRECT("'W"&amp;P$1&amp;"'!$A$2:$T$1000"),4,FALSE),0)</f>
        <v>31.64</v>
      </c>
      <c r="Q8" s="37">
        <f ca="1">_xlfn.IFNA(VLOOKUP($A8,INDIRECT("'W"&amp;Q$1&amp;"'!$A$2:$T$1000"),4,FALSE),0)</f>
        <v>18.54</v>
      </c>
      <c r="R8" s="37">
        <f ca="1">_xlfn.IFNA(VLOOKUP($A8,INDIRECT("'W"&amp;R$1&amp;"'!$A$2:$T$1000"),4,FALSE),0)</f>
        <v>22.58</v>
      </c>
      <c r="S8" s="37">
        <f ca="1">_xlfn.IFNA(VLOOKUP($A8,INDIRECT("'W"&amp;S$1&amp;"'!$A$2:$T$1000"),4,FALSE),0)</f>
        <v>36.340000000000003</v>
      </c>
      <c r="T8" s="37">
        <f ca="1">_xlfn.IFNA(VLOOKUP($A8,INDIRECT("'W"&amp;T$1&amp;"'!$A$2:$T$1000"),4,FALSE),0)</f>
        <v>0</v>
      </c>
      <c r="U8" s="36">
        <f ca="1">COUNTIF(C8:T8,"&gt; 15")</f>
        <v>10</v>
      </c>
      <c r="V8" s="36">
        <f ca="1">SUM(C8:T8)</f>
        <v>331.22</v>
      </c>
      <c r="W8" s="36"/>
      <c r="X8" s="38">
        <v>27</v>
      </c>
    </row>
    <row r="9" spans="1:24" ht="12.75" x14ac:dyDescent="0.2">
      <c r="A9" s="36" t="s">
        <v>173</v>
      </c>
      <c r="B9" s="36" t="s">
        <v>162</v>
      </c>
      <c r="C9" s="37">
        <f ca="1">_xlfn.IFNA(VLOOKUP($A9,INDIRECT("'W"&amp;C$1&amp;"'!$A$2:$T$1000"),4,FALSE),0)</f>
        <v>19.100000000000001</v>
      </c>
      <c r="D9" s="37">
        <f ca="1">_xlfn.IFNA(VLOOKUP($A9,INDIRECT("'W"&amp;D$1&amp;"'!$A$2:$T$1000"),4,FALSE),0)</f>
        <v>14.200000000000003</v>
      </c>
      <c r="E9" s="37">
        <f ca="1">_xlfn.IFNA(VLOOKUP($A9,INDIRECT("'W"&amp;E$1&amp;"'!$A$2:$T$1000"),4,FALSE),0)</f>
        <v>19.600000000000001</v>
      </c>
      <c r="F9" s="37">
        <f ca="1">_xlfn.IFNA(VLOOKUP($A9,INDIRECT("'W"&amp;F$1&amp;"'!$A$2:$T$1000"),4,FALSE),0)</f>
        <v>16.600000000000001</v>
      </c>
      <c r="G9" s="37">
        <f ca="1">_xlfn.IFNA(VLOOKUP($A9,INDIRECT("'W"&amp;G$1&amp;"'!$A$2:$T$1000"),4,FALSE),0)</f>
        <v>0</v>
      </c>
      <c r="H9" s="37">
        <f ca="1">_xlfn.IFNA(VLOOKUP($A9,INDIRECT("'W"&amp;H$1&amp;"'!$A$2:$T$1000"),4,FALSE),0)</f>
        <v>30.4</v>
      </c>
      <c r="I9" s="37">
        <f ca="1">_xlfn.IFNA(VLOOKUP($A9,INDIRECT("'W"&amp;I$1&amp;"'!$A$2:$T$1000"),4,FALSE),0)</f>
        <v>23.200000000000003</v>
      </c>
      <c r="J9" s="37">
        <f ca="1">_xlfn.IFNA(VLOOKUP($A9,INDIRECT("'W"&amp;J$1&amp;"'!$A$2:$T$1000"),4,FALSE),0)</f>
        <v>16.8</v>
      </c>
      <c r="K9" s="37">
        <f ca="1">_xlfn.IFNA(VLOOKUP($A9,INDIRECT("'W"&amp;K$1&amp;"'!$A$2:$T$1000"),4,FALSE),0)</f>
        <v>0</v>
      </c>
      <c r="L9" s="37">
        <f ca="1">_xlfn.IFNA(VLOOKUP($A9,INDIRECT("'W"&amp;L$1&amp;"'!$A$2:$T$1000"),4,FALSE),0)</f>
        <v>30.5</v>
      </c>
      <c r="M9" s="37">
        <f ca="1">_xlfn.IFNA(VLOOKUP($A9,INDIRECT("'W"&amp;M$1&amp;"'!$A$2:$T$1000"),4,FALSE),0)</f>
        <v>21.7</v>
      </c>
      <c r="N9" s="37">
        <f ca="1">_xlfn.IFNA(VLOOKUP($A9,INDIRECT("'W"&amp;N$1&amp;"'!$A$2:$T$1000"),4,FALSE),0)</f>
        <v>18.5</v>
      </c>
      <c r="O9" s="37">
        <f ca="1">_xlfn.IFNA(VLOOKUP($A9,INDIRECT("'W"&amp;O$1&amp;"'!$A$2:$T$1000"),4,FALSE),0)</f>
        <v>12.9</v>
      </c>
      <c r="P9" s="37">
        <f ca="1">_xlfn.IFNA(VLOOKUP($A9,INDIRECT("'W"&amp;P$1&amp;"'!$A$2:$T$1000"),4,FALSE),0)</f>
        <v>5.0999999999999996</v>
      </c>
      <c r="Q9" s="37">
        <f ca="1">_xlfn.IFNA(VLOOKUP($A9,INDIRECT("'W"&amp;Q$1&amp;"'!$A$2:$T$1000"),4,FALSE),0)</f>
        <v>24.200000000000003</v>
      </c>
      <c r="R9" s="37">
        <f ca="1">_xlfn.IFNA(VLOOKUP($A9,INDIRECT("'W"&amp;R$1&amp;"'!$A$2:$T$1000"),4,FALSE),0)</f>
        <v>28.6</v>
      </c>
      <c r="S9" s="37">
        <f ca="1">_xlfn.IFNA(VLOOKUP($A9,INDIRECT("'W"&amp;S$1&amp;"'!$A$2:$T$1000"),4,FALSE),0)</f>
        <v>22.1</v>
      </c>
      <c r="T9" s="37">
        <f ca="1">_xlfn.IFNA(VLOOKUP($A9,INDIRECT("'W"&amp;T$1&amp;"'!$A$2:$T$1000"),4,FALSE),0)</f>
        <v>27.4</v>
      </c>
      <c r="U9" s="36">
        <f ca="1">COUNTIF(C9:T9,"&gt; 15")</f>
        <v>13</v>
      </c>
      <c r="V9" s="36">
        <f ca="1">SUM(C9:T9)</f>
        <v>330.90000000000003</v>
      </c>
      <c r="W9" s="36">
        <v>1</v>
      </c>
      <c r="X9" s="38">
        <v>23</v>
      </c>
    </row>
    <row r="10" spans="1:24" ht="12.75" x14ac:dyDescent="0.2">
      <c r="A10" s="36" t="s">
        <v>21</v>
      </c>
      <c r="B10" s="36" t="s">
        <v>17</v>
      </c>
      <c r="C10" s="37">
        <f ca="1">_xlfn.IFNA(VLOOKUP($A10,INDIRECT("'W"&amp;C$1&amp;"'!$A$2:$T$1000"),4,FALSE),0)</f>
        <v>23</v>
      </c>
      <c r="D10" s="37">
        <f ca="1">_xlfn.IFNA(VLOOKUP($A10,INDIRECT("'W"&amp;D$1&amp;"'!$A$2:$T$1000"),4,FALSE),0)</f>
        <v>20.34</v>
      </c>
      <c r="E10" s="37">
        <f ca="1">_xlfn.IFNA(VLOOKUP($A10,INDIRECT("'W"&amp;E$1&amp;"'!$A$2:$T$1000"),4,FALSE),0)</f>
        <v>24.259999999999998</v>
      </c>
      <c r="F10" s="37">
        <f ca="1">_xlfn.IFNA(VLOOKUP($A10,INDIRECT("'W"&amp;F$1&amp;"'!$A$2:$T$1000"),4,FALSE),0)</f>
        <v>17.64</v>
      </c>
      <c r="G10" s="37">
        <f ca="1">_xlfn.IFNA(VLOOKUP($A10,INDIRECT("'W"&amp;G$1&amp;"'!$A$2:$T$1000"),4,FALSE),0)</f>
        <v>4.9800000000000004</v>
      </c>
      <c r="H10" s="37">
        <f ca="1">_xlfn.IFNA(VLOOKUP($A10,INDIRECT("'W"&amp;H$1&amp;"'!$A$2:$T$1000"),4,FALSE),0)</f>
        <v>0</v>
      </c>
      <c r="I10" s="37">
        <f ca="1">_xlfn.IFNA(VLOOKUP($A10,INDIRECT("'W"&amp;I$1&amp;"'!$A$2:$T$1000"),4,FALSE),0)</f>
        <v>15.299999999999999</v>
      </c>
      <c r="J10" s="37">
        <f ca="1">_xlfn.IFNA(VLOOKUP($A10,INDIRECT("'W"&amp;J$1&amp;"'!$A$2:$T$1000"),4,FALSE),0)</f>
        <v>14.56</v>
      </c>
      <c r="K10" s="37">
        <f ca="1">_xlfn.IFNA(VLOOKUP($A10,INDIRECT("'W"&amp;K$1&amp;"'!$A$2:$T$1000"),4,FALSE),0)</f>
        <v>13.82</v>
      </c>
      <c r="L10" s="37">
        <f ca="1">_xlfn.IFNA(VLOOKUP($A10,INDIRECT("'W"&amp;L$1&amp;"'!$A$2:$T$1000"),4,FALSE),0)</f>
        <v>16.660000000000004</v>
      </c>
      <c r="M10" s="37">
        <f ca="1">_xlfn.IFNA(VLOOKUP($A10,INDIRECT("'W"&amp;M$1&amp;"'!$A$2:$T$1000"),4,FALSE),0)</f>
        <v>20.880000000000003</v>
      </c>
      <c r="N10" s="37">
        <f ca="1">_xlfn.IFNA(VLOOKUP($A10,INDIRECT("'W"&amp;N$1&amp;"'!$A$2:$T$1000"),4,FALSE),0)</f>
        <v>26.619999999999997</v>
      </c>
      <c r="O10" s="37">
        <f ca="1">_xlfn.IFNA(VLOOKUP($A10,INDIRECT("'W"&amp;O$1&amp;"'!$A$2:$T$1000"),4,FALSE),0)</f>
        <v>23.68</v>
      </c>
      <c r="P10" s="37">
        <f ca="1">_xlfn.IFNA(VLOOKUP($A10,INDIRECT("'W"&amp;P$1&amp;"'!$A$2:$T$1000"),4,FALSE),0)</f>
        <v>8.92</v>
      </c>
      <c r="Q10" s="37">
        <f ca="1">_xlfn.IFNA(VLOOKUP($A10,INDIRECT("'W"&amp;Q$1&amp;"'!$A$2:$T$1000"),4,FALSE),0)</f>
        <v>17.46</v>
      </c>
      <c r="R10" s="37">
        <f ca="1">_xlfn.IFNA(VLOOKUP($A10,INDIRECT("'W"&amp;R$1&amp;"'!$A$2:$T$1000"),4,FALSE),0)</f>
        <v>23.959999999999997</v>
      </c>
      <c r="S10" s="37">
        <f ca="1">_xlfn.IFNA(VLOOKUP($A10,INDIRECT("'W"&amp;S$1&amp;"'!$A$2:$T$1000"),4,FALSE),0)</f>
        <v>28.44</v>
      </c>
      <c r="T10" s="37">
        <f ca="1">_xlfn.IFNA(VLOOKUP($A10,INDIRECT("'W"&amp;T$1&amp;"'!$A$2:$T$1000"),4,FALSE),0)</f>
        <v>18.54</v>
      </c>
      <c r="U10" s="36">
        <f ca="1">COUNTIF(C10:T10,"&gt; 15")</f>
        <v>13</v>
      </c>
      <c r="V10" s="36">
        <f ca="1">SUM(C10:T10)</f>
        <v>319.06</v>
      </c>
      <c r="W10" s="36">
        <v>1</v>
      </c>
      <c r="X10" s="38" t="s">
        <v>847</v>
      </c>
    </row>
    <row r="11" spans="1:24" ht="12.75" x14ac:dyDescent="0.2">
      <c r="A11" s="36" t="s">
        <v>170</v>
      </c>
      <c r="B11" s="36" t="s">
        <v>162</v>
      </c>
      <c r="C11" s="37">
        <f ca="1">_xlfn.IFNA(VLOOKUP($A11,INDIRECT("'W"&amp;C$1&amp;"'!$A$2:$T$1000"),4,FALSE),0)</f>
        <v>21.9</v>
      </c>
      <c r="D11" s="37">
        <f ca="1">_xlfn.IFNA(VLOOKUP($A11,INDIRECT("'W"&amp;D$1&amp;"'!$A$2:$T$1000"),4,FALSE),0)</f>
        <v>30.1</v>
      </c>
      <c r="E11" s="37">
        <f ca="1">_xlfn.IFNA(VLOOKUP($A11,INDIRECT("'W"&amp;E$1&amp;"'!$A$2:$T$1000"),4,FALSE),0)</f>
        <v>12.2</v>
      </c>
      <c r="F11" s="37">
        <f ca="1">_xlfn.IFNA(VLOOKUP($A11,INDIRECT("'W"&amp;F$1&amp;"'!$A$2:$T$1000"),4,FALSE),0)</f>
        <v>31.3</v>
      </c>
      <c r="G11" s="37">
        <f ca="1">_xlfn.IFNA(VLOOKUP($A11,INDIRECT("'W"&amp;G$1&amp;"'!$A$2:$T$1000"),4,FALSE),0)</f>
        <v>20.100000000000001</v>
      </c>
      <c r="H11" s="37">
        <f ca="1">_xlfn.IFNA(VLOOKUP($A11,INDIRECT("'W"&amp;H$1&amp;"'!$A$2:$T$1000"),4,FALSE),0)</f>
        <v>6.6</v>
      </c>
      <c r="I11" s="37">
        <f ca="1">_xlfn.IFNA(VLOOKUP($A11,INDIRECT("'W"&amp;I$1&amp;"'!$A$2:$T$1000"),4,FALSE),0)</f>
        <v>23.4</v>
      </c>
      <c r="J11" s="37">
        <f ca="1">_xlfn.IFNA(VLOOKUP($A11,INDIRECT("'W"&amp;J$1&amp;"'!$A$2:$T$1000"),4,FALSE),0)</f>
        <v>7.3</v>
      </c>
      <c r="K11" s="37">
        <f ca="1">_xlfn.IFNA(VLOOKUP($A11,INDIRECT("'W"&amp;K$1&amp;"'!$A$2:$T$1000"),4,FALSE),0)</f>
        <v>6.2</v>
      </c>
      <c r="L11" s="37">
        <f ca="1">_xlfn.IFNA(VLOOKUP($A11,INDIRECT("'W"&amp;L$1&amp;"'!$A$2:$T$1000"),4,FALSE),0)</f>
        <v>0</v>
      </c>
      <c r="M11" s="37">
        <f ca="1">_xlfn.IFNA(VLOOKUP($A11,INDIRECT("'W"&amp;M$1&amp;"'!$A$2:$T$1000"),4,FALSE),0)</f>
        <v>18.7</v>
      </c>
      <c r="N11" s="37">
        <f ca="1">_xlfn.IFNA(VLOOKUP($A11,INDIRECT("'W"&amp;N$1&amp;"'!$A$2:$T$1000"),4,FALSE),0)</f>
        <v>6.7</v>
      </c>
      <c r="O11" s="37">
        <f ca="1">_xlfn.IFNA(VLOOKUP($A11,INDIRECT("'W"&amp;O$1&amp;"'!$A$2:$T$1000"),4,FALSE),0)</f>
        <v>23.9</v>
      </c>
      <c r="P11" s="37">
        <f ca="1">_xlfn.IFNA(VLOOKUP($A11,INDIRECT("'W"&amp;P$1&amp;"'!$A$2:$T$1000"),4,FALSE),0)</f>
        <v>14</v>
      </c>
      <c r="Q11" s="37">
        <f ca="1">_xlfn.IFNA(VLOOKUP($A11,INDIRECT("'W"&amp;Q$1&amp;"'!$A$2:$T$1000"),4,FALSE),0)</f>
        <v>10.3</v>
      </c>
      <c r="R11" s="37">
        <f ca="1">_xlfn.IFNA(VLOOKUP($A11,INDIRECT("'W"&amp;R$1&amp;"'!$A$2:$T$1000"),4,FALSE),0)</f>
        <v>33</v>
      </c>
      <c r="S11" s="37">
        <f ca="1">_xlfn.IFNA(VLOOKUP($A11,INDIRECT("'W"&amp;S$1&amp;"'!$A$2:$T$1000"),4,FALSE),0)</f>
        <v>18.700000000000003</v>
      </c>
      <c r="T11" s="37">
        <f ca="1">_xlfn.IFNA(VLOOKUP($A11,INDIRECT("'W"&amp;T$1&amp;"'!$A$2:$T$1000"),4,FALSE),0)</f>
        <v>14.100000000000001</v>
      </c>
      <c r="U11" s="36">
        <f ca="1">COUNTIF(C11:T11,"&gt; 15")</f>
        <v>9</v>
      </c>
      <c r="V11" s="36">
        <f ca="1">SUM(C11:T11)</f>
        <v>298.5</v>
      </c>
      <c r="W11" s="36">
        <v>1</v>
      </c>
      <c r="X11" s="38" t="s">
        <v>847</v>
      </c>
    </row>
    <row r="12" spans="1:24" ht="12.75" x14ac:dyDescent="0.2">
      <c r="A12" s="36" t="s">
        <v>33</v>
      </c>
      <c r="B12" s="36" t="s">
        <v>17</v>
      </c>
      <c r="C12" s="37">
        <f ca="1">_xlfn.IFNA(VLOOKUP($A12,INDIRECT("'W"&amp;C$1&amp;"'!$A$2:$T$1000"),4,FALSE),0)</f>
        <v>16.8</v>
      </c>
      <c r="D12" s="37">
        <f ca="1">_xlfn.IFNA(VLOOKUP($A12,INDIRECT("'W"&amp;D$1&amp;"'!$A$2:$T$1000"),4,FALSE),0)</f>
        <v>14.74</v>
      </c>
      <c r="E12" s="37">
        <f ca="1">_xlfn.IFNA(VLOOKUP($A12,INDIRECT("'W"&amp;E$1&amp;"'!$A$2:$T$1000"),4,FALSE),0)</f>
        <v>20.299999999999997</v>
      </c>
      <c r="F12" s="37">
        <f ca="1">_xlfn.IFNA(VLOOKUP($A12,INDIRECT("'W"&amp;F$1&amp;"'!$A$2:$T$1000"),4,FALSE),0)</f>
        <v>21.32</v>
      </c>
      <c r="G12" s="37">
        <f ca="1">_xlfn.IFNA(VLOOKUP($A12,INDIRECT("'W"&amp;G$1&amp;"'!$A$2:$T$1000"),4,FALSE),0)</f>
        <v>26.08</v>
      </c>
      <c r="H12" s="37">
        <f ca="1">_xlfn.IFNA(VLOOKUP($A12,INDIRECT("'W"&amp;H$1&amp;"'!$A$2:$T$1000"),4,FALSE),0)</f>
        <v>7.7</v>
      </c>
      <c r="I12" s="37">
        <f ca="1">_xlfn.IFNA(VLOOKUP($A12,INDIRECT("'W"&amp;I$1&amp;"'!$A$2:$T$1000"),4,FALSE),0)</f>
        <v>12.780000000000001</v>
      </c>
      <c r="J12" s="37">
        <f ca="1">_xlfn.IFNA(VLOOKUP($A12,INDIRECT("'W"&amp;J$1&amp;"'!$A$2:$T$1000"),4,FALSE),0)</f>
        <v>18.3</v>
      </c>
      <c r="K12" s="37">
        <f ca="1">_xlfn.IFNA(VLOOKUP($A12,INDIRECT("'W"&amp;K$1&amp;"'!$A$2:$T$1000"),4,FALSE),0)</f>
        <v>0</v>
      </c>
      <c r="L12" s="37">
        <f ca="1">_xlfn.IFNA(VLOOKUP($A12,INDIRECT("'W"&amp;L$1&amp;"'!$A$2:$T$1000"),4,FALSE),0)</f>
        <v>23.84</v>
      </c>
      <c r="M12" s="37">
        <f ca="1">_xlfn.IFNA(VLOOKUP($A12,INDIRECT("'W"&amp;M$1&amp;"'!$A$2:$T$1000"),4,FALSE),0)</f>
        <v>26.72</v>
      </c>
      <c r="N12" s="37">
        <f ca="1">_xlfn.IFNA(VLOOKUP($A12,INDIRECT("'W"&amp;N$1&amp;"'!$A$2:$T$1000"),4,FALSE),0)</f>
        <v>10.459999999999999</v>
      </c>
      <c r="O12" s="37">
        <f ca="1">_xlfn.IFNA(VLOOKUP($A12,INDIRECT("'W"&amp;O$1&amp;"'!$A$2:$T$1000"),4,FALSE),0)</f>
        <v>29.46</v>
      </c>
      <c r="P12" s="37">
        <f ca="1">_xlfn.IFNA(VLOOKUP($A12,INDIRECT("'W"&amp;P$1&amp;"'!$A$2:$T$1000"),4,FALSE),0)</f>
        <v>21.419999999999998</v>
      </c>
      <c r="Q12" s="37">
        <f ca="1">_xlfn.IFNA(VLOOKUP($A12,INDIRECT("'W"&amp;Q$1&amp;"'!$A$2:$T$1000"),4,FALSE),0)</f>
        <v>25.68</v>
      </c>
      <c r="R12" s="37">
        <f ca="1">_xlfn.IFNA(VLOOKUP($A12,INDIRECT("'W"&amp;R$1&amp;"'!$A$2:$T$1000"),4,FALSE),0)</f>
        <v>2.4000000000000012</v>
      </c>
      <c r="S12" s="37">
        <f ca="1">_xlfn.IFNA(VLOOKUP($A12,INDIRECT("'W"&amp;S$1&amp;"'!$A$2:$T$1000"),4,FALSE),0)</f>
        <v>17.600000000000001</v>
      </c>
      <c r="T12" s="37">
        <f ca="1">_xlfn.IFNA(VLOOKUP($A12,INDIRECT("'W"&amp;T$1&amp;"'!$A$2:$T$1000"),4,FALSE),0)</f>
        <v>0</v>
      </c>
      <c r="U12" s="36">
        <f ca="1">COUNTIF(C12:T12,"&gt; 15")</f>
        <v>11</v>
      </c>
      <c r="V12" s="36">
        <f ca="1">SUM(C12:T12)</f>
        <v>295.60000000000002</v>
      </c>
      <c r="W12" s="36">
        <v>1</v>
      </c>
      <c r="X12" s="38" t="s">
        <v>847</v>
      </c>
    </row>
    <row r="13" spans="1:24" ht="12.75" x14ac:dyDescent="0.2">
      <c r="A13" s="36" t="s">
        <v>85</v>
      </c>
      <c r="B13" s="36" t="s">
        <v>75</v>
      </c>
      <c r="C13" s="37">
        <f ca="1">_xlfn.IFNA(VLOOKUP($A13,INDIRECT("'W"&amp;C$1&amp;"'!$A$2:$T$1000"),4,FALSE),0)</f>
        <v>15.700000000000001</v>
      </c>
      <c r="D13" s="37">
        <f ca="1">_xlfn.IFNA(VLOOKUP($A13,INDIRECT("'W"&amp;D$1&amp;"'!$A$2:$T$1000"),4,FALSE),0)</f>
        <v>0.9</v>
      </c>
      <c r="E13" s="37">
        <f ca="1">_xlfn.IFNA(VLOOKUP($A13,INDIRECT("'W"&amp;E$1&amp;"'!$A$2:$T$1000"),4,FALSE),0)</f>
        <v>3.6999999999999997</v>
      </c>
      <c r="F13" s="37">
        <f ca="1">_xlfn.IFNA(VLOOKUP($A13,INDIRECT("'W"&amp;F$1&amp;"'!$A$2:$T$1000"),4,FALSE),0)</f>
        <v>9.9000000000000021</v>
      </c>
      <c r="G13" s="37">
        <f ca="1">_xlfn.IFNA(VLOOKUP($A13,INDIRECT("'W"&amp;G$1&amp;"'!$A$2:$T$1000"),4,FALSE),0)</f>
        <v>28.4</v>
      </c>
      <c r="H13" s="37">
        <f ca="1">_xlfn.IFNA(VLOOKUP($A13,INDIRECT("'W"&amp;H$1&amp;"'!$A$2:$T$1000"),4,FALSE),0)</f>
        <v>20.3</v>
      </c>
      <c r="I13" s="37">
        <f ca="1">_xlfn.IFNA(VLOOKUP($A13,INDIRECT("'W"&amp;I$1&amp;"'!$A$2:$T$1000"),4,FALSE),0)</f>
        <v>0</v>
      </c>
      <c r="J13" s="37">
        <f ca="1">_xlfn.IFNA(VLOOKUP($A13,INDIRECT("'W"&amp;J$1&amp;"'!$A$2:$T$1000"),4,FALSE),0)</f>
        <v>21.3</v>
      </c>
      <c r="K13" s="37">
        <f ca="1">_xlfn.IFNA(VLOOKUP($A13,INDIRECT("'W"&amp;K$1&amp;"'!$A$2:$T$1000"),4,FALSE),0)</f>
        <v>10</v>
      </c>
      <c r="L13" s="37">
        <f ca="1">_xlfn.IFNA(VLOOKUP($A13,INDIRECT("'W"&amp;L$1&amp;"'!$A$2:$T$1000"),4,FALSE),0)</f>
        <v>10.5</v>
      </c>
      <c r="M13" s="37">
        <f ca="1">_xlfn.IFNA(VLOOKUP($A13,INDIRECT("'W"&amp;M$1&amp;"'!$A$2:$T$1000"),4,FALSE),0)</f>
        <v>18.3</v>
      </c>
      <c r="N13" s="37">
        <f ca="1">_xlfn.IFNA(VLOOKUP($A13,INDIRECT("'W"&amp;N$1&amp;"'!$A$2:$T$1000"),4,FALSE),0)</f>
        <v>11.9</v>
      </c>
      <c r="O13" s="37">
        <f ca="1">_xlfn.IFNA(VLOOKUP($A13,INDIRECT("'W"&amp;O$1&amp;"'!$A$2:$T$1000"),4,FALSE),0)</f>
        <v>10.5</v>
      </c>
      <c r="P13" s="37">
        <f ca="1">_xlfn.IFNA(VLOOKUP($A13,INDIRECT("'W"&amp;P$1&amp;"'!$A$2:$T$1000"),4,FALSE),0)</f>
        <v>26.6</v>
      </c>
      <c r="Q13" s="37">
        <f ca="1">_xlfn.IFNA(VLOOKUP($A13,INDIRECT("'W"&amp;Q$1&amp;"'!$A$2:$T$1000"),4,FALSE),0)</f>
        <v>2.8000000000000003</v>
      </c>
      <c r="R13" s="37">
        <f ca="1">_xlfn.IFNA(VLOOKUP($A13,INDIRECT("'W"&amp;R$1&amp;"'!$A$2:$T$1000"),4,FALSE),0)</f>
        <v>43.1</v>
      </c>
      <c r="S13" s="37">
        <f ca="1">_xlfn.IFNA(VLOOKUP($A13,INDIRECT("'W"&amp;S$1&amp;"'!$A$2:$T$1000"),4,FALSE),0)</f>
        <v>27.599999999999998</v>
      </c>
      <c r="T13" s="37">
        <f ca="1">_xlfn.IFNA(VLOOKUP($A13,INDIRECT("'W"&amp;T$1&amp;"'!$A$2:$T$1000"),4,FALSE),0)</f>
        <v>29</v>
      </c>
      <c r="U13" s="36">
        <f ca="1">COUNTIF(C13:T13,"&gt; 15")</f>
        <v>9</v>
      </c>
      <c r="V13" s="36">
        <f ca="1">SUM(C13:T13)</f>
        <v>290.5</v>
      </c>
      <c r="W13" s="36">
        <v>1</v>
      </c>
      <c r="X13" s="38">
        <v>47</v>
      </c>
    </row>
    <row r="14" spans="1:24" ht="12.75" x14ac:dyDescent="0.2">
      <c r="A14" s="36" t="s">
        <v>182</v>
      </c>
      <c r="B14" s="36" t="s">
        <v>162</v>
      </c>
      <c r="C14" s="37">
        <f ca="1">_xlfn.IFNA(VLOOKUP($A14,INDIRECT("'W"&amp;C$1&amp;"'!$A$2:$T$1000"),4,FALSE),0)</f>
        <v>14.9</v>
      </c>
      <c r="D14" s="37">
        <f ca="1">_xlfn.IFNA(VLOOKUP($A14,INDIRECT("'W"&amp;D$1&amp;"'!$A$2:$T$1000"),4,FALSE),0)</f>
        <v>6.9</v>
      </c>
      <c r="E14" s="37">
        <f ca="1">_xlfn.IFNA(VLOOKUP($A14,INDIRECT("'W"&amp;E$1&amp;"'!$A$2:$T$1000"),4,FALSE),0)</f>
        <v>22.1</v>
      </c>
      <c r="F14" s="37">
        <f ca="1">_xlfn.IFNA(VLOOKUP($A14,INDIRECT("'W"&amp;F$1&amp;"'!$A$2:$T$1000"),4,FALSE),0)</f>
        <v>38.5</v>
      </c>
      <c r="G14" s="37">
        <f ca="1">_xlfn.IFNA(VLOOKUP($A14,INDIRECT("'W"&amp;G$1&amp;"'!$A$2:$T$1000"),4,FALSE),0)</f>
        <v>18.700000000000003</v>
      </c>
      <c r="H14" s="37">
        <f ca="1">_xlfn.IFNA(VLOOKUP($A14,INDIRECT("'W"&amp;H$1&amp;"'!$A$2:$T$1000"),4,FALSE),0)</f>
        <v>20.100000000000001</v>
      </c>
      <c r="I14" s="37">
        <f ca="1">_xlfn.IFNA(VLOOKUP($A14,INDIRECT("'W"&amp;I$1&amp;"'!$A$2:$T$1000"),4,FALSE),0)</f>
        <v>29.700000000000003</v>
      </c>
      <c r="J14" s="37">
        <f ca="1">_xlfn.IFNA(VLOOKUP($A14,INDIRECT("'W"&amp;J$1&amp;"'!$A$2:$T$1000"),4,FALSE),0)</f>
        <v>33</v>
      </c>
      <c r="K14" s="37">
        <f ca="1">_xlfn.IFNA(VLOOKUP($A14,INDIRECT("'W"&amp;K$1&amp;"'!$A$2:$T$1000"),4,FALSE),0)</f>
        <v>19.600000000000001</v>
      </c>
      <c r="L14" s="37">
        <f ca="1">_xlfn.IFNA(VLOOKUP($A14,INDIRECT("'W"&amp;L$1&amp;"'!$A$2:$T$1000"),4,FALSE),0)</f>
        <v>0</v>
      </c>
      <c r="M14" s="37">
        <f ca="1">_xlfn.IFNA(VLOOKUP($A14,INDIRECT("'W"&amp;M$1&amp;"'!$A$2:$T$1000"),4,FALSE),0)</f>
        <v>1.8</v>
      </c>
      <c r="N14" s="37">
        <f ca="1">_xlfn.IFNA(VLOOKUP($A14,INDIRECT("'W"&amp;N$1&amp;"'!$A$2:$T$1000"),4,FALSE),0)</f>
        <v>14.7</v>
      </c>
      <c r="O14" s="37">
        <f ca="1">_xlfn.IFNA(VLOOKUP($A14,INDIRECT("'W"&amp;O$1&amp;"'!$A$2:$T$1000"),4,FALSE),0)</f>
        <v>19.399999999999999</v>
      </c>
      <c r="P14" s="37">
        <f ca="1">_xlfn.IFNA(VLOOKUP($A14,INDIRECT("'W"&amp;P$1&amp;"'!$A$2:$T$1000"),4,FALSE),0)</f>
        <v>16.399999999999999</v>
      </c>
      <c r="Q14" s="37">
        <f ca="1">_xlfn.IFNA(VLOOKUP($A14,INDIRECT("'W"&amp;Q$1&amp;"'!$A$2:$T$1000"),4,FALSE),0)</f>
        <v>10.600000000000001</v>
      </c>
      <c r="R14" s="37">
        <f ca="1">_xlfn.IFNA(VLOOKUP($A14,INDIRECT("'W"&amp;R$1&amp;"'!$A$2:$T$1000"),4,FALSE),0)</f>
        <v>14</v>
      </c>
      <c r="S14" s="37">
        <f ca="1">_xlfn.IFNA(VLOOKUP($A14,INDIRECT("'W"&amp;S$1&amp;"'!$A$2:$T$1000"),4,FALSE),0)</f>
        <v>9.3000000000000007</v>
      </c>
      <c r="T14" s="37">
        <f ca="1">_xlfn.IFNA(VLOOKUP($A14,INDIRECT("'W"&amp;T$1&amp;"'!$A$2:$T$1000"),4,FALSE),0)</f>
        <v>-0.10000000000000009</v>
      </c>
      <c r="U14" s="36">
        <f ca="1">COUNTIF(C14:T14,"&gt; 15")</f>
        <v>9</v>
      </c>
      <c r="V14" s="36">
        <f ca="1">SUM(C14:T14)</f>
        <v>289.60000000000002</v>
      </c>
      <c r="W14" s="36"/>
      <c r="X14" s="38">
        <v>21</v>
      </c>
    </row>
    <row r="15" spans="1:24" ht="12.75" x14ac:dyDescent="0.2">
      <c r="A15" s="36" t="s">
        <v>44</v>
      </c>
      <c r="B15" s="36" t="s">
        <v>17</v>
      </c>
      <c r="C15" s="37">
        <f ca="1">_xlfn.IFNA(VLOOKUP($A15,INDIRECT("'W"&amp;C$1&amp;"'!$A$2:$T$1000"),4,FALSE),0)</f>
        <v>14.020000000000001</v>
      </c>
      <c r="D15" s="37">
        <f ca="1">_xlfn.IFNA(VLOOKUP($A15,INDIRECT("'W"&amp;D$1&amp;"'!$A$2:$T$1000"),4,FALSE),0)</f>
        <v>22.92</v>
      </c>
      <c r="E15" s="37">
        <f ca="1">_xlfn.IFNA(VLOOKUP($A15,INDIRECT("'W"&amp;E$1&amp;"'!$A$2:$T$1000"),4,FALSE),0)</f>
        <v>18.020000000000003</v>
      </c>
      <c r="F15" s="37">
        <f ca="1">_xlfn.IFNA(VLOOKUP($A15,INDIRECT("'W"&amp;F$1&amp;"'!$A$2:$T$1000"),4,FALSE),0)</f>
        <v>11.4</v>
      </c>
      <c r="G15" s="37">
        <f ca="1">_xlfn.IFNA(VLOOKUP($A15,INDIRECT("'W"&amp;G$1&amp;"'!$A$2:$T$1000"),4,FALSE),0)</f>
        <v>27.439999999999998</v>
      </c>
      <c r="H15" s="37">
        <f ca="1">_xlfn.IFNA(VLOOKUP($A15,INDIRECT("'W"&amp;H$1&amp;"'!$A$2:$T$1000"),4,FALSE),0)</f>
        <v>22.42</v>
      </c>
      <c r="I15" s="37">
        <f ca="1">_xlfn.IFNA(VLOOKUP($A15,INDIRECT("'W"&amp;I$1&amp;"'!$A$2:$T$1000"),4,FALSE),0)</f>
        <v>9.36</v>
      </c>
      <c r="J15" s="37">
        <f ca="1">_xlfn.IFNA(VLOOKUP($A15,INDIRECT("'W"&amp;J$1&amp;"'!$A$2:$T$1000"),4,FALSE),0)</f>
        <v>12.680000000000001</v>
      </c>
      <c r="K15" s="37">
        <f ca="1">_xlfn.IFNA(VLOOKUP($A15,INDIRECT("'W"&amp;K$1&amp;"'!$A$2:$T$1000"),4,FALSE),0)</f>
        <v>0</v>
      </c>
      <c r="L15" s="37">
        <f ca="1">_xlfn.IFNA(VLOOKUP($A15,INDIRECT("'W"&amp;L$1&amp;"'!$A$2:$T$1000"),4,FALSE),0)</f>
        <v>21.12</v>
      </c>
      <c r="M15" s="37">
        <f ca="1">_xlfn.IFNA(VLOOKUP($A15,INDIRECT("'W"&amp;M$1&amp;"'!$A$2:$T$1000"),4,FALSE),0)</f>
        <v>13.739999999999998</v>
      </c>
      <c r="N15" s="37">
        <f ca="1">_xlfn.IFNA(VLOOKUP($A15,INDIRECT("'W"&amp;N$1&amp;"'!$A$2:$T$1000"),4,FALSE),0)</f>
        <v>18.18</v>
      </c>
      <c r="O15" s="37">
        <f ca="1">_xlfn.IFNA(VLOOKUP($A15,INDIRECT("'W"&amp;O$1&amp;"'!$A$2:$T$1000"),4,FALSE),0)</f>
        <v>16.32</v>
      </c>
      <c r="P15" s="37">
        <f ca="1">_xlfn.IFNA(VLOOKUP($A15,INDIRECT("'W"&amp;P$1&amp;"'!$A$2:$T$1000"),4,FALSE),0)</f>
        <v>4.4400000000000013</v>
      </c>
      <c r="Q15" s="37">
        <f ca="1">_xlfn.IFNA(VLOOKUP($A15,INDIRECT("'W"&amp;Q$1&amp;"'!$A$2:$T$1000"),4,FALSE),0)</f>
        <v>31.12</v>
      </c>
      <c r="R15" s="37">
        <f ca="1">_xlfn.IFNA(VLOOKUP($A15,INDIRECT("'W"&amp;R$1&amp;"'!$A$2:$T$1000"),4,FALSE),0)</f>
        <v>14.28</v>
      </c>
      <c r="S15" s="37">
        <f ca="1">_xlfn.IFNA(VLOOKUP($A15,INDIRECT("'W"&amp;S$1&amp;"'!$A$2:$T$1000"),4,FALSE),0)</f>
        <v>10.84</v>
      </c>
      <c r="T15" s="37">
        <f ca="1">_xlfn.IFNA(VLOOKUP($A15,INDIRECT("'W"&amp;T$1&amp;"'!$A$2:$T$1000"),4,FALSE),0)</f>
        <v>20.8</v>
      </c>
      <c r="U15" s="36">
        <f ca="1">COUNTIF(C15:T15,"&gt; 15")</f>
        <v>9</v>
      </c>
      <c r="V15" s="36">
        <f ca="1">SUM(C15:T15)</f>
        <v>289.10000000000002</v>
      </c>
      <c r="W15" s="36">
        <v>1</v>
      </c>
      <c r="X15" s="38">
        <v>148</v>
      </c>
    </row>
    <row r="16" spans="1:24" ht="12.75" x14ac:dyDescent="0.2">
      <c r="A16" s="36" t="s">
        <v>235</v>
      </c>
      <c r="B16" s="36" t="s">
        <v>162</v>
      </c>
      <c r="C16" s="37">
        <f ca="1">_xlfn.IFNA(VLOOKUP($A16,INDIRECT("'W"&amp;C$1&amp;"'!$A$2:$T$1000"),4,FALSE),0)</f>
        <v>4.5</v>
      </c>
      <c r="D16" s="37">
        <f ca="1">_xlfn.IFNA(VLOOKUP($A16,INDIRECT("'W"&amp;D$1&amp;"'!$A$2:$T$1000"),4,FALSE),0)</f>
        <v>16.399999999999999</v>
      </c>
      <c r="E16" s="37">
        <f ca="1">_xlfn.IFNA(VLOOKUP($A16,INDIRECT("'W"&amp;E$1&amp;"'!$A$2:$T$1000"),4,FALSE),0)</f>
        <v>13.100000000000001</v>
      </c>
      <c r="F16" s="37">
        <f ca="1">_xlfn.IFNA(VLOOKUP($A16,INDIRECT("'W"&amp;F$1&amp;"'!$A$2:$T$1000"),4,FALSE),0)</f>
        <v>27.1</v>
      </c>
      <c r="G16" s="37">
        <f ca="1">_xlfn.IFNA(VLOOKUP($A16,INDIRECT("'W"&amp;G$1&amp;"'!$A$2:$T$1000"),4,FALSE),0)</f>
        <v>49</v>
      </c>
      <c r="H16" s="37">
        <f ca="1">_xlfn.IFNA(VLOOKUP($A16,INDIRECT("'W"&amp;H$1&amp;"'!$A$2:$T$1000"),4,FALSE),0)</f>
        <v>10.100000000000001</v>
      </c>
      <c r="I16" s="37">
        <f ca="1">_xlfn.IFNA(VLOOKUP($A16,INDIRECT("'W"&amp;I$1&amp;"'!$A$2:$T$1000"),4,FALSE),0)</f>
        <v>13.4</v>
      </c>
      <c r="J16" s="37">
        <f ca="1">_xlfn.IFNA(VLOOKUP($A16,INDIRECT("'W"&amp;J$1&amp;"'!$A$2:$T$1000"),4,FALSE),0)</f>
        <v>9.5</v>
      </c>
      <c r="K16" s="37">
        <f ca="1">_xlfn.IFNA(VLOOKUP($A16,INDIRECT("'W"&amp;K$1&amp;"'!$A$2:$T$1000"),4,FALSE),0)</f>
        <v>5.4</v>
      </c>
      <c r="L16" s="37">
        <f ca="1">_xlfn.IFNA(VLOOKUP($A16,INDIRECT("'W"&amp;L$1&amp;"'!$A$2:$T$1000"),4,FALSE),0)</f>
        <v>10.9</v>
      </c>
      <c r="M16" s="37">
        <f ca="1">_xlfn.IFNA(VLOOKUP($A16,INDIRECT("'W"&amp;M$1&amp;"'!$A$2:$T$1000"),4,FALSE),0)</f>
        <v>22.6</v>
      </c>
      <c r="N16" s="37">
        <f ca="1">_xlfn.IFNA(VLOOKUP($A16,INDIRECT("'W"&amp;N$1&amp;"'!$A$2:$T$1000"),4,FALSE),0)</f>
        <v>22.4</v>
      </c>
      <c r="O16" s="37">
        <f ca="1">_xlfn.IFNA(VLOOKUP($A16,INDIRECT("'W"&amp;O$1&amp;"'!$A$2:$T$1000"),4,FALSE),0)</f>
        <v>0</v>
      </c>
      <c r="P16" s="37">
        <f ca="1">_xlfn.IFNA(VLOOKUP($A16,INDIRECT("'W"&amp;P$1&amp;"'!$A$2:$T$1000"),4,FALSE),0)</f>
        <v>26.8</v>
      </c>
      <c r="Q16" s="37">
        <f ca="1">_xlfn.IFNA(VLOOKUP($A16,INDIRECT("'W"&amp;Q$1&amp;"'!$A$2:$T$1000"),4,FALSE),0)</f>
        <v>9.1999999999999993</v>
      </c>
      <c r="R16" s="37">
        <f ca="1">_xlfn.IFNA(VLOOKUP($A16,INDIRECT("'W"&amp;R$1&amp;"'!$A$2:$T$1000"),4,FALSE),0)</f>
        <v>4.8</v>
      </c>
      <c r="S16" s="37">
        <f ca="1">_xlfn.IFNA(VLOOKUP($A16,INDIRECT("'W"&amp;S$1&amp;"'!$A$2:$T$1000"),4,FALSE),0)</f>
        <v>30.9</v>
      </c>
      <c r="T16" s="37">
        <f ca="1">_xlfn.IFNA(VLOOKUP($A16,INDIRECT("'W"&amp;T$1&amp;"'!$A$2:$T$1000"),4,FALSE),0)</f>
        <v>10.4</v>
      </c>
      <c r="U16" s="36">
        <f ca="1">COUNTIF(C16:T16,"&gt; 15")</f>
        <v>7</v>
      </c>
      <c r="V16" s="36">
        <f ca="1">SUM(C16:T16)</f>
        <v>286.5</v>
      </c>
      <c r="W16" s="36">
        <v>1</v>
      </c>
      <c r="X16" s="38">
        <v>67</v>
      </c>
    </row>
    <row r="17" spans="1:24" ht="12.75" x14ac:dyDescent="0.2">
      <c r="A17" s="36" t="s">
        <v>175</v>
      </c>
      <c r="B17" s="36" t="s">
        <v>162</v>
      </c>
      <c r="C17" s="37">
        <f ca="1">_xlfn.IFNA(VLOOKUP($A17,INDIRECT("'W"&amp;C$1&amp;"'!$A$2:$T$1000"),4,FALSE),0)</f>
        <v>18.600000000000001</v>
      </c>
      <c r="D17" s="37">
        <f ca="1">_xlfn.IFNA(VLOOKUP($A17,INDIRECT("'W"&amp;D$1&amp;"'!$A$2:$T$1000"),4,FALSE),0)</f>
        <v>29.1</v>
      </c>
      <c r="E17" s="37">
        <f ca="1">_xlfn.IFNA(VLOOKUP($A17,INDIRECT("'W"&amp;E$1&amp;"'!$A$2:$T$1000"),4,FALSE),0)</f>
        <v>17</v>
      </c>
      <c r="F17" s="37">
        <f ca="1">_xlfn.IFNA(VLOOKUP($A17,INDIRECT("'W"&amp;F$1&amp;"'!$A$2:$T$1000"),4,FALSE),0)</f>
        <v>7</v>
      </c>
      <c r="G17" s="37">
        <f ca="1">_xlfn.IFNA(VLOOKUP($A17,INDIRECT("'W"&amp;G$1&amp;"'!$A$2:$T$1000"),4,FALSE),0)</f>
        <v>0</v>
      </c>
      <c r="H17" s="37">
        <f ca="1">_xlfn.IFNA(VLOOKUP($A17,INDIRECT("'W"&amp;H$1&amp;"'!$A$2:$T$1000"),4,FALSE),0)</f>
        <v>8.9</v>
      </c>
      <c r="I17" s="37">
        <f ca="1">_xlfn.IFNA(VLOOKUP($A17,INDIRECT("'W"&amp;I$1&amp;"'!$A$2:$T$1000"),4,FALSE),0)</f>
        <v>20.200000000000003</v>
      </c>
      <c r="J17" s="37">
        <f ca="1">_xlfn.IFNA(VLOOKUP($A17,INDIRECT("'W"&amp;J$1&amp;"'!$A$2:$T$1000"),4,FALSE),0)</f>
        <v>12.9</v>
      </c>
      <c r="K17" s="37">
        <f ca="1">_xlfn.IFNA(VLOOKUP($A17,INDIRECT("'W"&amp;K$1&amp;"'!$A$2:$T$1000"),4,FALSE),0)</f>
        <v>12.700000000000001</v>
      </c>
      <c r="L17" s="37">
        <f ca="1">_xlfn.IFNA(VLOOKUP($A17,INDIRECT("'W"&amp;L$1&amp;"'!$A$2:$T$1000"),4,FALSE),0)</f>
        <v>26.3</v>
      </c>
      <c r="M17" s="37">
        <f ca="1">_xlfn.IFNA(VLOOKUP($A17,INDIRECT("'W"&amp;M$1&amp;"'!$A$2:$T$1000"),4,FALSE),0)</f>
        <v>15.3</v>
      </c>
      <c r="N17" s="37">
        <f ca="1">_xlfn.IFNA(VLOOKUP($A17,INDIRECT("'W"&amp;N$1&amp;"'!$A$2:$T$1000"),4,FALSE),0)</f>
        <v>25</v>
      </c>
      <c r="O17" s="37">
        <f ca="1">_xlfn.IFNA(VLOOKUP($A17,INDIRECT("'W"&amp;O$1&amp;"'!$A$2:$T$1000"),4,FALSE),0)</f>
        <v>29.2</v>
      </c>
      <c r="P17" s="37">
        <f ca="1">_xlfn.IFNA(VLOOKUP($A17,INDIRECT("'W"&amp;P$1&amp;"'!$A$2:$T$1000"),4,FALSE),0)</f>
        <v>1.8</v>
      </c>
      <c r="Q17" s="37">
        <f ca="1">_xlfn.IFNA(VLOOKUP($A17,INDIRECT("'W"&amp;Q$1&amp;"'!$A$2:$T$1000"),4,FALSE),0)</f>
        <v>15.7</v>
      </c>
      <c r="R17" s="37">
        <f ca="1">_xlfn.IFNA(VLOOKUP($A17,INDIRECT("'W"&amp;R$1&amp;"'!$A$2:$T$1000"),4,FALSE),0)</f>
        <v>27.6</v>
      </c>
      <c r="S17" s="37">
        <f ca="1">_xlfn.IFNA(VLOOKUP($A17,INDIRECT("'W"&amp;S$1&amp;"'!$A$2:$T$1000"),4,FALSE),0)</f>
        <v>10</v>
      </c>
      <c r="T17" s="37">
        <f ca="1">_xlfn.IFNA(VLOOKUP($A17,INDIRECT("'W"&amp;T$1&amp;"'!$A$2:$T$1000"),4,FALSE),0)</f>
        <v>5.2</v>
      </c>
      <c r="U17" s="36">
        <f ca="1">COUNTIF(C17:T17,"&gt; 15")</f>
        <v>10</v>
      </c>
      <c r="V17" s="36">
        <f ca="1">SUM(C17:T17)</f>
        <v>282.5</v>
      </c>
      <c r="W17" s="36">
        <v>1</v>
      </c>
      <c r="X17" s="38">
        <v>71</v>
      </c>
    </row>
    <row r="18" spans="1:24" ht="12.75" x14ac:dyDescent="0.2">
      <c r="A18" s="36" t="s">
        <v>80</v>
      </c>
      <c r="B18" s="36" t="s">
        <v>75</v>
      </c>
      <c r="C18" s="37">
        <f ca="1">_xlfn.IFNA(VLOOKUP($A18,INDIRECT("'W"&amp;C$1&amp;"'!$A$2:$T$1000"),4,FALSE),0)</f>
        <v>21.4</v>
      </c>
      <c r="D18" s="37">
        <f ca="1">_xlfn.IFNA(VLOOKUP($A18,INDIRECT("'W"&amp;D$1&amp;"'!$A$2:$T$1000"),4,FALSE),0)</f>
        <v>6.2</v>
      </c>
      <c r="E18" s="37">
        <f ca="1">_xlfn.IFNA(VLOOKUP($A18,INDIRECT("'W"&amp;E$1&amp;"'!$A$2:$T$1000"),4,FALSE),0)</f>
        <v>17.8</v>
      </c>
      <c r="F18" s="37">
        <f ca="1">_xlfn.IFNA(VLOOKUP($A18,INDIRECT("'W"&amp;F$1&amp;"'!$A$2:$T$1000"),4,FALSE),0)</f>
        <v>10.199999999999999</v>
      </c>
      <c r="G18" s="37">
        <f ca="1">_xlfn.IFNA(VLOOKUP($A18,INDIRECT("'W"&amp;G$1&amp;"'!$A$2:$T$1000"),4,FALSE),0)</f>
        <v>36.400000000000006</v>
      </c>
      <c r="H18" s="37">
        <f ca="1">_xlfn.IFNA(VLOOKUP($A18,INDIRECT("'W"&amp;H$1&amp;"'!$A$2:$T$1000"),4,FALSE),0)</f>
        <v>23.3</v>
      </c>
      <c r="I18" s="37">
        <f ca="1">_xlfn.IFNA(VLOOKUP($A18,INDIRECT("'W"&amp;I$1&amp;"'!$A$2:$T$1000"),4,FALSE),0)</f>
        <v>22.700000000000003</v>
      </c>
      <c r="J18" s="37">
        <f ca="1">_xlfn.IFNA(VLOOKUP($A18,INDIRECT("'W"&amp;J$1&amp;"'!$A$2:$T$1000"),4,FALSE),0)</f>
        <v>25.9</v>
      </c>
      <c r="K18" s="37">
        <f ca="1">_xlfn.IFNA(VLOOKUP($A18,INDIRECT("'W"&amp;K$1&amp;"'!$A$2:$T$1000"),4,FALSE),0)</f>
        <v>0</v>
      </c>
      <c r="L18" s="37">
        <f ca="1">_xlfn.IFNA(VLOOKUP($A18,INDIRECT("'W"&amp;L$1&amp;"'!$A$2:$T$1000"),4,FALSE),0)</f>
        <v>6.4</v>
      </c>
      <c r="M18" s="37">
        <f ca="1">_xlfn.IFNA(VLOOKUP($A18,INDIRECT("'W"&amp;M$1&amp;"'!$A$2:$T$1000"),4,FALSE),0)</f>
        <v>8.8999999999999986</v>
      </c>
      <c r="N18" s="37">
        <f ca="1">_xlfn.IFNA(VLOOKUP($A18,INDIRECT("'W"&amp;N$1&amp;"'!$A$2:$T$1000"),4,FALSE),0)</f>
        <v>12.600000000000001</v>
      </c>
      <c r="O18" s="37">
        <f ca="1">_xlfn.IFNA(VLOOKUP($A18,INDIRECT("'W"&amp;O$1&amp;"'!$A$2:$T$1000"),4,FALSE),0)</f>
        <v>17.899999999999999</v>
      </c>
      <c r="P18" s="37">
        <f ca="1">_xlfn.IFNA(VLOOKUP($A18,INDIRECT("'W"&amp;P$1&amp;"'!$A$2:$T$1000"),4,FALSE),0)</f>
        <v>17.2</v>
      </c>
      <c r="Q18" s="37">
        <f ca="1">_xlfn.IFNA(VLOOKUP($A18,INDIRECT("'W"&amp;Q$1&amp;"'!$A$2:$T$1000"),4,FALSE),0)</f>
        <v>9.9</v>
      </c>
      <c r="R18" s="37">
        <f ca="1">_xlfn.IFNA(VLOOKUP($A18,INDIRECT("'W"&amp;R$1&amp;"'!$A$2:$T$1000"),4,FALSE),0)</f>
        <v>6.1000000000000005</v>
      </c>
      <c r="S18" s="37">
        <f ca="1">_xlfn.IFNA(VLOOKUP($A18,INDIRECT("'W"&amp;S$1&amp;"'!$A$2:$T$1000"),4,FALSE),0)</f>
        <v>25.800000000000004</v>
      </c>
      <c r="T18" s="37">
        <f ca="1">_xlfn.IFNA(VLOOKUP($A18,INDIRECT("'W"&amp;T$1&amp;"'!$A$2:$T$1000"),4,FALSE),0)</f>
        <v>13.7</v>
      </c>
      <c r="U18" s="36">
        <f ca="1">COUNTIF(C18:T18,"&gt; 15")</f>
        <v>9</v>
      </c>
      <c r="V18" s="36">
        <f ca="1">SUM(C18:T18)</f>
        <v>282.39999999999998</v>
      </c>
      <c r="W18" s="36"/>
      <c r="X18" s="38">
        <v>39</v>
      </c>
    </row>
    <row r="19" spans="1:24" ht="12.75" x14ac:dyDescent="0.2">
      <c r="A19" s="36" t="s">
        <v>23</v>
      </c>
      <c r="B19" s="36" t="s">
        <v>17</v>
      </c>
      <c r="C19" s="37">
        <f ca="1">_xlfn.IFNA(VLOOKUP($A19,INDIRECT("'W"&amp;C$1&amp;"'!$A$2:$T$1000"),4,FALSE),0)</f>
        <v>19.54</v>
      </c>
      <c r="D19" s="37">
        <f ca="1">_xlfn.IFNA(VLOOKUP($A19,INDIRECT("'W"&amp;D$1&amp;"'!$A$2:$T$1000"),4,FALSE),0)</f>
        <v>21.200000000000003</v>
      </c>
      <c r="E19" s="37">
        <f ca="1">_xlfn.IFNA(VLOOKUP($A19,INDIRECT("'W"&amp;E$1&amp;"'!$A$2:$T$1000"),4,FALSE),0)</f>
        <v>25.680000000000003</v>
      </c>
      <c r="F19" s="37">
        <f ca="1">_xlfn.IFNA(VLOOKUP($A19,INDIRECT("'W"&amp;F$1&amp;"'!$A$2:$T$1000"),4,FALSE),0)</f>
        <v>13.220000000000002</v>
      </c>
      <c r="G19" s="37">
        <f ca="1">_xlfn.IFNA(VLOOKUP($A19,INDIRECT("'W"&amp;G$1&amp;"'!$A$2:$T$1000"),4,FALSE),0)</f>
        <v>19.240000000000002</v>
      </c>
      <c r="H19" s="37">
        <f ca="1">_xlfn.IFNA(VLOOKUP($A19,INDIRECT("'W"&amp;H$1&amp;"'!$A$2:$T$1000"),4,FALSE),0)</f>
        <v>17.340000000000003</v>
      </c>
      <c r="I19" s="37">
        <f ca="1">_xlfn.IFNA(VLOOKUP($A19,INDIRECT("'W"&amp;I$1&amp;"'!$A$2:$T$1000"),4,FALSE),0)</f>
        <v>33.86</v>
      </c>
      <c r="J19" s="37">
        <f ca="1">_xlfn.IFNA(VLOOKUP($A19,INDIRECT("'W"&amp;J$1&amp;"'!$A$2:$T$1000"),4,FALSE),0)</f>
        <v>5.6</v>
      </c>
      <c r="K19" s="37">
        <f ca="1">_xlfn.IFNA(VLOOKUP($A19,INDIRECT("'W"&amp;K$1&amp;"'!$A$2:$T$1000"),4,FALSE),0)</f>
        <v>15.8</v>
      </c>
      <c r="L19" s="37">
        <f ca="1">_xlfn.IFNA(VLOOKUP($A19,INDIRECT("'W"&amp;L$1&amp;"'!$A$2:$T$1000"),4,FALSE),0)</f>
        <v>0</v>
      </c>
      <c r="M19" s="37">
        <f ca="1">_xlfn.IFNA(VLOOKUP($A19,INDIRECT("'W"&amp;M$1&amp;"'!$A$2:$T$1000"),4,FALSE),0)</f>
        <v>16.88</v>
      </c>
      <c r="N19" s="37">
        <f ca="1">_xlfn.IFNA(VLOOKUP($A19,INDIRECT("'W"&amp;N$1&amp;"'!$A$2:$T$1000"),4,FALSE),0)</f>
        <v>20.82</v>
      </c>
      <c r="O19" s="37">
        <f ca="1">_xlfn.IFNA(VLOOKUP($A19,INDIRECT("'W"&amp;O$1&amp;"'!$A$2:$T$1000"),4,FALSE),0)</f>
        <v>13</v>
      </c>
      <c r="P19" s="37">
        <f ca="1">_xlfn.IFNA(VLOOKUP($A19,INDIRECT("'W"&amp;P$1&amp;"'!$A$2:$T$1000"),4,FALSE),0)</f>
        <v>13.64</v>
      </c>
      <c r="Q19" s="37">
        <f ca="1">_xlfn.IFNA(VLOOKUP($A19,INDIRECT("'W"&amp;Q$1&amp;"'!$A$2:$T$1000"),4,FALSE),0)</f>
        <v>15.700000000000003</v>
      </c>
      <c r="R19" s="37">
        <f ca="1">_xlfn.IFNA(VLOOKUP($A19,INDIRECT("'W"&amp;R$1&amp;"'!$A$2:$T$1000"),4,FALSE),0)</f>
        <v>16.700000000000003</v>
      </c>
      <c r="S19" s="37">
        <f ca="1">_xlfn.IFNA(VLOOKUP($A19,INDIRECT("'W"&amp;S$1&amp;"'!$A$2:$T$1000"),4,FALSE),0)</f>
        <v>12</v>
      </c>
      <c r="T19" s="37">
        <f ca="1">_xlfn.IFNA(VLOOKUP($A19,INDIRECT("'W"&amp;T$1&amp;"'!$A$2:$T$1000"),4,FALSE),0)</f>
        <v>0</v>
      </c>
      <c r="U19" s="36">
        <f ca="1">COUNTIF(C19:T19,"&gt; 15")</f>
        <v>11</v>
      </c>
      <c r="V19" s="36">
        <f ca="1">SUM(C19:T19)</f>
        <v>280.21999999999997</v>
      </c>
      <c r="W19" s="36"/>
      <c r="X19" s="38">
        <v>7</v>
      </c>
    </row>
    <row r="20" spans="1:24" ht="12.75" x14ac:dyDescent="0.2">
      <c r="A20" s="36" t="s">
        <v>185</v>
      </c>
      <c r="B20" s="36" t="s">
        <v>162</v>
      </c>
      <c r="C20" s="37">
        <f ca="1">_xlfn.IFNA(VLOOKUP($A20,INDIRECT("'W"&amp;C$1&amp;"'!$A$2:$T$1000"),4,FALSE),0)</f>
        <v>14.2</v>
      </c>
      <c r="D20" s="37">
        <f ca="1">_xlfn.IFNA(VLOOKUP($A20,INDIRECT("'W"&amp;D$1&amp;"'!$A$2:$T$1000"),4,FALSE),0)</f>
        <v>31.1</v>
      </c>
      <c r="E20" s="37">
        <f ca="1">_xlfn.IFNA(VLOOKUP($A20,INDIRECT("'W"&amp;E$1&amp;"'!$A$2:$T$1000"),4,FALSE),0)</f>
        <v>45.46</v>
      </c>
      <c r="F20" s="37">
        <f ca="1">_xlfn.IFNA(VLOOKUP($A20,INDIRECT("'W"&amp;F$1&amp;"'!$A$2:$T$1000"),4,FALSE),0)</f>
        <v>12.2</v>
      </c>
      <c r="G20" s="37">
        <f ca="1">_xlfn.IFNA(VLOOKUP($A20,INDIRECT("'W"&amp;G$1&amp;"'!$A$2:$T$1000"),4,FALSE),0)</f>
        <v>0</v>
      </c>
      <c r="H20" s="37">
        <f ca="1">_xlfn.IFNA(VLOOKUP($A20,INDIRECT("'W"&amp;H$1&amp;"'!$A$2:$T$1000"),4,FALSE),0)</f>
        <v>21.5</v>
      </c>
      <c r="I20" s="37">
        <f ca="1">_xlfn.IFNA(VLOOKUP($A20,INDIRECT("'W"&amp;I$1&amp;"'!$A$2:$T$1000"),4,FALSE),0)</f>
        <v>9.5</v>
      </c>
      <c r="J20" s="37">
        <f ca="1">_xlfn.IFNA(VLOOKUP($A20,INDIRECT("'W"&amp;J$1&amp;"'!$A$2:$T$1000"),4,FALSE),0)</f>
        <v>14.9</v>
      </c>
      <c r="K20" s="37">
        <f ca="1">_xlfn.IFNA(VLOOKUP($A20,INDIRECT("'W"&amp;K$1&amp;"'!$A$2:$T$1000"),4,FALSE),0)</f>
        <v>15.7</v>
      </c>
      <c r="L20" s="37">
        <f ca="1">_xlfn.IFNA(VLOOKUP($A20,INDIRECT("'W"&amp;L$1&amp;"'!$A$2:$T$1000"),4,FALSE),0)</f>
        <v>40.5</v>
      </c>
      <c r="M20" s="37">
        <f ca="1">_xlfn.IFNA(VLOOKUP($A20,INDIRECT("'W"&amp;M$1&amp;"'!$A$2:$T$1000"),4,FALSE),0)</f>
        <v>27.6</v>
      </c>
      <c r="N20" s="37">
        <f ca="1">_xlfn.IFNA(VLOOKUP($A20,INDIRECT("'W"&amp;N$1&amp;"'!$A$2:$T$1000"),4,FALSE),0)</f>
        <v>22.6</v>
      </c>
      <c r="O20" s="37">
        <f ca="1">_xlfn.IFNA(VLOOKUP($A20,INDIRECT("'W"&amp;O$1&amp;"'!$A$2:$T$1000"),4,FALSE),0)</f>
        <v>10.8</v>
      </c>
      <c r="P20" s="37">
        <f ca="1">_xlfn.IFNA(VLOOKUP($A20,INDIRECT("'W"&amp;P$1&amp;"'!$A$2:$T$1000"),4,FALSE),0)</f>
        <v>12.8</v>
      </c>
      <c r="Q20" s="37">
        <f ca="1">_xlfn.IFNA(VLOOKUP($A20,INDIRECT("'W"&amp;Q$1&amp;"'!$A$2:$T$1000"),4,FALSE),0)</f>
        <v>0</v>
      </c>
      <c r="R20" s="37">
        <f ca="1">_xlfn.IFNA(VLOOKUP($A20,INDIRECT("'W"&amp;R$1&amp;"'!$A$2:$T$1000"),4,FALSE),0)</f>
        <v>0</v>
      </c>
      <c r="S20" s="37">
        <f ca="1">_xlfn.IFNA(VLOOKUP($A20,INDIRECT("'W"&amp;S$1&amp;"'!$A$2:$T$1000"),4,FALSE),0)</f>
        <v>0</v>
      </c>
      <c r="T20" s="37">
        <f ca="1">_xlfn.IFNA(VLOOKUP($A20,INDIRECT("'W"&amp;T$1&amp;"'!$A$2:$T$1000"),4,FALSE),0)</f>
        <v>0</v>
      </c>
      <c r="U20" s="36">
        <f ca="1">COUNTIF(C20:T20,"&gt; 15")</f>
        <v>7</v>
      </c>
      <c r="V20" s="36">
        <f ca="1">SUM(C20:T20)</f>
        <v>278.85999999999996</v>
      </c>
      <c r="W20" s="36">
        <v>1</v>
      </c>
      <c r="X20" s="38">
        <v>48</v>
      </c>
    </row>
    <row r="21" spans="1:24" ht="12.75" x14ac:dyDescent="0.2">
      <c r="A21" s="36" t="s">
        <v>53</v>
      </c>
      <c r="B21" s="36" t="s">
        <v>17</v>
      </c>
      <c r="C21" s="37">
        <f ca="1">_xlfn.IFNA(VLOOKUP($A21,INDIRECT("'W"&amp;C$1&amp;"'!$A$2:$T$1000"),4,FALSE),0)</f>
        <v>10.68</v>
      </c>
      <c r="D21" s="37">
        <f ca="1">_xlfn.IFNA(VLOOKUP($A21,INDIRECT("'W"&amp;D$1&amp;"'!$A$2:$T$1000"),4,FALSE),0)</f>
        <v>21.46</v>
      </c>
      <c r="E21" s="37">
        <f ca="1">_xlfn.IFNA(VLOOKUP($A21,INDIRECT("'W"&amp;E$1&amp;"'!$A$2:$T$1000"),4,FALSE),0)</f>
        <v>20.6</v>
      </c>
      <c r="F21" s="37">
        <f ca="1">_xlfn.IFNA(VLOOKUP($A21,INDIRECT("'W"&amp;F$1&amp;"'!$A$2:$T$1000"),4,FALSE),0)</f>
        <v>21.840000000000003</v>
      </c>
      <c r="G21" s="37">
        <f ca="1">_xlfn.IFNA(VLOOKUP($A21,INDIRECT("'W"&amp;G$1&amp;"'!$A$2:$T$1000"),4,FALSE),0)</f>
        <v>14.16</v>
      </c>
      <c r="H21" s="37">
        <f ca="1">_xlfn.IFNA(VLOOKUP($A21,INDIRECT("'W"&amp;H$1&amp;"'!$A$2:$T$1000"),4,FALSE),0)</f>
        <v>14.16</v>
      </c>
      <c r="I21" s="37">
        <f ca="1">_xlfn.IFNA(VLOOKUP($A21,INDIRECT("'W"&amp;I$1&amp;"'!$A$2:$T$1000"),4,FALSE),0)</f>
        <v>0</v>
      </c>
      <c r="J21" s="37">
        <f ca="1">_xlfn.IFNA(VLOOKUP($A21,INDIRECT("'W"&amp;J$1&amp;"'!$A$2:$T$1000"),4,FALSE),0)</f>
        <v>12.9</v>
      </c>
      <c r="K21" s="37">
        <f ca="1">_xlfn.IFNA(VLOOKUP($A21,INDIRECT("'W"&amp;K$1&amp;"'!$A$2:$T$1000"),4,FALSE),0)</f>
        <v>41.8</v>
      </c>
      <c r="L21" s="37">
        <f ca="1">_xlfn.IFNA(VLOOKUP($A21,INDIRECT("'W"&amp;L$1&amp;"'!$A$2:$T$1000"),4,FALSE),0)</f>
        <v>19.040000000000003</v>
      </c>
      <c r="M21" s="37">
        <f ca="1">_xlfn.IFNA(VLOOKUP($A21,INDIRECT("'W"&amp;M$1&amp;"'!$A$2:$T$1000"),4,FALSE),0)</f>
        <v>15.339999999999998</v>
      </c>
      <c r="N21" s="37">
        <f ca="1">_xlfn.IFNA(VLOOKUP($A21,INDIRECT("'W"&amp;N$1&amp;"'!$A$2:$T$1000"),4,FALSE),0)</f>
        <v>30.86</v>
      </c>
      <c r="O21" s="37">
        <f ca="1">_xlfn.IFNA(VLOOKUP($A21,INDIRECT("'W"&amp;O$1&amp;"'!$A$2:$T$1000"),4,FALSE),0)</f>
        <v>16.060000000000002</v>
      </c>
      <c r="P21" s="37">
        <f ca="1">_xlfn.IFNA(VLOOKUP($A21,INDIRECT("'W"&amp;P$1&amp;"'!$A$2:$T$1000"),4,FALSE),0)</f>
        <v>3.64</v>
      </c>
      <c r="Q21" s="37">
        <f ca="1">_xlfn.IFNA(VLOOKUP($A21,INDIRECT("'W"&amp;Q$1&amp;"'!$A$2:$T$1000"),4,FALSE),0)</f>
        <v>0</v>
      </c>
      <c r="R21" s="37">
        <f ca="1">_xlfn.IFNA(VLOOKUP($A21,INDIRECT("'W"&amp;R$1&amp;"'!$A$2:$T$1000"),4,FALSE),0)</f>
        <v>0</v>
      </c>
      <c r="S21" s="37">
        <f ca="1">_xlfn.IFNA(VLOOKUP($A21,INDIRECT("'W"&amp;S$1&amp;"'!$A$2:$T$1000"),4,FALSE),0)</f>
        <v>12.92</v>
      </c>
      <c r="T21" s="37">
        <f ca="1">_xlfn.IFNA(VLOOKUP($A21,INDIRECT("'W"&amp;T$1&amp;"'!$A$2:$T$1000"),4,FALSE),0)</f>
        <v>20.560000000000002</v>
      </c>
      <c r="U21" s="36">
        <f ca="1">COUNTIF(C21:T21,"&gt; 15")</f>
        <v>9</v>
      </c>
      <c r="V21" s="36">
        <f ca="1">SUM(C21:T21)</f>
        <v>276.02</v>
      </c>
      <c r="W21" s="36">
        <v>1</v>
      </c>
      <c r="X21" s="38" t="s">
        <v>847</v>
      </c>
    </row>
    <row r="22" spans="1:24" ht="12.75" x14ac:dyDescent="0.2">
      <c r="A22" s="36" t="s">
        <v>37</v>
      </c>
      <c r="B22" s="36" t="s">
        <v>17</v>
      </c>
      <c r="C22" s="37">
        <f ca="1">_xlfn.IFNA(VLOOKUP($A22,INDIRECT("'W"&amp;C$1&amp;"'!$A$2:$T$1000"),4,FALSE),0)</f>
        <v>16.02</v>
      </c>
      <c r="D22" s="37">
        <f ca="1">_xlfn.IFNA(VLOOKUP($A22,INDIRECT("'W"&amp;D$1&amp;"'!$A$2:$T$1000"),4,FALSE),0)</f>
        <v>18.38</v>
      </c>
      <c r="E22" s="37">
        <f ca="1">_xlfn.IFNA(VLOOKUP($A22,INDIRECT("'W"&amp;E$1&amp;"'!$A$2:$T$1000"),4,FALSE),0)</f>
        <v>10.039999999999999</v>
      </c>
      <c r="F22" s="37">
        <f ca="1">_xlfn.IFNA(VLOOKUP($A22,INDIRECT("'W"&amp;F$1&amp;"'!$A$2:$T$1000"),4,FALSE),0)</f>
        <v>22.94</v>
      </c>
      <c r="G22" s="37">
        <f ca="1">_xlfn.IFNA(VLOOKUP($A22,INDIRECT("'W"&amp;G$1&amp;"'!$A$2:$T$1000"),4,FALSE),0)</f>
        <v>0</v>
      </c>
      <c r="H22" s="37">
        <f ca="1">_xlfn.IFNA(VLOOKUP($A22,INDIRECT("'W"&amp;H$1&amp;"'!$A$2:$T$1000"),4,FALSE),0)</f>
        <v>6.84</v>
      </c>
      <c r="I22" s="37">
        <f ca="1">_xlfn.IFNA(VLOOKUP($A22,INDIRECT("'W"&amp;I$1&amp;"'!$A$2:$T$1000"),4,FALSE),0)</f>
        <v>16.2</v>
      </c>
      <c r="J22" s="37">
        <f ca="1">_xlfn.IFNA(VLOOKUP($A22,INDIRECT("'W"&amp;J$1&amp;"'!$A$2:$T$1000"),4,FALSE),0)</f>
        <v>21.38</v>
      </c>
      <c r="K22" s="37">
        <f ca="1">_xlfn.IFNA(VLOOKUP($A22,INDIRECT("'W"&amp;K$1&amp;"'!$A$2:$T$1000"),4,FALSE),0)</f>
        <v>19</v>
      </c>
      <c r="L22" s="37">
        <f ca="1">_xlfn.IFNA(VLOOKUP($A22,INDIRECT("'W"&amp;L$1&amp;"'!$A$2:$T$1000"),4,FALSE),0)</f>
        <v>18.32</v>
      </c>
      <c r="M22" s="37">
        <f ca="1">_xlfn.IFNA(VLOOKUP($A22,INDIRECT("'W"&amp;M$1&amp;"'!$A$2:$T$1000"),4,FALSE),0)</f>
        <v>10.34</v>
      </c>
      <c r="N22" s="37">
        <f ca="1">_xlfn.IFNA(VLOOKUP($A22,INDIRECT("'W"&amp;N$1&amp;"'!$A$2:$T$1000"),4,FALSE),0)</f>
        <v>13.360000000000001</v>
      </c>
      <c r="O22" s="37">
        <f ca="1">_xlfn.IFNA(VLOOKUP($A22,INDIRECT("'W"&amp;O$1&amp;"'!$A$2:$T$1000"),4,FALSE),0)</f>
        <v>9.8800000000000008</v>
      </c>
      <c r="P22" s="37">
        <f ca="1">_xlfn.IFNA(VLOOKUP($A22,INDIRECT("'W"&amp;P$1&amp;"'!$A$2:$T$1000"),4,FALSE),0)</f>
        <v>20.060000000000002</v>
      </c>
      <c r="Q22" s="37">
        <f ca="1">_xlfn.IFNA(VLOOKUP($A22,INDIRECT("'W"&amp;Q$1&amp;"'!$A$2:$T$1000"),4,FALSE),0)</f>
        <v>29.040000000000003</v>
      </c>
      <c r="R22" s="37">
        <f ca="1">_xlfn.IFNA(VLOOKUP($A22,INDIRECT("'W"&amp;R$1&amp;"'!$A$2:$T$1000"),4,FALSE),0)</f>
        <v>19.82</v>
      </c>
      <c r="S22" s="37">
        <f ca="1">_xlfn.IFNA(VLOOKUP($A22,INDIRECT("'W"&amp;S$1&amp;"'!$A$2:$T$1000"),4,FALSE),0)</f>
        <v>16.259999999999998</v>
      </c>
      <c r="T22" s="37">
        <f ca="1">_xlfn.IFNA(VLOOKUP($A22,INDIRECT("'W"&amp;T$1&amp;"'!$A$2:$T$1000"),4,FALSE),0)</f>
        <v>6.1800000000000006</v>
      </c>
      <c r="U22" s="36">
        <f ca="1">COUNTIF(C22:T22,"&gt; 15")</f>
        <v>11</v>
      </c>
      <c r="V22" s="36">
        <f ca="1">SUM(C22:T22)</f>
        <v>274.06</v>
      </c>
      <c r="W22" s="36"/>
      <c r="X22" s="38" t="s">
        <v>847</v>
      </c>
    </row>
    <row r="23" spans="1:24" ht="12.75" x14ac:dyDescent="0.2">
      <c r="A23" s="36" t="s">
        <v>165</v>
      </c>
      <c r="B23" s="36" t="s">
        <v>162</v>
      </c>
      <c r="C23" s="37">
        <f ca="1">_xlfn.IFNA(VLOOKUP($A23,INDIRECT("'W"&amp;C$1&amp;"'!$A$2:$T$1000"),4,FALSE),0)</f>
        <v>26.200000000000003</v>
      </c>
      <c r="D23" s="37">
        <f ca="1">_xlfn.IFNA(VLOOKUP($A23,INDIRECT("'W"&amp;D$1&amp;"'!$A$2:$T$1000"),4,FALSE),0)</f>
        <v>13.600000000000001</v>
      </c>
      <c r="E23" s="37">
        <f ca="1">_xlfn.IFNA(VLOOKUP($A23,INDIRECT("'W"&amp;E$1&amp;"'!$A$2:$T$1000"),4,FALSE),0)</f>
        <v>19.100000000000001</v>
      </c>
      <c r="F23" s="37">
        <f ca="1">_xlfn.IFNA(VLOOKUP($A23,INDIRECT("'W"&amp;F$1&amp;"'!$A$2:$T$1000"),4,FALSE),0)</f>
        <v>36</v>
      </c>
      <c r="G23" s="37">
        <f ca="1">_xlfn.IFNA(VLOOKUP($A23,INDIRECT("'W"&amp;G$1&amp;"'!$A$2:$T$1000"),4,FALSE),0)</f>
        <v>24.1</v>
      </c>
      <c r="H23" s="37">
        <f ca="1">_xlfn.IFNA(VLOOKUP($A23,INDIRECT("'W"&amp;H$1&amp;"'!$A$2:$T$1000"),4,FALSE),0)</f>
        <v>20</v>
      </c>
      <c r="I23" s="37">
        <f ca="1">_xlfn.IFNA(VLOOKUP($A23,INDIRECT("'W"&amp;I$1&amp;"'!$A$2:$T$1000"),4,FALSE),0)</f>
        <v>17.8</v>
      </c>
      <c r="J23" s="37">
        <f ca="1">_xlfn.IFNA(VLOOKUP($A23,INDIRECT("'W"&amp;J$1&amp;"'!$A$2:$T$1000"),4,FALSE),0)</f>
        <v>16</v>
      </c>
      <c r="K23" s="37">
        <f ca="1">_xlfn.IFNA(VLOOKUP($A23,INDIRECT("'W"&amp;K$1&amp;"'!$A$2:$T$1000"),4,FALSE),0)</f>
        <v>22.6</v>
      </c>
      <c r="L23" s="37">
        <f ca="1">_xlfn.IFNA(VLOOKUP($A23,INDIRECT("'W"&amp;L$1&amp;"'!$A$2:$T$1000"),4,FALSE),0)</f>
        <v>6.4</v>
      </c>
      <c r="M23" s="37">
        <f ca="1">_xlfn.IFNA(VLOOKUP($A23,INDIRECT("'W"&amp;M$1&amp;"'!$A$2:$T$1000"),4,FALSE),0)</f>
        <v>6.7</v>
      </c>
      <c r="N23" s="37">
        <f ca="1">_xlfn.IFNA(VLOOKUP($A23,INDIRECT("'W"&amp;N$1&amp;"'!$A$2:$T$1000"),4,FALSE),0)</f>
        <v>19.399999999999999</v>
      </c>
      <c r="O23" s="37">
        <f ca="1">_xlfn.IFNA(VLOOKUP($A23,INDIRECT("'W"&amp;O$1&amp;"'!$A$2:$T$1000"),4,FALSE),0)</f>
        <v>0</v>
      </c>
      <c r="P23" s="37">
        <f ca="1">_xlfn.IFNA(VLOOKUP($A23,INDIRECT("'W"&amp;P$1&amp;"'!$A$2:$T$1000"),4,FALSE),0)</f>
        <v>6.4</v>
      </c>
      <c r="Q23" s="37">
        <f ca="1">_xlfn.IFNA(VLOOKUP($A23,INDIRECT("'W"&amp;Q$1&amp;"'!$A$2:$T$1000"),4,FALSE),0)</f>
        <v>8.8000000000000007</v>
      </c>
      <c r="R23" s="37">
        <f ca="1">_xlfn.IFNA(VLOOKUP($A23,INDIRECT("'W"&amp;R$1&amp;"'!$A$2:$T$1000"),4,FALSE),0)</f>
        <v>7.9</v>
      </c>
      <c r="S23" s="37">
        <f ca="1">_xlfn.IFNA(VLOOKUP($A23,INDIRECT("'W"&amp;S$1&amp;"'!$A$2:$T$1000"),4,FALSE),0)</f>
        <v>7.1</v>
      </c>
      <c r="T23" s="37">
        <f ca="1">_xlfn.IFNA(VLOOKUP($A23,INDIRECT("'W"&amp;T$1&amp;"'!$A$2:$T$1000"),4,FALSE),0)</f>
        <v>15.700000000000001</v>
      </c>
      <c r="U23" s="36">
        <f ca="1">COUNTIF(C23:T23,"&gt; 15")</f>
        <v>10</v>
      </c>
      <c r="V23" s="36">
        <f ca="1">SUM(C23:T23)</f>
        <v>273.8</v>
      </c>
      <c r="W23" s="36">
        <v>1</v>
      </c>
      <c r="X23" s="38">
        <v>14</v>
      </c>
    </row>
    <row r="24" spans="1:24" ht="12.75" x14ac:dyDescent="0.2">
      <c r="A24" s="36" t="s">
        <v>16</v>
      </c>
      <c r="B24" s="36" t="s">
        <v>17</v>
      </c>
      <c r="C24" s="37">
        <f ca="1">_xlfn.IFNA(VLOOKUP($A24,INDIRECT("'W"&amp;C$1&amp;"'!$A$2:$T$1000"),4,FALSE),0)</f>
        <v>27.14</v>
      </c>
      <c r="D24" s="37">
        <f ca="1">_xlfn.IFNA(VLOOKUP($A24,INDIRECT("'W"&amp;D$1&amp;"'!$A$2:$T$1000"),4,FALSE),0)</f>
        <v>12.260000000000002</v>
      </c>
      <c r="E24" s="37">
        <f ca="1">_xlfn.IFNA(VLOOKUP($A24,INDIRECT("'W"&amp;E$1&amp;"'!$A$2:$T$1000"),4,FALSE),0)</f>
        <v>28.36</v>
      </c>
      <c r="F24" s="37">
        <f ca="1">_xlfn.IFNA(VLOOKUP($A24,INDIRECT("'W"&amp;F$1&amp;"'!$A$2:$T$1000"),4,FALSE),0)</f>
        <v>13.979999999999999</v>
      </c>
      <c r="G24" s="37">
        <f ca="1">_xlfn.IFNA(VLOOKUP($A24,INDIRECT("'W"&amp;G$1&amp;"'!$A$2:$T$1000"),4,FALSE),0)</f>
        <v>16.920000000000002</v>
      </c>
      <c r="H24" s="37">
        <f ca="1">_xlfn.IFNA(VLOOKUP($A24,INDIRECT("'W"&amp;H$1&amp;"'!$A$2:$T$1000"),4,FALSE),0)</f>
        <v>22.48</v>
      </c>
      <c r="I24" s="37">
        <f ca="1">_xlfn.IFNA(VLOOKUP($A24,INDIRECT("'W"&amp;I$1&amp;"'!$A$2:$T$1000"),4,FALSE),0)</f>
        <v>10.34</v>
      </c>
      <c r="J24" s="37">
        <f ca="1">_xlfn.IFNA(VLOOKUP($A24,INDIRECT("'W"&amp;J$1&amp;"'!$A$2:$T$1000"),4,FALSE),0)</f>
        <v>21.76</v>
      </c>
      <c r="K24" s="37">
        <f ca="1">_xlfn.IFNA(VLOOKUP($A24,INDIRECT("'W"&amp;K$1&amp;"'!$A$2:$T$1000"),4,FALSE),0)</f>
        <v>12.419999999999998</v>
      </c>
      <c r="L24" s="37">
        <f ca="1">_xlfn.IFNA(VLOOKUP($A24,INDIRECT("'W"&amp;L$1&amp;"'!$A$2:$T$1000"),4,FALSE),0)</f>
        <v>0</v>
      </c>
      <c r="M24" s="37">
        <f ca="1">_xlfn.IFNA(VLOOKUP($A24,INDIRECT("'W"&amp;M$1&amp;"'!$A$2:$T$1000"),4,FALSE),0)</f>
        <v>17.600000000000001</v>
      </c>
      <c r="N24" s="37">
        <f ca="1">_xlfn.IFNA(VLOOKUP($A24,INDIRECT("'W"&amp;N$1&amp;"'!$A$2:$T$1000"),4,FALSE),0)</f>
        <v>7.82</v>
      </c>
      <c r="O24" s="37">
        <f ca="1">_xlfn.IFNA(VLOOKUP($A24,INDIRECT("'W"&amp;O$1&amp;"'!$A$2:$T$1000"),4,FALSE),0)</f>
        <v>19.200000000000003</v>
      </c>
      <c r="P24" s="37">
        <f ca="1">_xlfn.IFNA(VLOOKUP($A24,INDIRECT("'W"&amp;P$1&amp;"'!$A$2:$T$1000"),4,FALSE),0)</f>
        <v>9.1</v>
      </c>
      <c r="Q24" s="37">
        <f ca="1">_xlfn.IFNA(VLOOKUP($A24,INDIRECT("'W"&amp;Q$1&amp;"'!$A$2:$T$1000"),4,FALSE),0)</f>
        <v>12.96</v>
      </c>
      <c r="R24" s="37">
        <f ca="1">_xlfn.IFNA(VLOOKUP($A24,INDIRECT("'W"&amp;R$1&amp;"'!$A$2:$T$1000"),4,FALSE),0)</f>
        <v>15.520000000000001</v>
      </c>
      <c r="S24" s="37">
        <f ca="1">_xlfn.IFNA(VLOOKUP($A24,INDIRECT("'W"&amp;S$1&amp;"'!$A$2:$T$1000"),4,FALSE),0)</f>
        <v>14.88</v>
      </c>
      <c r="T24" s="37">
        <f ca="1">_xlfn.IFNA(VLOOKUP($A24,INDIRECT("'W"&amp;T$1&amp;"'!$A$2:$T$1000"),4,FALSE),0)</f>
        <v>7.62</v>
      </c>
      <c r="U24" s="36">
        <f ca="1">COUNTIF(C24:T24,"&gt; 15")</f>
        <v>8</v>
      </c>
      <c r="V24" s="36">
        <f ca="1">SUM(C24:T24)</f>
        <v>270.36</v>
      </c>
      <c r="W24" s="36">
        <v>1</v>
      </c>
      <c r="X24" s="38">
        <v>63</v>
      </c>
    </row>
    <row r="25" spans="1:24" ht="12.75" x14ac:dyDescent="0.2">
      <c r="A25" s="36" t="s">
        <v>114</v>
      </c>
      <c r="B25" s="36" t="s">
        <v>75</v>
      </c>
      <c r="C25" s="37">
        <f ca="1">_xlfn.IFNA(VLOOKUP($A25,INDIRECT("'W"&amp;C$1&amp;"'!$A$2:$T$1000"),4,FALSE),0)</f>
        <v>6.9</v>
      </c>
      <c r="D25" s="37">
        <f ca="1">_xlfn.IFNA(VLOOKUP($A25,INDIRECT("'W"&amp;D$1&amp;"'!$A$2:$T$1000"),4,FALSE),0)</f>
        <v>21.3</v>
      </c>
      <c r="E25" s="37">
        <f ca="1">_xlfn.IFNA(VLOOKUP($A25,INDIRECT("'W"&amp;E$1&amp;"'!$A$2:$T$1000"),4,FALSE),0)</f>
        <v>7.2000000000000011</v>
      </c>
      <c r="F25" s="37">
        <f ca="1">_xlfn.IFNA(VLOOKUP($A25,INDIRECT("'W"&amp;F$1&amp;"'!$A$2:$T$1000"),4,FALSE),0)</f>
        <v>10.8</v>
      </c>
      <c r="G25" s="37">
        <f ca="1">_xlfn.IFNA(VLOOKUP($A25,INDIRECT("'W"&amp;G$1&amp;"'!$A$2:$T$1000"),4,FALSE),0)</f>
        <v>0</v>
      </c>
      <c r="H25" s="37">
        <f ca="1">_xlfn.IFNA(VLOOKUP($A25,INDIRECT("'W"&amp;H$1&amp;"'!$A$2:$T$1000"),4,FALSE),0)</f>
        <v>6.8</v>
      </c>
      <c r="I25" s="37">
        <f ca="1">_xlfn.IFNA(VLOOKUP($A25,INDIRECT("'W"&amp;I$1&amp;"'!$A$2:$T$1000"),4,FALSE),0)</f>
        <v>15.9</v>
      </c>
      <c r="J25" s="37">
        <f ca="1">_xlfn.IFNA(VLOOKUP($A25,INDIRECT("'W"&amp;J$1&amp;"'!$A$2:$T$1000"),4,FALSE),0)</f>
        <v>17.899999999999999</v>
      </c>
      <c r="K25" s="37">
        <f ca="1">_xlfn.IFNA(VLOOKUP($A25,INDIRECT("'W"&amp;K$1&amp;"'!$A$2:$T$1000"),4,FALSE),0)</f>
        <v>27.900000000000002</v>
      </c>
      <c r="L25" s="37">
        <f ca="1">_xlfn.IFNA(VLOOKUP($A25,INDIRECT("'W"&amp;L$1&amp;"'!$A$2:$T$1000"),4,FALSE),0)</f>
        <v>17.8</v>
      </c>
      <c r="M25" s="37">
        <f ca="1">_xlfn.IFNA(VLOOKUP($A25,INDIRECT("'W"&amp;M$1&amp;"'!$A$2:$T$1000"),4,FALSE),0)</f>
        <v>17.8</v>
      </c>
      <c r="N25" s="37">
        <f ca="1">_xlfn.IFNA(VLOOKUP($A25,INDIRECT("'W"&amp;N$1&amp;"'!$A$2:$T$1000"),4,FALSE),0)</f>
        <v>13</v>
      </c>
      <c r="O25" s="37">
        <f ca="1">_xlfn.IFNA(VLOOKUP($A25,INDIRECT("'W"&amp;O$1&amp;"'!$A$2:$T$1000"),4,FALSE),0)</f>
        <v>19.599999999999998</v>
      </c>
      <c r="P25" s="37">
        <f ca="1">_xlfn.IFNA(VLOOKUP($A25,INDIRECT("'W"&amp;P$1&amp;"'!$A$2:$T$1000"),4,FALSE),0)</f>
        <v>21.5</v>
      </c>
      <c r="Q25" s="37">
        <f ca="1">_xlfn.IFNA(VLOOKUP($A25,INDIRECT("'W"&amp;Q$1&amp;"'!$A$2:$T$1000"),4,FALSE),0)</f>
        <v>21.9</v>
      </c>
      <c r="R25" s="37">
        <f ca="1">_xlfn.IFNA(VLOOKUP($A25,INDIRECT("'W"&amp;R$1&amp;"'!$A$2:$T$1000"),4,FALSE),0)</f>
        <v>19.7</v>
      </c>
      <c r="S25" s="37">
        <f ca="1">_xlfn.IFNA(VLOOKUP($A25,INDIRECT("'W"&amp;S$1&amp;"'!$A$2:$T$1000"),4,FALSE),0)</f>
        <v>8.6</v>
      </c>
      <c r="T25" s="37">
        <f ca="1">_xlfn.IFNA(VLOOKUP($A25,INDIRECT("'W"&amp;T$1&amp;"'!$A$2:$T$1000"),4,FALSE),0)</f>
        <v>13.3</v>
      </c>
      <c r="U25" s="36">
        <f ca="1">COUNTIF(C25:T25,"&gt; 15")</f>
        <v>10</v>
      </c>
      <c r="V25" s="36">
        <f ca="1">SUM(C25:T25)</f>
        <v>267.90000000000003</v>
      </c>
      <c r="W25" s="36">
        <v>1</v>
      </c>
      <c r="X25" s="38">
        <v>50</v>
      </c>
    </row>
    <row r="26" spans="1:24" ht="12.75" x14ac:dyDescent="0.2">
      <c r="A26" s="36" t="s">
        <v>92</v>
      </c>
      <c r="B26" s="36" t="s">
        <v>75</v>
      </c>
      <c r="C26" s="37">
        <f ca="1">_xlfn.IFNA(VLOOKUP($A26,INDIRECT("'W"&amp;C$1&amp;"'!$A$2:$T$1000"),4,FALSE),0)</f>
        <v>13</v>
      </c>
      <c r="D26" s="37">
        <f ca="1">_xlfn.IFNA(VLOOKUP($A26,INDIRECT("'W"&amp;D$1&amp;"'!$A$2:$T$1000"),4,FALSE),0)</f>
        <v>25.700000000000003</v>
      </c>
      <c r="E26" s="37">
        <f ca="1">_xlfn.IFNA(VLOOKUP($A26,INDIRECT("'W"&amp;E$1&amp;"'!$A$2:$T$1000"),4,FALSE),0)</f>
        <v>45.2</v>
      </c>
      <c r="F26" s="37">
        <f ca="1">_xlfn.IFNA(VLOOKUP($A26,INDIRECT("'W"&amp;F$1&amp;"'!$A$2:$T$1000"),4,FALSE),0)</f>
        <v>5.5</v>
      </c>
      <c r="G26" s="37">
        <f ca="1">_xlfn.IFNA(VLOOKUP($A26,INDIRECT("'W"&amp;G$1&amp;"'!$A$2:$T$1000"),4,FALSE),0)</f>
        <v>15.8</v>
      </c>
      <c r="H26" s="37">
        <f ca="1">_xlfn.IFNA(VLOOKUP($A26,INDIRECT("'W"&amp;H$1&amp;"'!$A$2:$T$1000"),4,FALSE),0)</f>
        <v>34.200000000000003</v>
      </c>
      <c r="I26" s="37">
        <f ca="1">_xlfn.IFNA(VLOOKUP($A26,INDIRECT("'W"&amp;I$1&amp;"'!$A$2:$T$1000"),4,FALSE),0)</f>
        <v>6.1</v>
      </c>
      <c r="J26" s="37">
        <f ca="1">_xlfn.IFNA(VLOOKUP($A26,INDIRECT("'W"&amp;J$1&amp;"'!$A$2:$T$1000"),4,FALSE),0)</f>
        <v>10.600000000000001</v>
      </c>
      <c r="K26" s="37">
        <f ca="1">_xlfn.IFNA(VLOOKUP($A26,INDIRECT("'W"&amp;K$1&amp;"'!$A$2:$T$1000"),4,FALSE),0)</f>
        <v>14.5</v>
      </c>
      <c r="L26" s="37">
        <f ca="1">_xlfn.IFNA(VLOOKUP($A26,INDIRECT("'W"&amp;L$1&amp;"'!$A$2:$T$1000"),4,FALSE),0)</f>
        <v>0</v>
      </c>
      <c r="M26" s="37">
        <f ca="1">_xlfn.IFNA(VLOOKUP($A26,INDIRECT("'W"&amp;M$1&amp;"'!$A$2:$T$1000"),4,FALSE),0)</f>
        <v>10.299999999999999</v>
      </c>
      <c r="N26" s="37">
        <f ca="1">_xlfn.IFNA(VLOOKUP($A26,INDIRECT("'W"&amp;N$1&amp;"'!$A$2:$T$1000"),4,FALSE),0)</f>
        <v>21.4</v>
      </c>
      <c r="O26" s="37">
        <f ca="1">_xlfn.IFNA(VLOOKUP($A26,INDIRECT("'W"&amp;O$1&amp;"'!$A$2:$T$1000"),4,FALSE),0)</f>
        <v>12.100000000000001</v>
      </c>
      <c r="P26" s="37">
        <f ca="1">_xlfn.IFNA(VLOOKUP($A26,INDIRECT("'W"&amp;P$1&amp;"'!$A$2:$T$1000"),4,FALSE),0)</f>
        <v>23</v>
      </c>
      <c r="Q26" s="37">
        <f ca="1">_xlfn.IFNA(VLOOKUP($A26,INDIRECT("'W"&amp;Q$1&amp;"'!$A$2:$T$1000"),4,FALSE),0)</f>
        <v>18.3</v>
      </c>
      <c r="R26" s="37">
        <f ca="1">_xlfn.IFNA(VLOOKUP($A26,INDIRECT("'W"&amp;R$1&amp;"'!$A$2:$T$1000"),4,FALSE),0)</f>
        <v>12</v>
      </c>
      <c r="S26" s="37">
        <f ca="1">_xlfn.IFNA(VLOOKUP($A26,INDIRECT("'W"&amp;S$1&amp;"'!$A$2:$T$1000"),4,FALSE),0)</f>
        <v>0</v>
      </c>
      <c r="T26" s="37">
        <f ca="1">_xlfn.IFNA(VLOOKUP($A26,INDIRECT("'W"&amp;T$1&amp;"'!$A$2:$T$1000"),4,FALSE),0)</f>
        <v>0</v>
      </c>
      <c r="U26" s="36">
        <f ca="1">COUNTIF(C26:T26,"&gt; 15")</f>
        <v>7</v>
      </c>
      <c r="V26" s="36">
        <f ca="1">SUM(C26:T26)</f>
        <v>267.70000000000005</v>
      </c>
      <c r="W26" s="36">
        <v>1</v>
      </c>
      <c r="X26" s="38">
        <v>104</v>
      </c>
    </row>
    <row r="27" spans="1:24" ht="12.75" x14ac:dyDescent="0.2">
      <c r="A27" s="36" t="s">
        <v>103</v>
      </c>
      <c r="B27" s="36" t="s">
        <v>75</v>
      </c>
      <c r="C27" s="37">
        <f ca="1">_xlfn.IFNA(VLOOKUP($A27,INDIRECT("'W"&amp;C$1&amp;"'!$A$2:$T$1000"),4,FALSE),0)</f>
        <v>10.3</v>
      </c>
      <c r="D27" s="37">
        <f ca="1">_xlfn.IFNA(VLOOKUP($A27,INDIRECT("'W"&amp;D$1&amp;"'!$A$2:$T$1000"),4,FALSE),0)</f>
        <v>13.5</v>
      </c>
      <c r="E27" s="37">
        <f ca="1">_xlfn.IFNA(VLOOKUP($A27,INDIRECT("'W"&amp;E$1&amp;"'!$A$2:$T$1000"),4,FALSE),0)</f>
        <v>14</v>
      </c>
      <c r="F27" s="37">
        <f ca="1">_xlfn.IFNA(VLOOKUP($A27,INDIRECT("'W"&amp;F$1&amp;"'!$A$2:$T$1000"),4,FALSE),0)</f>
        <v>8.6</v>
      </c>
      <c r="G27" s="37">
        <f ca="1">_xlfn.IFNA(VLOOKUP($A27,INDIRECT("'W"&amp;G$1&amp;"'!$A$2:$T$1000"),4,FALSE),0)</f>
        <v>13.4</v>
      </c>
      <c r="H27" s="37">
        <f ca="1">_xlfn.IFNA(VLOOKUP($A27,INDIRECT("'W"&amp;H$1&amp;"'!$A$2:$T$1000"),4,FALSE),0)</f>
        <v>9.2000000000000011</v>
      </c>
      <c r="I27" s="37">
        <f ca="1">_xlfn.IFNA(VLOOKUP($A27,INDIRECT("'W"&amp;I$1&amp;"'!$A$2:$T$1000"),4,FALSE),0)</f>
        <v>0</v>
      </c>
      <c r="J27" s="37">
        <f ca="1">_xlfn.IFNA(VLOOKUP($A27,INDIRECT("'W"&amp;J$1&amp;"'!$A$2:$T$1000"),4,FALSE),0)</f>
        <v>20.000000000000004</v>
      </c>
      <c r="K27" s="37">
        <f ca="1">_xlfn.IFNA(VLOOKUP($A27,INDIRECT("'W"&amp;K$1&amp;"'!$A$2:$T$1000"),4,FALSE),0)</f>
        <v>17.8</v>
      </c>
      <c r="L27" s="37">
        <f ca="1">_xlfn.IFNA(VLOOKUP($A27,INDIRECT("'W"&amp;L$1&amp;"'!$A$2:$T$1000"),4,FALSE),0)</f>
        <v>12.500000000000002</v>
      </c>
      <c r="M27" s="37">
        <f ca="1">_xlfn.IFNA(VLOOKUP($A27,INDIRECT("'W"&amp;M$1&amp;"'!$A$2:$T$1000"),4,FALSE),0)</f>
        <v>21</v>
      </c>
      <c r="N27" s="37">
        <f ca="1">_xlfn.IFNA(VLOOKUP($A27,INDIRECT("'W"&amp;N$1&amp;"'!$A$2:$T$1000"),4,FALSE),0)</f>
        <v>8</v>
      </c>
      <c r="O27" s="37">
        <f ca="1">_xlfn.IFNA(VLOOKUP($A27,INDIRECT("'W"&amp;O$1&amp;"'!$A$2:$T$1000"),4,FALSE),0)</f>
        <v>29.700000000000003</v>
      </c>
      <c r="P27" s="37">
        <f ca="1">_xlfn.IFNA(VLOOKUP($A27,INDIRECT("'W"&amp;P$1&amp;"'!$A$2:$T$1000"),4,FALSE),0)</f>
        <v>21.5</v>
      </c>
      <c r="Q27" s="37">
        <f ca="1">_xlfn.IFNA(VLOOKUP($A27,INDIRECT("'W"&amp;Q$1&amp;"'!$A$2:$T$1000"),4,FALSE),0)</f>
        <v>15.1</v>
      </c>
      <c r="R27" s="37">
        <f ca="1">_xlfn.IFNA(VLOOKUP($A27,INDIRECT("'W"&amp;R$1&amp;"'!$A$2:$T$1000"),4,FALSE),0)</f>
        <v>9</v>
      </c>
      <c r="S27" s="37">
        <f ca="1">_xlfn.IFNA(VLOOKUP($A27,INDIRECT("'W"&amp;S$1&amp;"'!$A$2:$T$1000"),4,FALSE),0)</f>
        <v>18.7</v>
      </c>
      <c r="T27" s="37">
        <f ca="1">_xlfn.IFNA(VLOOKUP($A27,INDIRECT("'W"&amp;T$1&amp;"'!$A$2:$T$1000"),4,FALSE),0)</f>
        <v>24.700000000000003</v>
      </c>
      <c r="U27" s="36">
        <f ca="1">COUNTIF(C27:T27,"&gt; 15")</f>
        <v>8</v>
      </c>
      <c r="V27" s="36">
        <f ca="1">SUM(C27:T27)</f>
        <v>267</v>
      </c>
      <c r="W27" s="36"/>
      <c r="X27" s="38">
        <v>24</v>
      </c>
    </row>
    <row r="28" spans="1:24" ht="12.75" x14ac:dyDescent="0.2">
      <c r="A28" s="36" t="s">
        <v>190</v>
      </c>
      <c r="B28" s="36" t="s">
        <v>162</v>
      </c>
      <c r="C28" s="37">
        <f ca="1">_xlfn.IFNA(VLOOKUP($A28,INDIRECT("'W"&amp;C$1&amp;"'!$A$2:$T$1000"),4,FALSE),0)</f>
        <v>12.600000000000001</v>
      </c>
      <c r="D28" s="37">
        <f ca="1">_xlfn.IFNA(VLOOKUP($A28,INDIRECT("'W"&amp;D$1&amp;"'!$A$2:$T$1000"),4,FALSE),0)</f>
        <v>20.399999999999999</v>
      </c>
      <c r="E28" s="37">
        <f ca="1">_xlfn.IFNA(VLOOKUP($A28,INDIRECT("'W"&amp;E$1&amp;"'!$A$2:$T$1000"),4,FALSE),0)</f>
        <v>42.2</v>
      </c>
      <c r="F28" s="37">
        <f ca="1">_xlfn.IFNA(VLOOKUP($A28,INDIRECT("'W"&amp;F$1&amp;"'!$A$2:$T$1000"),4,FALSE),0)</f>
        <v>15.5</v>
      </c>
      <c r="G28" s="37">
        <f ca="1">_xlfn.IFNA(VLOOKUP($A28,INDIRECT("'W"&amp;G$1&amp;"'!$A$2:$T$1000"),4,FALSE),0)</f>
        <v>8.5</v>
      </c>
      <c r="H28" s="37">
        <f ca="1">_xlfn.IFNA(VLOOKUP($A28,INDIRECT("'W"&amp;H$1&amp;"'!$A$2:$T$1000"),4,FALSE),0)</f>
        <v>4.9000000000000004</v>
      </c>
      <c r="I28" s="37">
        <f ca="1">_xlfn.IFNA(VLOOKUP($A28,INDIRECT("'W"&amp;I$1&amp;"'!$A$2:$T$1000"),4,FALSE),0)</f>
        <v>12.7</v>
      </c>
      <c r="J28" s="37">
        <f ca="1">_xlfn.IFNA(VLOOKUP($A28,INDIRECT("'W"&amp;J$1&amp;"'!$A$2:$T$1000"),4,FALSE),0)</f>
        <v>2.1</v>
      </c>
      <c r="K28" s="37">
        <f ca="1">_xlfn.IFNA(VLOOKUP($A28,INDIRECT("'W"&amp;K$1&amp;"'!$A$2:$T$1000"),4,FALSE),0)</f>
        <v>7.4</v>
      </c>
      <c r="L28" s="37">
        <f ca="1">_xlfn.IFNA(VLOOKUP($A28,INDIRECT("'W"&amp;L$1&amp;"'!$A$2:$T$1000"),4,FALSE),0)</f>
        <v>14.6</v>
      </c>
      <c r="M28" s="37">
        <f ca="1">_xlfn.IFNA(VLOOKUP($A28,INDIRECT("'W"&amp;M$1&amp;"'!$A$2:$T$1000"),4,FALSE),0)</f>
        <v>21.200000000000003</v>
      </c>
      <c r="N28" s="37">
        <f ca="1">_xlfn.IFNA(VLOOKUP($A28,INDIRECT("'W"&amp;N$1&amp;"'!$A$2:$T$1000"),4,FALSE),0)</f>
        <v>12.3</v>
      </c>
      <c r="O28" s="37">
        <f ca="1">_xlfn.IFNA(VLOOKUP($A28,INDIRECT("'W"&amp;O$1&amp;"'!$A$2:$T$1000"),4,FALSE),0)</f>
        <v>0</v>
      </c>
      <c r="P28" s="37">
        <f ca="1">_xlfn.IFNA(VLOOKUP($A28,INDIRECT("'W"&amp;P$1&amp;"'!$A$2:$T$1000"),4,FALSE),0)</f>
        <v>12.3</v>
      </c>
      <c r="Q28" s="37">
        <f ca="1">_xlfn.IFNA(VLOOKUP($A28,INDIRECT("'W"&amp;Q$1&amp;"'!$A$2:$T$1000"),4,FALSE),0)</f>
        <v>24.1</v>
      </c>
      <c r="R28" s="37">
        <f ca="1">_xlfn.IFNA(VLOOKUP($A28,INDIRECT("'W"&amp;R$1&amp;"'!$A$2:$T$1000"),4,FALSE),0)</f>
        <v>1.4</v>
      </c>
      <c r="S28" s="37">
        <f ca="1">_xlfn.IFNA(VLOOKUP($A28,INDIRECT("'W"&amp;S$1&amp;"'!$A$2:$T$1000"),4,FALSE),0)</f>
        <v>37.6</v>
      </c>
      <c r="T28" s="37">
        <f ca="1">_xlfn.IFNA(VLOOKUP($A28,INDIRECT("'W"&amp;T$1&amp;"'!$A$2:$T$1000"),4,FALSE),0)</f>
        <v>15.600000000000001</v>
      </c>
      <c r="U28" s="36">
        <f ca="1">COUNTIF(C28:T28,"&gt; 15")</f>
        <v>7</v>
      </c>
      <c r="V28" s="36">
        <f ca="1">SUM(C28:T28)</f>
        <v>265.40000000000003</v>
      </c>
      <c r="W28" s="36"/>
      <c r="X28" s="38">
        <v>8</v>
      </c>
    </row>
    <row r="29" spans="1:24" ht="12.75" x14ac:dyDescent="0.2">
      <c r="A29" s="36" t="s">
        <v>206</v>
      </c>
      <c r="B29" s="36" t="s">
        <v>162</v>
      </c>
      <c r="C29" s="37">
        <f ca="1">_xlfn.IFNA(VLOOKUP($A29,INDIRECT("'W"&amp;C$1&amp;"'!$A$2:$T$1000"),4,FALSE),0)</f>
        <v>9.1000000000000014</v>
      </c>
      <c r="D29" s="37">
        <f ca="1">_xlfn.IFNA(VLOOKUP($A29,INDIRECT("'W"&amp;D$1&amp;"'!$A$2:$T$1000"),4,FALSE),0)</f>
        <v>8.1</v>
      </c>
      <c r="E29" s="37">
        <f ca="1">_xlfn.IFNA(VLOOKUP($A29,INDIRECT("'W"&amp;E$1&amp;"'!$A$2:$T$1000"),4,FALSE),0)</f>
        <v>26.1</v>
      </c>
      <c r="F29" s="37">
        <f ca="1">_xlfn.IFNA(VLOOKUP($A29,INDIRECT("'W"&amp;F$1&amp;"'!$A$2:$T$1000"),4,FALSE),0)</f>
        <v>14.3</v>
      </c>
      <c r="G29" s="37">
        <f ca="1">_xlfn.IFNA(VLOOKUP($A29,INDIRECT("'W"&amp;G$1&amp;"'!$A$2:$T$1000"),4,FALSE),0)</f>
        <v>52.2</v>
      </c>
      <c r="H29" s="37">
        <f ca="1">_xlfn.IFNA(VLOOKUP($A29,INDIRECT("'W"&amp;H$1&amp;"'!$A$2:$T$1000"),4,FALSE),0)</f>
        <v>14</v>
      </c>
      <c r="I29" s="37">
        <f ca="1">_xlfn.IFNA(VLOOKUP($A29,INDIRECT("'W"&amp;I$1&amp;"'!$A$2:$T$1000"),4,FALSE),0)</f>
        <v>0</v>
      </c>
      <c r="J29" s="37">
        <f ca="1">_xlfn.IFNA(VLOOKUP($A29,INDIRECT("'W"&amp;J$1&amp;"'!$A$2:$T$1000"),4,FALSE),0)</f>
        <v>25.2</v>
      </c>
      <c r="K29" s="37">
        <f ca="1">_xlfn.IFNA(VLOOKUP($A29,INDIRECT("'W"&amp;K$1&amp;"'!$A$2:$T$1000"),4,FALSE),0)</f>
        <v>8.1000000000000014</v>
      </c>
      <c r="L29" s="37">
        <f ca="1">_xlfn.IFNA(VLOOKUP($A29,INDIRECT("'W"&amp;L$1&amp;"'!$A$2:$T$1000"),4,FALSE),0)</f>
        <v>23.4</v>
      </c>
      <c r="M29" s="37">
        <f ca="1">_xlfn.IFNA(VLOOKUP($A29,INDIRECT("'W"&amp;M$1&amp;"'!$A$2:$T$1000"),4,FALSE),0)</f>
        <v>9.1999999999999993</v>
      </c>
      <c r="N29" s="37">
        <f ca="1">_xlfn.IFNA(VLOOKUP($A29,INDIRECT("'W"&amp;N$1&amp;"'!$A$2:$T$1000"),4,FALSE),0)</f>
        <v>12.1</v>
      </c>
      <c r="O29" s="37">
        <f ca="1">_xlfn.IFNA(VLOOKUP($A29,INDIRECT("'W"&amp;O$1&amp;"'!$A$2:$T$1000"),4,FALSE),0)</f>
        <v>31.62</v>
      </c>
      <c r="P29" s="37">
        <f ca="1">_xlfn.IFNA(VLOOKUP($A29,INDIRECT("'W"&amp;P$1&amp;"'!$A$2:$T$1000"),4,FALSE),0)</f>
        <v>5.9</v>
      </c>
      <c r="Q29" s="37">
        <f ca="1">_xlfn.IFNA(VLOOKUP($A29,INDIRECT("'W"&amp;Q$1&amp;"'!$A$2:$T$1000"),4,FALSE),0)</f>
        <v>10.4</v>
      </c>
      <c r="R29" s="37">
        <f ca="1">_xlfn.IFNA(VLOOKUP($A29,INDIRECT("'W"&amp;R$1&amp;"'!$A$2:$T$1000"),4,FALSE),0)</f>
        <v>0</v>
      </c>
      <c r="S29" s="37">
        <f ca="1">_xlfn.IFNA(VLOOKUP($A29,INDIRECT("'W"&amp;S$1&amp;"'!$A$2:$T$1000"),4,FALSE),0)</f>
        <v>7.1000000000000005</v>
      </c>
      <c r="T29" s="37">
        <f ca="1">_xlfn.IFNA(VLOOKUP($A29,INDIRECT("'W"&amp;T$1&amp;"'!$A$2:$T$1000"),4,FALSE),0)</f>
        <v>5.9</v>
      </c>
      <c r="U29" s="36">
        <f ca="1">COUNTIF(C29:T29,"&gt; 15")</f>
        <v>5</v>
      </c>
      <c r="V29" s="36">
        <f ca="1">SUM(C29:T29)</f>
        <v>262.71999999999997</v>
      </c>
      <c r="W29" s="36"/>
      <c r="X29" s="38">
        <v>2</v>
      </c>
    </row>
    <row r="30" spans="1:24" ht="12.75" x14ac:dyDescent="0.2">
      <c r="A30" s="36" t="s">
        <v>32</v>
      </c>
      <c r="B30" s="36" t="s">
        <v>17</v>
      </c>
      <c r="C30" s="37">
        <f ca="1">_xlfn.IFNA(VLOOKUP($A30,INDIRECT("'W"&amp;C$1&amp;"'!$A$2:$T$1000"),4,FALSE),0)</f>
        <v>17.740000000000002</v>
      </c>
      <c r="D30" s="37">
        <f ca="1">_xlfn.IFNA(VLOOKUP($A30,INDIRECT("'W"&amp;D$1&amp;"'!$A$2:$T$1000"),4,FALSE),0)</f>
        <v>9.24</v>
      </c>
      <c r="E30" s="37">
        <f ca="1">_xlfn.IFNA(VLOOKUP($A30,INDIRECT("'W"&amp;E$1&amp;"'!$A$2:$T$1000"),4,FALSE),0)</f>
        <v>14.36</v>
      </c>
      <c r="F30" s="37">
        <f ca="1">_xlfn.IFNA(VLOOKUP($A30,INDIRECT("'W"&amp;F$1&amp;"'!$A$2:$T$1000"),4,FALSE),0)</f>
        <v>16.48</v>
      </c>
      <c r="G30" s="37">
        <f ca="1">_xlfn.IFNA(VLOOKUP($A30,INDIRECT("'W"&amp;G$1&amp;"'!$A$2:$T$1000"),4,FALSE),0)</f>
        <v>15.700000000000003</v>
      </c>
      <c r="H30" s="37">
        <f ca="1">_xlfn.IFNA(VLOOKUP($A30,INDIRECT("'W"&amp;H$1&amp;"'!$A$2:$T$1000"),4,FALSE),0)</f>
        <v>14.74</v>
      </c>
      <c r="I30" s="37">
        <f ca="1">_xlfn.IFNA(VLOOKUP($A30,INDIRECT("'W"&amp;I$1&amp;"'!$A$2:$T$1000"),4,FALSE),0)</f>
        <v>18.060000000000002</v>
      </c>
      <c r="J30" s="37">
        <f ca="1">_xlfn.IFNA(VLOOKUP($A30,INDIRECT("'W"&amp;J$1&amp;"'!$A$2:$T$1000"),4,FALSE),0)</f>
        <v>14.68</v>
      </c>
      <c r="K30" s="37">
        <f ca="1">_xlfn.IFNA(VLOOKUP($A30,INDIRECT("'W"&amp;K$1&amp;"'!$A$2:$T$1000"),4,FALSE),0)</f>
        <v>0</v>
      </c>
      <c r="L30" s="37">
        <f ca="1">_xlfn.IFNA(VLOOKUP($A30,INDIRECT("'W"&amp;L$1&amp;"'!$A$2:$T$1000"),4,FALSE),0)</f>
        <v>2.1000000000000005</v>
      </c>
      <c r="M30" s="37">
        <f ca="1">_xlfn.IFNA(VLOOKUP($A30,INDIRECT("'W"&amp;M$1&amp;"'!$A$2:$T$1000"),4,FALSE),0)</f>
        <v>32.18</v>
      </c>
      <c r="N30" s="37">
        <f ca="1">_xlfn.IFNA(VLOOKUP($A30,INDIRECT("'W"&amp;N$1&amp;"'!$A$2:$T$1000"),4,FALSE),0)</f>
        <v>24.560000000000002</v>
      </c>
      <c r="O30" s="37">
        <f ca="1">_xlfn.IFNA(VLOOKUP($A30,INDIRECT("'W"&amp;O$1&amp;"'!$A$2:$T$1000"),4,FALSE),0)</f>
        <v>25.12</v>
      </c>
      <c r="P30" s="37">
        <f ca="1">_xlfn.IFNA(VLOOKUP($A30,INDIRECT("'W"&amp;P$1&amp;"'!$A$2:$T$1000"),4,FALSE),0)</f>
        <v>17.380000000000003</v>
      </c>
      <c r="Q30" s="37">
        <f ca="1">_xlfn.IFNA(VLOOKUP($A30,INDIRECT("'W"&amp;Q$1&amp;"'!$A$2:$T$1000"),4,FALSE),0)</f>
        <v>14.66</v>
      </c>
      <c r="R30" s="37">
        <f ca="1">_xlfn.IFNA(VLOOKUP($A30,INDIRECT("'W"&amp;R$1&amp;"'!$A$2:$T$1000"),4,FALSE),0)</f>
        <v>9.34</v>
      </c>
      <c r="S30" s="37">
        <f ca="1">_xlfn.IFNA(VLOOKUP($A30,INDIRECT("'W"&amp;S$1&amp;"'!$A$2:$T$1000"),4,FALSE),0)</f>
        <v>0</v>
      </c>
      <c r="T30" s="37">
        <f ca="1">_xlfn.IFNA(VLOOKUP($A30,INDIRECT("'W"&amp;T$1&amp;"'!$A$2:$T$1000"),4,FALSE),0)</f>
        <v>16.200000000000003</v>
      </c>
      <c r="U30" s="36">
        <f ca="1">COUNTIF(C30:T30,"&gt; 15")</f>
        <v>9</v>
      </c>
      <c r="V30" s="36">
        <f ca="1">SUM(C30:T30)</f>
        <v>262.54000000000002</v>
      </c>
      <c r="W30" s="36"/>
      <c r="X30" s="38">
        <v>43</v>
      </c>
    </row>
    <row r="31" spans="1:24" ht="12.75" x14ac:dyDescent="0.2">
      <c r="A31" s="36" t="s">
        <v>183</v>
      </c>
      <c r="B31" s="36" t="s">
        <v>162</v>
      </c>
      <c r="C31" s="37">
        <f ca="1">_xlfn.IFNA(VLOOKUP($A31,INDIRECT("'W"&amp;C$1&amp;"'!$A$2:$T$1000"),4,FALSE),0)</f>
        <v>14</v>
      </c>
      <c r="D31" s="37">
        <f ca="1">_xlfn.IFNA(VLOOKUP($A31,INDIRECT("'W"&amp;D$1&amp;"'!$A$2:$T$1000"),4,FALSE),0)</f>
        <v>27.6</v>
      </c>
      <c r="E31" s="37">
        <f ca="1">_xlfn.IFNA(VLOOKUP($A31,INDIRECT("'W"&amp;E$1&amp;"'!$A$2:$T$1000"),4,FALSE),0)</f>
        <v>5.4</v>
      </c>
      <c r="F31" s="37">
        <f ca="1">_xlfn.IFNA(VLOOKUP($A31,INDIRECT("'W"&amp;F$1&amp;"'!$A$2:$T$1000"),4,FALSE),0)</f>
        <v>35.799999999999997</v>
      </c>
      <c r="G31" s="37">
        <f ca="1">_xlfn.IFNA(VLOOKUP($A31,INDIRECT("'W"&amp;G$1&amp;"'!$A$2:$T$1000"),4,FALSE),0)</f>
        <v>6.9</v>
      </c>
      <c r="H31" s="37">
        <f ca="1">_xlfn.IFNA(VLOOKUP($A31,INDIRECT("'W"&amp;H$1&amp;"'!$A$2:$T$1000"),4,FALSE),0)</f>
        <v>12</v>
      </c>
      <c r="I31" s="37">
        <f ca="1">_xlfn.IFNA(VLOOKUP($A31,INDIRECT("'W"&amp;I$1&amp;"'!$A$2:$T$1000"),4,FALSE),0)</f>
        <v>0</v>
      </c>
      <c r="J31" s="37">
        <f ca="1">_xlfn.IFNA(VLOOKUP($A31,INDIRECT("'W"&amp;J$1&amp;"'!$A$2:$T$1000"),4,FALSE),0)</f>
        <v>7</v>
      </c>
      <c r="K31" s="37">
        <f ca="1">_xlfn.IFNA(VLOOKUP($A31,INDIRECT("'W"&amp;K$1&amp;"'!$A$2:$T$1000"),4,FALSE),0)</f>
        <v>14.4</v>
      </c>
      <c r="L31" s="37">
        <f ca="1">_xlfn.IFNA(VLOOKUP($A31,INDIRECT("'W"&amp;L$1&amp;"'!$A$2:$T$1000"),4,FALSE),0)</f>
        <v>0</v>
      </c>
      <c r="M31" s="37">
        <f ca="1">_xlfn.IFNA(VLOOKUP($A31,INDIRECT("'W"&amp;M$1&amp;"'!$A$2:$T$1000"),4,FALSE),0)</f>
        <v>13.5</v>
      </c>
      <c r="N31" s="37">
        <f ca="1">_xlfn.IFNA(VLOOKUP($A31,INDIRECT("'W"&amp;N$1&amp;"'!$A$2:$T$1000"),4,FALSE),0)</f>
        <v>23.4</v>
      </c>
      <c r="O31" s="37">
        <f ca="1">_xlfn.IFNA(VLOOKUP($A31,INDIRECT("'W"&amp;O$1&amp;"'!$A$2:$T$1000"),4,FALSE),0)</f>
        <v>34.1</v>
      </c>
      <c r="P31" s="37">
        <f ca="1">_xlfn.IFNA(VLOOKUP($A31,INDIRECT("'W"&amp;P$1&amp;"'!$A$2:$T$1000"),4,FALSE),0)</f>
        <v>2.2999999999999998</v>
      </c>
      <c r="Q31" s="37">
        <f ca="1">_xlfn.IFNA(VLOOKUP($A31,INDIRECT("'W"&amp;Q$1&amp;"'!$A$2:$T$1000"),4,FALSE),0)</f>
        <v>0</v>
      </c>
      <c r="R31" s="37">
        <f ca="1">_xlfn.IFNA(VLOOKUP($A31,INDIRECT("'W"&amp;R$1&amp;"'!$A$2:$T$1000"),4,FALSE),0)</f>
        <v>13.8</v>
      </c>
      <c r="S31" s="37">
        <f ca="1">_xlfn.IFNA(VLOOKUP($A31,INDIRECT("'W"&amp;S$1&amp;"'!$A$2:$T$1000"),4,FALSE),0)</f>
        <v>15.7</v>
      </c>
      <c r="T31" s="37">
        <f ca="1">_xlfn.IFNA(VLOOKUP($A31,INDIRECT("'W"&amp;T$1&amp;"'!$A$2:$T$1000"),4,FALSE),0)</f>
        <v>34.5</v>
      </c>
      <c r="U31" s="36">
        <f ca="1">COUNTIF(C31:T31,"&gt; 15")</f>
        <v>6</v>
      </c>
      <c r="V31" s="36">
        <f ca="1">SUM(C31:T31)</f>
        <v>260.40000000000003</v>
      </c>
      <c r="W31" s="36">
        <v>1</v>
      </c>
      <c r="X31" s="38">
        <v>146</v>
      </c>
    </row>
    <row r="32" spans="1:24" ht="12.75" x14ac:dyDescent="0.2">
      <c r="A32" s="36" t="s">
        <v>39</v>
      </c>
      <c r="B32" s="36" t="s">
        <v>17</v>
      </c>
      <c r="C32" s="37">
        <f ca="1">_xlfn.IFNA(VLOOKUP($A32,INDIRECT("'W"&amp;C$1&amp;"'!$A$2:$T$1000"),4,FALSE),0)</f>
        <v>15.18</v>
      </c>
      <c r="D32" s="37">
        <f ca="1">_xlfn.IFNA(VLOOKUP($A32,INDIRECT("'W"&amp;D$1&amp;"'!$A$2:$T$1000"),4,FALSE),0)</f>
        <v>21.26</v>
      </c>
      <c r="E32" s="37">
        <f ca="1">_xlfn.IFNA(VLOOKUP($A32,INDIRECT("'W"&amp;E$1&amp;"'!$A$2:$T$1000"),4,FALSE),0)</f>
        <v>0.59999999999999987</v>
      </c>
      <c r="F32" s="37">
        <f ca="1">_xlfn.IFNA(VLOOKUP($A32,INDIRECT("'W"&amp;F$1&amp;"'!$A$2:$T$1000"),4,FALSE),0)</f>
        <v>19.600000000000001</v>
      </c>
      <c r="G32" s="37">
        <f ca="1">_xlfn.IFNA(VLOOKUP($A32,INDIRECT("'W"&amp;G$1&amp;"'!$A$2:$T$1000"),4,FALSE),0)</f>
        <v>25.419999999999998</v>
      </c>
      <c r="H32" s="37">
        <f ca="1">_xlfn.IFNA(VLOOKUP($A32,INDIRECT("'W"&amp;H$1&amp;"'!$A$2:$T$1000"),4,FALSE),0)</f>
        <v>18.34</v>
      </c>
      <c r="I32" s="37">
        <f ca="1">_xlfn.IFNA(VLOOKUP($A32,INDIRECT("'W"&amp;I$1&amp;"'!$A$2:$T$1000"),4,FALSE),0)</f>
        <v>9.4600000000000009</v>
      </c>
      <c r="J32" s="37">
        <f ca="1">_xlfn.IFNA(VLOOKUP($A32,INDIRECT("'W"&amp;J$1&amp;"'!$A$2:$T$1000"),4,FALSE),0)</f>
        <v>30.980000000000004</v>
      </c>
      <c r="K32" s="37">
        <f ca="1">_xlfn.IFNA(VLOOKUP($A32,INDIRECT("'W"&amp;K$1&amp;"'!$A$2:$T$1000"),4,FALSE),0)</f>
        <v>17.7</v>
      </c>
      <c r="L32" s="37">
        <f ca="1">_xlfn.IFNA(VLOOKUP($A32,INDIRECT("'W"&amp;L$1&amp;"'!$A$2:$T$1000"),4,FALSE),0)</f>
        <v>24.18</v>
      </c>
      <c r="M32" s="37">
        <f ca="1">_xlfn.IFNA(VLOOKUP($A32,INDIRECT("'W"&amp;M$1&amp;"'!$A$2:$T$1000"),4,FALSE),0)</f>
        <v>17.700000000000003</v>
      </c>
      <c r="N32" s="37">
        <f ca="1">_xlfn.IFNA(VLOOKUP($A32,INDIRECT("'W"&amp;N$1&amp;"'!$A$2:$T$1000"),4,FALSE),0)</f>
        <v>17.3</v>
      </c>
      <c r="O32" s="37">
        <f ca="1">_xlfn.IFNA(VLOOKUP($A32,INDIRECT("'W"&amp;O$1&amp;"'!$A$2:$T$1000"),4,FALSE),0)</f>
        <v>19.18</v>
      </c>
      <c r="P32" s="37">
        <f ca="1">_xlfn.IFNA(VLOOKUP($A32,INDIRECT("'W"&amp;P$1&amp;"'!$A$2:$T$1000"),4,FALSE),0)</f>
        <v>0</v>
      </c>
      <c r="Q32" s="37">
        <f ca="1">_xlfn.IFNA(VLOOKUP($A32,INDIRECT("'W"&amp;Q$1&amp;"'!$A$2:$T$1000"),4,FALSE),0)</f>
        <v>8.2800000000000011</v>
      </c>
      <c r="R32" s="37">
        <f ca="1">_xlfn.IFNA(VLOOKUP($A32,INDIRECT("'W"&amp;R$1&amp;"'!$A$2:$T$1000"),4,FALSE),0)</f>
        <v>-1.7599999999999998</v>
      </c>
      <c r="S32" s="37">
        <f ca="1">_xlfn.IFNA(VLOOKUP($A32,INDIRECT("'W"&amp;S$1&amp;"'!$A$2:$T$1000"),4,FALSE),0)</f>
        <v>6.66</v>
      </c>
      <c r="T32" s="37">
        <f ca="1">_xlfn.IFNA(VLOOKUP($A32,INDIRECT("'W"&amp;T$1&amp;"'!$A$2:$T$1000"),4,FALSE),0)</f>
        <v>7.4200000000000017</v>
      </c>
      <c r="U32" s="36">
        <f ca="1">COUNTIF(C32:T32,"&gt; 15")</f>
        <v>11</v>
      </c>
      <c r="V32" s="36">
        <f ca="1">SUM(C32:T32)</f>
        <v>257.50000000000006</v>
      </c>
      <c r="W32" s="36">
        <v>1</v>
      </c>
      <c r="X32" s="38">
        <v>185</v>
      </c>
    </row>
    <row r="33" spans="1:24" ht="12.75" x14ac:dyDescent="0.2">
      <c r="A33" s="36" t="s">
        <v>38</v>
      </c>
      <c r="B33" s="36" t="s">
        <v>17</v>
      </c>
      <c r="C33" s="37">
        <f ca="1">_xlfn.IFNA(VLOOKUP($A33,INDIRECT("'W"&amp;C$1&amp;"'!$A$2:$T$1000"),4,FALSE),0)</f>
        <v>15.18</v>
      </c>
      <c r="D33" s="37">
        <f ca="1">_xlfn.IFNA(VLOOKUP($A33,INDIRECT("'W"&amp;D$1&amp;"'!$A$2:$T$1000"),4,FALSE),0)</f>
        <v>25.92</v>
      </c>
      <c r="E33" s="37">
        <f ca="1">_xlfn.IFNA(VLOOKUP($A33,INDIRECT("'W"&amp;E$1&amp;"'!$A$2:$T$1000"),4,FALSE),0)</f>
        <v>14.240000000000002</v>
      </c>
      <c r="F33" s="37">
        <f ca="1">_xlfn.IFNA(VLOOKUP($A33,INDIRECT("'W"&amp;F$1&amp;"'!$A$2:$T$1000"),4,FALSE),0)</f>
        <v>22.220000000000002</v>
      </c>
      <c r="G33" s="37">
        <f ca="1">_xlfn.IFNA(VLOOKUP($A33,INDIRECT("'W"&amp;G$1&amp;"'!$A$2:$T$1000"),4,FALSE),0)</f>
        <v>18.740000000000002</v>
      </c>
      <c r="H33" s="37">
        <f ca="1">_xlfn.IFNA(VLOOKUP($A33,INDIRECT("'W"&amp;H$1&amp;"'!$A$2:$T$1000"),4,FALSE),0)</f>
        <v>6.9</v>
      </c>
      <c r="I33" s="37">
        <f ca="1">_xlfn.IFNA(VLOOKUP($A33,INDIRECT("'W"&amp;I$1&amp;"'!$A$2:$T$1000"),4,FALSE),0)</f>
        <v>13.86</v>
      </c>
      <c r="J33" s="37">
        <f ca="1">_xlfn.IFNA(VLOOKUP($A33,INDIRECT("'W"&amp;J$1&amp;"'!$A$2:$T$1000"),4,FALSE),0)</f>
        <v>17.560000000000002</v>
      </c>
      <c r="K33" s="37">
        <f ca="1">_xlfn.IFNA(VLOOKUP($A33,INDIRECT("'W"&amp;K$1&amp;"'!$A$2:$T$1000"),4,FALSE),0)</f>
        <v>0</v>
      </c>
      <c r="L33" s="37">
        <f ca="1">_xlfn.IFNA(VLOOKUP($A33,INDIRECT("'W"&amp;L$1&amp;"'!$A$2:$T$1000"),4,FALSE),0)</f>
        <v>18.72</v>
      </c>
      <c r="M33" s="37">
        <f ca="1">_xlfn.IFNA(VLOOKUP($A33,INDIRECT("'W"&amp;M$1&amp;"'!$A$2:$T$1000"),4,FALSE),0)</f>
        <v>14.459999999999999</v>
      </c>
      <c r="N33" s="37">
        <f ca="1">_xlfn.IFNA(VLOOKUP($A33,INDIRECT("'W"&amp;N$1&amp;"'!$A$2:$T$1000"),4,FALSE),0)</f>
        <v>16.759999999999998</v>
      </c>
      <c r="O33" s="37">
        <f ca="1">_xlfn.IFNA(VLOOKUP($A33,INDIRECT("'W"&amp;O$1&amp;"'!$A$2:$T$1000"),4,FALSE),0)</f>
        <v>15.840000000000002</v>
      </c>
      <c r="P33" s="37">
        <f ca="1">_xlfn.IFNA(VLOOKUP($A33,INDIRECT("'W"&amp;P$1&amp;"'!$A$2:$T$1000"),4,FALSE),0)</f>
        <v>15.46</v>
      </c>
      <c r="Q33" s="37">
        <f ca="1">_xlfn.IFNA(VLOOKUP($A33,INDIRECT("'W"&amp;Q$1&amp;"'!$A$2:$T$1000"),4,FALSE),0)</f>
        <v>17.52</v>
      </c>
      <c r="R33" s="37">
        <f ca="1">_xlfn.IFNA(VLOOKUP($A33,INDIRECT("'W"&amp;R$1&amp;"'!$A$2:$T$1000"),4,FALSE),0)</f>
        <v>23.52</v>
      </c>
      <c r="S33" s="37">
        <f ca="1">_xlfn.IFNA(VLOOKUP($A33,INDIRECT("'W"&amp;S$1&amp;"'!$A$2:$T$1000"),4,FALSE),0)</f>
        <v>0</v>
      </c>
      <c r="T33" s="37">
        <f ca="1">_xlfn.IFNA(VLOOKUP($A33,INDIRECT("'W"&amp;T$1&amp;"'!$A$2:$T$1000"),4,FALSE),0)</f>
        <v>0</v>
      </c>
      <c r="U33" s="36">
        <f ca="1">COUNTIF(C33:T33,"&gt; 15")</f>
        <v>11</v>
      </c>
      <c r="V33" s="36">
        <f ca="1">SUM(C33:T33)</f>
        <v>256.90000000000003</v>
      </c>
      <c r="W33" s="36"/>
      <c r="X33" s="38">
        <v>144</v>
      </c>
    </row>
    <row r="34" spans="1:24" ht="12.75" x14ac:dyDescent="0.2">
      <c r="A34" s="36" t="s">
        <v>83</v>
      </c>
      <c r="B34" s="36" t="s">
        <v>75</v>
      </c>
      <c r="C34" s="37">
        <f ca="1">_xlfn.IFNA(VLOOKUP($A34,INDIRECT("'W"&amp;C$1&amp;"'!$A$2:$T$1000"),4,FALSE),0)</f>
        <v>17.399999999999999</v>
      </c>
      <c r="D34" s="37">
        <f ca="1">_xlfn.IFNA(VLOOKUP($A34,INDIRECT("'W"&amp;D$1&amp;"'!$A$2:$T$1000"),4,FALSE),0)</f>
        <v>28</v>
      </c>
      <c r="E34" s="37">
        <f ca="1">_xlfn.IFNA(VLOOKUP($A34,INDIRECT("'W"&amp;E$1&amp;"'!$A$2:$T$1000"),4,FALSE),0)</f>
        <v>8.5</v>
      </c>
      <c r="F34" s="37">
        <f ca="1">_xlfn.IFNA(VLOOKUP($A34,INDIRECT("'W"&amp;F$1&amp;"'!$A$2:$T$1000"),4,FALSE),0)</f>
        <v>27.700000000000003</v>
      </c>
      <c r="G34" s="37">
        <f ca="1">_xlfn.IFNA(VLOOKUP($A34,INDIRECT("'W"&amp;G$1&amp;"'!$A$2:$T$1000"),4,FALSE),0)</f>
        <v>7.7000000000000011</v>
      </c>
      <c r="H34" s="37">
        <f ca="1">_xlfn.IFNA(VLOOKUP($A34,INDIRECT("'W"&amp;H$1&amp;"'!$A$2:$T$1000"),4,FALSE),0)</f>
        <v>21.8</v>
      </c>
      <c r="I34" s="37">
        <f ca="1">_xlfn.IFNA(VLOOKUP($A34,INDIRECT("'W"&amp;I$1&amp;"'!$A$2:$T$1000"),4,FALSE),0)</f>
        <v>0</v>
      </c>
      <c r="J34" s="37">
        <f ca="1">_xlfn.IFNA(VLOOKUP($A34,INDIRECT("'W"&amp;J$1&amp;"'!$A$2:$T$1000"),4,FALSE),0)</f>
        <v>0</v>
      </c>
      <c r="K34" s="37">
        <f ca="1">_xlfn.IFNA(VLOOKUP($A34,INDIRECT("'W"&amp;K$1&amp;"'!$A$2:$T$1000"),4,FALSE),0)</f>
        <v>0</v>
      </c>
      <c r="L34" s="37">
        <f ca="1">_xlfn.IFNA(VLOOKUP($A34,INDIRECT("'W"&amp;L$1&amp;"'!$A$2:$T$1000"),4,FALSE),0)</f>
        <v>0</v>
      </c>
      <c r="M34" s="37">
        <f ca="1">_xlfn.IFNA(VLOOKUP($A34,INDIRECT("'W"&amp;M$1&amp;"'!$A$2:$T$1000"),4,FALSE),0)</f>
        <v>0</v>
      </c>
      <c r="N34" s="37">
        <f ca="1">_xlfn.IFNA(VLOOKUP($A34,INDIRECT("'W"&amp;N$1&amp;"'!$A$2:$T$1000"),4,FALSE),0)</f>
        <v>38.400000000000006</v>
      </c>
      <c r="O34" s="37">
        <f ca="1">_xlfn.IFNA(VLOOKUP($A34,INDIRECT("'W"&amp;O$1&amp;"'!$A$2:$T$1000"),4,FALSE),0)</f>
        <v>20.200000000000003</v>
      </c>
      <c r="P34" s="37">
        <f ca="1">_xlfn.IFNA(VLOOKUP($A34,INDIRECT("'W"&amp;P$1&amp;"'!$A$2:$T$1000"),4,FALSE),0)</f>
        <v>14.3</v>
      </c>
      <c r="Q34" s="37">
        <f ca="1">_xlfn.IFNA(VLOOKUP($A34,INDIRECT("'W"&amp;Q$1&amp;"'!$A$2:$T$1000"),4,FALSE),0)</f>
        <v>24.500000000000004</v>
      </c>
      <c r="R34" s="37">
        <f ca="1">_xlfn.IFNA(VLOOKUP($A34,INDIRECT("'W"&amp;R$1&amp;"'!$A$2:$T$1000"),4,FALSE),0)</f>
        <v>16.399999999999999</v>
      </c>
      <c r="S34" s="37">
        <f ca="1">_xlfn.IFNA(VLOOKUP($A34,INDIRECT("'W"&amp;S$1&amp;"'!$A$2:$T$1000"),4,FALSE),0)</f>
        <v>30.1</v>
      </c>
      <c r="T34" s="37">
        <f ca="1">_xlfn.IFNA(VLOOKUP($A34,INDIRECT("'W"&amp;T$1&amp;"'!$A$2:$T$1000"),4,FALSE),0)</f>
        <v>0</v>
      </c>
      <c r="U34" s="36">
        <f ca="1">COUNTIF(C34:T34,"&gt; 15")</f>
        <v>9</v>
      </c>
      <c r="V34" s="36">
        <f ca="1">SUM(C34:T34)</f>
        <v>255</v>
      </c>
      <c r="W34" s="36">
        <v>1</v>
      </c>
      <c r="X34" s="38" t="s">
        <v>847</v>
      </c>
    </row>
    <row r="35" spans="1:24" ht="12.75" x14ac:dyDescent="0.2">
      <c r="A35" s="36" t="s">
        <v>169</v>
      </c>
      <c r="B35" s="36" t="s">
        <v>162</v>
      </c>
      <c r="C35" s="37">
        <f ca="1">_xlfn.IFNA(VLOOKUP($A35,INDIRECT("'W"&amp;C$1&amp;"'!$A$2:$T$1000"),4,FALSE),0)</f>
        <v>23.700000000000003</v>
      </c>
      <c r="D35" s="37">
        <f ca="1">_xlfn.IFNA(VLOOKUP($A35,INDIRECT("'W"&amp;D$1&amp;"'!$A$2:$T$1000"),4,FALSE),0)</f>
        <v>13.600000000000001</v>
      </c>
      <c r="E35" s="37">
        <f ca="1">_xlfn.IFNA(VLOOKUP($A35,INDIRECT("'W"&amp;E$1&amp;"'!$A$2:$T$1000"),4,FALSE),0)</f>
        <v>16.7</v>
      </c>
      <c r="F35" s="37">
        <f ca="1">_xlfn.IFNA(VLOOKUP($A35,INDIRECT("'W"&amp;F$1&amp;"'!$A$2:$T$1000"),4,FALSE),0)</f>
        <v>4.5</v>
      </c>
      <c r="G35" s="37">
        <f ca="1">_xlfn.IFNA(VLOOKUP($A35,INDIRECT("'W"&amp;G$1&amp;"'!$A$2:$T$1000"),4,FALSE),0)</f>
        <v>10.199999999999999</v>
      </c>
      <c r="H35" s="37">
        <f ca="1">_xlfn.IFNA(VLOOKUP($A35,INDIRECT("'W"&amp;H$1&amp;"'!$A$2:$T$1000"),4,FALSE),0)</f>
        <v>19.899999999999999</v>
      </c>
      <c r="I35" s="37">
        <f ca="1">_xlfn.IFNA(VLOOKUP($A35,INDIRECT("'W"&amp;I$1&amp;"'!$A$2:$T$1000"),4,FALSE),0)</f>
        <v>16.3</v>
      </c>
      <c r="J35" s="37">
        <f ca="1">_xlfn.IFNA(VLOOKUP($A35,INDIRECT("'W"&amp;J$1&amp;"'!$A$2:$T$1000"),4,FALSE),0)</f>
        <v>18</v>
      </c>
      <c r="K35" s="37">
        <f ca="1">_xlfn.IFNA(VLOOKUP($A35,INDIRECT("'W"&amp;K$1&amp;"'!$A$2:$T$1000"),4,FALSE),0)</f>
        <v>14.4</v>
      </c>
      <c r="L35" s="37">
        <f ca="1">_xlfn.IFNA(VLOOKUP($A35,INDIRECT("'W"&amp;L$1&amp;"'!$A$2:$T$1000"),4,FALSE),0)</f>
        <v>16.399999999999999</v>
      </c>
      <c r="M35" s="37">
        <f ca="1">_xlfn.IFNA(VLOOKUP($A35,INDIRECT("'W"&amp;M$1&amp;"'!$A$2:$T$1000"),4,FALSE),0)</f>
        <v>0</v>
      </c>
      <c r="N35" s="37">
        <f ca="1">_xlfn.IFNA(VLOOKUP($A35,INDIRECT("'W"&amp;N$1&amp;"'!$A$2:$T$1000"),4,FALSE),0)</f>
        <v>20.700000000000003</v>
      </c>
      <c r="O35" s="37">
        <f ca="1">_xlfn.IFNA(VLOOKUP($A35,INDIRECT("'W"&amp;O$1&amp;"'!$A$2:$T$1000"),4,FALSE),0)</f>
        <v>27.5</v>
      </c>
      <c r="P35" s="37">
        <f ca="1">_xlfn.IFNA(VLOOKUP($A35,INDIRECT("'W"&amp;P$1&amp;"'!$A$2:$T$1000"),4,FALSE),0)</f>
        <v>19.5</v>
      </c>
      <c r="Q35" s="37">
        <f ca="1">_xlfn.IFNA(VLOOKUP($A35,INDIRECT("'W"&amp;Q$1&amp;"'!$A$2:$T$1000"),4,FALSE),0)</f>
        <v>11.8</v>
      </c>
      <c r="R35" s="37">
        <f ca="1">_xlfn.IFNA(VLOOKUP($A35,INDIRECT("'W"&amp;R$1&amp;"'!$A$2:$T$1000"),4,FALSE),0)</f>
        <v>0</v>
      </c>
      <c r="S35" s="37">
        <f ca="1">_xlfn.IFNA(VLOOKUP($A35,INDIRECT("'W"&amp;S$1&amp;"'!$A$2:$T$1000"),4,FALSE),0)</f>
        <v>9.6000000000000014</v>
      </c>
      <c r="T35" s="37">
        <f ca="1">_xlfn.IFNA(VLOOKUP($A35,INDIRECT("'W"&amp;T$1&amp;"'!$A$2:$T$1000"),4,FALSE),0)</f>
        <v>7.4</v>
      </c>
      <c r="U35" s="36">
        <f ca="1">COUNTIF(C35:T35,"&gt; 15")</f>
        <v>9</v>
      </c>
      <c r="V35" s="36">
        <f ca="1">SUM(C35:T35)</f>
        <v>250.2</v>
      </c>
      <c r="W35" s="36">
        <v>1</v>
      </c>
      <c r="X35" s="38">
        <v>97</v>
      </c>
    </row>
    <row r="36" spans="1:24" ht="12.75" x14ac:dyDescent="0.2">
      <c r="A36" s="36" t="s">
        <v>163</v>
      </c>
      <c r="B36" s="36" t="s">
        <v>162</v>
      </c>
      <c r="C36" s="37">
        <f ca="1">_xlfn.IFNA(VLOOKUP($A36,INDIRECT("'W"&amp;C$1&amp;"'!$A$2:$T$1000"),4,FALSE),0)</f>
        <v>32.9</v>
      </c>
      <c r="D36" s="37">
        <f ca="1">_xlfn.IFNA(VLOOKUP($A36,INDIRECT("'W"&amp;D$1&amp;"'!$A$2:$T$1000"),4,FALSE),0)</f>
        <v>7.3</v>
      </c>
      <c r="E36" s="37">
        <f ca="1">_xlfn.IFNA(VLOOKUP($A36,INDIRECT("'W"&amp;E$1&amp;"'!$A$2:$T$1000"),4,FALSE),0)</f>
        <v>0</v>
      </c>
      <c r="F36" s="37">
        <f ca="1">_xlfn.IFNA(VLOOKUP($A36,INDIRECT("'W"&amp;F$1&amp;"'!$A$2:$T$1000"),4,FALSE),0)</f>
        <v>20.8</v>
      </c>
      <c r="G36" s="37">
        <f ca="1">_xlfn.IFNA(VLOOKUP($A36,INDIRECT("'W"&amp;G$1&amp;"'!$A$2:$T$1000"),4,FALSE),0)</f>
        <v>9.8000000000000007</v>
      </c>
      <c r="H36" s="37">
        <f ca="1">_xlfn.IFNA(VLOOKUP($A36,INDIRECT("'W"&amp;H$1&amp;"'!$A$2:$T$1000"),4,FALSE),0)</f>
        <v>11.600000000000001</v>
      </c>
      <c r="I36" s="37">
        <f ca="1">_xlfn.IFNA(VLOOKUP($A36,INDIRECT("'W"&amp;I$1&amp;"'!$A$2:$T$1000"),4,FALSE),0)</f>
        <v>10.7</v>
      </c>
      <c r="J36" s="37">
        <f ca="1">_xlfn.IFNA(VLOOKUP($A36,INDIRECT("'W"&amp;J$1&amp;"'!$A$2:$T$1000"),4,FALSE),0)</f>
        <v>15.9</v>
      </c>
      <c r="K36" s="37">
        <f ca="1">_xlfn.IFNA(VLOOKUP($A36,INDIRECT("'W"&amp;K$1&amp;"'!$A$2:$T$1000"),4,FALSE),0)</f>
        <v>0</v>
      </c>
      <c r="L36" s="37">
        <f ca="1">_xlfn.IFNA(VLOOKUP($A36,INDIRECT("'W"&amp;L$1&amp;"'!$A$2:$T$1000"),4,FALSE),0)</f>
        <v>14.5</v>
      </c>
      <c r="M36" s="37">
        <f ca="1">_xlfn.IFNA(VLOOKUP($A36,INDIRECT("'W"&amp;M$1&amp;"'!$A$2:$T$1000"),4,FALSE),0)</f>
        <v>26.6</v>
      </c>
      <c r="N36" s="37">
        <f ca="1">_xlfn.IFNA(VLOOKUP($A36,INDIRECT("'W"&amp;N$1&amp;"'!$A$2:$T$1000"),4,FALSE),0)</f>
        <v>13</v>
      </c>
      <c r="O36" s="37">
        <f ca="1">_xlfn.IFNA(VLOOKUP($A36,INDIRECT("'W"&amp;O$1&amp;"'!$A$2:$T$1000"),4,FALSE),0)</f>
        <v>15.600000000000001</v>
      </c>
      <c r="P36" s="37">
        <f ca="1">_xlfn.IFNA(VLOOKUP($A36,INDIRECT("'W"&amp;P$1&amp;"'!$A$2:$T$1000"),4,FALSE),0)</f>
        <v>16.600000000000001</v>
      </c>
      <c r="Q36" s="37">
        <f ca="1">_xlfn.IFNA(VLOOKUP($A36,INDIRECT("'W"&amp;Q$1&amp;"'!$A$2:$T$1000"),4,FALSE),0)</f>
        <v>6.7</v>
      </c>
      <c r="R36" s="37">
        <f ca="1">_xlfn.IFNA(VLOOKUP($A36,INDIRECT("'W"&amp;R$1&amp;"'!$A$2:$T$1000"),4,FALSE),0)</f>
        <v>17.3</v>
      </c>
      <c r="S36" s="37">
        <f ca="1">_xlfn.IFNA(VLOOKUP($A36,INDIRECT("'W"&amp;S$1&amp;"'!$A$2:$T$1000"),4,FALSE),0)</f>
        <v>24.4</v>
      </c>
      <c r="T36" s="37">
        <f ca="1">_xlfn.IFNA(VLOOKUP($A36,INDIRECT("'W"&amp;T$1&amp;"'!$A$2:$T$1000"),4,FALSE),0)</f>
        <v>5.5</v>
      </c>
      <c r="U36" s="36">
        <f ca="1">COUNTIF(C36:T36,"&gt; 15")</f>
        <v>8</v>
      </c>
      <c r="V36" s="36">
        <f ca="1">SUM(C36:T36)</f>
        <v>249.20000000000002</v>
      </c>
      <c r="W36" s="36"/>
      <c r="X36" s="38">
        <v>85</v>
      </c>
    </row>
    <row r="37" spans="1:24" ht="12.75" x14ac:dyDescent="0.2">
      <c r="A37" s="36" t="s">
        <v>88</v>
      </c>
      <c r="B37" s="36" t="s">
        <v>75</v>
      </c>
      <c r="C37" s="37">
        <f ca="1">_xlfn.IFNA(VLOOKUP($A37,INDIRECT("'W"&amp;C$1&amp;"'!$A$2:$T$1000"),4,FALSE),0)</f>
        <v>13.900000000000002</v>
      </c>
      <c r="D37" s="37">
        <f ca="1">_xlfn.IFNA(VLOOKUP($A37,INDIRECT("'W"&amp;D$1&amp;"'!$A$2:$T$1000"),4,FALSE),0)</f>
        <v>18.5</v>
      </c>
      <c r="E37" s="37">
        <f ca="1">_xlfn.IFNA(VLOOKUP($A37,INDIRECT("'W"&amp;E$1&amp;"'!$A$2:$T$1000"),4,FALSE),0)</f>
        <v>2</v>
      </c>
      <c r="F37" s="37">
        <f ca="1">_xlfn.IFNA(VLOOKUP($A37,INDIRECT("'W"&amp;F$1&amp;"'!$A$2:$T$1000"),4,FALSE),0)</f>
        <v>24.380000000000003</v>
      </c>
      <c r="G37" s="37">
        <f ca="1">_xlfn.IFNA(VLOOKUP($A37,INDIRECT("'W"&amp;G$1&amp;"'!$A$2:$T$1000"),4,FALSE),0)</f>
        <v>9.1999999999999993</v>
      </c>
      <c r="H37" s="37">
        <f ca="1">_xlfn.IFNA(VLOOKUP($A37,INDIRECT("'W"&amp;H$1&amp;"'!$A$2:$T$1000"),4,FALSE),0)</f>
        <v>19.300000000000004</v>
      </c>
      <c r="I37" s="37">
        <f ca="1">_xlfn.IFNA(VLOOKUP($A37,INDIRECT("'W"&amp;I$1&amp;"'!$A$2:$T$1000"),4,FALSE),0)</f>
        <v>0</v>
      </c>
      <c r="J37" s="37">
        <f ca="1">_xlfn.IFNA(VLOOKUP($A37,INDIRECT("'W"&amp;J$1&amp;"'!$A$2:$T$1000"),4,FALSE),0)</f>
        <v>16.200000000000003</v>
      </c>
      <c r="K37" s="37">
        <f ca="1">_xlfn.IFNA(VLOOKUP($A37,INDIRECT("'W"&amp;K$1&amp;"'!$A$2:$T$1000"),4,FALSE),0)</f>
        <v>19.2</v>
      </c>
      <c r="L37" s="37">
        <f ca="1">_xlfn.IFNA(VLOOKUP($A37,INDIRECT("'W"&amp;L$1&amp;"'!$A$2:$T$1000"),4,FALSE),0)</f>
        <v>3.0000000000000004</v>
      </c>
      <c r="M37" s="37">
        <f ca="1">_xlfn.IFNA(VLOOKUP($A37,INDIRECT("'W"&amp;M$1&amp;"'!$A$2:$T$1000"),4,FALSE),0)</f>
        <v>5.4</v>
      </c>
      <c r="N37" s="37">
        <f ca="1">_xlfn.IFNA(VLOOKUP($A37,INDIRECT("'W"&amp;N$1&amp;"'!$A$2:$T$1000"),4,FALSE),0)</f>
        <v>20.6</v>
      </c>
      <c r="O37" s="37">
        <f ca="1">_xlfn.IFNA(VLOOKUP($A37,INDIRECT("'W"&amp;O$1&amp;"'!$A$2:$T$1000"),4,FALSE),0)</f>
        <v>25.000000000000004</v>
      </c>
      <c r="P37" s="37">
        <f ca="1">_xlfn.IFNA(VLOOKUP($A37,INDIRECT("'W"&amp;P$1&amp;"'!$A$2:$T$1000"),4,FALSE),0)</f>
        <v>18.099999999999998</v>
      </c>
      <c r="Q37" s="37">
        <f ca="1">_xlfn.IFNA(VLOOKUP($A37,INDIRECT("'W"&amp;Q$1&amp;"'!$A$2:$T$1000"),4,FALSE),0)</f>
        <v>5</v>
      </c>
      <c r="R37" s="37">
        <f ca="1">_xlfn.IFNA(VLOOKUP($A37,INDIRECT("'W"&amp;R$1&amp;"'!$A$2:$T$1000"),4,FALSE),0)</f>
        <v>21.380000000000003</v>
      </c>
      <c r="S37" s="37">
        <f ca="1">_xlfn.IFNA(VLOOKUP($A37,INDIRECT("'W"&amp;S$1&amp;"'!$A$2:$T$1000"),4,FALSE),0)</f>
        <v>4.2</v>
      </c>
      <c r="T37" s="37">
        <f ca="1">_xlfn.IFNA(VLOOKUP($A37,INDIRECT("'W"&amp;T$1&amp;"'!$A$2:$T$1000"),4,FALSE),0)</f>
        <v>21.3</v>
      </c>
      <c r="U37" s="36">
        <f ca="1">COUNTIF(C37:T37,"&gt; 15")</f>
        <v>10</v>
      </c>
      <c r="V37" s="36">
        <f ca="1">SUM(C37:T37)</f>
        <v>246.66</v>
      </c>
      <c r="W37" s="36"/>
      <c r="X37" s="38">
        <v>19</v>
      </c>
    </row>
    <row r="38" spans="1:24" ht="12.75" x14ac:dyDescent="0.2">
      <c r="A38" s="36" t="s">
        <v>81</v>
      </c>
      <c r="B38" s="36" t="s">
        <v>75</v>
      </c>
      <c r="C38" s="37">
        <f ca="1">_xlfn.IFNA(VLOOKUP($A38,INDIRECT("'W"&amp;C$1&amp;"'!$A$2:$T$1000"),4,FALSE),0)</f>
        <v>20.3</v>
      </c>
      <c r="D38" s="37">
        <f ca="1">_xlfn.IFNA(VLOOKUP($A38,INDIRECT("'W"&amp;D$1&amp;"'!$A$2:$T$1000"),4,FALSE),0)</f>
        <v>21.2</v>
      </c>
      <c r="E38" s="37">
        <f ca="1">_xlfn.IFNA(VLOOKUP($A38,INDIRECT("'W"&amp;E$1&amp;"'!$A$2:$T$1000"),4,FALSE),0)</f>
        <v>10</v>
      </c>
      <c r="F38" s="37">
        <f ca="1">_xlfn.IFNA(VLOOKUP($A38,INDIRECT("'W"&amp;F$1&amp;"'!$A$2:$T$1000"),4,FALSE),0)</f>
        <v>18.7</v>
      </c>
      <c r="G38" s="37">
        <f ca="1">_xlfn.IFNA(VLOOKUP($A38,INDIRECT("'W"&amp;G$1&amp;"'!$A$2:$T$1000"),4,FALSE),0)</f>
        <v>11.8</v>
      </c>
      <c r="H38" s="37">
        <f ca="1">_xlfn.IFNA(VLOOKUP($A38,INDIRECT("'W"&amp;H$1&amp;"'!$A$2:$T$1000"),4,FALSE),0)</f>
        <v>13</v>
      </c>
      <c r="I38" s="37">
        <f ca="1">_xlfn.IFNA(VLOOKUP($A38,INDIRECT("'W"&amp;I$1&amp;"'!$A$2:$T$1000"),4,FALSE),0)</f>
        <v>0.30000000000000004</v>
      </c>
      <c r="J38" s="37">
        <f ca="1">_xlfn.IFNA(VLOOKUP($A38,INDIRECT("'W"&amp;J$1&amp;"'!$A$2:$T$1000"),4,FALSE),0)</f>
        <v>12.2</v>
      </c>
      <c r="K38" s="37">
        <f ca="1">_xlfn.IFNA(VLOOKUP($A38,INDIRECT("'W"&amp;K$1&amp;"'!$A$2:$T$1000"),4,FALSE),0)</f>
        <v>5.9</v>
      </c>
      <c r="L38" s="37">
        <f ca="1">_xlfn.IFNA(VLOOKUP($A38,INDIRECT("'W"&amp;L$1&amp;"'!$A$2:$T$1000"),4,FALSE),0)</f>
        <v>17.600000000000001</v>
      </c>
      <c r="M38" s="37">
        <f ca="1">_xlfn.IFNA(VLOOKUP($A38,INDIRECT("'W"&amp;M$1&amp;"'!$A$2:$T$1000"),4,FALSE),0)</f>
        <v>0</v>
      </c>
      <c r="N38" s="37">
        <f ca="1">_xlfn.IFNA(VLOOKUP($A38,INDIRECT("'W"&amp;N$1&amp;"'!$A$2:$T$1000"),4,FALSE),0)</f>
        <v>27.3</v>
      </c>
      <c r="O38" s="37">
        <f ca="1">_xlfn.IFNA(VLOOKUP($A38,INDIRECT("'W"&amp;O$1&amp;"'!$A$2:$T$1000"),4,FALSE),0)</f>
        <v>10.9</v>
      </c>
      <c r="P38" s="37">
        <f ca="1">_xlfn.IFNA(VLOOKUP($A38,INDIRECT("'W"&amp;P$1&amp;"'!$A$2:$T$1000"),4,FALSE),0)</f>
        <v>19.8</v>
      </c>
      <c r="Q38" s="37">
        <f ca="1">_xlfn.IFNA(VLOOKUP($A38,INDIRECT("'W"&amp;Q$1&amp;"'!$A$2:$T$1000"),4,FALSE),0)</f>
        <v>0.40000000000000036</v>
      </c>
      <c r="R38" s="37">
        <f ca="1">_xlfn.IFNA(VLOOKUP($A38,INDIRECT("'W"&amp;R$1&amp;"'!$A$2:$T$1000"),4,FALSE),0)</f>
        <v>19.2</v>
      </c>
      <c r="S38" s="37">
        <f ca="1">_xlfn.IFNA(VLOOKUP($A38,INDIRECT("'W"&amp;S$1&amp;"'!$A$2:$T$1000"),4,FALSE),0)</f>
        <v>11.6</v>
      </c>
      <c r="T38" s="37">
        <f ca="1">_xlfn.IFNA(VLOOKUP($A38,INDIRECT("'W"&amp;T$1&amp;"'!$A$2:$T$1000"),4,FALSE),0)</f>
        <v>26.1</v>
      </c>
      <c r="U38" s="36">
        <f ca="1">COUNTIF(C38:T38,"&gt; 15")</f>
        <v>8</v>
      </c>
      <c r="V38" s="36">
        <f ca="1">SUM(C38:T38)</f>
        <v>246.3</v>
      </c>
      <c r="W38" s="36"/>
      <c r="X38" s="38">
        <v>9</v>
      </c>
    </row>
    <row r="39" spans="1:24" ht="12.75" x14ac:dyDescent="0.2">
      <c r="A39" s="36" t="s">
        <v>200</v>
      </c>
      <c r="B39" s="36" t="s">
        <v>162</v>
      </c>
      <c r="C39" s="37">
        <f ca="1">_xlfn.IFNA(VLOOKUP($A39,INDIRECT("'W"&amp;C$1&amp;"'!$A$2:$T$1000"),4,FALSE),0)</f>
        <v>11.3</v>
      </c>
      <c r="D39" s="37">
        <f ca="1">_xlfn.IFNA(VLOOKUP($A39,INDIRECT("'W"&amp;D$1&amp;"'!$A$2:$T$1000"),4,FALSE),0)</f>
        <v>22.1</v>
      </c>
      <c r="E39" s="37">
        <f ca="1">_xlfn.IFNA(VLOOKUP($A39,INDIRECT("'W"&amp;E$1&amp;"'!$A$2:$T$1000"),4,FALSE),0)</f>
        <v>25.1</v>
      </c>
      <c r="F39" s="37">
        <f ca="1">_xlfn.IFNA(VLOOKUP($A39,INDIRECT("'W"&amp;F$1&amp;"'!$A$2:$T$1000"),4,FALSE),0)</f>
        <v>0.60000000000000009</v>
      </c>
      <c r="G39" s="37">
        <f ca="1">_xlfn.IFNA(VLOOKUP($A39,INDIRECT("'W"&amp;G$1&amp;"'!$A$2:$T$1000"),4,FALSE),0)</f>
        <v>11.5</v>
      </c>
      <c r="H39" s="37">
        <f ca="1">_xlfn.IFNA(VLOOKUP($A39,INDIRECT("'W"&amp;H$1&amp;"'!$A$2:$T$1000"),4,FALSE),0)</f>
        <v>1.1000000000000001</v>
      </c>
      <c r="I39" s="37">
        <f ca="1">_xlfn.IFNA(VLOOKUP($A39,INDIRECT("'W"&amp;I$1&amp;"'!$A$2:$T$1000"),4,FALSE),0)</f>
        <v>0</v>
      </c>
      <c r="J39" s="37">
        <f ca="1">_xlfn.IFNA(VLOOKUP($A39,INDIRECT("'W"&amp;J$1&amp;"'!$A$2:$T$1000"),4,FALSE),0)</f>
        <v>0</v>
      </c>
      <c r="K39" s="37">
        <f ca="1">_xlfn.IFNA(VLOOKUP($A39,INDIRECT("'W"&amp;K$1&amp;"'!$A$2:$T$1000"),4,FALSE),0)</f>
        <v>0</v>
      </c>
      <c r="L39" s="37">
        <f ca="1">_xlfn.IFNA(VLOOKUP($A39,INDIRECT("'W"&amp;L$1&amp;"'!$A$2:$T$1000"),4,FALSE),0)</f>
        <v>15.9</v>
      </c>
      <c r="M39" s="37">
        <f ca="1">_xlfn.IFNA(VLOOKUP($A39,INDIRECT("'W"&amp;M$1&amp;"'!$A$2:$T$1000"),4,FALSE),0)</f>
        <v>9.2000000000000011</v>
      </c>
      <c r="N39" s="37">
        <f ca="1">_xlfn.IFNA(VLOOKUP($A39,INDIRECT("'W"&amp;N$1&amp;"'!$A$2:$T$1000"),4,FALSE),0)</f>
        <v>22.4</v>
      </c>
      <c r="O39" s="37">
        <f ca="1">_xlfn.IFNA(VLOOKUP($A39,INDIRECT("'W"&amp;O$1&amp;"'!$A$2:$T$1000"),4,FALSE),0)</f>
        <v>35.799999999999997</v>
      </c>
      <c r="P39" s="37">
        <f ca="1">_xlfn.IFNA(VLOOKUP($A39,INDIRECT("'W"&amp;P$1&amp;"'!$A$2:$T$1000"),4,FALSE),0)</f>
        <v>34</v>
      </c>
      <c r="Q39" s="37">
        <f ca="1">_xlfn.IFNA(VLOOKUP($A39,INDIRECT("'W"&amp;Q$1&amp;"'!$A$2:$T$1000"),4,FALSE),0)</f>
        <v>21.9</v>
      </c>
      <c r="R39" s="37">
        <f ca="1">_xlfn.IFNA(VLOOKUP($A39,INDIRECT("'W"&amp;R$1&amp;"'!$A$2:$T$1000"),4,FALSE),0)</f>
        <v>9.4</v>
      </c>
      <c r="S39" s="37">
        <f ca="1">_xlfn.IFNA(VLOOKUP($A39,INDIRECT("'W"&amp;S$1&amp;"'!$A$2:$T$1000"),4,FALSE),0)</f>
        <v>18.2</v>
      </c>
      <c r="T39" s="37">
        <f ca="1">_xlfn.IFNA(VLOOKUP($A39,INDIRECT("'W"&amp;T$1&amp;"'!$A$2:$T$1000"),4,FALSE),0)</f>
        <v>5.2</v>
      </c>
      <c r="U39" s="36">
        <f ca="1">COUNTIF(C39:T39,"&gt; 15")</f>
        <v>8</v>
      </c>
      <c r="V39" s="36">
        <f ca="1">SUM(C39:T39)</f>
        <v>243.7</v>
      </c>
      <c r="W39" s="36"/>
      <c r="X39" s="38">
        <v>46</v>
      </c>
    </row>
    <row r="40" spans="1:24" ht="12.75" x14ac:dyDescent="0.2">
      <c r="A40" s="36" t="s">
        <v>46</v>
      </c>
      <c r="B40" s="36" t="s">
        <v>17</v>
      </c>
      <c r="C40" s="37">
        <f ca="1">_xlfn.IFNA(VLOOKUP($A40,INDIRECT("'W"&amp;C$1&amp;"'!$A$2:$T$1000"),4,FALSE),0)</f>
        <v>14.459999999999999</v>
      </c>
      <c r="D40" s="37">
        <f ca="1">_xlfn.IFNA(VLOOKUP($A40,INDIRECT("'W"&amp;D$1&amp;"'!$A$2:$T$1000"),4,FALSE),0)</f>
        <v>13.98</v>
      </c>
      <c r="E40" s="37">
        <f ca="1">_xlfn.IFNA(VLOOKUP($A40,INDIRECT("'W"&amp;E$1&amp;"'!$A$2:$T$1000"),4,FALSE),0)</f>
        <v>11.459999999999999</v>
      </c>
      <c r="F40" s="37">
        <f ca="1">_xlfn.IFNA(VLOOKUP($A40,INDIRECT("'W"&amp;F$1&amp;"'!$A$2:$T$1000"),4,FALSE),0)</f>
        <v>16.159999999999997</v>
      </c>
      <c r="G40" s="37">
        <f ca="1">_xlfn.IFNA(VLOOKUP($A40,INDIRECT("'W"&amp;G$1&amp;"'!$A$2:$T$1000"),4,FALSE),0)</f>
        <v>16.880000000000003</v>
      </c>
      <c r="H40" s="37">
        <f ca="1">_xlfn.IFNA(VLOOKUP($A40,INDIRECT("'W"&amp;H$1&amp;"'!$A$2:$T$1000"),4,FALSE),0)</f>
        <v>13.24</v>
      </c>
      <c r="I40" s="37">
        <f ca="1">_xlfn.IFNA(VLOOKUP($A40,INDIRECT("'W"&amp;I$1&amp;"'!$A$2:$T$1000"),4,FALSE),0)</f>
        <v>14.040000000000001</v>
      </c>
      <c r="J40" s="37">
        <f ca="1">_xlfn.IFNA(VLOOKUP($A40,INDIRECT("'W"&amp;J$1&amp;"'!$A$2:$T$1000"),4,FALSE),0)</f>
        <v>11.38</v>
      </c>
      <c r="K40" s="37">
        <f ca="1">_xlfn.IFNA(VLOOKUP($A40,INDIRECT("'W"&amp;K$1&amp;"'!$A$2:$T$1000"),4,FALSE),0)</f>
        <v>0</v>
      </c>
      <c r="L40" s="37">
        <f ca="1">_xlfn.IFNA(VLOOKUP($A40,INDIRECT("'W"&amp;L$1&amp;"'!$A$2:$T$1000"),4,FALSE),0)</f>
        <v>0</v>
      </c>
      <c r="M40" s="37">
        <f ca="1">_xlfn.IFNA(VLOOKUP($A40,INDIRECT("'W"&amp;M$1&amp;"'!$A$2:$T$1000"),4,FALSE),0)</f>
        <v>9.7000000000000011</v>
      </c>
      <c r="N40" s="37">
        <f ca="1">_xlfn.IFNA(VLOOKUP($A40,INDIRECT("'W"&amp;N$1&amp;"'!$A$2:$T$1000"),4,FALSE),0)</f>
        <v>23.36</v>
      </c>
      <c r="O40" s="37">
        <f ca="1">_xlfn.IFNA(VLOOKUP($A40,INDIRECT("'W"&amp;O$1&amp;"'!$A$2:$T$1000"),4,FALSE),0)</f>
        <v>22.96</v>
      </c>
      <c r="P40" s="37">
        <f ca="1">_xlfn.IFNA(VLOOKUP($A40,INDIRECT("'W"&amp;P$1&amp;"'!$A$2:$T$1000"),4,FALSE),0)</f>
        <v>23.659999999999997</v>
      </c>
      <c r="Q40" s="37">
        <f ca="1">_xlfn.IFNA(VLOOKUP($A40,INDIRECT("'W"&amp;Q$1&amp;"'!$A$2:$T$1000"),4,FALSE),0)</f>
        <v>18.52</v>
      </c>
      <c r="R40" s="37">
        <f ca="1">_xlfn.IFNA(VLOOKUP($A40,INDIRECT("'W"&amp;R$1&amp;"'!$A$2:$T$1000"),4,FALSE),0)</f>
        <v>20.720000000000002</v>
      </c>
      <c r="S40" s="37">
        <f ca="1">_xlfn.IFNA(VLOOKUP($A40,INDIRECT("'W"&amp;S$1&amp;"'!$A$2:$T$1000"),4,FALSE),0)</f>
        <v>12.58</v>
      </c>
      <c r="T40" s="37">
        <f ca="1">_xlfn.IFNA(VLOOKUP($A40,INDIRECT("'W"&amp;T$1&amp;"'!$A$2:$T$1000"),4,FALSE),0)</f>
        <v>0</v>
      </c>
      <c r="U40" s="36">
        <f ca="1">COUNTIF(C40:T40,"&gt; 15")</f>
        <v>7</v>
      </c>
      <c r="V40" s="36">
        <f ca="1">SUM(C40:T40)</f>
        <v>243.10000000000002</v>
      </c>
      <c r="W40" s="36"/>
      <c r="X40" s="38">
        <v>173</v>
      </c>
    </row>
    <row r="41" spans="1:24" ht="12.75" x14ac:dyDescent="0.2">
      <c r="A41" s="36" t="s">
        <v>111</v>
      </c>
      <c r="B41" s="36" t="s">
        <v>75</v>
      </c>
      <c r="C41" s="37">
        <f ca="1">_xlfn.IFNA(VLOOKUP($A41,INDIRECT("'W"&amp;C$1&amp;"'!$A$2:$T$1000"),4,FALSE),0)</f>
        <v>8</v>
      </c>
      <c r="D41" s="37">
        <f ca="1">_xlfn.IFNA(VLOOKUP($A41,INDIRECT("'W"&amp;D$1&amp;"'!$A$2:$T$1000"),4,FALSE),0)</f>
        <v>12.6</v>
      </c>
      <c r="E41" s="37">
        <f ca="1">_xlfn.IFNA(VLOOKUP($A41,INDIRECT("'W"&amp;E$1&amp;"'!$A$2:$T$1000"),4,FALSE),0)</f>
        <v>9.1999999999999993</v>
      </c>
      <c r="F41" s="37">
        <f ca="1">_xlfn.IFNA(VLOOKUP($A41,INDIRECT("'W"&amp;F$1&amp;"'!$A$2:$T$1000"),4,FALSE),0)</f>
        <v>9.1</v>
      </c>
      <c r="G41" s="37">
        <f ca="1">_xlfn.IFNA(VLOOKUP($A41,INDIRECT("'W"&amp;G$1&amp;"'!$A$2:$T$1000"),4,FALSE),0)</f>
        <v>0</v>
      </c>
      <c r="H41" s="37">
        <f ca="1">_xlfn.IFNA(VLOOKUP($A41,INDIRECT("'W"&amp;H$1&amp;"'!$A$2:$T$1000"),4,FALSE),0)</f>
        <v>0</v>
      </c>
      <c r="I41" s="37">
        <f ca="1">_xlfn.IFNA(VLOOKUP($A41,INDIRECT("'W"&amp;I$1&amp;"'!$A$2:$T$1000"),4,FALSE),0)</f>
        <v>27.6</v>
      </c>
      <c r="J41" s="37">
        <f ca="1">_xlfn.IFNA(VLOOKUP($A41,INDIRECT("'W"&amp;J$1&amp;"'!$A$2:$T$1000"),4,FALSE),0)</f>
        <v>29.900000000000002</v>
      </c>
      <c r="K41" s="37">
        <f ca="1">_xlfn.IFNA(VLOOKUP($A41,INDIRECT("'W"&amp;K$1&amp;"'!$A$2:$T$1000"),4,FALSE),0)</f>
        <v>0</v>
      </c>
      <c r="L41" s="37">
        <f ca="1">_xlfn.IFNA(VLOOKUP($A41,INDIRECT("'W"&amp;L$1&amp;"'!$A$2:$T$1000"),4,FALSE),0)</f>
        <v>26.2</v>
      </c>
      <c r="M41" s="37">
        <f ca="1">_xlfn.IFNA(VLOOKUP($A41,INDIRECT("'W"&amp;M$1&amp;"'!$A$2:$T$1000"),4,FALSE),0)</f>
        <v>21.5</v>
      </c>
      <c r="N41" s="37">
        <f ca="1">_xlfn.IFNA(VLOOKUP($A41,INDIRECT("'W"&amp;N$1&amp;"'!$A$2:$T$1000"),4,FALSE),0)</f>
        <v>11.3</v>
      </c>
      <c r="O41" s="37">
        <f ca="1">_xlfn.IFNA(VLOOKUP($A41,INDIRECT("'W"&amp;O$1&amp;"'!$A$2:$T$1000"),4,FALSE),0)</f>
        <v>6.4</v>
      </c>
      <c r="P41" s="37">
        <f ca="1">_xlfn.IFNA(VLOOKUP($A41,INDIRECT("'W"&amp;P$1&amp;"'!$A$2:$T$1000"),4,FALSE),0)</f>
        <v>17.200000000000003</v>
      </c>
      <c r="Q41" s="37">
        <f ca="1">_xlfn.IFNA(VLOOKUP($A41,INDIRECT("'W"&amp;Q$1&amp;"'!$A$2:$T$1000"),4,FALSE),0)</f>
        <v>24.8</v>
      </c>
      <c r="R41" s="37">
        <f ca="1">_xlfn.IFNA(VLOOKUP($A41,INDIRECT("'W"&amp;R$1&amp;"'!$A$2:$T$1000"),4,FALSE),0)</f>
        <v>24</v>
      </c>
      <c r="S41" s="37">
        <f ca="1">_xlfn.IFNA(VLOOKUP($A41,INDIRECT("'W"&amp;S$1&amp;"'!$A$2:$T$1000"),4,FALSE),0)</f>
        <v>5.3</v>
      </c>
      <c r="T41" s="37">
        <f ca="1">_xlfn.IFNA(VLOOKUP($A41,INDIRECT("'W"&amp;T$1&amp;"'!$A$2:$T$1000"),4,FALSE),0)</f>
        <v>9</v>
      </c>
      <c r="U41" s="36">
        <f ca="1">COUNTIF(C41:T41,"&gt; 15")</f>
        <v>7</v>
      </c>
      <c r="V41" s="36">
        <f ca="1">SUM(C41:T41)</f>
        <v>242.10000000000008</v>
      </c>
      <c r="W41" s="36"/>
      <c r="X41" s="38">
        <v>32</v>
      </c>
    </row>
    <row r="42" spans="1:24" ht="12.75" x14ac:dyDescent="0.2">
      <c r="A42" s="36" t="s">
        <v>41</v>
      </c>
      <c r="B42" s="36" t="s">
        <v>17</v>
      </c>
      <c r="C42" s="37">
        <f ca="1">_xlfn.IFNA(VLOOKUP($A42,INDIRECT("'W"&amp;C$1&amp;"'!$A$2:$T$1000"),4,FALSE),0)</f>
        <v>14.600000000000003</v>
      </c>
      <c r="D42" s="37">
        <f ca="1">_xlfn.IFNA(VLOOKUP($A42,INDIRECT("'W"&amp;D$1&amp;"'!$A$2:$T$1000"),4,FALSE),0)</f>
        <v>6.7200000000000006</v>
      </c>
      <c r="E42" s="37">
        <f ca="1">_xlfn.IFNA(VLOOKUP($A42,INDIRECT("'W"&amp;E$1&amp;"'!$A$2:$T$1000"),4,FALSE),0)</f>
        <v>8.120000000000001</v>
      </c>
      <c r="F42" s="37">
        <f ca="1">_xlfn.IFNA(VLOOKUP($A42,INDIRECT("'W"&amp;F$1&amp;"'!$A$2:$T$1000"),4,FALSE),0)</f>
        <v>3.1799999999999997</v>
      </c>
      <c r="G42" s="37">
        <f ca="1">_xlfn.IFNA(VLOOKUP($A42,INDIRECT("'W"&amp;G$1&amp;"'!$A$2:$T$1000"),4,FALSE),0)</f>
        <v>15.72</v>
      </c>
      <c r="H42" s="37">
        <f ca="1">_xlfn.IFNA(VLOOKUP($A42,INDIRECT("'W"&amp;H$1&amp;"'!$A$2:$T$1000"),4,FALSE),0)</f>
        <v>16.32</v>
      </c>
      <c r="I42" s="37">
        <f ca="1">_xlfn.IFNA(VLOOKUP($A42,INDIRECT("'W"&amp;I$1&amp;"'!$A$2:$T$1000"),4,FALSE),0)</f>
        <v>17.439999999999998</v>
      </c>
      <c r="J42" s="37">
        <f ca="1">_xlfn.IFNA(VLOOKUP($A42,INDIRECT("'W"&amp;J$1&amp;"'!$A$2:$T$1000"),4,FALSE),0)</f>
        <v>18.299999999999997</v>
      </c>
      <c r="K42" s="37">
        <f ca="1">_xlfn.IFNA(VLOOKUP($A42,INDIRECT("'W"&amp;K$1&amp;"'!$A$2:$T$1000"),4,FALSE),0)</f>
        <v>16.739999999999998</v>
      </c>
      <c r="L42" s="37">
        <f ca="1">_xlfn.IFNA(VLOOKUP($A42,INDIRECT("'W"&amp;L$1&amp;"'!$A$2:$T$1000"),4,FALSE),0)</f>
        <v>5.4</v>
      </c>
      <c r="M42" s="37">
        <f ca="1">_xlfn.IFNA(VLOOKUP($A42,INDIRECT("'W"&amp;M$1&amp;"'!$A$2:$T$1000"),4,FALSE),0)</f>
        <v>0</v>
      </c>
      <c r="N42" s="37">
        <f ca="1">_xlfn.IFNA(VLOOKUP($A42,INDIRECT("'W"&amp;N$1&amp;"'!$A$2:$T$1000"),4,FALSE),0)</f>
        <v>10.86</v>
      </c>
      <c r="O42" s="37">
        <f ca="1">_xlfn.IFNA(VLOOKUP($A42,INDIRECT("'W"&amp;O$1&amp;"'!$A$2:$T$1000"),4,FALSE),0)</f>
        <v>8.9400000000000013</v>
      </c>
      <c r="P42" s="37">
        <f ca="1">_xlfn.IFNA(VLOOKUP($A42,INDIRECT("'W"&amp;P$1&amp;"'!$A$2:$T$1000"),4,FALSE),0)</f>
        <v>10.76</v>
      </c>
      <c r="Q42" s="37">
        <f ca="1">_xlfn.IFNA(VLOOKUP($A42,INDIRECT("'W"&amp;Q$1&amp;"'!$A$2:$T$1000"),4,FALSE),0)</f>
        <v>20.32</v>
      </c>
      <c r="R42" s="37">
        <f ca="1">_xlfn.IFNA(VLOOKUP($A42,INDIRECT("'W"&amp;R$1&amp;"'!$A$2:$T$1000"),4,FALSE),0)</f>
        <v>24.959999999999997</v>
      </c>
      <c r="S42" s="37">
        <f ca="1">_xlfn.IFNA(VLOOKUP($A42,INDIRECT("'W"&amp;S$1&amp;"'!$A$2:$T$1000"),4,FALSE),0)</f>
        <v>15.579999999999998</v>
      </c>
      <c r="T42" s="37">
        <f ca="1">_xlfn.IFNA(VLOOKUP($A42,INDIRECT("'W"&amp;T$1&amp;"'!$A$2:$T$1000"),4,FALSE),0)</f>
        <v>27.160000000000004</v>
      </c>
      <c r="U42" s="36">
        <f ca="1">COUNTIF(C42:T42,"&gt; 15")</f>
        <v>9</v>
      </c>
      <c r="V42" s="36">
        <f ca="1">SUM(C42:T42)</f>
        <v>241.11999999999998</v>
      </c>
      <c r="W42" s="36"/>
      <c r="X42" s="38">
        <v>181</v>
      </c>
    </row>
    <row r="43" spans="1:24" ht="12.75" x14ac:dyDescent="0.2">
      <c r="A43" s="36" t="s">
        <v>280</v>
      </c>
      <c r="B43" s="36" t="s">
        <v>69</v>
      </c>
      <c r="C43" s="37">
        <f ca="1">_xlfn.IFNA(VLOOKUP($A43,INDIRECT("'W"&amp;C$1&amp;"'!$A$2:$T$1000"),4,FALSE),0)</f>
        <v>8.9</v>
      </c>
      <c r="D43" s="37">
        <f ca="1">_xlfn.IFNA(VLOOKUP($A43,INDIRECT("'W"&amp;D$1&amp;"'!$A$2:$T$1000"),4,FALSE),0)</f>
        <v>11.3</v>
      </c>
      <c r="E43" s="37">
        <f ca="1">_xlfn.IFNA(VLOOKUP($A43,INDIRECT("'W"&amp;E$1&amp;"'!$A$2:$T$1000"),4,FALSE),0)</f>
        <v>22.4</v>
      </c>
      <c r="F43" s="37">
        <f ca="1">_xlfn.IFNA(VLOOKUP($A43,INDIRECT("'W"&amp;F$1&amp;"'!$A$2:$T$1000"),4,FALSE),0)</f>
        <v>9.6000000000000014</v>
      </c>
      <c r="G43" s="37">
        <f ca="1">_xlfn.IFNA(VLOOKUP($A43,INDIRECT("'W"&amp;G$1&amp;"'!$A$2:$T$1000"),4,FALSE),0)</f>
        <v>19.7</v>
      </c>
      <c r="H43" s="37">
        <f ca="1">_xlfn.IFNA(VLOOKUP($A43,INDIRECT("'W"&amp;H$1&amp;"'!$A$2:$T$1000"),4,FALSE),0)</f>
        <v>7.6</v>
      </c>
      <c r="I43" s="37">
        <f ca="1">_xlfn.IFNA(VLOOKUP($A43,INDIRECT("'W"&amp;I$1&amp;"'!$A$2:$T$1000"),4,FALSE),0)</f>
        <v>11.2</v>
      </c>
      <c r="J43" s="37">
        <f ca="1">_xlfn.IFNA(VLOOKUP($A43,INDIRECT("'W"&amp;J$1&amp;"'!$A$2:$T$1000"),4,FALSE),0)</f>
        <v>19.7</v>
      </c>
      <c r="K43" s="37">
        <f ca="1">_xlfn.IFNA(VLOOKUP($A43,INDIRECT("'W"&amp;K$1&amp;"'!$A$2:$T$1000"),4,FALSE),0)</f>
        <v>0</v>
      </c>
      <c r="L43" s="37">
        <f ca="1">_xlfn.IFNA(VLOOKUP($A43,INDIRECT("'W"&amp;L$1&amp;"'!$A$2:$T$1000"),4,FALSE),0)</f>
        <v>8</v>
      </c>
      <c r="M43" s="37">
        <f ca="1">_xlfn.IFNA(VLOOKUP($A43,INDIRECT("'W"&amp;M$1&amp;"'!$A$2:$T$1000"),4,FALSE),0)</f>
        <v>6.8</v>
      </c>
      <c r="N43" s="37">
        <f ca="1">_xlfn.IFNA(VLOOKUP($A43,INDIRECT("'W"&amp;N$1&amp;"'!$A$2:$T$1000"),4,FALSE),0)</f>
        <v>17.7</v>
      </c>
      <c r="O43" s="37">
        <f ca="1">_xlfn.IFNA(VLOOKUP($A43,INDIRECT("'W"&amp;O$1&amp;"'!$A$2:$T$1000"),4,FALSE),0)</f>
        <v>29</v>
      </c>
      <c r="P43" s="37">
        <f ca="1">_xlfn.IFNA(VLOOKUP($A43,INDIRECT("'W"&amp;P$1&amp;"'!$A$2:$T$1000"),4,FALSE),0)</f>
        <v>4.7</v>
      </c>
      <c r="Q43" s="37">
        <f ca="1">_xlfn.IFNA(VLOOKUP($A43,INDIRECT("'W"&amp;Q$1&amp;"'!$A$2:$T$1000"),4,FALSE),0)</f>
        <v>28.6</v>
      </c>
      <c r="R43" s="37">
        <f ca="1">_xlfn.IFNA(VLOOKUP($A43,INDIRECT("'W"&amp;R$1&amp;"'!$A$2:$T$1000"),4,FALSE),0)</f>
        <v>4.8</v>
      </c>
      <c r="S43" s="37">
        <f ca="1">_xlfn.IFNA(VLOOKUP($A43,INDIRECT("'W"&amp;S$1&amp;"'!$A$2:$T$1000"),4,FALSE),0)</f>
        <v>15.4</v>
      </c>
      <c r="T43" s="37">
        <f ca="1">_xlfn.IFNA(VLOOKUP($A43,INDIRECT("'W"&amp;T$1&amp;"'!$A$2:$T$1000"),4,FALSE),0)</f>
        <v>13.9</v>
      </c>
      <c r="U43" s="36">
        <f ca="1">COUNTIF(C43:T43,"&gt; 15")</f>
        <v>7</v>
      </c>
      <c r="V43" s="36">
        <f ca="1">SUM(C43:T43)</f>
        <v>239.3</v>
      </c>
      <c r="W43" s="36">
        <v>1</v>
      </c>
      <c r="X43" s="38" t="s">
        <v>847</v>
      </c>
    </row>
    <row r="44" spans="1:24" ht="12.75" x14ac:dyDescent="0.2">
      <c r="A44" s="36" t="s">
        <v>25</v>
      </c>
      <c r="B44" s="36" t="s">
        <v>17</v>
      </c>
      <c r="C44" s="37">
        <f ca="1">_xlfn.IFNA(VLOOKUP($A44,INDIRECT("'W"&amp;C$1&amp;"'!$A$2:$T$1000"),4,FALSE),0)</f>
        <v>20.86</v>
      </c>
      <c r="D44" s="37">
        <f ca="1">_xlfn.IFNA(VLOOKUP($A44,INDIRECT("'W"&amp;D$1&amp;"'!$A$2:$T$1000"),4,FALSE),0)</f>
        <v>22.200000000000003</v>
      </c>
      <c r="E44" s="37">
        <f ca="1">_xlfn.IFNA(VLOOKUP($A44,INDIRECT("'W"&amp;E$1&amp;"'!$A$2:$T$1000"),4,FALSE),0)</f>
        <v>29.3</v>
      </c>
      <c r="F44" s="37">
        <f ca="1">_xlfn.IFNA(VLOOKUP($A44,INDIRECT("'W"&amp;F$1&amp;"'!$A$2:$T$1000"),4,FALSE),0)</f>
        <v>23.38</v>
      </c>
      <c r="G44" s="37">
        <f ca="1">_xlfn.IFNA(VLOOKUP($A44,INDIRECT("'W"&amp;G$1&amp;"'!$A$2:$T$1000"),4,FALSE),0)</f>
        <v>0</v>
      </c>
      <c r="H44" s="37">
        <f ca="1">_xlfn.IFNA(VLOOKUP($A44,INDIRECT("'W"&amp;H$1&amp;"'!$A$2:$T$1000"),4,FALSE),0)</f>
        <v>19.079999999999998</v>
      </c>
      <c r="I44" s="37">
        <f ca="1">_xlfn.IFNA(VLOOKUP($A44,INDIRECT("'W"&amp;I$1&amp;"'!$A$2:$T$1000"),4,FALSE),0)</f>
        <v>10.86</v>
      </c>
      <c r="J44" s="37">
        <f ca="1">_xlfn.IFNA(VLOOKUP($A44,INDIRECT("'W"&amp;J$1&amp;"'!$A$2:$T$1000"),4,FALSE),0)</f>
        <v>24.020000000000003</v>
      </c>
      <c r="K44" s="37">
        <f ca="1">_xlfn.IFNA(VLOOKUP($A44,INDIRECT("'W"&amp;K$1&amp;"'!$A$2:$T$1000"),4,FALSE),0)</f>
        <v>7.1400000000000006</v>
      </c>
      <c r="L44" s="37">
        <f ca="1">_xlfn.IFNA(VLOOKUP($A44,INDIRECT("'W"&amp;L$1&amp;"'!$A$2:$T$1000"),4,FALSE),0)</f>
        <v>28.42</v>
      </c>
      <c r="M44" s="37">
        <f ca="1">_xlfn.IFNA(VLOOKUP($A44,INDIRECT("'W"&amp;M$1&amp;"'!$A$2:$T$1000"),4,FALSE),0)</f>
        <v>25.7</v>
      </c>
      <c r="N44" s="37">
        <f ca="1">_xlfn.IFNA(VLOOKUP($A44,INDIRECT("'W"&amp;N$1&amp;"'!$A$2:$T$1000"),4,FALSE),0)</f>
        <v>13.379999999999999</v>
      </c>
      <c r="O44" s="37">
        <f ca="1">_xlfn.IFNA(VLOOKUP($A44,INDIRECT("'W"&amp;O$1&amp;"'!$A$2:$T$1000"),4,FALSE),0)</f>
        <v>7.98</v>
      </c>
      <c r="P44" s="37">
        <f ca="1">_xlfn.IFNA(VLOOKUP($A44,INDIRECT("'W"&amp;P$1&amp;"'!$A$2:$T$1000"),4,FALSE),0)</f>
        <v>1.8399999999999999</v>
      </c>
      <c r="Q44" s="37">
        <f ca="1">_xlfn.IFNA(VLOOKUP($A44,INDIRECT("'W"&amp;Q$1&amp;"'!$A$2:$T$1000"),4,FALSE),0)</f>
        <v>0</v>
      </c>
      <c r="R44" s="37">
        <f ca="1">_xlfn.IFNA(VLOOKUP($A44,INDIRECT("'W"&amp;R$1&amp;"'!$A$2:$T$1000"),4,FALSE),0)</f>
        <v>0</v>
      </c>
      <c r="S44" s="37">
        <f ca="1">_xlfn.IFNA(VLOOKUP($A44,INDIRECT("'W"&amp;S$1&amp;"'!$A$2:$T$1000"),4,FALSE),0)</f>
        <v>0</v>
      </c>
      <c r="T44" s="37">
        <f ca="1">_xlfn.IFNA(VLOOKUP($A44,INDIRECT("'W"&amp;T$1&amp;"'!$A$2:$T$1000"),4,FALSE),0)</f>
        <v>0</v>
      </c>
      <c r="U44" s="36">
        <f ca="1">COUNTIF(C44:T44,"&gt; 15")</f>
        <v>8</v>
      </c>
      <c r="V44" s="36">
        <f ca="1">SUM(C44:T44)</f>
        <v>234.15999999999997</v>
      </c>
      <c r="W44" s="36"/>
      <c r="X44" s="38">
        <v>29</v>
      </c>
    </row>
    <row r="45" spans="1:24" ht="12.75" x14ac:dyDescent="0.2">
      <c r="A45" s="36" t="s">
        <v>470</v>
      </c>
      <c r="B45" s="36" t="s">
        <v>75</v>
      </c>
      <c r="C45" s="37">
        <f ca="1">_xlfn.IFNA(VLOOKUP($A45,INDIRECT("'W"&amp;C$1&amp;"'!$A$2:$T$1000"),4,FALSE),0)</f>
        <v>0</v>
      </c>
      <c r="D45" s="37">
        <f ca="1">_xlfn.IFNA(VLOOKUP($A45,INDIRECT("'W"&amp;D$1&amp;"'!$A$2:$T$1000"),4,FALSE),0)</f>
        <v>0</v>
      </c>
      <c r="E45" s="37">
        <f ca="1">_xlfn.IFNA(VLOOKUP($A45,INDIRECT("'W"&amp;E$1&amp;"'!$A$2:$T$1000"),4,FALSE),0)</f>
        <v>0</v>
      </c>
      <c r="F45" s="37">
        <f ca="1">_xlfn.IFNA(VLOOKUP($A45,INDIRECT("'W"&amp;F$1&amp;"'!$A$2:$T$1000"),4,FALSE),0)</f>
        <v>21.400000000000002</v>
      </c>
      <c r="G45" s="37">
        <f ca="1">_xlfn.IFNA(VLOOKUP($A45,INDIRECT("'W"&amp;G$1&amp;"'!$A$2:$T$1000"),4,FALSE),0)</f>
        <v>18.7</v>
      </c>
      <c r="H45" s="37">
        <f ca="1">_xlfn.IFNA(VLOOKUP($A45,INDIRECT("'W"&amp;H$1&amp;"'!$A$2:$T$1000"),4,FALSE),0)</f>
        <v>17.400000000000002</v>
      </c>
      <c r="I45" s="37">
        <f ca="1">_xlfn.IFNA(VLOOKUP($A45,INDIRECT("'W"&amp;I$1&amp;"'!$A$2:$T$1000"),4,FALSE),0)</f>
        <v>29.299999999999997</v>
      </c>
      <c r="J45" s="37">
        <f ca="1">_xlfn.IFNA(VLOOKUP($A45,INDIRECT("'W"&amp;J$1&amp;"'!$A$2:$T$1000"),4,FALSE),0)</f>
        <v>27</v>
      </c>
      <c r="K45" s="37">
        <f ca="1">_xlfn.IFNA(VLOOKUP($A45,INDIRECT("'W"&amp;K$1&amp;"'!$A$2:$T$1000"),4,FALSE),0)</f>
        <v>11</v>
      </c>
      <c r="L45" s="37">
        <f ca="1">_xlfn.IFNA(VLOOKUP($A45,INDIRECT("'W"&amp;L$1&amp;"'!$A$2:$T$1000"),4,FALSE),0)</f>
        <v>18.5</v>
      </c>
      <c r="M45" s="37">
        <f ca="1">_xlfn.IFNA(VLOOKUP($A45,INDIRECT("'W"&amp;M$1&amp;"'!$A$2:$T$1000"),4,FALSE),0)</f>
        <v>0</v>
      </c>
      <c r="N45" s="37">
        <f ca="1">_xlfn.IFNA(VLOOKUP($A45,INDIRECT("'W"&amp;N$1&amp;"'!$A$2:$T$1000"),4,FALSE),0)</f>
        <v>15.9</v>
      </c>
      <c r="O45" s="37">
        <f ca="1">_xlfn.IFNA(VLOOKUP($A45,INDIRECT("'W"&amp;O$1&amp;"'!$A$2:$T$1000"),4,FALSE),0)</f>
        <v>28.900000000000002</v>
      </c>
      <c r="P45" s="37">
        <f ca="1">_xlfn.IFNA(VLOOKUP($A45,INDIRECT("'W"&amp;P$1&amp;"'!$A$2:$T$1000"),4,FALSE),0)</f>
        <v>13.500000000000002</v>
      </c>
      <c r="Q45" s="37">
        <f ca="1">_xlfn.IFNA(VLOOKUP($A45,INDIRECT("'W"&amp;Q$1&amp;"'!$A$2:$T$1000"),4,FALSE),0)</f>
        <v>16</v>
      </c>
      <c r="R45" s="37">
        <f ca="1">_xlfn.IFNA(VLOOKUP($A45,INDIRECT("'W"&amp;R$1&amp;"'!$A$2:$T$1000"),4,FALSE),0)</f>
        <v>8.5</v>
      </c>
      <c r="S45" s="37">
        <f ca="1">_xlfn.IFNA(VLOOKUP($A45,INDIRECT("'W"&amp;S$1&amp;"'!$A$2:$T$1000"),4,FALSE),0)</f>
        <v>6.9</v>
      </c>
      <c r="T45" s="37">
        <f ca="1">_xlfn.IFNA(VLOOKUP($A45,INDIRECT("'W"&amp;T$1&amp;"'!$A$2:$T$1000"),4,FALSE),0)</f>
        <v>0</v>
      </c>
      <c r="U45" s="36">
        <f ca="1">COUNTIF(C45:T45,"&gt; 15")</f>
        <v>9</v>
      </c>
      <c r="V45" s="36">
        <f ca="1">SUM(C45:T45)</f>
        <v>233.00000000000003</v>
      </c>
      <c r="W45" s="36"/>
      <c r="X45" s="38">
        <v>70</v>
      </c>
    </row>
    <row r="46" spans="1:24" ht="12.75" x14ac:dyDescent="0.2">
      <c r="A46" s="36" t="s">
        <v>102</v>
      </c>
      <c r="B46" s="36" t="s">
        <v>75</v>
      </c>
      <c r="C46" s="37">
        <f ca="1">_xlfn.IFNA(VLOOKUP($A46,INDIRECT("'W"&amp;C$1&amp;"'!$A$2:$T$1000"),4,FALSE),0)</f>
        <v>10.3</v>
      </c>
      <c r="D46" s="37">
        <f ca="1">_xlfn.IFNA(VLOOKUP($A46,INDIRECT("'W"&amp;D$1&amp;"'!$A$2:$T$1000"),4,FALSE),0)</f>
        <v>19.900000000000002</v>
      </c>
      <c r="E46" s="37">
        <f ca="1">_xlfn.IFNA(VLOOKUP($A46,INDIRECT("'W"&amp;E$1&amp;"'!$A$2:$T$1000"),4,FALSE),0)</f>
        <v>13.200000000000001</v>
      </c>
      <c r="F46" s="37">
        <f ca="1">_xlfn.IFNA(VLOOKUP($A46,INDIRECT("'W"&amp;F$1&amp;"'!$A$2:$T$1000"),4,FALSE),0)</f>
        <v>14.700000000000001</v>
      </c>
      <c r="G46" s="37">
        <f ca="1">_xlfn.IFNA(VLOOKUP($A46,INDIRECT("'W"&amp;G$1&amp;"'!$A$2:$T$1000"),4,FALSE),0)</f>
        <v>5.0999999999999996</v>
      </c>
      <c r="H46" s="37">
        <f ca="1">_xlfn.IFNA(VLOOKUP($A46,INDIRECT("'W"&amp;H$1&amp;"'!$A$2:$T$1000"),4,FALSE),0)</f>
        <v>7.1000000000000005</v>
      </c>
      <c r="I46" s="37">
        <f ca="1">_xlfn.IFNA(VLOOKUP($A46,INDIRECT("'W"&amp;I$1&amp;"'!$A$2:$T$1000"),4,FALSE),0)</f>
        <v>19.200000000000003</v>
      </c>
      <c r="J46" s="37">
        <f ca="1">_xlfn.IFNA(VLOOKUP($A46,INDIRECT("'W"&amp;J$1&amp;"'!$A$2:$T$1000"),4,FALSE),0)</f>
        <v>8.3000000000000007</v>
      </c>
      <c r="K46" s="37">
        <f ca="1">_xlfn.IFNA(VLOOKUP($A46,INDIRECT("'W"&amp;K$1&amp;"'!$A$2:$T$1000"),4,FALSE),0)</f>
        <v>7.9</v>
      </c>
      <c r="L46" s="37">
        <f ca="1">_xlfn.IFNA(VLOOKUP($A46,INDIRECT("'W"&amp;L$1&amp;"'!$A$2:$T$1000"),4,FALSE),0)</f>
        <v>12</v>
      </c>
      <c r="M46" s="37">
        <f ca="1">_xlfn.IFNA(VLOOKUP($A46,INDIRECT("'W"&amp;M$1&amp;"'!$A$2:$T$1000"),4,FALSE),0)</f>
        <v>19.200000000000003</v>
      </c>
      <c r="N46" s="37">
        <f ca="1">_xlfn.IFNA(VLOOKUP($A46,INDIRECT("'W"&amp;N$1&amp;"'!$A$2:$T$1000"),4,FALSE),0)</f>
        <v>16</v>
      </c>
      <c r="O46" s="37">
        <f ca="1">_xlfn.IFNA(VLOOKUP($A46,INDIRECT("'W"&amp;O$1&amp;"'!$A$2:$T$1000"),4,FALSE),0)</f>
        <v>0</v>
      </c>
      <c r="P46" s="37">
        <f ca="1">_xlfn.IFNA(VLOOKUP($A46,INDIRECT("'W"&amp;P$1&amp;"'!$A$2:$T$1000"),4,FALSE),0)</f>
        <v>25.1</v>
      </c>
      <c r="Q46" s="37">
        <f ca="1">_xlfn.IFNA(VLOOKUP($A46,INDIRECT("'W"&amp;Q$1&amp;"'!$A$2:$T$1000"),4,FALSE),0)</f>
        <v>36.1</v>
      </c>
      <c r="R46" s="37">
        <f ca="1">_xlfn.IFNA(VLOOKUP($A46,INDIRECT("'W"&amp;R$1&amp;"'!$A$2:$T$1000"),4,FALSE),0)</f>
        <v>5</v>
      </c>
      <c r="S46" s="37">
        <f ca="1">_xlfn.IFNA(VLOOKUP($A46,INDIRECT("'W"&amp;S$1&amp;"'!$A$2:$T$1000"),4,FALSE),0)</f>
        <v>5.4</v>
      </c>
      <c r="T46" s="37">
        <f ca="1">_xlfn.IFNA(VLOOKUP($A46,INDIRECT("'W"&amp;T$1&amp;"'!$A$2:$T$1000"),4,FALSE),0)</f>
        <v>8.1999999999999993</v>
      </c>
      <c r="U46" s="36">
        <f ca="1">COUNTIF(C46:T46,"&gt; 15")</f>
        <v>6</v>
      </c>
      <c r="V46" s="36">
        <f ca="1">SUM(C46:T46)</f>
        <v>232.70000000000002</v>
      </c>
      <c r="W46" s="36"/>
      <c r="X46" s="38">
        <v>72</v>
      </c>
    </row>
    <row r="47" spans="1:24" ht="12.75" x14ac:dyDescent="0.2">
      <c r="A47" s="36" t="s">
        <v>171</v>
      </c>
      <c r="B47" s="36" t="s">
        <v>162</v>
      </c>
      <c r="C47" s="37">
        <f ca="1">_xlfn.IFNA(VLOOKUP($A47,INDIRECT("'W"&amp;C$1&amp;"'!$A$2:$T$1000"),4,FALSE),0)</f>
        <v>19.200000000000003</v>
      </c>
      <c r="D47" s="37">
        <f ca="1">_xlfn.IFNA(VLOOKUP($A47,INDIRECT("'W"&amp;D$1&amp;"'!$A$2:$T$1000"),4,FALSE),0)</f>
        <v>14.6</v>
      </c>
      <c r="E47" s="37">
        <f ca="1">_xlfn.IFNA(VLOOKUP($A47,INDIRECT("'W"&amp;E$1&amp;"'!$A$2:$T$1000"),4,FALSE),0)</f>
        <v>18.399999999999999</v>
      </c>
      <c r="F47" s="37">
        <f ca="1">_xlfn.IFNA(VLOOKUP($A47,INDIRECT("'W"&amp;F$1&amp;"'!$A$2:$T$1000"),4,FALSE),0)</f>
        <v>1.4</v>
      </c>
      <c r="G47" s="37">
        <f ca="1">_xlfn.IFNA(VLOOKUP($A47,INDIRECT("'W"&amp;G$1&amp;"'!$A$2:$T$1000"),4,FALSE),0)</f>
        <v>9.1999999999999993</v>
      </c>
      <c r="H47" s="37">
        <f ca="1">_xlfn.IFNA(VLOOKUP($A47,INDIRECT("'W"&amp;H$1&amp;"'!$A$2:$T$1000"),4,FALSE),0)</f>
        <v>16.600000000000001</v>
      </c>
      <c r="I47" s="37">
        <f ca="1">_xlfn.IFNA(VLOOKUP($A47,INDIRECT("'W"&amp;I$1&amp;"'!$A$2:$T$1000"),4,FALSE),0)</f>
        <v>12.7</v>
      </c>
      <c r="J47" s="37">
        <f ca="1">_xlfn.IFNA(VLOOKUP($A47,INDIRECT("'W"&amp;J$1&amp;"'!$A$2:$T$1000"),4,FALSE),0)</f>
        <v>9.6000000000000014</v>
      </c>
      <c r="K47" s="37">
        <f ca="1">_xlfn.IFNA(VLOOKUP($A47,INDIRECT("'W"&amp;K$1&amp;"'!$A$2:$T$1000"),4,FALSE),0)</f>
        <v>16.600000000000001</v>
      </c>
      <c r="L47" s="37">
        <f ca="1">_xlfn.IFNA(VLOOKUP($A47,INDIRECT("'W"&amp;L$1&amp;"'!$A$2:$T$1000"),4,FALSE),0)</f>
        <v>21.4</v>
      </c>
      <c r="M47" s="37">
        <f ca="1">_xlfn.IFNA(VLOOKUP($A47,INDIRECT("'W"&amp;M$1&amp;"'!$A$2:$T$1000"),4,FALSE),0)</f>
        <v>0</v>
      </c>
      <c r="N47" s="37">
        <f ca="1">_xlfn.IFNA(VLOOKUP($A47,INDIRECT("'W"&amp;N$1&amp;"'!$A$2:$T$1000"),4,FALSE),0)</f>
        <v>18.399999999999999</v>
      </c>
      <c r="O47" s="37">
        <f ca="1">_xlfn.IFNA(VLOOKUP($A47,INDIRECT("'W"&amp;O$1&amp;"'!$A$2:$T$1000"),4,FALSE),0)</f>
        <v>16.899999999999999</v>
      </c>
      <c r="P47" s="37">
        <f ca="1">_xlfn.IFNA(VLOOKUP($A47,INDIRECT("'W"&amp;P$1&amp;"'!$A$2:$T$1000"),4,FALSE),0)</f>
        <v>12.8</v>
      </c>
      <c r="Q47" s="37">
        <f ca="1">_xlfn.IFNA(VLOOKUP($A47,INDIRECT("'W"&amp;Q$1&amp;"'!$A$2:$T$1000"),4,FALSE),0)</f>
        <v>0</v>
      </c>
      <c r="R47" s="37">
        <f ca="1">_xlfn.IFNA(VLOOKUP($A47,INDIRECT("'W"&amp;R$1&amp;"'!$A$2:$T$1000"),4,FALSE),0)</f>
        <v>23.3</v>
      </c>
      <c r="S47" s="37">
        <f ca="1">_xlfn.IFNA(VLOOKUP($A47,INDIRECT("'W"&amp;S$1&amp;"'!$A$2:$T$1000"),4,FALSE),0)</f>
        <v>5.6</v>
      </c>
      <c r="T47" s="37">
        <f ca="1">_xlfn.IFNA(VLOOKUP($A47,INDIRECT("'W"&amp;T$1&amp;"'!$A$2:$T$1000"),4,FALSE),0)</f>
        <v>14.600000000000001</v>
      </c>
      <c r="U47" s="36">
        <f ca="1">COUNTIF(C47:T47,"&gt; 15")</f>
        <v>8</v>
      </c>
      <c r="V47" s="36">
        <f ca="1">SUM(C47:T47)</f>
        <v>231.30000000000004</v>
      </c>
      <c r="W47" s="36"/>
      <c r="X47" s="38">
        <v>28</v>
      </c>
    </row>
    <row r="48" spans="1:24" ht="12.75" x14ac:dyDescent="0.2">
      <c r="A48" s="36" t="s">
        <v>246</v>
      </c>
      <c r="B48" s="36" t="s">
        <v>162</v>
      </c>
      <c r="C48" s="37">
        <f ca="1">_xlfn.IFNA(VLOOKUP($A48,INDIRECT("'W"&amp;C$1&amp;"'!$A$2:$T$1000"),4,FALSE),0)</f>
        <v>3.2</v>
      </c>
      <c r="D48" s="37">
        <f ca="1">_xlfn.IFNA(VLOOKUP($A48,INDIRECT("'W"&amp;D$1&amp;"'!$A$2:$T$1000"),4,FALSE),0)</f>
        <v>20.399999999999999</v>
      </c>
      <c r="E48" s="37">
        <f ca="1">_xlfn.IFNA(VLOOKUP($A48,INDIRECT("'W"&amp;E$1&amp;"'!$A$2:$T$1000"),4,FALSE),0)</f>
        <v>31.5</v>
      </c>
      <c r="F48" s="37">
        <f ca="1">_xlfn.IFNA(VLOOKUP($A48,INDIRECT("'W"&amp;F$1&amp;"'!$A$2:$T$1000"),4,FALSE),0)</f>
        <v>15.2</v>
      </c>
      <c r="G48" s="37">
        <f ca="1">_xlfn.IFNA(VLOOKUP($A48,INDIRECT("'W"&amp;G$1&amp;"'!$A$2:$T$1000"),4,FALSE),0)</f>
        <v>27.700000000000003</v>
      </c>
      <c r="H48" s="37">
        <f ca="1">_xlfn.IFNA(VLOOKUP($A48,INDIRECT("'W"&amp;H$1&amp;"'!$A$2:$T$1000"),4,FALSE),0)</f>
        <v>28.5</v>
      </c>
      <c r="I48" s="37">
        <f ca="1">_xlfn.IFNA(VLOOKUP($A48,INDIRECT("'W"&amp;I$1&amp;"'!$A$2:$T$1000"),4,FALSE),0)</f>
        <v>0</v>
      </c>
      <c r="J48" s="37">
        <f ca="1">_xlfn.IFNA(VLOOKUP($A48,INDIRECT("'W"&amp;J$1&amp;"'!$A$2:$T$1000"),4,FALSE),0)</f>
        <v>15.2</v>
      </c>
      <c r="K48" s="37">
        <f ca="1">_xlfn.IFNA(VLOOKUP($A48,INDIRECT("'W"&amp;K$1&amp;"'!$A$2:$T$1000"),4,FALSE),0)</f>
        <v>7.9</v>
      </c>
      <c r="L48" s="37">
        <f ca="1">_xlfn.IFNA(VLOOKUP($A48,INDIRECT("'W"&amp;L$1&amp;"'!$A$2:$T$1000"),4,FALSE),0)</f>
        <v>10.199999999999999</v>
      </c>
      <c r="M48" s="37">
        <f ca="1">_xlfn.IFNA(VLOOKUP($A48,INDIRECT("'W"&amp;M$1&amp;"'!$A$2:$T$1000"),4,FALSE),0)</f>
        <v>15.4</v>
      </c>
      <c r="N48" s="37">
        <f ca="1">_xlfn.IFNA(VLOOKUP($A48,INDIRECT("'W"&amp;N$1&amp;"'!$A$2:$T$1000"),4,FALSE),0)</f>
        <v>1.2</v>
      </c>
      <c r="O48" s="37">
        <f ca="1">_xlfn.IFNA(VLOOKUP($A48,INDIRECT("'W"&amp;O$1&amp;"'!$A$2:$T$1000"),4,FALSE),0)</f>
        <v>5.5</v>
      </c>
      <c r="P48" s="37">
        <f ca="1">_xlfn.IFNA(VLOOKUP($A48,INDIRECT("'W"&amp;P$1&amp;"'!$A$2:$T$1000"),4,FALSE),0)</f>
        <v>12.4</v>
      </c>
      <c r="Q48" s="37">
        <f ca="1">_xlfn.IFNA(VLOOKUP($A48,INDIRECT("'W"&amp;Q$1&amp;"'!$A$2:$T$1000"),4,FALSE),0)</f>
        <v>8.3000000000000007</v>
      </c>
      <c r="R48" s="37">
        <f ca="1">_xlfn.IFNA(VLOOKUP($A48,INDIRECT("'W"&amp;R$1&amp;"'!$A$2:$T$1000"),4,FALSE),0)</f>
        <v>15.4</v>
      </c>
      <c r="S48" s="37">
        <f ca="1">_xlfn.IFNA(VLOOKUP($A48,INDIRECT("'W"&amp;S$1&amp;"'!$A$2:$T$1000"),4,FALSE),0)</f>
        <v>9.8000000000000007</v>
      </c>
      <c r="T48" s="37">
        <f ca="1">_xlfn.IFNA(VLOOKUP($A48,INDIRECT("'W"&amp;T$1&amp;"'!$A$2:$T$1000"),4,FALSE),0)</f>
        <v>3.2</v>
      </c>
      <c r="U48" s="36">
        <f ca="1">COUNTIF(C48:T48,"&gt; 15")</f>
        <v>8</v>
      </c>
      <c r="V48" s="36">
        <f ca="1">SUM(C48:T48)</f>
        <v>231</v>
      </c>
      <c r="W48" s="36">
        <v>1</v>
      </c>
      <c r="X48" s="38">
        <v>168</v>
      </c>
    </row>
    <row r="49" spans="1:24" ht="12.75" x14ac:dyDescent="0.2">
      <c r="A49" s="36" t="s">
        <v>276</v>
      </c>
      <c r="B49" s="36" t="s">
        <v>69</v>
      </c>
      <c r="C49" s="37">
        <f ca="1">_xlfn.IFNA(VLOOKUP($A49,INDIRECT("'W"&amp;C$1&amp;"'!$A$2:$T$1000"),4,FALSE),0)</f>
        <v>9.9</v>
      </c>
      <c r="D49" s="37">
        <f ca="1">_xlfn.IFNA(VLOOKUP($A49,INDIRECT("'W"&amp;D$1&amp;"'!$A$2:$T$1000"),4,FALSE),0)</f>
        <v>11.7</v>
      </c>
      <c r="E49" s="37">
        <f ca="1">_xlfn.IFNA(VLOOKUP($A49,INDIRECT("'W"&amp;E$1&amp;"'!$A$2:$T$1000"),4,FALSE),0)</f>
        <v>13.7</v>
      </c>
      <c r="F49" s="37">
        <f ca="1">_xlfn.IFNA(VLOOKUP($A49,INDIRECT("'W"&amp;F$1&amp;"'!$A$2:$T$1000"),4,FALSE),0)</f>
        <v>12.9</v>
      </c>
      <c r="G49" s="37">
        <f ca="1">_xlfn.IFNA(VLOOKUP($A49,INDIRECT("'W"&amp;G$1&amp;"'!$A$2:$T$1000"),4,FALSE),0)</f>
        <v>6.8000000000000007</v>
      </c>
      <c r="H49" s="37">
        <f ca="1">_xlfn.IFNA(VLOOKUP($A49,INDIRECT("'W"&amp;H$1&amp;"'!$A$2:$T$1000"),4,FALSE),0)</f>
        <v>11.100000000000001</v>
      </c>
      <c r="I49" s="37">
        <f ca="1">_xlfn.IFNA(VLOOKUP($A49,INDIRECT("'W"&amp;I$1&amp;"'!$A$2:$T$1000"),4,FALSE),0)</f>
        <v>9.5</v>
      </c>
      <c r="J49" s="37">
        <f ca="1">_xlfn.IFNA(VLOOKUP($A49,INDIRECT("'W"&amp;J$1&amp;"'!$A$2:$T$1000"),4,FALSE),0)</f>
        <v>16.8</v>
      </c>
      <c r="K49" s="37">
        <f ca="1">_xlfn.IFNA(VLOOKUP($A49,INDIRECT("'W"&amp;K$1&amp;"'!$A$2:$T$1000"),4,FALSE),0)</f>
        <v>0</v>
      </c>
      <c r="L49" s="37">
        <f ca="1">_xlfn.IFNA(VLOOKUP($A49,INDIRECT("'W"&amp;L$1&amp;"'!$A$2:$T$1000"),4,FALSE),0)</f>
        <v>5.2</v>
      </c>
      <c r="M49" s="37">
        <f ca="1">_xlfn.IFNA(VLOOKUP($A49,INDIRECT("'W"&amp;M$1&amp;"'!$A$2:$T$1000"),4,FALSE),0)</f>
        <v>6.9</v>
      </c>
      <c r="N49" s="37">
        <f ca="1">_xlfn.IFNA(VLOOKUP($A49,INDIRECT("'W"&amp;N$1&amp;"'!$A$2:$T$1000"),4,FALSE),0)</f>
        <v>9.9</v>
      </c>
      <c r="O49" s="37">
        <f ca="1">_xlfn.IFNA(VLOOKUP($A49,INDIRECT("'W"&amp;O$1&amp;"'!$A$2:$T$1000"),4,FALSE),0)</f>
        <v>23.200000000000003</v>
      </c>
      <c r="P49" s="37">
        <f ca="1">_xlfn.IFNA(VLOOKUP($A49,INDIRECT("'W"&amp;P$1&amp;"'!$A$2:$T$1000"),4,FALSE),0)</f>
        <v>32.5</v>
      </c>
      <c r="Q49" s="37">
        <f ca="1">_xlfn.IFNA(VLOOKUP($A49,INDIRECT("'W"&amp;Q$1&amp;"'!$A$2:$T$1000"),4,FALSE),0)</f>
        <v>6.8000000000000007</v>
      </c>
      <c r="R49" s="37">
        <f ca="1">_xlfn.IFNA(VLOOKUP($A49,INDIRECT("'W"&amp;R$1&amp;"'!$A$2:$T$1000"),4,FALSE),0)</f>
        <v>17.5</v>
      </c>
      <c r="S49" s="37">
        <f ca="1">_xlfn.IFNA(VLOOKUP($A49,INDIRECT("'W"&amp;S$1&amp;"'!$A$2:$T$1000"),4,FALSE),0)</f>
        <v>12</v>
      </c>
      <c r="T49" s="37">
        <f ca="1">_xlfn.IFNA(VLOOKUP($A49,INDIRECT("'W"&amp;T$1&amp;"'!$A$2:$T$1000"),4,FALSE),0)</f>
        <v>23.9</v>
      </c>
      <c r="U49" s="36">
        <f ca="1">COUNTIF(C49:T49,"&gt; 15")</f>
        <v>5</v>
      </c>
      <c r="V49" s="36">
        <f ca="1">SUM(C49:T49)</f>
        <v>230.30000000000004</v>
      </c>
      <c r="W49" s="36"/>
      <c r="X49" s="38">
        <v>74</v>
      </c>
    </row>
    <row r="50" spans="1:24" ht="12.75" x14ac:dyDescent="0.2">
      <c r="A50" s="36" t="s">
        <v>43</v>
      </c>
      <c r="B50" s="36" t="s">
        <v>17</v>
      </c>
      <c r="C50" s="37">
        <f ca="1">_xlfn.IFNA(VLOOKUP($A50,INDIRECT("'W"&amp;C$1&amp;"'!$A$2:$T$1000"),4,FALSE),0)</f>
        <v>14.54</v>
      </c>
      <c r="D50" s="37">
        <f ca="1">_xlfn.IFNA(VLOOKUP($A50,INDIRECT("'W"&amp;D$1&amp;"'!$A$2:$T$1000"),4,FALSE),0)</f>
        <v>14.74</v>
      </c>
      <c r="E50" s="37">
        <f ca="1">_xlfn.IFNA(VLOOKUP($A50,INDIRECT("'W"&amp;E$1&amp;"'!$A$2:$T$1000"),4,FALSE),0)</f>
        <v>10.66</v>
      </c>
      <c r="F50" s="37">
        <f ca="1">_xlfn.IFNA(VLOOKUP($A50,INDIRECT("'W"&amp;F$1&amp;"'!$A$2:$T$1000"),4,FALSE),0)</f>
        <v>27.9</v>
      </c>
      <c r="G50" s="37">
        <f ca="1">_xlfn.IFNA(VLOOKUP($A50,INDIRECT("'W"&amp;G$1&amp;"'!$A$2:$T$1000"),4,FALSE),0)</f>
        <v>32.980000000000004</v>
      </c>
      <c r="H50" s="37">
        <f ca="1">_xlfn.IFNA(VLOOKUP($A50,INDIRECT("'W"&amp;H$1&amp;"'!$A$2:$T$1000"),4,FALSE),0)</f>
        <v>4.92</v>
      </c>
      <c r="I50" s="37">
        <f ca="1">_xlfn.IFNA(VLOOKUP($A50,INDIRECT("'W"&amp;I$1&amp;"'!$A$2:$T$1000"),4,FALSE),0)</f>
        <v>0</v>
      </c>
      <c r="J50" s="37">
        <f ca="1">_xlfn.IFNA(VLOOKUP($A50,INDIRECT("'W"&amp;J$1&amp;"'!$A$2:$T$1000"),4,FALSE),0)</f>
        <v>0</v>
      </c>
      <c r="K50" s="37">
        <f ca="1">_xlfn.IFNA(VLOOKUP($A50,INDIRECT("'W"&amp;K$1&amp;"'!$A$2:$T$1000"),4,FALSE),0)</f>
        <v>0</v>
      </c>
      <c r="L50" s="37">
        <f ca="1">_xlfn.IFNA(VLOOKUP($A50,INDIRECT("'W"&amp;L$1&amp;"'!$A$2:$T$1000"),4,FALSE),0)</f>
        <v>0</v>
      </c>
      <c r="M50" s="37">
        <f ca="1">_xlfn.IFNA(VLOOKUP($A50,INDIRECT("'W"&amp;M$1&amp;"'!$A$2:$T$1000"),4,FALSE),0)</f>
        <v>21.16</v>
      </c>
      <c r="N50" s="37">
        <f ca="1">_xlfn.IFNA(VLOOKUP($A50,INDIRECT("'W"&amp;N$1&amp;"'!$A$2:$T$1000"),4,FALSE),0)</f>
        <v>10.58</v>
      </c>
      <c r="O50" s="37">
        <f ca="1">_xlfn.IFNA(VLOOKUP($A50,INDIRECT("'W"&amp;O$1&amp;"'!$A$2:$T$1000"),4,FALSE),0)</f>
        <v>0</v>
      </c>
      <c r="P50" s="37">
        <f ca="1">_xlfn.IFNA(VLOOKUP($A50,INDIRECT("'W"&amp;P$1&amp;"'!$A$2:$T$1000"),4,FALSE),0)</f>
        <v>24.72</v>
      </c>
      <c r="Q50" s="37">
        <f ca="1">_xlfn.IFNA(VLOOKUP($A50,INDIRECT("'W"&amp;Q$1&amp;"'!$A$2:$T$1000"),4,FALSE),0)</f>
        <v>9.64</v>
      </c>
      <c r="R50" s="37">
        <f ca="1">_xlfn.IFNA(VLOOKUP($A50,INDIRECT("'W"&amp;R$1&amp;"'!$A$2:$T$1000"),4,FALSE),0)</f>
        <v>24.5</v>
      </c>
      <c r="S50" s="37">
        <f ca="1">_xlfn.IFNA(VLOOKUP($A50,INDIRECT("'W"&amp;S$1&amp;"'!$A$2:$T$1000"),4,FALSE),0)</f>
        <v>25.22</v>
      </c>
      <c r="T50" s="37">
        <f ca="1">_xlfn.IFNA(VLOOKUP($A50,INDIRECT("'W"&amp;T$1&amp;"'!$A$2:$T$1000"),4,FALSE),0)</f>
        <v>8.620000000000001</v>
      </c>
      <c r="U50" s="36">
        <f ca="1">COUNTIF(C50:T50,"&gt; 15")</f>
        <v>6</v>
      </c>
      <c r="V50" s="36">
        <f ca="1">SUM(C50:T50)</f>
        <v>230.18000000000004</v>
      </c>
      <c r="W50" s="36"/>
      <c r="X50" s="38">
        <v>40</v>
      </c>
    </row>
    <row r="51" spans="1:24" ht="12.75" x14ac:dyDescent="0.2">
      <c r="A51" s="36" t="s">
        <v>168</v>
      </c>
      <c r="B51" s="36" t="s">
        <v>162</v>
      </c>
      <c r="C51" s="37">
        <f ca="1">_xlfn.IFNA(VLOOKUP($A51,INDIRECT("'W"&amp;C$1&amp;"'!$A$2:$T$1000"),4,FALSE),0)</f>
        <v>24.1</v>
      </c>
      <c r="D51" s="37">
        <f ca="1">_xlfn.IFNA(VLOOKUP($A51,INDIRECT("'W"&amp;D$1&amp;"'!$A$2:$T$1000"),4,FALSE),0)</f>
        <v>5.2</v>
      </c>
      <c r="E51" s="37">
        <f ca="1">_xlfn.IFNA(VLOOKUP($A51,INDIRECT("'W"&amp;E$1&amp;"'!$A$2:$T$1000"),4,FALSE),0)</f>
        <v>7</v>
      </c>
      <c r="F51" s="37">
        <f ca="1">_xlfn.IFNA(VLOOKUP($A51,INDIRECT("'W"&amp;F$1&amp;"'!$A$2:$T$1000"),4,FALSE),0)</f>
        <v>11.8</v>
      </c>
      <c r="G51" s="37">
        <f ca="1">_xlfn.IFNA(VLOOKUP($A51,INDIRECT("'W"&amp;G$1&amp;"'!$A$2:$T$1000"),4,FALSE),0)</f>
        <v>20.6</v>
      </c>
      <c r="H51" s="37">
        <f ca="1">_xlfn.IFNA(VLOOKUP($A51,INDIRECT("'W"&amp;H$1&amp;"'!$A$2:$T$1000"),4,FALSE),0)</f>
        <v>6.6</v>
      </c>
      <c r="I51" s="37">
        <f ca="1">_xlfn.IFNA(VLOOKUP($A51,INDIRECT("'W"&amp;I$1&amp;"'!$A$2:$T$1000"),4,FALSE),0)</f>
        <v>1.5</v>
      </c>
      <c r="J51" s="37">
        <f ca="1">_xlfn.IFNA(VLOOKUP($A51,INDIRECT("'W"&amp;J$1&amp;"'!$A$2:$T$1000"),4,FALSE),0)</f>
        <v>14.3</v>
      </c>
      <c r="K51" s="37">
        <f ca="1">_xlfn.IFNA(VLOOKUP($A51,INDIRECT("'W"&amp;K$1&amp;"'!$A$2:$T$1000"),4,FALSE),0)</f>
        <v>0</v>
      </c>
      <c r="L51" s="37">
        <f ca="1">_xlfn.IFNA(VLOOKUP($A51,INDIRECT("'W"&amp;L$1&amp;"'!$A$2:$T$1000"),4,FALSE),0)</f>
        <v>4</v>
      </c>
      <c r="M51" s="37">
        <f ca="1">_xlfn.IFNA(VLOOKUP($A51,INDIRECT("'W"&amp;M$1&amp;"'!$A$2:$T$1000"),4,FALSE),0)</f>
        <v>31.1</v>
      </c>
      <c r="N51" s="37">
        <f ca="1">_xlfn.IFNA(VLOOKUP($A51,INDIRECT("'W"&amp;N$1&amp;"'!$A$2:$T$1000"),4,FALSE),0)</f>
        <v>21.9</v>
      </c>
      <c r="O51" s="37">
        <f ca="1">_xlfn.IFNA(VLOOKUP($A51,INDIRECT("'W"&amp;O$1&amp;"'!$A$2:$T$1000"),4,FALSE),0)</f>
        <v>7.3000000000000007</v>
      </c>
      <c r="P51" s="37">
        <f ca="1">_xlfn.IFNA(VLOOKUP($A51,INDIRECT("'W"&amp;P$1&amp;"'!$A$2:$T$1000"),4,FALSE),0)</f>
        <v>9.3000000000000007</v>
      </c>
      <c r="Q51" s="37">
        <f ca="1">_xlfn.IFNA(VLOOKUP($A51,INDIRECT("'W"&amp;Q$1&amp;"'!$A$2:$T$1000"),4,FALSE),0)</f>
        <v>8.9</v>
      </c>
      <c r="R51" s="37">
        <f ca="1">_xlfn.IFNA(VLOOKUP($A51,INDIRECT("'W"&amp;R$1&amp;"'!$A$2:$T$1000"),4,FALSE),0)</f>
        <v>25.8</v>
      </c>
      <c r="S51" s="37">
        <f ca="1">_xlfn.IFNA(VLOOKUP($A51,INDIRECT("'W"&amp;S$1&amp;"'!$A$2:$T$1000"),4,FALSE),0)</f>
        <v>7.9</v>
      </c>
      <c r="T51" s="37">
        <f ca="1">_xlfn.IFNA(VLOOKUP($A51,INDIRECT("'W"&amp;T$1&amp;"'!$A$2:$T$1000"),4,FALSE),0)</f>
        <v>22.6</v>
      </c>
      <c r="U51" s="36">
        <f ca="1">COUNTIF(C51:T51,"&gt; 15")</f>
        <v>6</v>
      </c>
      <c r="V51" s="36">
        <f ca="1">SUM(C51:T51)</f>
        <v>229.90000000000003</v>
      </c>
      <c r="W51" s="36"/>
      <c r="X51" s="38">
        <v>38</v>
      </c>
    </row>
    <row r="52" spans="1:24" ht="12.75" x14ac:dyDescent="0.2">
      <c r="A52" s="36" t="s">
        <v>177</v>
      </c>
      <c r="B52" s="36" t="s">
        <v>162</v>
      </c>
      <c r="C52" s="37">
        <f ca="1">_xlfn.IFNA(VLOOKUP($A52,INDIRECT("'W"&amp;C$1&amp;"'!$A$2:$T$1000"),4,FALSE),0)</f>
        <v>17.7</v>
      </c>
      <c r="D52" s="37">
        <f ca="1">_xlfn.IFNA(VLOOKUP($A52,INDIRECT("'W"&amp;D$1&amp;"'!$A$2:$T$1000"),4,FALSE),0)</f>
        <v>23.1</v>
      </c>
      <c r="E52" s="37">
        <f ca="1">_xlfn.IFNA(VLOOKUP($A52,INDIRECT("'W"&amp;E$1&amp;"'!$A$2:$T$1000"),4,FALSE),0)</f>
        <v>6.8000000000000007</v>
      </c>
      <c r="F52" s="37">
        <f ca="1">_xlfn.IFNA(VLOOKUP($A52,INDIRECT("'W"&amp;F$1&amp;"'!$A$2:$T$1000"),4,FALSE),0)</f>
        <v>14.8</v>
      </c>
      <c r="G52" s="37">
        <f ca="1">_xlfn.IFNA(VLOOKUP($A52,INDIRECT("'W"&amp;G$1&amp;"'!$A$2:$T$1000"),4,FALSE),0)</f>
        <v>1.6</v>
      </c>
      <c r="H52" s="37">
        <f ca="1">_xlfn.IFNA(VLOOKUP($A52,INDIRECT("'W"&amp;H$1&amp;"'!$A$2:$T$1000"),4,FALSE),0)</f>
        <v>9.4</v>
      </c>
      <c r="I52" s="37">
        <f ca="1">_xlfn.IFNA(VLOOKUP($A52,INDIRECT("'W"&amp;I$1&amp;"'!$A$2:$T$1000"),4,FALSE),0)</f>
        <v>8.9</v>
      </c>
      <c r="J52" s="37">
        <f ca="1">_xlfn.IFNA(VLOOKUP($A52,INDIRECT("'W"&amp;J$1&amp;"'!$A$2:$T$1000"),4,FALSE),0)</f>
        <v>22.9</v>
      </c>
      <c r="K52" s="37">
        <f ca="1">_xlfn.IFNA(VLOOKUP($A52,INDIRECT("'W"&amp;K$1&amp;"'!$A$2:$T$1000"),4,FALSE),0)</f>
        <v>14.100000000000001</v>
      </c>
      <c r="L52" s="37">
        <f ca="1">_xlfn.IFNA(VLOOKUP($A52,INDIRECT("'W"&amp;L$1&amp;"'!$A$2:$T$1000"),4,FALSE),0)</f>
        <v>0</v>
      </c>
      <c r="M52" s="37">
        <f ca="1">_xlfn.IFNA(VLOOKUP($A52,INDIRECT("'W"&amp;M$1&amp;"'!$A$2:$T$1000"),4,FALSE),0)</f>
        <v>15.9</v>
      </c>
      <c r="N52" s="37">
        <f ca="1">_xlfn.IFNA(VLOOKUP($A52,INDIRECT("'W"&amp;N$1&amp;"'!$A$2:$T$1000"),4,FALSE),0)</f>
        <v>23.6</v>
      </c>
      <c r="O52" s="37">
        <f ca="1">_xlfn.IFNA(VLOOKUP($A52,INDIRECT("'W"&amp;O$1&amp;"'!$A$2:$T$1000"),4,FALSE),0)</f>
        <v>24.6</v>
      </c>
      <c r="P52" s="37">
        <f ca="1">_xlfn.IFNA(VLOOKUP($A52,INDIRECT("'W"&amp;P$1&amp;"'!$A$2:$T$1000"),4,FALSE),0)</f>
        <v>10.3</v>
      </c>
      <c r="Q52" s="37">
        <f ca="1">_xlfn.IFNA(VLOOKUP($A52,INDIRECT("'W"&amp;Q$1&amp;"'!$A$2:$T$1000"),4,FALSE),0)</f>
        <v>10</v>
      </c>
      <c r="R52" s="37">
        <f ca="1">_xlfn.IFNA(VLOOKUP($A52,INDIRECT("'W"&amp;R$1&amp;"'!$A$2:$T$1000"),4,FALSE),0)</f>
        <v>17.899999999999999</v>
      </c>
      <c r="S52" s="37">
        <f ca="1">_xlfn.IFNA(VLOOKUP($A52,INDIRECT("'W"&amp;S$1&amp;"'!$A$2:$T$1000"),4,FALSE),0)</f>
        <v>6</v>
      </c>
      <c r="T52" s="37">
        <f ca="1">_xlfn.IFNA(VLOOKUP($A52,INDIRECT("'W"&amp;T$1&amp;"'!$A$2:$T$1000"),4,FALSE),0)</f>
        <v>0</v>
      </c>
      <c r="U52" s="36">
        <f ca="1">COUNTIF(C52:T52,"&gt; 15")</f>
        <v>7</v>
      </c>
      <c r="V52" s="36">
        <f ca="1">SUM(C52:T52)</f>
        <v>227.6</v>
      </c>
      <c r="W52" s="36"/>
      <c r="X52" s="38">
        <v>34</v>
      </c>
    </row>
    <row r="53" spans="1:24" ht="12.75" x14ac:dyDescent="0.2">
      <c r="A53" s="36" t="s">
        <v>55</v>
      </c>
      <c r="B53" s="36" t="s">
        <v>17</v>
      </c>
      <c r="C53" s="37">
        <f ca="1">_xlfn.IFNA(VLOOKUP($A53,INDIRECT("'W"&amp;C$1&amp;"'!$A$2:$T$1000"),4,FALSE),0)</f>
        <v>9.08</v>
      </c>
      <c r="D53" s="37">
        <f ca="1">_xlfn.IFNA(VLOOKUP($A53,INDIRECT("'W"&amp;D$1&amp;"'!$A$2:$T$1000"),4,FALSE),0)</f>
        <v>23.12</v>
      </c>
      <c r="E53" s="37">
        <f ca="1">_xlfn.IFNA(VLOOKUP($A53,INDIRECT("'W"&amp;E$1&amp;"'!$A$2:$T$1000"),4,FALSE),0)</f>
        <v>15.44</v>
      </c>
      <c r="F53" s="37">
        <f ca="1">_xlfn.IFNA(VLOOKUP($A53,INDIRECT("'W"&amp;F$1&amp;"'!$A$2:$T$1000"),4,FALSE),0)</f>
        <v>9.2000000000000011</v>
      </c>
      <c r="G53" s="37">
        <f ca="1">_xlfn.IFNA(VLOOKUP($A53,INDIRECT("'W"&amp;G$1&amp;"'!$A$2:$T$1000"),4,FALSE),0)</f>
        <v>0</v>
      </c>
      <c r="H53" s="37">
        <f ca="1">_xlfn.IFNA(VLOOKUP($A53,INDIRECT("'W"&amp;H$1&amp;"'!$A$2:$T$1000"),4,FALSE),0)</f>
        <v>11.040000000000001</v>
      </c>
      <c r="I53" s="37">
        <f ca="1">_xlfn.IFNA(VLOOKUP($A53,INDIRECT("'W"&amp;I$1&amp;"'!$A$2:$T$1000"),4,FALSE),0)</f>
        <v>13.759999999999998</v>
      </c>
      <c r="J53" s="37">
        <f ca="1">_xlfn.IFNA(VLOOKUP($A53,INDIRECT("'W"&amp;J$1&amp;"'!$A$2:$T$1000"),4,FALSE),0)</f>
        <v>13.86</v>
      </c>
      <c r="K53" s="37">
        <f ca="1">_xlfn.IFNA(VLOOKUP($A53,INDIRECT("'W"&amp;K$1&amp;"'!$A$2:$T$1000"),4,FALSE),0)</f>
        <v>2.6800000000000006</v>
      </c>
      <c r="L53" s="37">
        <f ca="1">_xlfn.IFNA(VLOOKUP($A53,INDIRECT("'W"&amp;L$1&amp;"'!$A$2:$T$1000"),4,FALSE),0)</f>
        <v>24.06</v>
      </c>
      <c r="M53" s="37">
        <f ca="1">_xlfn.IFNA(VLOOKUP($A53,INDIRECT("'W"&amp;M$1&amp;"'!$A$2:$T$1000"),4,FALSE),0)</f>
        <v>13.22</v>
      </c>
      <c r="N53" s="37">
        <f ca="1">_xlfn.IFNA(VLOOKUP($A53,INDIRECT("'W"&amp;N$1&amp;"'!$A$2:$T$1000"),4,FALSE),0)</f>
        <v>7.3000000000000007</v>
      </c>
      <c r="O53" s="37">
        <f ca="1">_xlfn.IFNA(VLOOKUP($A53,INDIRECT("'W"&amp;O$1&amp;"'!$A$2:$T$1000"),4,FALSE),0)</f>
        <v>29.96</v>
      </c>
      <c r="P53" s="37">
        <f ca="1">_xlfn.IFNA(VLOOKUP($A53,INDIRECT("'W"&amp;P$1&amp;"'!$A$2:$T$1000"),4,FALSE),0)</f>
        <v>0</v>
      </c>
      <c r="Q53" s="37">
        <f ca="1">_xlfn.IFNA(VLOOKUP($A53,INDIRECT("'W"&amp;Q$1&amp;"'!$A$2:$T$1000"),4,FALSE),0)</f>
        <v>0</v>
      </c>
      <c r="R53" s="37">
        <f ca="1">_xlfn.IFNA(VLOOKUP($A53,INDIRECT("'W"&amp;R$1&amp;"'!$A$2:$T$1000"),4,FALSE),0)</f>
        <v>17.279999999999998</v>
      </c>
      <c r="S53" s="37">
        <f ca="1">_xlfn.IFNA(VLOOKUP($A53,INDIRECT("'W"&amp;S$1&amp;"'!$A$2:$T$1000"),4,FALSE),0)</f>
        <v>16.899999999999999</v>
      </c>
      <c r="T53" s="37">
        <f ca="1">_xlfn.IFNA(VLOOKUP($A53,INDIRECT("'W"&amp;T$1&amp;"'!$A$2:$T$1000"),4,FALSE),0)</f>
        <v>20.360000000000003</v>
      </c>
      <c r="U53" s="36">
        <f ca="1">COUNTIF(C53:T53,"&gt; 15")</f>
        <v>7</v>
      </c>
      <c r="V53" s="36">
        <f ca="1">SUM(C53:T53)</f>
        <v>227.26000000000008</v>
      </c>
      <c r="W53" s="36"/>
      <c r="X53" s="38">
        <v>107</v>
      </c>
    </row>
    <row r="54" spans="1:24" ht="12.75" x14ac:dyDescent="0.2">
      <c r="A54" s="36" t="s">
        <v>218</v>
      </c>
      <c r="B54" s="36" t="s">
        <v>162</v>
      </c>
      <c r="C54" s="37">
        <f ca="1">_xlfn.IFNA(VLOOKUP($A54,INDIRECT("'W"&amp;C$1&amp;"'!$A$2:$T$1000"),4,FALSE),0)</f>
        <v>6.7</v>
      </c>
      <c r="D54" s="37">
        <f ca="1">_xlfn.IFNA(VLOOKUP($A54,INDIRECT("'W"&amp;D$1&amp;"'!$A$2:$T$1000"),4,FALSE),0)</f>
        <v>16</v>
      </c>
      <c r="E54" s="37">
        <f ca="1">_xlfn.IFNA(VLOOKUP($A54,INDIRECT("'W"&amp;E$1&amp;"'!$A$2:$T$1000"),4,FALSE),0)</f>
        <v>24.6</v>
      </c>
      <c r="F54" s="37">
        <f ca="1">_xlfn.IFNA(VLOOKUP($A54,INDIRECT("'W"&amp;F$1&amp;"'!$A$2:$T$1000"),4,FALSE),0)</f>
        <v>2.6</v>
      </c>
      <c r="G54" s="37">
        <f ca="1">_xlfn.IFNA(VLOOKUP($A54,INDIRECT("'W"&amp;G$1&amp;"'!$A$2:$T$1000"),4,FALSE),0)</f>
        <v>0</v>
      </c>
      <c r="H54" s="37">
        <f ca="1">_xlfn.IFNA(VLOOKUP($A54,INDIRECT("'W"&amp;H$1&amp;"'!$A$2:$T$1000"),4,FALSE),0)</f>
        <v>14.8</v>
      </c>
      <c r="I54" s="37">
        <f ca="1">_xlfn.IFNA(VLOOKUP($A54,INDIRECT("'W"&amp;I$1&amp;"'!$A$2:$T$1000"),4,FALSE),0)</f>
        <v>4.2</v>
      </c>
      <c r="J54" s="37">
        <f ca="1">_xlfn.IFNA(VLOOKUP($A54,INDIRECT("'W"&amp;J$1&amp;"'!$A$2:$T$1000"),4,FALSE),0)</f>
        <v>14.9</v>
      </c>
      <c r="K54" s="37">
        <f ca="1">_xlfn.IFNA(VLOOKUP($A54,INDIRECT("'W"&amp;K$1&amp;"'!$A$2:$T$1000"),4,FALSE),0)</f>
        <v>24.9</v>
      </c>
      <c r="L54" s="37">
        <f ca="1">_xlfn.IFNA(VLOOKUP($A54,INDIRECT("'W"&amp;L$1&amp;"'!$A$2:$T$1000"),4,FALSE),0)</f>
        <v>15.8</v>
      </c>
      <c r="M54" s="37">
        <f ca="1">_xlfn.IFNA(VLOOKUP($A54,INDIRECT("'W"&amp;M$1&amp;"'!$A$2:$T$1000"),4,FALSE),0)</f>
        <v>7.4</v>
      </c>
      <c r="N54" s="37">
        <f ca="1">_xlfn.IFNA(VLOOKUP($A54,INDIRECT("'W"&amp;N$1&amp;"'!$A$2:$T$1000"),4,FALSE),0)</f>
        <v>3.6</v>
      </c>
      <c r="O54" s="37">
        <f ca="1">_xlfn.IFNA(VLOOKUP($A54,INDIRECT("'W"&amp;O$1&amp;"'!$A$2:$T$1000"),4,FALSE),0)</f>
        <v>6.4</v>
      </c>
      <c r="P54" s="37">
        <f ca="1">_xlfn.IFNA(VLOOKUP($A54,INDIRECT("'W"&amp;P$1&amp;"'!$A$2:$T$1000"),4,FALSE),0)</f>
        <v>12.7</v>
      </c>
      <c r="Q54" s="37">
        <f ca="1">_xlfn.IFNA(VLOOKUP($A54,INDIRECT("'W"&amp;Q$1&amp;"'!$A$2:$T$1000"),4,FALSE),0)</f>
        <v>20.9</v>
      </c>
      <c r="R54" s="37">
        <f ca="1">_xlfn.IFNA(VLOOKUP($A54,INDIRECT("'W"&amp;R$1&amp;"'!$A$2:$T$1000"),4,FALSE),0)</f>
        <v>51.5</v>
      </c>
      <c r="S54" s="37">
        <f ca="1">_xlfn.IFNA(VLOOKUP($A54,INDIRECT("'W"&amp;S$1&amp;"'!$A$2:$T$1000"),4,FALSE),0)</f>
        <v>0</v>
      </c>
      <c r="T54" s="37">
        <f ca="1">_xlfn.IFNA(VLOOKUP($A54,INDIRECT("'W"&amp;T$1&amp;"'!$A$2:$T$1000"),4,FALSE),0)</f>
        <v>0</v>
      </c>
      <c r="U54" s="36">
        <f ca="1">COUNTIF(C54:T54,"&gt; 15")</f>
        <v>6</v>
      </c>
      <c r="V54" s="36">
        <f ca="1">SUM(C54:T54)</f>
        <v>227</v>
      </c>
      <c r="W54" s="36"/>
      <c r="X54" s="38">
        <v>49</v>
      </c>
    </row>
    <row r="55" spans="1:24" ht="12.75" x14ac:dyDescent="0.2">
      <c r="A55" s="36" t="s">
        <v>188</v>
      </c>
      <c r="B55" s="36" t="s">
        <v>162</v>
      </c>
      <c r="C55" s="37">
        <f ca="1">_xlfn.IFNA(VLOOKUP($A55,INDIRECT("'W"&amp;C$1&amp;"'!$A$2:$T$1000"),4,FALSE),0)</f>
        <v>13.7</v>
      </c>
      <c r="D55" s="37">
        <f ca="1">_xlfn.IFNA(VLOOKUP($A55,INDIRECT("'W"&amp;D$1&amp;"'!$A$2:$T$1000"),4,FALSE),0)</f>
        <v>13.5</v>
      </c>
      <c r="E55" s="37">
        <f ca="1">_xlfn.IFNA(VLOOKUP($A55,INDIRECT("'W"&amp;E$1&amp;"'!$A$2:$T$1000"),4,FALSE),0)</f>
        <v>17.200000000000003</v>
      </c>
      <c r="F55" s="37">
        <f ca="1">_xlfn.IFNA(VLOOKUP($A55,INDIRECT("'W"&amp;F$1&amp;"'!$A$2:$T$1000"),4,FALSE),0)</f>
        <v>12.4</v>
      </c>
      <c r="G55" s="37">
        <f ca="1">_xlfn.IFNA(VLOOKUP($A55,INDIRECT("'W"&amp;G$1&amp;"'!$A$2:$T$1000"),4,FALSE),0)</f>
        <v>0</v>
      </c>
      <c r="H55" s="37">
        <f ca="1">_xlfn.IFNA(VLOOKUP($A55,INDIRECT("'W"&amp;H$1&amp;"'!$A$2:$T$1000"),4,FALSE),0)</f>
        <v>10.9</v>
      </c>
      <c r="I55" s="37">
        <f ca="1">_xlfn.IFNA(VLOOKUP($A55,INDIRECT("'W"&amp;I$1&amp;"'!$A$2:$T$1000"),4,FALSE),0)</f>
        <v>0</v>
      </c>
      <c r="J55" s="37">
        <f ca="1">_xlfn.IFNA(VLOOKUP($A55,INDIRECT("'W"&amp;J$1&amp;"'!$A$2:$T$1000"),4,FALSE),0)</f>
        <v>11.7</v>
      </c>
      <c r="K55" s="37">
        <f ca="1">_xlfn.IFNA(VLOOKUP($A55,INDIRECT("'W"&amp;K$1&amp;"'!$A$2:$T$1000"),4,FALSE),0)</f>
        <v>6</v>
      </c>
      <c r="L55" s="37">
        <f ca="1">_xlfn.IFNA(VLOOKUP($A55,INDIRECT("'W"&amp;L$1&amp;"'!$A$2:$T$1000"),4,FALSE),0)</f>
        <v>16.8</v>
      </c>
      <c r="M55" s="37">
        <f ca="1">_xlfn.IFNA(VLOOKUP($A55,INDIRECT("'W"&amp;M$1&amp;"'!$A$2:$T$1000"),4,FALSE),0)</f>
        <v>20.399999999999999</v>
      </c>
      <c r="N55" s="37">
        <f ca="1">_xlfn.IFNA(VLOOKUP($A55,INDIRECT("'W"&amp;N$1&amp;"'!$A$2:$T$1000"),4,FALSE),0)</f>
        <v>6.2</v>
      </c>
      <c r="O55" s="37">
        <f ca="1">_xlfn.IFNA(VLOOKUP($A55,INDIRECT("'W"&amp;O$1&amp;"'!$A$2:$T$1000"),4,FALSE),0)</f>
        <v>37.4</v>
      </c>
      <c r="P55" s="37">
        <f ca="1">_xlfn.IFNA(VLOOKUP($A55,INDIRECT("'W"&amp;P$1&amp;"'!$A$2:$T$1000"),4,FALSE),0)</f>
        <v>13.2</v>
      </c>
      <c r="Q55" s="37">
        <f ca="1">_xlfn.IFNA(VLOOKUP($A55,INDIRECT("'W"&amp;Q$1&amp;"'!$A$2:$T$1000"),4,FALSE),0)</f>
        <v>12.8</v>
      </c>
      <c r="R55" s="37">
        <f ca="1">_xlfn.IFNA(VLOOKUP($A55,INDIRECT("'W"&amp;R$1&amp;"'!$A$2:$T$1000"),4,FALSE),0)</f>
        <v>15.600000000000001</v>
      </c>
      <c r="S55" s="37">
        <f ca="1">_xlfn.IFNA(VLOOKUP($A55,INDIRECT("'W"&amp;S$1&amp;"'!$A$2:$T$1000"),4,FALSE),0)</f>
        <v>15.600000000000001</v>
      </c>
      <c r="T55" s="37">
        <f ca="1">_xlfn.IFNA(VLOOKUP($A55,INDIRECT("'W"&amp;T$1&amp;"'!$A$2:$T$1000"),4,FALSE),0)</f>
        <v>2</v>
      </c>
      <c r="U55" s="36">
        <f ca="1">COUNTIF(C55:T55,"&gt; 15")</f>
        <v>6</v>
      </c>
      <c r="V55" s="36">
        <f ca="1">SUM(C55:T55)</f>
        <v>225.39999999999998</v>
      </c>
      <c r="W55" s="36"/>
      <c r="X55" s="38">
        <v>30</v>
      </c>
    </row>
    <row r="56" spans="1:24" ht="12.75" x14ac:dyDescent="0.2">
      <c r="A56" s="36" t="s">
        <v>187</v>
      </c>
      <c r="B56" s="36" t="s">
        <v>162</v>
      </c>
      <c r="C56" s="37">
        <f ca="1">_xlfn.IFNA(VLOOKUP($A56,INDIRECT("'W"&amp;C$1&amp;"'!$A$2:$T$1000"),4,FALSE),0)</f>
        <v>13.5</v>
      </c>
      <c r="D56" s="37">
        <f ca="1">_xlfn.IFNA(VLOOKUP($A56,INDIRECT("'W"&amp;D$1&amp;"'!$A$2:$T$1000"),4,FALSE),0)</f>
        <v>8</v>
      </c>
      <c r="E56" s="37">
        <f ca="1">_xlfn.IFNA(VLOOKUP($A56,INDIRECT("'W"&amp;E$1&amp;"'!$A$2:$T$1000"),4,FALSE),0)</f>
        <v>7.8000000000000007</v>
      </c>
      <c r="F56" s="37">
        <f ca="1">_xlfn.IFNA(VLOOKUP($A56,INDIRECT("'W"&amp;F$1&amp;"'!$A$2:$T$1000"),4,FALSE),0)</f>
        <v>10.3</v>
      </c>
      <c r="G56" s="37">
        <f ca="1">_xlfn.IFNA(VLOOKUP($A56,INDIRECT("'W"&amp;G$1&amp;"'!$A$2:$T$1000"),4,FALSE),0)</f>
        <v>22</v>
      </c>
      <c r="H56" s="37">
        <f ca="1">_xlfn.IFNA(VLOOKUP($A56,INDIRECT("'W"&amp;H$1&amp;"'!$A$2:$T$1000"),4,FALSE),0)</f>
        <v>3</v>
      </c>
      <c r="I56" s="37">
        <f ca="1">_xlfn.IFNA(VLOOKUP($A56,INDIRECT("'W"&amp;I$1&amp;"'!$A$2:$T$1000"),4,FALSE),0)</f>
        <v>0</v>
      </c>
      <c r="J56" s="37">
        <f ca="1">_xlfn.IFNA(VLOOKUP($A56,INDIRECT("'W"&amp;J$1&amp;"'!$A$2:$T$1000"),4,FALSE),0)</f>
        <v>34.799999999999997</v>
      </c>
      <c r="K56" s="37">
        <f ca="1">_xlfn.IFNA(VLOOKUP($A56,INDIRECT("'W"&amp;K$1&amp;"'!$A$2:$T$1000"),4,FALSE),0)</f>
        <v>10.5</v>
      </c>
      <c r="L56" s="37">
        <f ca="1">_xlfn.IFNA(VLOOKUP($A56,INDIRECT("'W"&amp;L$1&amp;"'!$A$2:$T$1000"),4,FALSE),0)</f>
        <v>5.7</v>
      </c>
      <c r="M56" s="37">
        <f ca="1">_xlfn.IFNA(VLOOKUP($A56,INDIRECT("'W"&amp;M$1&amp;"'!$A$2:$T$1000"),4,FALSE),0)</f>
        <v>15.9</v>
      </c>
      <c r="N56" s="37">
        <f ca="1">_xlfn.IFNA(VLOOKUP($A56,INDIRECT("'W"&amp;N$1&amp;"'!$A$2:$T$1000"),4,FALSE),0)</f>
        <v>7.9</v>
      </c>
      <c r="O56" s="37">
        <f ca="1">_xlfn.IFNA(VLOOKUP($A56,INDIRECT("'W"&amp;O$1&amp;"'!$A$2:$T$1000"),4,FALSE),0)</f>
        <v>18.899999999999999</v>
      </c>
      <c r="P56" s="37">
        <f ca="1">_xlfn.IFNA(VLOOKUP($A56,INDIRECT("'W"&amp;P$1&amp;"'!$A$2:$T$1000"),4,FALSE),0)</f>
        <v>25.4</v>
      </c>
      <c r="Q56" s="37">
        <f ca="1">_xlfn.IFNA(VLOOKUP($A56,INDIRECT("'W"&amp;Q$1&amp;"'!$A$2:$T$1000"),4,FALSE),0)</f>
        <v>4.0999999999999996</v>
      </c>
      <c r="R56" s="37">
        <f ca="1">_xlfn.IFNA(VLOOKUP($A56,INDIRECT("'W"&amp;R$1&amp;"'!$A$2:$T$1000"),4,FALSE),0)</f>
        <v>4</v>
      </c>
      <c r="S56" s="37">
        <f ca="1">_xlfn.IFNA(VLOOKUP($A56,INDIRECT("'W"&amp;S$1&amp;"'!$A$2:$T$1000"),4,FALSE),0)</f>
        <v>14.2</v>
      </c>
      <c r="T56" s="37">
        <f ca="1">_xlfn.IFNA(VLOOKUP($A56,INDIRECT("'W"&amp;T$1&amp;"'!$A$2:$T$1000"),4,FALSE),0)</f>
        <v>17.600000000000001</v>
      </c>
      <c r="U56" s="36">
        <f ca="1">COUNTIF(C56:T56,"&gt; 15")</f>
        <v>6</v>
      </c>
      <c r="V56" s="36">
        <f ca="1">SUM(C56:T56)</f>
        <v>223.6</v>
      </c>
      <c r="W56" s="36"/>
      <c r="X56" s="38">
        <v>56</v>
      </c>
    </row>
    <row r="57" spans="1:24" ht="12.75" x14ac:dyDescent="0.2">
      <c r="A57" s="36" t="s">
        <v>101</v>
      </c>
      <c r="B57" s="36" t="s">
        <v>75</v>
      </c>
      <c r="C57" s="37">
        <f ca="1">_xlfn.IFNA(VLOOKUP($A57,INDIRECT("'W"&amp;C$1&amp;"'!$A$2:$T$1000"),4,FALSE),0)</f>
        <v>9.3000000000000007</v>
      </c>
      <c r="D57" s="37">
        <f ca="1">_xlfn.IFNA(VLOOKUP($A57,INDIRECT("'W"&amp;D$1&amp;"'!$A$2:$T$1000"),4,FALSE),0)</f>
        <v>27.200000000000003</v>
      </c>
      <c r="E57" s="37">
        <f ca="1">_xlfn.IFNA(VLOOKUP($A57,INDIRECT("'W"&amp;E$1&amp;"'!$A$2:$T$1000"),4,FALSE),0)</f>
        <v>0</v>
      </c>
      <c r="F57" s="37">
        <f ca="1">_xlfn.IFNA(VLOOKUP($A57,INDIRECT("'W"&amp;F$1&amp;"'!$A$2:$T$1000"),4,FALSE),0)</f>
        <v>0</v>
      </c>
      <c r="G57" s="37">
        <f ca="1">_xlfn.IFNA(VLOOKUP($A57,INDIRECT("'W"&amp;G$1&amp;"'!$A$2:$T$1000"),4,FALSE),0)</f>
        <v>0</v>
      </c>
      <c r="H57" s="37">
        <f ca="1">_xlfn.IFNA(VLOOKUP($A57,INDIRECT("'W"&amp;H$1&amp;"'!$A$2:$T$1000"),4,FALSE),0)</f>
        <v>13.8</v>
      </c>
      <c r="I57" s="37">
        <f ca="1">_xlfn.IFNA(VLOOKUP($A57,INDIRECT("'W"&amp;I$1&amp;"'!$A$2:$T$1000"),4,FALSE),0)</f>
        <v>18.8</v>
      </c>
      <c r="J57" s="37">
        <f ca="1">_xlfn.IFNA(VLOOKUP($A57,INDIRECT("'W"&amp;J$1&amp;"'!$A$2:$T$1000"),4,FALSE),0)</f>
        <v>15.8</v>
      </c>
      <c r="K57" s="37">
        <f ca="1">_xlfn.IFNA(VLOOKUP($A57,INDIRECT("'W"&amp;K$1&amp;"'!$A$2:$T$1000"),4,FALSE),0)</f>
        <v>14.3</v>
      </c>
      <c r="L57" s="37">
        <f ca="1">_xlfn.IFNA(VLOOKUP($A57,INDIRECT("'W"&amp;L$1&amp;"'!$A$2:$T$1000"),4,FALSE),0)</f>
        <v>7.1000000000000005</v>
      </c>
      <c r="M57" s="37">
        <f ca="1">_xlfn.IFNA(VLOOKUP($A57,INDIRECT("'W"&amp;M$1&amp;"'!$A$2:$T$1000"),4,FALSE),0)</f>
        <v>30</v>
      </c>
      <c r="N57" s="37">
        <f ca="1">_xlfn.IFNA(VLOOKUP($A57,INDIRECT("'W"&amp;N$1&amp;"'!$A$2:$T$1000"),4,FALSE),0)</f>
        <v>6.2000000000000011</v>
      </c>
      <c r="O57" s="37">
        <f ca="1">_xlfn.IFNA(VLOOKUP($A57,INDIRECT("'W"&amp;O$1&amp;"'!$A$2:$T$1000"),4,FALSE),0)</f>
        <v>0</v>
      </c>
      <c r="P57" s="37">
        <f ca="1">_xlfn.IFNA(VLOOKUP($A57,INDIRECT("'W"&amp;P$1&amp;"'!$A$2:$T$1000"),4,FALSE),0)</f>
        <v>23.1</v>
      </c>
      <c r="Q57" s="37">
        <f ca="1">_xlfn.IFNA(VLOOKUP($A57,INDIRECT("'W"&amp;Q$1&amp;"'!$A$2:$T$1000"),4,FALSE),0)</f>
        <v>5.7000000000000011</v>
      </c>
      <c r="R57" s="37">
        <f ca="1">_xlfn.IFNA(VLOOKUP($A57,INDIRECT("'W"&amp;R$1&amp;"'!$A$2:$T$1000"),4,FALSE),0)</f>
        <v>19.399999999999999</v>
      </c>
      <c r="S57" s="37">
        <f ca="1">_xlfn.IFNA(VLOOKUP($A57,INDIRECT("'W"&amp;S$1&amp;"'!$A$2:$T$1000"),4,FALSE),0)</f>
        <v>8.8000000000000007</v>
      </c>
      <c r="T57" s="37">
        <f ca="1">_xlfn.IFNA(VLOOKUP($A57,INDIRECT("'W"&amp;T$1&amp;"'!$A$2:$T$1000"),4,FALSE),0)</f>
        <v>23.700000000000003</v>
      </c>
      <c r="U57" s="36">
        <f ca="1">COUNTIF(C57:T57,"&gt; 15")</f>
        <v>7</v>
      </c>
      <c r="V57" s="36">
        <f ca="1">SUM(C57:T57)</f>
        <v>223.2</v>
      </c>
      <c r="W57" s="36"/>
      <c r="X57" s="38">
        <v>10</v>
      </c>
    </row>
    <row r="58" spans="1:24" ht="12.75" x14ac:dyDescent="0.2">
      <c r="A58" s="36" t="s">
        <v>79</v>
      </c>
      <c r="B58" s="36" t="s">
        <v>75</v>
      </c>
      <c r="C58" s="37">
        <f ca="1">_xlfn.IFNA(VLOOKUP($A58,INDIRECT("'W"&amp;C$1&amp;"'!$A$2:$T$1000"),4,FALSE),0)</f>
        <v>22.2</v>
      </c>
      <c r="D58" s="37">
        <f ca="1">_xlfn.IFNA(VLOOKUP($A58,INDIRECT("'W"&amp;D$1&amp;"'!$A$2:$T$1000"),4,FALSE),0)</f>
        <v>19.899999999999999</v>
      </c>
      <c r="E58" s="37">
        <f ca="1">_xlfn.IFNA(VLOOKUP($A58,INDIRECT("'W"&amp;E$1&amp;"'!$A$2:$T$1000"),4,FALSE),0)</f>
        <v>15.100000000000001</v>
      </c>
      <c r="F58" s="37">
        <f ca="1">_xlfn.IFNA(VLOOKUP($A58,INDIRECT("'W"&amp;F$1&amp;"'!$A$2:$T$1000"),4,FALSE),0)</f>
        <v>9</v>
      </c>
      <c r="G58" s="37">
        <f ca="1">_xlfn.IFNA(VLOOKUP($A58,INDIRECT("'W"&amp;G$1&amp;"'!$A$2:$T$1000"),4,FALSE),0)</f>
        <v>8.4</v>
      </c>
      <c r="H58" s="37">
        <f ca="1">_xlfn.IFNA(VLOOKUP($A58,INDIRECT("'W"&amp;H$1&amp;"'!$A$2:$T$1000"),4,FALSE),0)</f>
        <v>17</v>
      </c>
      <c r="I58" s="37">
        <f ca="1">_xlfn.IFNA(VLOOKUP($A58,INDIRECT("'W"&amp;I$1&amp;"'!$A$2:$T$1000"),4,FALSE),0)</f>
        <v>0</v>
      </c>
      <c r="J58" s="37">
        <f ca="1">_xlfn.IFNA(VLOOKUP($A58,INDIRECT("'W"&amp;J$1&amp;"'!$A$2:$T$1000"),4,FALSE),0)</f>
        <v>6.5000000000000009</v>
      </c>
      <c r="K58" s="37">
        <f ca="1">_xlfn.IFNA(VLOOKUP($A58,INDIRECT("'W"&amp;K$1&amp;"'!$A$2:$T$1000"),4,FALSE),0)</f>
        <v>9.3000000000000007</v>
      </c>
      <c r="L58" s="37">
        <f ca="1">_xlfn.IFNA(VLOOKUP($A58,INDIRECT("'W"&amp;L$1&amp;"'!$A$2:$T$1000"),4,FALSE),0)</f>
        <v>5.5</v>
      </c>
      <c r="M58" s="37">
        <f ca="1">_xlfn.IFNA(VLOOKUP($A58,INDIRECT("'W"&amp;M$1&amp;"'!$A$2:$T$1000"),4,FALSE),0)</f>
        <v>18</v>
      </c>
      <c r="N58" s="37">
        <f ca="1">_xlfn.IFNA(VLOOKUP($A58,INDIRECT("'W"&amp;N$1&amp;"'!$A$2:$T$1000"),4,FALSE),0)</f>
        <v>22.299999999999997</v>
      </c>
      <c r="O58" s="37">
        <f ca="1">_xlfn.IFNA(VLOOKUP($A58,INDIRECT("'W"&amp;O$1&amp;"'!$A$2:$T$1000"),4,FALSE),0)</f>
        <v>17.3</v>
      </c>
      <c r="P58" s="37">
        <f ca="1">_xlfn.IFNA(VLOOKUP($A58,INDIRECT("'W"&amp;P$1&amp;"'!$A$2:$T$1000"),4,FALSE),0)</f>
        <v>16.600000000000001</v>
      </c>
      <c r="Q58" s="37">
        <f ca="1">_xlfn.IFNA(VLOOKUP($A58,INDIRECT("'W"&amp;Q$1&amp;"'!$A$2:$T$1000"),4,FALSE),0)</f>
        <v>7.7</v>
      </c>
      <c r="R58" s="37">
        <f ca="1">_xlfn.IFNA(VLOOKUP($A58,INDIRECT("'W"&amp;R$1&amp;"'!$A$2:$T$1000"),4,FALSE),0)</f>
        <v>5.3000000000000007</v>
      </c>
      <c r="S58" s="37">
        <f ca="1">_xlfn.IFNA(VLOOKUP($A58,INDIRECT("'W"&amp;S$1&amp;"'!$A$2:$T$1000"),4,FALSE),0)</f>
        <v>5.9</v>
      </c>
      <c r="T58" s="37">
        <f ca="1">_xlfn.IFNA(VLOOKUP($A58,INDIRECT("'W"&amp;T$1&amp;"'!$A$2:$T$1000"),4,FALSE),0)</f>
        <v>16.600000000000001</v>
      </c>
      <c r="U58" s="36">
        <f ca="1">COUNTIF(C58:T58,"&gt; 15")</f>
        <v>9</v>
      </c>
      <c r="V58" s="36">
        <f ca="1">SUM(C58:T58)</f>
        <v>222.6</v>
      </c>
      <c r="W58" s="36"/>
      <c r="X58" s="38">
        <v>17</v>
      </c>
    </row>
    <row r="59" spans="1:24" ht="12.75" x14ac:dyDescent="0.2">
      <c r="A59" s="36" t="s">
        <v>178</v>
      </c>
      <c r="B59" s="36" t="s">
        <v>162</v>
      </c>
      <c r="C59" s="37">
        <f ca="1">_xlfn.IFNA(VLOOKUP($A59,INDIRECT("'W"&amp;C$1&amp;"'!$A$2:$T$1000"),4,FALSE),0)</f>
        <v>16.100000000000001</v>
      </c>
      <c r="D59" s="37">
        <f ca="1">_xlfn.IFNA(VLOOKUP($A59,INDIRECT("'W"&amp;D$1&amp;"'!$A$2:$T$1000"),4,FALSE),0)</f>
        <v>16.2</v>
      </c>
      <c r="E59" s="37">
        <f ca="1">_xlfn.IFNA(VLOOKUP($A59,INDIRECT("'W"&amp;E$1&amp;"'!$A$2:$T$1000"),4,FALSE),0)</f>
        <v>11.2</v>
      </c>
      <c r="F59" s="37">
        <f ca="1">_xlfn.IFNA(VLOOKUP($A59,INDIRECT("'W"&amp;F$1&amp;"'!$A$2:$T$1000"),4,FALSE),0)</f>
        <v>0</v>
      </c>
      <c r="G59" s="37">
        <f ca="1">_xlfn.IFNA(VLOOKUP($A59,INDIRECT("'W"&amp;G$1&amp;"'!$A$2:$T$1000"),4,FALSE),0)</f>
        <v>18.399999999999999</v>
      </c>
      <c r="H59" s="37">
        <f ca="1">_xlfn.IFNA(VLOOKUP($A59,INDIRECT("'W"&amp;H$1&amp;"'!$A$2:$T$1000"),4,FALSE),0)</f>
        <v>11.8</v>
      </c>
      <c r="I59" s="37">
        <f ca="1">_xlfn.IFNA(VLOOKUP($A59,INDIRECT("'W"&amp;I$1&amp;"'!$A$2:$T$1000"),4,FALSE),0)</f>
        <v>31.3</v>
      </c>
      <c r="J59" s="37">
        <f ca="1">_xlfn.IFNA(VLOOKUP($A59,INDIRECT("'W"&amp;J$1&amp;"'!$A$2:$T$1000"),4,FALSE),0)</f>
        <v>21.400000000000002</v>
      </c>
      <c r="K59" s="37">
        <f ca="1">_xlfn.IFNA(VLOOKUP($A59,INDIRECT("'W"&amp;K$1&amp;"'!$A$2:$T$1000"),4,FALSE),0)</f>
        <v>10.199999999999999</v>
      </c>
      <c r="L59" s="37">
        <f ca="1">_xlfn.IFNA(VLOOKUP($A59,INDIRECT("'W"&amp;L$1&amp;"'!$A$2:$T$1000"),4,FALSE),0)</f>
        <v>10.9</v>
      </c>
      <c r="M59" s="37">
        <f ca="1">_xlfn.IFNA(VLOOKUP($A59,INDIRECT("'W"&amp;M$1&amp;"'!$A$2:$T$1000"),4,FALSE),0)</f>
        <v>7.4</v>
      </c>
      <c r="N59" s="37">
        <f ca="1">_xlfn.IFNA(VLOOKUP($A59,INDIRECT("'W"&amp;N$1&amp;"'!$A$2:$T$1000"),4,FALSE),0)</f>
        <v>9.9</v>
      </c>
      <c r="O59" s="37">
        <f ca="1">_xlfn.IFNA(VLOOKUP($A59,INDIRECT("'W"&amp;O$1&amp;"'!$A$2:$T$1000"),4,FALSE),0)</f>
        <v>0</v>
      </c>
      <c r="P59" s="37">
        <f ca="1">_xlfn.IFNA(VLOOKUP($A59,INDIRECT("'W"&amp;P$1&amp;"'!$A$2:$T$1000"),4,FALSE),0)</f>
        <v>4.7</v>
      </c>
      <c r="Q59" s="37">
        <f ca="1">_xlfn.IFNA(VLOOKUP($A59,INDIRECT("'W"&amp;Q$1&amp;"'!$A$2:$T$1000"),4,FALSE),0)</f>
        <v>29.1</v>
      </c>
      <c r="R59" s="37">
        <f ca="1">_xlfn.IFNA(VLOOKUP($A59,INDIRECT("'W"&amp;R$1&amp;"'!$A$2:$T$1000"),4,FALSE),0)</f>
        <v>1.2</v>
      </c>
      <c r="S59" s="37">
        <f ca="1">_xlfn.IFNA(VLOOKUP($A59,INDIRECT("'W"&amp;S$1&amp;"'!$A$2:$T$1000"),4,FALSE),0)</f>
        <v>5.8000000000000007</v>
      </c>
      <c r="T59" s="37">
        <f ca="1">_xlfn.IFNA(VLOOKUP($A59,INDIRECT("'W"&amp;T$1&amp;"'!$A$2:$T$1000"),4,FALSE),0)</f>
        <v>15.7</v>
      </c>
      <c r="U59" s="36">
        <f ca="1">COUNTIF(C59:T59,"&gt; 15")</f>
        <v>7</v>
      </c>
      <c r="V59" s="36">
        <f ca="1">SUM(C59:T59)</f>
        <v>221.29999999999998</v>
      </c>
      <c r="W59" s="36">
        <v>1</v>
      </c>
      <c r="X59" s="38">
        <v>117</v>
      </c>
    </row>
    <row r="60" spans="1:24" ht="12.75" x14ac:dyDescent="0.2">
      <c r="A60" s="36" t="s">
        <v>343</v>
      </c>
      <c r="B60" s="36" t="s">
        <v>69</v>
      </c>
      <c r="C60" s="37">
        <f ca="1">_xlfn.IFNA(VLOOKUP($A60,INDIRECT("'W"&amp;C$1&amp;"'!$A$2:$T$1000"),4,FALSE),0)</f>
        <v>0</v>
      </c>
      <c r="D60" s="37">
        <f ca="1">_xlfn.IFNA(VLOOKUP($A60,INDIRECT("'W"&amp;D$1&amp;"'!$A$2:$T$1000"),4,FALSE),0)</f>
        <v>12.6</v>
      </c>
      <c r="E60" s="37">
        <f ca="1">_xlfn.IFNA(VLOOKUP($A60,INDIRECT("'W"&amp;E$1&amp;"'!$A$2:$T$1000"),4,FALSE),0)</f>
        <v>19.899999999999999</v>
      </c>
      <c r="F60" s="37">
        <f ca="1">_xlfn.IFNA(VLOOKUP($A60,INDIRECT("'W"&amp;F$1&amp;"'!$A$2:$T$1000"),4,FALSE),0)</f>
        <v>12</v>
      </c>
      <c r="G60" s="37">
        <f ca="1">_xlfn.IFNA(VLOOKUP($A60,INDIRECT("'W"&amp;G$1&amp;"'!$A$2:$T$1000"),4,FALSE),0)</f>
        <v>22.7</v>
      </c>
      <c r="H60" s="37">
        <f ca="1">_xlfn.IFNA(VLOOKUP($A60,INDIRECT("'W"&amp;H$1&amp;"'!$A$2:$T$1000"),4,FALSE),0)</f>
        <v>21.4</v>
      </c>
      <c r="I60" s="37">
        <f ca="1">_xlfn.IFNA(VLOOKUP($A60,INDIRECT("'W"&amp;I$1&amp;"'!$A$2:$T$1000"),4,FALSE),0)</f>
        <v>35.900000000000006</v>
      </c>
      <c r="J60" s="37">
        <f ca="1">_xlfn.IFNA(VLOOKUP($A60,INDIRECT("'W"&amp;J$1&amp;"'!$A$2:$T$1000"),4,FALSE),0)</f>
        <v>11.8</v>
      </c>
      <c r="K60" s="37">
        <f ca="1">_xlfn.IFNA(VLOOKUP($A60,INDIRECT("'W"&amp;K$1&amp;"'!$A$2:$T$1000"),4,FALSE),0)</f>
        <v>4.4000000000000004</v>
      </c>
      <c r="L60" s="37">
        <f ca="1">_xlfn.IFNA(VLOOKUP($A60,INDIRECT("'W"&amp;L$1&amp;"'!$A$2:$T$1000"),4,FALSE),0)</f>
        <v>0</v>
      </c>
      <c r="M60" s="37">
        <f ca="1">_xlfn.IFNA(VLOOKUP($A60,INDIRECT("'W"&amp;M$1&amp;"'!$A$2:$T$1000"),4,FALSE),0)</f>
        <v>15.399999999999999</v>
      </c>
      <c r="N60" s="37">
        <f ca="1">_xlfn.IFNA(VLOOKUP($A60,INDIRECT("'W"&amp;N$1&amp;"'!$A$2:$T$1000"),4,FALSE),0)</f>
        <v>15.1</v>
      </c>
      <c r="O60" s="37">
        <f ca="1">_xlfn.IFNA(VLOOKUP($A60,INDIRECT("'W"&amp;O$1&amp;"'!$A$2:$T$1000"),4,FALSE),0)</f>
        <v>12.1</v>
      </c>
      <c r="P60" s="37">
        <f ca="1">_xlfn.IFNA(VLOOKUP($A60,INDIRECT("'W"&amp;P$1&amp;"'!$A$2:$T$1000"),4,FALSE),0)</f>
        <v>14.3</v>
      </c>
      <c r="Q60" s="37">
        <f ca="1">_xlfn.IFNA(VLOOKUP($A60,INDIRECT("'W"&amp;Q$1&amp;"'!$A$2:$T$1000"),4,FALSE),0)</f>
        <v>7.8000000000000007</v>
      </c>
      <c r="R60" s="37">
        <f ca="1">_xlfn.IFNA(VLOOKUP($A60,INDIRECT("'W"&amp;R$1&amp;"'!$A$2:$T$1000"),4,FALSE),0)</f>
        <v>9.4</v>
      </c>
      <c r="S60" s="37">
        <f ca="1">_xlfn.IFNA(VLOOKUP($A60,INDIRECT("'W"&amp;S$1&amp;"'!$A$2:$T$1000"),4,FALSE),0)</f>
        <v>4.5999999999999996</v>
      </c>
      <c r="T60" s="37">
        <f ca="1">_xlfn.IFNA(VLOOKUP($A60,INDIRECT("'W"&amp;T$1&amp;"'!$A$2:$T$1000"),4,FALSE),0)</f>
        <v>0</v>
      </c>
      <c r="U60" s="36">
        <f ca="1">COUNTIF(C60:T60,"&gt; 15")</f>
        <v>6</v>
      </c>
      <c r="V60" s="36">
        <f ca="1">SUM(C60:T60)</f>
        <v>219.40000000000003</v>
      </c>
      <c r="W60" s="36"/>
      <c r="X60" s="38">
        <v>6</v>
      </c>
    </row>
    <row r="61" spans="1:24" ht="12.75" x14ac:dyDescent="0.2">
      <c r="A61" s="36" t="s">
        <v>273</v>
      </c>
      <c r="B61" s="36" t="s">
        <v>69</v>
      </c>
      <c r="C61" s="37">
        <f ca="1">_xlfn.IFNA(VLOOKUP($A61,INDIRECT("'W"&amp;C$1&amp;"'!$A$2:$T$1000"),4,FALSE),0)</f>
        <v>11.5</v>
      </c>
      <c r="D61" s="37">
        <f ca="1">_xlfn.IFNA(VLOOKUP($A61,INDIRECT("'W"&amp;D$1&amp;"'!$A$2:$T$1000"),4,FALSE),0)</f>
        <v>25.6</v>
      </c>
      <c r="E61" s="37">
        <f ca="1">_xlfn.IFNA(VLOOKUP($A61,INDIRECT("'W"&amp;E$1&amp;"'!$A$2:$T$1000"),4,FALSE),0)</f>
        <v>13.8</v>
      </c>
      <c r="F61" s="37">
        <f ca="1">_xlfn.IFNA(VLOOKUP($A61,INDIRECT("'W"&amp;F$1&amp;"'!$A$2:$T$1000"),4,FALSE),0)</f>
        <v>4.4000000000000004</v>
      </c>
      <c r="G61" s="37">
        <f ca="1">_xlfn.IFNA(VLOOKUP($A61,INDIRECT("'W"&amp;G$1&amp;"'!$A$2:$T$1000"),4,FALSE),0)</f>
        <v>10.100000000000001</v>
      </c>
      <c r="H61" s="37">
        <f ca="1">_xlfn.IFNA(VLOOKUP($A61,INDIRECT("'W"&amp;H$1&amp;"'!$A$2:$T$1000"),4,FALSE),0)</f>
        <v>11</v>
      </c>
      <c r="I61" s="37">
        <f ca="1">_xlfn.IFNA(VLOOKUP($A61,INDIRECT("'W"&amp;I$1&amp;"'!$A$2:$T$1000"),4,FALSE),0)</f>
        <v>19.600000000000001</v>
      </c>
      <c r="J61" s="37">
        <f ca="1">_xlfn.IFNA(VLOOKUP($A61,INDIRECT("'W"&amp;J$1&amp;"'!$A$2:$T$1000"),4,FALSE),0)</f>
        <v>20.8</v>
      </c>
      <c r="K61" s="37">
        <f ca="1">_xlfn.IFNA(VLOOKUP($A61,INDIRECT("'W"&amp;K$1&amp;"'!$A$2:$T$1000"),4,FALSE),0)</f>
        <v>13.9</v>
      </c>
      <c r="L61" s="37">
        <f ca="1">_xlfn.IFNA(VLOOKUP($A61,INDIRECT("'W"&amp;L$1&amp;"'!$A$2:$T$1000"),4,FALSE),0)</f>
        <v>30.4</v>
      </c>
      <c r="M61" s="37">
        <f ca="1">_xlfn.IFNA(VLOOKUP($A61,INDIRECT("'W"&amp;M$1&amp;"'!$A$2:$T$1000"),4,FALSE),0)</f>
        <v>9.5</v>
      </c>
      <c r="N61" s="37">
        <f ca="1">_xlfn.IFNA(VLOOKUP($A61,INDIRECT("'W"&amp;N$1&amp;"'!$A$2:$T$1000"),4,FALSE),0)</f>
        <v>16</v>
      </c>
      <c r="O61" s="37">
        <f ca="1">_xlfn.IFNA(VLOOKUP($A61,INDIRECT("'W"&amp;O$1&amp;"'!$A$2:$T$1000"),4,FALSE),0)</f>
        <v>0</v>
      </c>
      <c r="P61" s="37">
        <f ca="1">_xlfn.IFNA(VLOOKUP($A61,INDIRECT("'W"&amp;P$1&amp;"'!$A$2:$T$1000"),4,FALSE),0)</f>
        <v>10.3</v>
      </c>
      <c r="Q61" s="37">
        <f ca="1">_xlfn.IFNA(VLOOKUP($A61,INDIRECT("'W"&amp;Q$1&amp;"'!$A$2:$T$1000"),4,FALSE),0)</f>
        <v>12.3</v>
      </c>
      <c r="R61" s="37">
        <f ca="1">_xlfn.IFNA(VLOOKUP($A61,INDIRECT("'W"&amp;R$1&amp;"'!$A$2:$T$1000"),4,FALSE),0)</f>
        <v>9.8000000000000007</v>
      </c>
      <c r="S61" s="37">
        <f ca="1">_xlfn.IFNA(VLOOKUP($A61,INDIRECT("'W"&amp;S$1&amp;"'!$A$2:$T$1000"),4,FALSE),0)</f>
        <v>0</v>
      </c>
      <c r="T61" s="37">
        <f ca="1">_xlfn.IFNA(VLOOKUP($A61,INDIRECT("'W"&amp;T$1&amp;"'!$A$2:$T$1000"),4,FALSE),0)</f>
        <v>0</v>
      </c>
      <c r="U61" s="36">
        <f ca="1">COUNTIF(C61:T61,"&gt; 15")</f>
        <v>5</v>
      </c>
      <c r="V61" s="36">
        <f ca="1">SUM(C61:T61)</f>
        <v>219.00000000000003</v>
      </c>
      <c r="W61" s="36">
        <v>1</v>
      </c>
      <c r="X61" s="38">
        <v>33</v>
      </c>
    </row>
    <row r="62" spans="1:24" ht="12.75" x14ac:dyDescent="0.2">
      <c r="A62" s="36" t="s">
        <v>164</v>
      </c>
      <c r="B62" s="36" t="s">
        <v>162</v>
      </c>
      <c r="C62" s="37">
        <f ca="1">_xlfn.IFNA(VLOOKUP($A62,INDIRECT("'W"&amp;C$1&amp;"'!$A$2:$T$1000"),4,FALSE),0)</f>
        <v>29.1</v>
      </c>
      <c r="D62" s="37">
        <f ca="1">_xlfn.IFNA(VLOOKUP($A62,INDIRECT("'W"&amp;D$1&amp;"'!$A$2:$T$1000"),4,FALSE),0)</f>
        <v>0</v>
      </c>
      <c r="E62" s="37">
        <f ca="1">_xlfn.IFNA(VLOOKUP($A62,INDIRECT("'W"&amp;E$1&amp;"'!$A$2:$T$1000"),4,FALSE),0)</f>
        <v>15.5</v>
      </c>
      <c r="F62" s="37">
        <f ca="1">_xlfn.IFNA(VLOOKUP($A62,INDIRECT("'W"&amp;F$1&amp;"'!$A$2:$T$1000"),4,FALSE),0)</f>
        <v>5.3000000000000007</v>
      </c>
      <c r="G62" s="37">
        <f ca="1">_xlfn.IFNA(VLOOKUP($A62,INDIRECT("'W"&amp;G$1&amp;"'!$A$2:$T$1000"),4,FALSE),0)</f>
        <v>20.5</v>
      </c>
      <c r="H62" s="37">
        <f ca="1">_xlfn.IFNA(VLOOKUP($A62,INDIRECT("'W"&amp;H$1&amp;"'!$A$2:$T$1000"),4,FALSE),0)</f>
        <v>17.100000000000001</v>
      </c>
      <c r="I62" s="37">
        <f ca="1">_xlfn.IFNA(VLOOKUP($A62,INDIRECT("'W"&amp;I$1&amp;"'!$A$2:$T$1000"),4,FALSE),0)</f>
        <v>18</v>
      </c>
      <c r="J62" s="37">
        <f ca="1">_xlfn.IFNA(VLOOKUP($A62,INDIRECT("'W"&amp;J$1&amp;"'!$A$2:$T$1000"),4,FALSE),0)</f>
        <v>2.9000000000000004</v>
      </c>
      <c r="K62" s="37">
        <f ca="1">_xlfn.IFNA(VLOOKUP($A62,INDIRECT("'W"&amp;K$1&amp;"'!$A$2:$T$1000"),4,FALSE),0)</f>
        <v>13.5</v>
      </c>
      <c r="L62" s="37">
        <f ca="1">_xlfn.IFNA(VLOOKUP($A62,INDIRECT("'W"&amp;L$1&amp;"'!$A$2:$T$1000"),4,FALSE),0)</f>
        <v>4.0999999999999996</v>
      </c>
      <c r="M62" s="37">
        <f ca="1">_xlfn.IFNA(VLOOKUP($A62,INDIRECT("'W"&amp;M$1&amp;"'!$A$2:$T$1000"),4,FALSE),0)</f>
        <v>8.9</v>
      </c>
      <c r="N62" s="37">
        <f ca="1">_xlfn.IFNA(VLOOKUP($A62,INDIRECT("'W"&amp;N$1&amp;"'!$A$2:$T$1000"),4,FALSE),0)</f>
        <v>20.100000000000001</v>
      </c>
      <c r="O62" s="37">
        <f ca="1">_xlfn.IFNA(VLOOKUP($A62,INDIRECT("'W"&amp;O$1&amp;"'!$A$2:$T$1000"),4,FALSE),0)</f>
        <v>0</v>
      </c>
      <c r="P62" s="37">
        <f ca="1">_xlfn.IFNA(VLOOKUP($A62,INDIRECT("'W"&amp;P$1&amp;"'!$A$2:$T$1000"),4,FALSE),0)</f>
        <v>7.5</v>
      </c>
      <c r="Q62" s="37">
        <f ca="1">_xlfn.IFNA(VLOOKUP($A62,INDIRECT("'W"&amp;Q$1&amp;"'!$A$2:$T$1000"),4,FALSE),0)</f>
        <v>15.68</v>
      </c>
      <c r="R62" s="37">
        <f ca="1">_xlfn.IFNA(VLOOKUP($A62,INDIRECT("'W"&amp;R$1&amp;"'!$A$2:$T$1000"),4,FALSE),0)</f>
        <v>7.2</v>
      </c>
      <c r="S62" s="37">
        <f ca="1">_xlfn.IFNA(VLOOKUP($A62,INDIRECT("'W"&amp;S$1&amp;"'!$A$2:$T$1000"),4,FALSE),0)</f>
        <v>11.600000000000001</v>
      </c>
      <c r="T62" s="37">
        <f ca="1">_xlfn.IFNA(VLOOKUP($A62,INDIRECT("'W"&amp;T$1&amp;"'!$A$2:$T$1000"),4,FALSE),0)</f>
        <v>21.6</v>
      </c>
      <c r="U62" s="36">
        <f ca="1">COUNTIF(C62:T62,"&gt; 15")</f>
        <v>8</v>
      </c>
      <c r="V62" s="36">
        <f ca="1">SUM(C62:T62)</f>
        <v>218.57999999999998</v>
      </c>
      <c r="W62" s="36">
        <v>1</v>
      </c>
      <c r="X62" s="38">
        <v>114</v>
      </c>
    </row>
    <row r="63" spans="1:24" ht="12.75" x14ac:dyDescent="0.2">
      <c r="A63" s="36" t="s">
        <v>225</v>
      </c>
      <c r="B63" s="36" t="s">
        <v>162</v>
      </c>
      <c r="C63" s="37">
        <f ca="1">_xlfn.IFNA(VLOOKUP($A63,INDIRECT("'W"&amp;C$1&amp;"'!$A$2:$T$1000"),4,FALSE),0)</f>
        <v>6.6000000000000005</v>
      </c>
      <c r="D63" s="37">
        <f ca="1">_xlfn.IFNA(VLOOKUP($A63,INDIRECT("'W"&amp;D$1&amp;"'!$A$2:$T$1000"),4,FALSE),0)</f>
        <v>19.7</v>
      </c>
      <c r="E63" s="37">
        <f ca="1">_xlfn.IFNA(VLOOKUP($A63,INDIRECT("'W"&amp;E$1&amp;"'!$A$2:$T$1000"),4,FALSE),0)</f>
        <v>9.3000000000000007</v>
      </c>
      <c r="F63" s="37">
        <f ca="1">_xlfn.IFNA(VLOOKUP($A63,INDIRECT("'W"&amp;F$1&amp;"'!$A$2:$T$1000"),4,FALSE),0)</f>
        <v>10.5</v>
      </c>
      <c r="G63" s="37">
        <f ca="1">_xlfn.IFNA(VLOOKUP($A63,INDIRECT("'W"&amp;G$1&amp;"'!$A$2:$T$1000"),4,FALSE),0)</f>
        <v>1.7000000000000002</v>
      </c>
      <c r="H63" s="37">
        <f ca="1">_xlfn.IFNA(VLOOKUP($A63,INDIRECT("'W"&amp;H$1&amp;"'!$A$2:$T$1000"),4,FALSE),0)</f>
        <v>0</v>
      </c>
      <c r="I63" s="37">
        <f ca="1">_xlfn.IFNA(VLOOKUP($A63,INDIRECT("'W"&amp;I$1&amp;"'!$A$2:$T$1000"),4,FALSE),0)</f>
        <v>11.1</v>
      </c>
      <c r="J63" s="37">
        <f ca="1">_xlfn.IFNA(VLOOKUP($A63,INDIRECT("'W"&amp;J$1&amp;"'!$A$2:$T$1000"),4,FALSE),0)</f>
        <v>12.3</v>
      </c>
      <c r="K63" s="37">
        <f ca="1">_xlfn.IFNA(VLOOKUP($A63,INDIRECT("'W"&amp;K$1&amp;"'!$A$2:$T$1000"),4,FALSE),0)</f>
        <v>7</v>
      </c>
      <c r="L63" s="37">
        <f ca="1">_xlfn.IFNA(VLOOKUP($A63,INDIRECT("'W"&amp;L$1&amp;"'!$A$2:$T$1000"),4,FALSE),0)</f>
        <v>19.399999999999999</v>
      </c>
      <c r="M63" s="37">
        <f ca="1">_xlfn.IFNA(VLOOKUP($A63,INDIRECT("'W"&amp;M$1&amp;"'!$A$2:$T$1000"),4,FALSE),0)</f>
        <v>19.200000000000003</v>
      </c>
      <c r="N63" s="37">
        <f ca="1">_xlfn.IFNA(VLOOKUP($A63,INDIRECT("'W"&amp;N$1&amp;"'!$A$2:$T$1000"),4,FALSE),0)</f>
        <v>15</v>
      </c>
      <c r="O63" s="37">
        <f ca="1">_xlfn.IFNA(VLOOKUP($A63,INDIRECT("'W"&amp;O$1&amp;"'!$A$2:$T$1000"),4,FALSE),0)</f>
        <v>5.6</v>
      </c>
      <c r="P63" s="37">
        <f ca="1">_xlfn.IFNA(VLOOKUP($A63,INDIRECT("'W"&amp;P$1&amp;"'!$A$2:$T$1000"),4,FALSE),0)</f>
        <v>20.5</v>
      </c>
      <c r="Q63" s="37">
        <f ca="1">_xlfn.IFNA(VLOOKUP($A63,INDIRECT("'W"&amp;Q$1&amp;"'!$A$2:$T$1000"),4,FALSE),0)</f>
        <v>17.2</v>
      </c>
      <c r="R63" s="37">
        <f ca="1">_xlfn.IFNA(VLOOKUP($A63,INDIRECT("'W"&amp;R$1&amp;"'!$A$2:$T$1000"),4,FALSE),0)</f>
        <v>0</v>
      </c>
      <c r="S63" s="37">
        <f ca="1">_xlfn.IFNA(VLOOKUP($A63,INDIRECT("'W"&amp;S$1&amp;"'!$A$2:$T$1000"),4,FALSE),0)</f>
        <v>26.9</v>
      </c>
      <c r="T63" s="37">
        <f ca="1">_xlfn.IFNA(VLOOKUP($A63,INDIRECT("'W"&amp;T$1&amp;"'!$A$2:$T$1000"),4,FALSE),0)</f>
        <v>15.200000000000001</v>
      </c>
      <c r="U63" s="36">
        <f ca="1">COUNTIF(C63:T63,"&gt; 15")</f>
        <v>7</v>
      </c>
      <c r="V63" s="36">
        <f ca="1">SUM(C63:T63)</f>
        <v>217.2</v>
      </c>
      <c r="W63" s="36">
        <v>1</v>
      </c>
      <c r="X63" s="38" t="s">
        <v>847</v>
      </c>
    </row>
    <row r="64" spans="1:24" ht="12.75" x14ac:dyDescent="0.2">
      <c r="A64" s="36" t="s">
        <v>104</v>
      </c>
      <c r="B64" s="36" t="s">
        <v>75</v>
      </c>
      <c r="C64" s="37">
        <f ca="1">_xlfn.IFNA(VLOOKUP($A64,INDIRECT("'W"&amp;C$1&amp;"'!$A$2:$T$1000"),4,FALSE),0)</f>
        <v>9.4</v>
      </c>
      <c r="D64" s="37">
        <f ca="1">_xlfn.IFNA(VLOOKUP($A64,INDIRECT("'W"&amp;D$1&amp;"'!$A$2:$T$1000"),4,FALSE),0)</f>
        <v>8</v>
      </c>
      <c r="E64" s="37">
        <f ca="1">_xlfn.IFNA(VLOOKUP($A64,INDIRECT("'W"&amp;E$1&amp;"'!$A$2:$T$1000"),4,FALSE),0)</f>
        <v>15.799999999999999</v>
      </c>
      <c r="F64" s="37">
        <f ca="1">_xlfn.IFNA(VLOOKUP($A64,INDIRECT("'W"&amp;F$1&amp;"'!$A$2:$T$1000"),4,FALSE),0)</f>
        <v>24.8</v>
      </c>
      <c r="G64" s="37">
        <f ca="1">_xlfn.IFNA(VLOOKUP($A64,INDIRECT("'W"&amp;G$1&amp;"'!$A$2:$T$1000"),4,FALSE),0)</f>
        <v>13.4</v>
      </c>
      <c r="H64" s="37">
        <f ca="1">_xlfn.IFNA(VLOOKUP($A64,INDIRECT("'W"&amp;H$1&amp;"'!$A$2:$T$1000"),4,FALSE),0)</f>
        <v>15.799999999999999</v>
      </c>
      <c r="I64" s="37">
        <f ca="1">_xlfn.IFNA(VLOOKUP($A64,INDIRECT("'W"&amp;I$1&amp;"'!$A$2:$T$1000"),4,FALSE),0)</f>
        <v>16</v>
      </c>
      <c r="J64" s="37">
        <f ca="1">_xlfn.IFNA(VLOOKUP($A64,INDIRECT("'W"&amp;J$1&amp;"'!$A$2:$T$1000"),4,FALSE),0)</f>
        <v>6.7</v>
      </c>
      <c r="K64" s="37">
        <f ca="1">_xlfn.IFNA(VLOOKUP($A64,INDIRECT("'W"&amp;K$1&amp;"'!$A$2:$T$1000"),4,FALSE),0)</f>
        <v>6.6000000000000005</v>
      </c>
      <c r="L64" s="37">
        <f ca="1">_xlfn.IFNA(VLOOKUP($A64,INDIRECT("'W"&amp;L$1&amp;"'!$A$2:$T$1000"),4,FALSE),0)</f>
        <v>0</v>
      </c>
      <c r="M64" s="37">
        <f ca="1">_xlfn.IFNA(VLOOKUP($A64,INDIRECT("'W"&amp;M$1&amp;"'!$A$2:$T$1000"),4,FALSE),0)</f>
        <v>10.1</v>
      </c>
      <c r="N64" s="37">
        <f ca="1">_xlfn.IFNA(VLOOKUP($A64,INDIRECT("'W"&amp;N$1&amp;"'!$A$2:$T$1000"),4,FALSE),0)</f>
        <v>25.9</v>
      </c>
      <c r="O64" s="37">
        <f ca="1">_xlfn.IFNA(VLOOKUP($A64,INDIRECT("'W"&amp;O$1&amp;"'!$A$2:$T$1000"),4,FALSE),0)</f>
        <v>21.3</v>
      </c>
      <c r="P64" s="37">
        <f ca="1">_xlfn.IFNA(VLOOKUP($A64,INDIRECT("'W"&amp;P$1&amp;"'!$A$2:$T$1000"),4,FALSE),0)</f>
        <v>0</v>
      </c>
      <c r="Q64" s="37">
        <f ca="1">_xlfn.IFNA(VLOOKUP($A64,INDIRECT("'W"&amp;Q$1&amp;"'!$A$2:$T$1000"),4,FALSE),0)</f>
        <v>0</v>
      </c>
      <c r="R64" s="37">
        <f ca="1">_xlfn.IFNA(VLOOKUP($A64,INDIRECT("'W"&amp;R$1&amp;"'!$A$2:$T$1000"),4,FALSE),0)</f>
        <v>10.6</v>
      </c>
      <c r="S64" s="37">
        <f ca="1">_xlfn.IFNA(VLOOKUP($A64,INDIRECT("'W"&amp;S$1&amp;"'!$A$2:$T$1000"),4,FALSE),0)</f>
        <v>29.5</v>
      </c>
      <c r="T64" s="37">
        <f ca="1">_xlfn.IFNA(VLOOKUP($A64,INDIRECT("'W"&amp;T$1&amp;"'!$A$2:$T$1000"),4,FALSE),0)</f>
        <v>0</v>
      </c>
      <c r="U64" s="36">
        <f ca="1">COUNTIF(C64:T64,"&gt; 15")</f>
        <v>7</v>
      </c>
      <c r="V64" s="36">
        <f ca="1">SUM(C64:T64)</f>
        <v>213.9</v>
      </c>
      <c r="W64" s="36"/>
      <c r="X64" s="38">
        <v>91</v>
      </c>
    </row>
    <row r="65" spans="1:24" ht="12.75" x14ac:dyDescent="0.2">
      <c r="A65" s="36" t="s">
        <v>184</v>
      </c>
      <c r="B65" s="36" t="s">
        <v>162</v>
      </c>
      <c r="C65" s="37">
        <f ca="1">_xlfn.IFNA(VLOOKUP($A65,INDIRECT("'W"&amp;C$1&amp;"'!$A$2:$T$1000"),4,FALSE),0)</f>
        <v>14.4</v>
      </c>
      <c r="D65" s="37">
        <f ca="1">_xlfn.IFNA(VLOOKUP($A65,INDIRECT("'W"&amp;D$1&amp;"'!$A$2:$T$1000"),4,FALSE),0)</f>
        <v>16.3</v>
      </c>
      <c r="E65" s="37">
        <f ca="1">_xlfn.IFNA(VLOOKUP($A65,INDIRECT("'W"&amp;E$1&amp;"'!$A$2:$T$1000"),4,FALSE),0)</f>
        <v>9.8000000000000007</v>
      </c>
      <c r="F65" s="37">
        <f ca="1">_xlfn.IFNA(VLOOKUP($A65,INDIRECT("'W"&amp;F$1&amp;"'!$A$2:$T$1000"),4,FALSE),0)</f>
        <v>15</v>
      </c>
      <c r="G65" s="37">
        <f ca="1">_xlfn.IFNA(VLOOKUP($A65,INDIRECT("'W"&amp;G$1&amp;"'!$A$2:$T$1000"),4,FALSE),0)</f>
        <v>8.4</v>
      </c>
      <c r="H65" s="37">
        <f ca="1">_xlfn.IFNA(VLOOKUP($A65,INDIRECT("'W"&amp;H$1&amp;"'!$A$2:$T$1000"),4,FALSE),0)</f>
        <v>17</v>
      </c>
      <c r="I65" s="37">
        <f ca="1">_xlfn.IFNA(VLOOKUP($A65,INDIRECT("'W"&amp;I$1&amp;"'!$A$2:$T$1000"),4,FALSE),0)</f>
        <v>0</v>
      </c>
      <c r="J65" s="37">
        <f ca="1">_xlfn.IFNA(VLOOKUP($A65,INDIRECT("'W"&amp;J$1&amp;"'!$A$2:$T$1000"),4,FALSE),0)</f>
        <v>17.600000000000001</v>
      </c>
      <c r="K65" s="37">
        <f ca="1">_xlfn.IFNA(VLOOKUP($A65,INDIRECT("'W"&amp;K$1&amp;"'!$A$2:$T$1000"),4,FALSE),0)</f>
        <v>13</v>
      </c>
      <c r="L65" s="37">
        <f ca="1">_xlfn.IFNA(VLOOKUP($A65,INDIRECT("'W"&amp;L$1&amp;"'!$A$2:$T$1000"),4,FALSE),0)</f>
        <v>18.3</v>
      </c>
      <c r="M65" s="37">
        <f ca="1">_xlfn.IFNA(VLOOKUP($A65,INDIRECT("'W"&amp;M$1&amp;"'!$A$2:$T$1000"),4,FALSE),0)</f>
        <v>0.89999999999999991</v>
      </c>
      <c r="N65" s="37">
        <f ca="1">_xlfn.IFNA(VLOOKUP($A65,INDIRECT("'W"&amp;N$1&amp;"'!$A$2:$T$1000"),4,FALSE),0)</f>
        <v>17.399999999999999</v>
      </c>
      <c r="O65" s="37">
        <f ca="1">_xlfn.IFNA(VLOOKUP($A65,INDIRECT("'W"&amp;O$1&amp;"'!$A$2:$T$1000"),4,FALSE),0)</f>
        <v>8</v>
      </c>
      <c r="P65" s="37">
        <f ca="1">_xlfn.IFNA(VLOOKUP($A65,INDIRECT("'W"&amp;P$1&amp;"'!$A$2:$T$1000"),4,FALSE),0)</f>
        <v>20.100000000000001</v>
      </c>
      <c r="Q65" s="37">
        <f ca="1">_xlfn.IFNA(VLOOKUP($A65,INDIRECT("'W"&amp;Q$1&amp;"'!$A$2:$T$1000"),4,FALSE),0)</f>
        <v>5.9</v>
      </c>
      <c r="R65" s="37">
        <f ca="1">_xlfn.IFNA(VLOOKUP($A65,INDIRECT("'W"&amp;R$1&amp;"'!$A$2:$T$1000"),4,FALSE),0)</f>
        <v>15.8</v>
      </c>
      <c r="S65" s="37">
        <f ca="1">_xlfn.IFNA(VLOOKUP($A65,INDIRECT("'W"&amp;S$1&amp;"'!$A$2:$T$1000"),4,FALSE),0)</f>
        <v>9.9</v>
      </c>
      <c r="T65" s="37">
        <f ca="1">_xlfn.IFNA(VLOOKUP($A65,INDIRECT("'W"&amp;T$1&amp;"'!$A$2:$T$1000"),4,FALSE),0)</f>
        <v>5.4</v>
      </c>
      <c r="U65" s="36">
        <f ca="1">COUNTIF(C65:T65,"&gt; 15")</f>
        <v>7</v>
      </c>
      <c r="V65" s="36">
        <f ca="1">SUM(C65:T65)</f>
        <v>213.20000000000005</v>
      </c>
      <c r="W65" s="36"/>
      <c r="X65" s="38">
        <v>16</v>
      </c>
    </row>
    <row r="66" spans="1:24" ht="12.75" x14ac:dyDescent="0.2">
      <c r="A66" s="36" t="s">
        <v>193</v>
      </c>
      <c r="B66" s="36" t="s">
        <v>162</v>
      </c>
      <c r="C66" s="37">
        <f ca="1">_xlfn.IFNA(VLOOKUP($A66,INDIRECT("'W"&amp;C$1&amp;"'!$A$2:$T$1000"),4,FALSE),0)</f>
        <v>11.600000000000001</v>
      </c>
      <c r="D66" s="37">
        <f ca="1">_xlfn.IFNA(VLOOKUP($A66,INDIRECT("'W"&amp;D$1&amp;"'!$A$2:$T$1000"),4,FALSE),0)</f>
        <v>4</v>
      </c>
      <c r="E66" s="37">
        <f ca="1">_xlfn.IFNA(VLOOKUP($A66,INDIRECT("'W"&amp;E$1&amp;"'!$A$2:$T$1000"),4,FALSE),0)</f>
        <v>10.9</v>
      </c>
      <c r="F66" s="37">
        <f ca="1">_xlfn.IFNA(VLOOKUP($A66,INDIRECT("'W"&amp;F$1&amp;"'!$A$2:$T$1000"),4,FALSE),0)</f>
        <v>6.2</v>
      </c>
      <c r="G66" s="37">
        <f ca="1">_xlfn.IFNA(VLOOKUP($A66,INDIRECT("'W"&amp;G$1&amp;"'!$A$2:$T$1000"),4,FALSE),0)</f>
        <v>13.3</v>
      </c>
      <c r="H66" s="37">
        <f ca="1">_xlfn.IFNA(VLOOKUP($A66,INDIRECT("'W"&amp;H$1&amp;"'!$A$2:$T$1000"),4,FALSE),0)</f>
        <v>11.2</v>
      </c>
      <c r="I66" s="37">
        <f ca="1">_xlfn.IFNA(VLOOKUP($A66,INDIRECT("'W"&amp;I$1&amp;"'!$A$2:$T$1000"),4,FALSE),0)</f>
        <v>17</v>
      </c>
      <c r="J66" s="37">
        <f ca="1">_xlfn.IFNA(VLOOKUP($A66,INDIRECT("'W"&amp;J$1&amp;"'!$A$2:$T$1000"),4,FALSE),0)</f>
        <v>9.6000000000000014</v>
      </c>
      <c r="K66" s="37">
        <f ca="1">_xlfn.IFNA(VLOOKUP($A66,INDIRECT("'W"&amp;K$1&amp;"'!$A$2:$T$1000"),4,FALSE),0)</f>
        <v>9.6999999999999993</v>
      </c>
      <c r="L66" s="37">
        <f ca="1">_xlfn.IFNA(VLOOKUP($A66,INDIRECT("'W"&amp;L$1&amp;"'!$A$2:$T$1000"),4,FALSE),0)</f>
        <v>0</v>
      </c>
      <c r="M66" s="37">
        <f ca="1">_xlfn.IFNA(VLOOKUP($A66,INDIRECT("'W"&amp;M$1&amp;"'!$A$2:$T$1000"),4,FALSE),0)</f>
        <v>8.1999999999999993</v>
      </c>
      <c r="N66" s="37">
        <f ca="1">_xlfn.IFNA(VLOOKUP($A66,INDIRECT("'W"&amp;N$1&amp;"'!$A$2:$T$1000"),4,FALSE),0)</f>
        <v>24.700000000000003</v>
      </c>
      <c r="O66" s="37">
        <f ca="1">_xlfn.IFNA(VLOOKUP($A66,INDIRECT("'W"&amp;O$1&amp;"'!$A$2:$T$1000"),4,FALSE),0)</f>
        <v>14.4</v>
      </c>
      <c r="P66" s="37">
        <f ca="1">_xlfn.IFNA(VLOOKUP($A66,INDIRECT("'W"&amp;P$1&amp;"'!$A$2:$T$1000"),4,FALSE),0)</f>
        <v>18.2</v>
      </c>
      <c r="Q66" s="37">
        <f ca="1">_xlfn.IFNA(VLOOKUP($A66,INDIRECT("'W"&amp;Q$1&amp;"'!$A$2:$T$1000"),4,FALSE),0)</f>
        <v>24.1</v>
      </c>
      <c r="R66" s="37">
        <f ca="1">_xlfn.IFNA(VLOOKUP($A66,INDIRECT("'W"&amp;R$1&amp;"'!$A$2:$T$1000"),4,FALSE),0)</f>
        <v>11.7</v>
      </c>
      <c r="S66" s="37">
        <f ca="1">_xlfn.IFNA(VLOOKUP($A66,INDIRECT("'W"&amp;S$1&amp;"'!$A$2:$T$1000"),4,FALSE),0)</f>
        <v>17.700000000000003</v>
      </c>
      <c r="T66" s="37">
        <f ca="1">_xlfn.IFNA(VLOOKUP($A66,INDIRECT("'W"&amp;T$1&amp;"'!$A$2:$T$1000"),4,FALSE),0)</f>
        <v>0</v>
      </c>
      <c r="U66" s="36">
        <f ca="1">COUNTIF(C66:T66,"&gt; 15")</f>
        <v>5</v>
      </c>
      <c r="V66" s="36">
        <f ca="1">SUM(C66:T66)</f>
        <v>212.5</v>
      </c>
      <c r="W66" s="36"/>
      <c r="X66" s="38"/>
    </row>
    <row r="67" spans="1:24" ht="12.75" x14ac:dyDescent="0.2">
      <c r="A67" s="36" t="s">
        <v>136</v>
      </c>
      <c r="B67" s="36" t="s">
        <v>75</v>
      </c>
      <c r="C67" s="37">
        <f ca="1">_xlfn.IFNA(VLOOKUP($A67,INDIRECT("'W"&amp;C$1&amp;"'!$A$2:$T$1000"),4,FALSE),0)</f>
        <v>1.6</v>
      </c>
      <c r="D67" s="37">
        <f ca="1">_xlfn.IFNA(VLOOKUP($A67,INDIRECT("'W"&amp;D$1&amp;"'!$A$2:$T$1000"),4,FALSE),0)</f>
        <v>24.1</v>
      </c>
      <c r="E67" s="37">
        <f ca="1">_xlfn.IFNA(VLOOKUP($A67,INDIRECT("'W"&amp;E$1&amp;"'!$A$2:$T$1000"),4,FALSE),0)</f>
        <v>19.100000000000001</v>
      </c>
      <c r="F67" s="37">
        <f ca="1">_xlfn.IFNA(VLOOKUP($A67,INDIRECT("'W"&amp;F$1&amp;"'!$A$2:$T$1000"),4,FALSE),0)</f>
        <v>9.5</v>
      </c>
      <c r="G67" s="37">
        <f ca="1">_xlfn.IFNA(VLOOKUP($A67,INDIRECT("'W"&amp;G$1&amp;"'!$A$2:$T$1000"),4,FALSE),0)</f>
        <v>0</v>
      </c>
      <c r="H67" s="37">
        <f ca="1">_xlfn.IFNA(VLOOKUP($A67,INDIRECT("'W"&amp;H$1&amp;"'!$A$2:$T$1000"),4,FALSE),0)</f>
        <v>11.1</v>
      </c>
      <c r="I67" s="37">
        <f ca="1">_xlfn.IFNA(VLOOKUP($A67,INDIRECT("'W"&amp;I$1&amp;"'!$A$2:$T$1000"),4,FALSE),0)</f>
        <v>17.399999999999999</v>
      </c>
      <c r="J67" s="37">
        <f ca="1">_xlfn.IFNA(VLOOKUP($A67,INDIRECT("'W"&amp;J$1&amp;"'!$A$2:$T$1000"),4,FALSE),0)</f>
        <v>4.9000000000000004</v>
      </c>
      <c r="K67" s="37">
        <f ca="1">_xlfn.IFNA(VLOOKUP($A67,INDIRECT("'W"&amp;K$1&amp;"'!$A$2:$T$1000"),4,FALSE),0)</f>
        <v>12.700000000000001</v>
      </c>
      <c r="L67" s="37">
        <f ca="1">_xlfn.IFNA(VLOOKUP($A67,INDIRECT("'W"&amp;L$1&amp;"'!$A$2:$T$1000"),4,FALSE),0)</f>
        <v>11.9</v>
      </c>
      <c r="M67" s="37">
        <f ca="1">_xlfn.IFNA(VLOOKUP($A67,INDIRECT("'W"&amp;M$1&amp;"'!$A$2:$T$1000"),4,FALSE),0)</f>
        <v>11.9</v>
      </c>
      <c r="N67" s="37">
        <f ca="1">_xlfn.IFNA(VLOOKUP($A67,INDIRECT("'W"&amp;N$1&amp;"'!$A$2:$T$1000"),4,FALSE),0)</f>
        <v>11.9</v>
      </c>
      <c r="O67" s="37">
        <f ca="1">_xlfn.IFNA(VLOOKUP($A67,INDIRECT("'W"&amp;O$1&amp;"'!$A$2:$T$1000"),4,FALSE),0)</f>
        <v>14.200000000000001</v>
      </c>
      <c r="P67" s="37">
        <f ca="1">_xlfn.IFNA(VLOOKUP($A67,INDIRECT("'W"&amp;P$1&amp;"'!$A$2:$T$1000"),4,FALSE),0)</f>
        <v>13.200000000000001</v>
      </c>
      <c r="Q67" s="37">
        <f ca="1">_xlfn.IFNA(VLOOKUP($A67,INDIRECT("'W"&amp;Q$1&amp;"'!$A$2:$T$1000"),4,FALSE),0)</f>
        <v>7.1</v>
      </c>
      <c r="R67" s="37">
        <f ca="1">_xlfn.IFNA(VLOOKUP($A67,INDIRECT("'W"&amp;R$1&amp;"'!$A$2:$T$1000"),4,FALSE),0)</f>
        <v>9.3000000000000007</v>
      </c>
      <c r="S67" s="37">
        <f ca="1">_xlfn.IFNA(VLOOKUP($A67,INDIRECT("'W"&amp;S$1&amp;"'!$A$2:$T$1000"),4,FALSE),0)</f>
        <v>26.1</v>
      </c>
      <c r="T67" s="37">
        <f ca="1">_xlfn.IFNA(VLOOKUP($A67,INDIRECT("'W"&amp;T$1&amp;"'!$A$2:$T$1000"),4,FALSE),0)</f>
        <v>5.2</v>
      </c>
      <c r="U67" s="36">
        <f ca="1">COUNTIF(C67:T67,"&gt; 15")</f>
        <v>4</v>
      </c>
      <c r="V67" s="36">
        <f ca="1">SUM(C67:T67)</f>
        <v>211.2</v>
      </c>
      <c r="W67" s="36">
        <v>1</v>
      </c>
      <c r="X67" s="38">
        <v>182</v>
      </c>
    </row>
    <row r="68" spans="1:24" ht="12.75" x14ac:dyDescent="0.2">
      <c r="A68" s="36" t="s">
        <v>198</v>
      </c>
      <c r="B68" s="36" t="s">
        <v>162</v>
      </c>
      <c r="C68" s="37">
        <f ca="1">_xlfn.IFNA(VLOOKUP($A68,INDIRECT("'W"&amp;C$1&amp;"'!$A$2:$T$1000"),4,FALSE),0)</f>
        <v>10.100000000000001</v>
      </c>
      <c r="D68" s="37">
        <f ca="1">_xlfn.IFNA(VLOOKUP($A68,INDIRECT("'W"&amp;D$1&amp;"'!$A$2:$T$1000"),4,FALSE),0)</f>
        <v>10.8</v>
      </c>
      <c r="E68" s="37">
        <f ca="1">_xlfn.IFNA(VLOOKUP($A68,INDIRECT("'W"&amp;E$1&amp;"'!$A$2:$T$1000"),4,FALSE),0)</f>
        <v>8.1999999999999993</v>
      </c>
      <c r="F68" s="37">
        <f ca="1">_xlfn.IFNA(VLOOKUP($A68,INDIRECT("'W"&amp;F$1&amp;"'!$A$2:$T$1000"),4,FALSE),0)</f>
        <v>19.399999999999999</v>
      </c>
      <c r="G68" s="37">
        <f ca="1">_xlfn.IFNA(VLOOKUP($A68,INDIRECT("'W"&amp;G$1&amp;"'!$A$2:$T$1000"),4,FALSE),0)</f>
        <v>0</v>
      </c>
      <c r="H68" s="37">
        <f ca="1">_xlfn.IFNA(VLOOKUP($A68,INDIRECT("'W"&amp;H$1&amp;"'!$A$2:$T$1000"),4,FALSE),0)</f>
        <v>13.7</v>
      </c>
      <c r="I68" s="37">
        <f ca="1">_xlfn.IFNA(VLOOKUP($A68,INDIRECT("'W"&amp;I$1&amp;"'!$A$2:$T$1000"),4,FALSE),0)</f>
        <v>12.600000000000001</v>
      </c>
      <c r="J68" s="37">
        <f ca="1">_xlfn.IFNA(VLOOKUP($A68,INDIRECT("'W"&amp;J$1&amp;"'!$A$2:$T$1000"),4,FALSE),0)</f>
        <v>17.8</v>
      </c>
      <c r="K68" s="37">
        <f ca="1">_xlfn.IFNA(VLOOKUP($A68,INDIRECT("'W"&amp;K$1&amp;"'!$A$2:$T$1000"),4,FALSE),0)</f>
        <v>3.6</v>
      </c>
      <c r="L68" s="37">
        <f ca="1">_xlfn.IFNA(VLOOKUP($A68,INDIRECT("'W"&amp;L$1&amp;"'!$A$2:$T$1000"),4,FALSE),0)</f>
        <v>9.4</v>
      </c>
      <c r="M68" s="37">
        <f ca="1">_xlfn.IFNA(VLOOKUP($A68,INDIRECT("'W"&amp;M$1&amp;"'!$A$2:$T$1000"),4,FALSE),0)</f>
        <v>9.9</v>
      </c>
      <c r="N68" s="37">
        <f ca="1">_xlfn.IFNA(VLOOKUP($A68,INDIRECT("'W"&amp;N$1&amp;"'!$A$2:$T$1000"),4,FALSE),0)</f>
        <v>7.5</v>
      </c>
      <c r="O68" s="37">
        <f ca="1">_xlfn.IFNA(VLOOKUP($A68,INDIRECT("'W"&amp;O$1&amp;"'!$A$2:$T$1000"),4,FALSE),0)</f>
        <v>7.9</v>
      </c>
      <c r="P68" s="37">
        <f ca="1">_xlfn.IFNA(VLOOKUP($A68,INDIRECT("'W"&amp;P$1&amp;"'!$A$2:$T$1000"),4,FALSE),0)</f>
        <v>10.3</v>
      </c>
      <c r="Q68" s="37">
        <f ca="1">_xlfn.IFNA(VLOOKUP($A68,INDIRECT("'W"&amp;Q$1&amp;"'!$A$2:$T$1000"),4,FALSE),0)</f>
        <v>25.5</v>
      </c>
      <c r="R68" s="37">
        <f ca="1">_xlfn.IFNA(VLOOKUP($A68,INDIRECT("'W"&amp;R$1&amp;"'!$A$2:$T$1000"),4,FALSE),0)</f>
        <v>13.9</v>
      </c>
      <c r="S68" s="37">
        <f ca="1">_xlfn.IFNA(VLOOKUP($A68,INDIRECT("'W"&amp;S$1&amp;"'!$A$2:$T$1000"),4,FALSE),0)</f>
        <v>17.100000000000001</v>
      </c>
      <c r="T68" s="37">
        <f ca="1">_xlfn.IFNA(VLOOKUP($A68,INDIRECT("'W"&amp;T$1&amp;"'!$A$2:$T$1000"),4,FALSE),0)</f>
        <v>11.5</v>
      </c>
      <c r="U68" s="36">
        <f ca="1">COUNTIF(C68:T68,"&gt; 15")</f>
        <v>4</v>
      </c>
      <c r="V68" s="36">
        <f ca="1">SUM(C68:T68)</f>
        <v>209.20000000000002</v>
      </c>
      <c r="W68" s="36"/>
      <c r="X68" s="38">
        <v>57</v>
      </c>
    </row>
    <row r="69" spans="1:24" ht="12.75" x14ac:dyDescent="0.2">
      <c r="A69" s="36" t="s">
        <v>210</v>
      </c>
      <c r="B69" s="36" t="s">
        <v>162</v>
      </c>
      <c r="C69" s="37">
        <f ca="1">_xlfn.IFNA(VLOOKUP($A69,INDIRECT("'W"&amp;C$1&amp;"'!$A$2:$T$1000"),4,FALSE),0)</f>
        <v>8.6</v>
      </c>
      <c r="D69" s="37">
        <f ca="1">_xlfn.IFNA(VLOOKUP($A69,INDIRECT("'W"&amp;D$1&amp;"'!$A$2:$T$1000"),4,FALSE),0)</f>
        <v>22.700000000000003</v>
      </c>
      <c r="E69" s="37">
        <f ca="1">_xlfn.IFNA(VLOOKUP($A69,INDIRECT("'W"&amp;E$1&amp;"'!$A$2:$T$1000"),4,FALSE),0)</f>
        <v>11.5</v>
      </c>
      <c r="F69" s="37">
        <f ca="1">_xlfn.IFNA(VLOOKUP($A69,INDIRECT("'W"&amp;F$1&amp;"'!$A$2:$T$1000"),4,FALSE),0)</f>
        <v>5.5</v>
      </c>
      <c r="G69" s="37">
        <f ca="1">_xlfn.IFNA(VLOOKUP($A69,INDIRECT("'W"&amp;G$1&amp;"'!$A$2:$T$1000"),4,FALSE),0)</f>
        <v>26.6</v>
      </c>
      <c r="H69" s="37">
        <f ca="1">_xlfn.IFNA(VLOOKUP($A69,INDIRECT("'W"&amp;H$1&amp;"'!$A$2:$T$1000"),4,FALSE),0)</f>
        <v>0</v>
      </c>
      <c r="I69" s="37">
        <f ca="1">_xlfn.IFNA(VLOOKUP($A69,INDIRECT("'W"&amp;I$1&amp;"'!$A$2:$T$1000"),4,FALSE),0)</f>
        <v>15.700000000000001</v>
      </c>
      <c r="J69" s="37">
        <f ca="1">_xlfn.IFNA(VLOOKUP($A69,INDIRECT("'W"&amp;J$1&amp;"'!$A$2:$T$1000"),4,FALSE),0)</f>
        <v>9.1999999999999993</v>
      </c>
      <c r="K69" s="37">
        <f ca="1">_xlfn.IFNA(VLOOKUP($A69,INDIRECT("'W"&amp;K$1&amp;"'!$A$2:$T$1000"),4,FALSE),0)</f>
        <v>1.9</v>
      </c>
      <c r="L69" s="37">
        <f ca="1">_xlfn.IFNA(VLOOKUP($A69,INDIRECT("'W"&amp;L$1&amp;"'!$A$2:$T$1000"),4,FALSE),0)</f>
        <v>7.5</v>
      </c>
      <c r="M69" s="37">
        <f ca="1">_xlfn.IFNA(VLOOKUP($A69,INDIRECT("'W"&amp;M$1&amp;"'!$A$2:$T$1000"),4,FALSE),0)</f>
        <v>7.7</v>
      </c>
      <c r="N69" s="37">
        <f ca="1">_xlfn.IFNA(VLOOKUP($A69,INDIRECT("'W"&amp;N$1&amp;"'!$A$2:$T$1000"),4,FALSE),0)</f>
        <v>8.8000000000000007</v>
      </c>
      <c r="O69" s="37">
        <f ca="1">_xlfn.IFNA(VLOOKUP($A69,INDIRECT("'W"&amp;O$1&amp;"'!$A$2:$T$1000"),4,FALSE),0)</f>
        <v>12.6</v>
      </c>
      <c r="P69" s="37">
        <f ca="1">_xlfn.IFNA(VLOOKUP($A69,INDIRECT("'W"&amp;P$1&amp;"'!$A$2:$T$1000"),4,FALSE),0)</f>
        <v>6.9</v>
      </c>
      <c r="Q69" s="37">
        <f ca="1">_xlfn.IFNA(VLOOKUP($A69,INDIRECT("'W"&amp;Q$1&amp;"'!$A$2:$T$1000"),4,FALSE),0)</f>
        <v>7.7</v>
      </c>
      <c r="R69" s="37">
        <f ca="1">_xlfn.IFNA(VLOOKUP($A69,INDIRECT("'W"&amp;R$1&amp;"'!$A$2:$T$1000"),4,FALSE),0)</f>
        <v>35.5</v>
      </c>
      <c r="S69" s="37">
        <f ca="1">_xlfn.IFNA(VLOOKUP($A69,INDIRECT("'W"&amp;S$1&amp;"'!$A$2:$T$1000"),4,FALSE),0)</f>
        <v>20.100000000000001</v>
      </c>
      <c r="T69" s="37">
        <f ca="1">_xlfn.IFNA(VLOOKUP($A69,INDIRECT("'W"&amp;T$1&amp;"'!$A$2:$T$1000"),4,FALSE),0)</f>
        <v>0.30000000000000004</v>
      </c>
      <c r="U69" s="36">
        <f ca="1">COUNTIF(C69:T69,"&gt; 15")</f>
        <v>5</v>
      </c>
      <c r="V69" s="36">
        <f ca="1">SUM(C69:T69)</f>
        <v>208.8</v>
      </c>
      <c r="W69" s="36"/>
      <c r="X69" s="38">
        <v>80</v>
      </c>
    </row>
    <row r="70" spans="1:24" ht="12.75" x14ac:dyDescent="0.2">
      <c r="A70" s="36" t="s">
        <v>90</v>
      </c>
      <c r="B70" s="36" t="s">
        <v>75</v>
      </c>
      <c r="C70" s="37">
        <f ca="1">_xlfn.IFNA(VLOOKUP($A70,INDIRECT("'W"&amp;C$1&amp;"'!$A$2:$T$1000"),4,FALSE),0)</f>
        <v>13.4</v>
      </c>
      <c r="D70" s="37">
        <f ca="1">_xlfn.IFNA(VLOOKUP($A70,INDIRECT("'W"&amp;D$1&amp;"'!$A$2:$T$1000"),4,FALSE),0)</f>
        <v>12.399999999999999</v>
      </c>
      <c r="E70" s="37">
        <f ca="1">_xlfn.IFNA(VLOOKUP($A70,INDIRECT("'W"&amp;E$1&amp;"'!$A$2:$T$1000"),4,FALSE),0)</f>
        <v>0</v>
      </c>
      <c r="F70" s="37">
        <f ca="1">_xlfn.IFNA(VLOOKUP($A70,INDIRECT("'W"&amp;F$1&amp;"'!$A$2:$T$1000"),4,FALSE),0)</f>
        <v>34.1</v>
      </c>
      <c r="G70" s="37">
        <f ca="1">_xlfn.IFNA(VLOOKUP($A70,INDIRECT("'W"&amp;G$1&amp;"'!$A$2:$T$1000"),4,FALSE),0)</f>
        <v>20.9</v>
      </c>
      <c r="H70" s="37">
        <f ca="1">_xlfn.IFNA(VLOOKUP($A70,INDIRECT("'W"&amp;H$1&amp;"'!$A$2:$T$1000"),4,FALSE),0)</f>
        <v>4.3000000000000007</v>
      </c>
      <c r="I70" s="37">
        <f ca="1">_xlfn.IFNA(VLOOKUP($A70,INDIRECT("'W"&amp;I$1&amp;"'!$A$2:$T$1000"),4,FALSE),0)</f>
        <v>0</v>
      </c>
      <c r="J70" s="37">
        <f ca="1">_xlfn.IFNA(VLOOKUP($A70,INDIRECT("'W"&amp;J$1&amp;"'!$A$2:$T$1000"),4,FALSE),0)</f>
        <v>0</v>
      </c>
      <c r="K70" s="37">
        <f ca="1">_xlfn.IFNA(VLOOKUP($A70,INDIRECT("'W"&amp;K$1&amp;"'!$A$2:$T$1000"),4,FALSE),0)</f>
        <v>0</v>
      </c>
      <c r="L70" s="37">
        <f ca="1">_xlfn.IFNA(VLOOKUP($A70,INDIRECT("'W"&amp;L$1&amp;"'!$A$2:$T$1000"),4,FALSE),0)</f>
        <v>17.600000000000001</v>
      </c>
      <c r="M70" s="37">
        <f ca="1">_xlfn.IFNA(VLOOKUP($A70,INDIRECT("'W"&amp;M$1&amp;"'!$A$2:$T$1000"),4,FALSE),0)</f>
        <v>17.8</v>
      </c>
      <c r="N70" s="37">
        <f ca="1">_xlfn.IFNA(VLOOKUP($A70,INDIRECT("'W"&amp;N$1&amp;"'!$A$2:$T$1000"),4,FALSE),0)</f>
        <v>15.100000000000001</v>
      </c>
      <c r="O70" s="37">
        <f ca="1">_xlfn.IFNA(VLOOKUP($A70,INDIRECT("'W"&amp;O$1&amp;"'!$A$2:$T$1000"),4,FALSE),0)</f>
        <v>12.500000000000002</v>
      </c>
      <c r="P70" s="37">
        <f ca="1">_xlfn.IFNA(VLOOKUP($A70,INDIRECT("'W"&amp;P$1&amp;"'!$A$2:$T$1000"),4,FALSE),0)</f>
        <v>11.500000000000002</v>
      </c>
      <c r="Q70" s="37">
        <f ca="1">_xlfn.IFNA(VLOOKUP($A70,INDIRECT("'W"&amp;Q$1&amp;"'!$A$2:$T$1000"),4,FALSE),0)</f>
        <v>10.199999999999999</v>
      </c>
      <c r="R70" s="37">
        <f ca="1">_xlfn.IFNA(VLOOKUP($A70,INDIRECT("'W"&amp;R$1&amp;"'!$A$2:$T$1000"),4,FALSE),0)</f>
        <v>14.9</v>
      </c>
      <c r="S70" s="37">
        <f ca="1">_xlfn.IFNA(VLOOKUP($A70,INDIRECT("'W"&amp;S$1&amp;"'!$A$2:$T$1000"),4,FALSE),0)</f>
        <v>12.5</v>
      </c>
      <c r="T70" s="37">
        <f ca="1">_xlfn.IFNA(VLOOKUP($A70,INDIRECT("'W"&amp;T$1&amp;"'!$A$2:$T$1000"),4,FALSE),0)</f>
        <v>10</v>
      </c>
      <c r="U70" s="36">
        <f ca="1">COUNTIF(C70:T70,"&gt; 15")</f>
        <v>5</v>
      </c>
      <c r="V70" s="36">
        <f ca="1">SUM(C70:T70)</f>
        <v>207.2</v>
      </c>
      <c r="W70" s="36"/>
      <c r="X70" s="38">
        <v>78</v>
      </c>
    </row>
    <row r="71" spans="1:24" ht="12.75" x14ac:dyDescent="0.2">
      <c r="A71" s="36" t="s">
        <v>179</v>
      </c>
      <c r="B71" s="36" t="s">
        <v>162</v>
      </c>
      <c r="C71" s="37">
        <f ca="1">_xlfn.IFNA(VLOOKUP($A71,INDIRECT("'W"&amp;C$1&amp;"'!$A$2:$T$1000"),4,FALSE),0)</f>
        <v>17.700000000000003</v>
      </c>
      <c r="D71" s="37">
        <f ca="1">_xlfn.IFNA(VLOOKUP($A71,INDIRECT("'W"&amp;D$1&amp;"'!$A$2:$T$1000"),4,FALSE),0)</f>
        <v>10.8</v>
      </c>
      <c r="E71" s="37">
        <f ca="1">_xlfn.IFNA(VLOOKUP($A71,INDIRECT("'W"&amp;E$1&amp;"'!$A$2:$T$1000"),4,FALSE),0)</f>
        <v>13</v>
      </c>
      <c r="F71" s="37">
        <f ca="1">_xlfn.IFNA(VLOOKUP($A71,INDIRECT("'W"&amp;F$1&amp;"'!$A$2:$T$1000"),4,FALSE),0)</f>
        <v>8</v>
      </c>
      <c r="G71" s="37">
        <f ca="1">_xlfn.IFNA(VLOOKUP($A71,INDIRECT("'W"&amp;G$1&amp;"'!$A$2:$T$1000"),4,FALSE),0)</f>
        <v>12.3</v>
      </c>
      <c r="H71" s="37">
        <f ca="1">_xlfn.IFNA(VLOOKUP($A71,INDIRECT("'W"&amp;H$1&amp;"'!$A$2:$T$1000"),4,FALSE),0)</f>
        <v>17.100000000000001</v>
      </c>
      <c r="I71" s="37">
        <f ca="1">_xlfn.IFNA(VLOOKUP($A71,INDIRECT("'W"&amp;I$1&amp;"'!$A$2:$T$1000"),4,FALSE),0)</f>
        <v>11.5</v>
      </c>
      <c r="J71" s="37">
        <f ca="1">_xlfn.IFNA(VLOOKUP($A71,INDIRECT("'W"&amp;J$1&amp;"'!$A$2:$T$1000"),4,FALSE),0)</f>
        <v>6.9</v>
      </c>
      <c r="K71" s="37">
        <f ca="1">_xlfn.IFNA(VLOOKUP($A71,INDIRECT("'W"&amp;K$1&amp;"'!$A$2:$T$1000"),4,FALSE),0)</f>
        <v>2.1</v>
      </c>
      <c r="L71" s="37">
        <f ca="1">_xlfn.IFNA(VLOOKUP($A71,INDIRECT("'W"&amp;L$1&amp;"'!$A$2:$T$1000"),4,FALSE),0)</f>
        <v>12.3</v>
      </c>
      <c r="M71" s="37">
        <f ca="1">_xlfn.IFNA(VLOOKUP($A71,INDIRECT("'W"&amp;M$1&amp;"'!$A$2:$T$1000"),4,FALSE),0)</f>
        <v>8</v>
      </c>
      <c r="N71" s="37">
        <f ca="1">_xlfn.IFNA(VLOOKUP($A71,INDIRECT("'W"&amp;N$1&amp;"'!$A$2:$T$1000"),4,FALSE),0)</f>
        <v>23.2</v>
      </c>
      <c r="O71" s="37">
        <f ca="1">_xlfn.IFNA(VLOOKUP($A71,INDIRECT("'W"&amp;O$1&amp;"'!$A$2:$T$1000"),4,FALSE),0)</f>
        <v>0</v>
      </c>
      <c r="P71" s="37">
        <f ca="1">_xlfn.IFNA(VLOOKUP($A71,INDIRECT("'W"&amp;P$1&amp;"'!$A$2:$T$1000"),4,FALSE),0)</f>
        <v>20</v>
      </c>
      <c r="Q71" s="37">
        <f ca="1">_xlfn.IFNA(VLOOKUP($A71,INDIRECT("'W"&amp;Q$1&amp;"'!$A$2:$T$1000"),4,FALSE),0)</f>
        <v>1.7000000000000002</v>
      </c>
      <c r="R71" s="37">
        <f ca="1">_xlfn.IFNA(VLOOKUP($A71,INDIRECT("'W"&amp;R$1&amp;"'!$A$2:$T$1000"),4,FALSE),0)</f>
        <v>22.2</v>
      </c>
      <c r="S71" s="37">
        <f ca="1">_xlfn.IFNA(VLOOKUP($A71,INDIRECT("'W"&amp;S$1&amp;"'!$A$2:$T$1000"),4,FALSE),0)</f>
        <v>19.600000000000001</v>
      </c>
      <c r="T71" s="37">
        <f ca="1">_xlfn.IFNA(VLOOKUP($A71,INDIRECT("'W"&amp;T$1&amp;"'!$A$2:$T$1000"),4,FALSE),0)</f>
        <v>0</v>
      </c>
      <c r="U71" s="36">
        <f ca="1">COUNTIF(C71:T71,"&gt; 15")</f>
        <v>6</v>
      </c>
      <c r="V71" s="36">
        <f ca="1">SUM(C71:T71)</f>
        <v>206.39999999999998</v>
      </c>
      <c r="W71" s="36"/>
      <c r="X71" s="38">
        <v>125</v>
      </c>
    </row>
    <row r="72" spans="1:24" ht="12.75" x14ac:dyDescent="0.2">
      <c r="A72" s="36" t="s">
        <v>298</v>
      </c>
      <c r="B72" s="36" t="s">
        <v>69</v>
      </c>
      <c r="C72" s="37">
        <f ca="1">_xlfn.IFNA(VLOOKUP($A72,INDIRECT("'W"&amp;C$1&amp;"'!$A$2:$T$1000"),4,FALSE),0)</f>
        <v>4.9000000000000004</v>
      </c>
      <c r="D72" s="37">
        <f ca="1">_xlfn.IFNA(VLOOKUP($A72,INDIRECT("'W"&amp;D$1&amp;"'!$A$2:$T$1000"),4,FALSE),0)</f>
        <v>6</v>
      </c>
      <c r="E72" s="37">
        <f ca="1">_xlfn.IFNA(VLOOKUP($A72,INDIRECT("'W"&amp;E$1&amp;"'!$A$2:$T$1000"),4,FALSE),0)</f>
        <v>16</v>
      </c>
      <c r="F72" s="37">
        <f ca="1">_xlfn.IFNA(VLOOKUP($A72,INDIRECT("'W"&amp;F$1&amp;"'!$A$2:$T$1000"),4,FALSE),0)</f>
        <v>1.9</v>
      </c>
      <c r="G72" s="37">
        <f ca="1">_xlfn.IFNA(VLOOKUP($A72,INDIRECT("'W"&amp;G$1&amp;"'!$A$2:$T$1000"),4,FALSE),0)</f>
        <v>27.7</v>
      </c>
      <c r="H72" s="37">
        <f ca="1">_xlfn.IFNA(VLOOKUP($A72,INDIRECT("'W"&amp;H$1&amp;"'!$A$2:$T$1000"),4,FALSE),0)</f>
        <v>1.1000000000000001</v>
      </c>
      <c r="I72" s="37">
        <f ca="1">_xlfn.IFNA(VLOOKUP($A72,INDIRECT("'W"&amp;I$1&amp;"'!$A$2:$T$1000"),4,FALSE),0)</f>
        <v>13</v>
      </c>
      <c r="J72" s="37">
        <f ca="1">_xlfn.IFNA(VLOOKUP($A72,INDIRECT("'W"&amp;J$1&amp;"'!$A$2:$T$1000"),4,FALSE),0)</f>
        <v>23.9</v>
      </c>
      <c r="K72" s="37">
        <f ca="1">_xlfn.IFNA(VLOOKUP($A72,INDIRECT("'W"&amp;K$1&amp;"'!$A$2:$T$1000"),4,FALSE),0)</f>
        <v>0</v>
      </c>
      <c r="L72" s="37">
        <f ca="1">_xlfn.IFNA(VLOOKUP($A72,INDIRECT("'W"&amp;L$1&amp;"'!$A$2:$T$1000"),4,FALSE),0)</f>
        <v>20.6</v>
      </c>
      <c r="M72" s="37">
        <f ca="1">_xlfn.IFNA(VLOOKUP($A72,INDIRECT("'W"&amp;M$1&amp;"'!$A$2:$T$1000"),4,FALSE),0)</f>
        <v>22.9</v>
      </c>
      <c r="N72" s="37">
        <f ca="1">_xlfn.IFNA(VLOOKUP($A72,INDIRECT("'W"&amp;N$1&amp;"'!$A$2:$T$1000"),4,FALSE),0)</f>
        <v>4.9000000000000004</v>
      </c>
      <c r="O72" s="37">
        <f ca="1">_xlfn.IFNA(VLOOKUP($A72,INDIRECT("'W"&amp;O$1&amp;"'!$A$2:$T$1000"),4,FALSE),0)</f>
        <v>10.8</v>
      </c>
      <c r="P72" s="37">
        <f ca="1">_xlfn.IFNA(VLOOKUP($A72,INDIRECT("'W"&amp;P$1&amp;"'!$A$2:$T$1000"),4,FALSE),0)</f>
        <v>16.600000000000001</v>
      </c>
      <c r="Q72" s="37">
        <f ca="1">_xlfn.IFNA(VLOOKUP($A72,INDIRECT("'W"&amp;Q$1&amp;"'!$A$2:$T$1000"),4,FALSE),0)</f>
        <v>7.4</v>
      </c>
      <c r="R72" s="37">
        <f ca="1">_xlfn.IFNA(VLOOKUP($A72,INDIRECT("'W"&amp;R$1&amp;"'!$A$2:$T$1000"),4,FALSE),0)</f>
        <v>19.600000000000001</v>
      </c>
      <c r="S72" s="37">
        <f ca="1">_xlfn.IFNA(VLOOKUP($A72,INDIRECT("'W"&amp;S$1&amp;"'!$A$2:$T$1000"),4,FALSE),0)</f>
        <v>5.9</v>
      </c>
      <c r="T72" s="37">
        <f ca="1">_xlfn.IFNA(VLOOKUP($A72,INDIRECT("'W"&amp;T$1&amp;"'!$A$2:$T$1000"),4,FALSE),0)</f>
        <v>0</v>
      </c>
      <c r="U72" s="36">
        <f ca="1">COUNTIF(C72:T72,"&gt; 15")</f>
        <v>7</v>
      </c>
      <c r="V72" s="36">
        <f ca="1">SUM(C72:T72)</f>
        <v>203.20000000000002</v>
      </c>
      <c r="W72" s="36"/>
      <c r="X72" s="38">
        <v>44</v>
      </c>
    </row>
    <row r="73" spans="1:24" ht="12.75" x14ac:dyDescent="0.2">
      <c r="A73" s="36" t="s">
        <v>232</v>
      </c>
      <c r="B73" s="36" t="s">
        <v>162</v>
      </c>
      <c r="C73" s="37">
        <f ca="1">_xlfn.IFNA(VLOOKUP($A73,INDIRECT("'W"&amp;C$1&amp;"'!$A$2:$T$1000"),4,FALSE),0)</f>
        <v>5.0999999999999996</v>
      </c>
      <c r="D73" s="37">
        <f ca="1">_xlfn.IFNA(VLOOKUP($A73,INDIRECT("'W"&amp;D$1&amp;"'!$A$2:$T$1000"),4,FALSE),0)</f>
        <v>16.399999999999999</v>
      </c>
      <c r="E73" s="37">
        <f ca="1">_xlfn.IFNA(VLOOKUP($A73,INDIRECT("'W"&amp;E$1&amp;"'!$A$2:$T$1000"),4,FALSE),0)</f>
        <v>10.100000000000001</v>
      </c>
      <c r="F73" s="37">
        <f ca="1">_xlfn.IFNA(VLOOKUP($A73,INDIRECT("'W"&amp;F$1&amp;"'!$A$2:$T$1000"),4,FALSE),0)</f>
        <v>16.600000000000001</v>
      </c>
      <c r="G73" s="37">
        <f ca="1">_xlfn.IFNA(VLOOKUP($A73,INDIRECT("'W"&amp;G$1&amp;"'!$A$2:$T$1000"),4,FALSE),0)</f>
        <v>8.9</v>
      </c>
      <c r="H73" s="37">
        <f ca="1">_xlfn.IFNA(VLOOKUP($A73,INDIRECT("'W"&amp;H$1&amp;"'!$A$2:$T$1000"),4,FALSE),0)</f>
        <v>14.1</v>
      </c>
      <c r="I73" s="37">
        <f ca="1">_xlfn.IFNA(VLOOKUP($A73,INDIRECT("'W"&amp;I$1&amp;"'!$A$2:$T$1000"),4,FALSE),0)</f>
        <v>15</v>
      </c>
      <c r="J73" s="37">
        <f ca="1">_xlfn.IFNA(VLOOKUP($A73,INDIRECT("'W"&amp;J$1&amp;"'!$A$2:$T$1000"),4,FALSE),0)</f>
        <v>17.3</v>
      </c>
      <c r="K73" s="37">
        <f ca="1">_xlfn.IFNA(VLOOKUP($A73,INDIRECT("'W"&amp;K$1&amp;"'!$A$2:$T$1000"),4,FALSE),0)</f>
        <v>12.3</v>
      </c>
      <c r="L73" s="37">
        <f ca="1">_xlfn.IFNA(VLOOKUP($A73,INDIRECT("'W"&amp;L$1&amp;"'!$A$2:$T$1000"),4,FALSE),0)</f>
        <v>7.3000000000000007</v>
      </c>
      <c r="M73" s="37">
        <f ca="1">_xlfn.IFNA(VLOOKUP($A73,INDIRECT("'W"&amp;M$1&amp;"'!$A$2:$T$1000"),4,FALSE),0)</f>
        <v>9.3000000000000007</v>
      </c>
      <c r="N73" s="37">
        <f ca="1">_xlfn.IFNA(VLOOKUP($A73,INDIRECT("'W"&amp;N$1&amp;"'!$A$2:$T$1000"),4,FALSE),0)</f>
        <v>9</v>
      </c>
      <c r="O73" s="37">
        <f ca="1">_xlfn.IFNA(VLOOKUP($A73,INDIRECT("'W"&amp;O$1&amp;"'!$A$2:$T$1000"),4,FALSE),0)</f>
        <v>0</v>
      </c>
      <c r="P73" s="37">
        <f ca="1">_xlfn.IFNA(VLOOKUP($A73,INDIRECT("'W"&amp;P$1&amp;"'!$A$2:$T$1000"),4,FALSE),0)</f>
        <v>0</v>
      </c>
      <c r="Q73" s="37">
        <f ca="1">_xlfn.IFNA(VLOOKUP($A73,INDIRECT("'W"&amp;Q$1&amp;"'!$A$2:$T$1000"),4,FALSE),0)</f>
        <v>26.1</v>
      </c>
      <c r="R73" s="37">
        <f ca="1">_xlfn.IFNA(VLOOKUP($A73,INDIRECT("'W"&amp;R$1&amp;"'!$A$2:$T$1000"),4,FALSE),0)</f>
        <v>8</v>
      </c>
      <c r="S73" s="37">
        <f ca="1">_xlfn.IFNA(VLOOKUP($A73,INDIRECT("'W"&amp;S$1&amp;"'!$A$2:$T$1000"),4,FALSE),0)</f>
        <v>16.100000000000001</v>
      </c>
      <c r="T73" s="37">
        <f ca="1">_xlfn.IFNA(VLOOKUP($A73,INDIRECT("'W"&amp;T$1&amp;"'!$A$2:$T$1000"),4,FALSE),0)</f>
        <v>11.600000000000001</v>
      </c>
      <c r="U73" s="36">
        <f ca="1">COUNTIF(C73:T73,"&gt; 15")</f>
        <v>5</v>
      </c>
      <c r="V73" s="36">
        <f ca="1">SUM(C73:T73)</f>
        <v>203.2</v>
      </c>
      <c r="W73" s="36"/>
      <c r="X73" s="38">
        <v>83</v>
      </c>
    </row>
    <row r="74" spans="1:24" ht="12.75" x14ac:dyDescent="0.2">
      <c r="A74" s="36" t="s">
        <v>241</v>
      </c>
      <c r="B74" s="36" t="s">
        <v>162</v>
      </c>
      <c r="C74" s="37">
        <f ca="1">_xlfn.IFNA(VLOOKUP($A74,INDIRECT("'W"&amp;C$1&amp;"'!$A$2:$T$1000"),4,FALSE),0)</f>
        <v>3</v>
      </c>
      <c r="D74" s="37">
        <f ca="1">_xlfn.IFNA(VLOOKUP($A74,INDIRECT("'W"&amp;D$1&amp;"'!$A$2:$T$1000"),4,FALSE),0)</f>
        <v>25.9</v>
      </c>
      <c r="E74" s="37">
        <f ca="1">_xlfn.IFNA(VLOOKUP($A74,INDIRECT("'W"&amp;E$1&amp;"'!$A$2:$T$1000"),4,FALSE),0)</f>
        <v>8.4</v>
      </c>
      <c r="F74" s="37">
        <f ca="1">_xlfn.IFNA(VLOOKUP($A74,INDIRECT("'W"&amp;F$1&amp;"'!$A$2:$T$1000"),4,FALSE),0)</f>
        <v>9.4</v>
      </c>
      <c r="G74" s="37">
        <f ca="1">_xlfn.IFNA(VLOOKUP($A74,INDIRECT("'W"&amp;G$1&amp;"'!$A$2:$T$1000"),4,FALSE),0)</f>
        <v>0</v>
      </c>
      <c r="H74" s="37">
        <f ca="1">_xlfn.IFNA(VLOOKUP($A74,INDIRECT("'W"&amp;H$1&amp;"'!$A$2:$T$1000"),4,FALSE),0)</f>
        <v>15.4</v>
      </c>
      <c r="I74" s="37">
        <f ca="1">_xlfn.IFNA(VLOOKUP($A74,INDIRECT("'W"&amp;I$1&amp;"'!$A$2:$T$1000"),4,FALSE),0)</f>
        <v>7.8000000000000007</v>
      </c>
      <c r="J74" s="37">
        <f ca="1">_xlfn.IFNA(VLOOKUP($A74,INDIRECT("'W"&amp;J$1&amp;"'!$A$2:$T$1000"),4,FALSE),0)</f>
        <v>22.1</v>
      </c>
      <c r="K74" s="37">
        <f ca="1">_xlfn.IFNA(VLOOKUP($A74,INDIRECT("'W"&amp;K$1&amp;"'!$A$2:$T$1000"),4,FALSE),0)</f>
        <v>6.2</v>
      </c>
      <c r="L74" s="37">
        <f ca="1">_xlfn.IFNA(VLOOKUP($A74,INDIRECT("'W"&amp;L$1&amp;"'!$A$2:$T$1000"),4,FALSE),0)</f>
        <v>23.200000000000003</v>
      </c>
      <c r="M74" s="37">
        <f ca="1">_xlfn.IFNA(VLOOKUP($A74,INDIRECT("'W"&amp;M$1&amp;"'!$A$2:$T$1000"),4,FALSE),0)</f>
        <v>10.100000000000001</v>
      </c>
      <c r="N74" s="37">
        <f ca="1">_xlfn.IFNA(VLOOKUP($A74,INDIRECT("'W"&amp;N$1&amp;"'!$A$2:$T$1000"),4,FALSE),0)</f>
        <v>6</v>
      </c>
      <c r="O74" s="37">
        <f ca="1">_xlfn.IFNA(VLOOKUP($A74,INDIRECT("'W"&amp;O$1&amp;"'!$A$2:$T$1000"),4,FALSE),0)</f>
        <v>9.6999999999999993</v>
      </c>
      <c r="P74" s="37">
        <f ca="1">_xlfn.IFNA(VLOOKUP($A74,INDIRECT("'W"&amp;P$1&amp;"'!$A$2:$T$1000"),4,FALSE),0)</f>
        <v>14.9</v>
      </c>
      <c r="Q74" s="37">
        <f ca="1">_xlfn.IFNA(VLOOKUP($A74,INDIRECT("'W"&amp;Q$1&amp;"'!$A$2:$T$1000"),4,FALSE),0)</f>
        <v>5.0999999999999996</v>
      </c>
      <c r="R74" s="37">
        <f ca="1">_xlfn.IFNA(VLOOKUP($A74,INDIRECT("'W"&amp;R$1&amp;"'!$A$2:$T$1000"),4,FALSE),0)</f>
        <v>16.100000000000001</v>
      </c>
      <c r="S74" s="37">
        <f ca="1">_xlfn.IFNA(VLOOKUP($A74,INDIRECT("'W"&amp;S$1&amp;"'!$A$2:$T$1000"),4,FALSE),0)</f>
        <v>2</v>
      </c>
      <c r="T74" s="37">
        <f ca="1">_xlfn.IFNA(VLOOKUP($A74,INDIRECT("'W"&amp;T$1&amp;"'!$A$2:$T$1000"),4,FALSE),0)</f>
        <v>17.100000000000001</v>
      </c>
      <c r="U74" s="36">
        <f ca="1">COUNTIF(C74:T74,"&gt; 15")</f>
        <v>6</v>
      </c>
      <c r="V74" s="36">
        <f ca="1">SUM(C74:T74)</f>
        <v>202.39999999999998</v>
      </c>
      <c r="W74" s="36"/>
      <c r="X74" s="38">
        <v>81</v>
      </c>
    </row>
    <row r="75" spans="1:24" ht="12.75" x14ac:dyDescent="0.2">
      <c r="A75" s="36" t="s">
        <v>167</v>
      </c>
      <c r="B75" s="36" t="s">
        <v>162</v>
      </c>
      <c r="C75" s="37">
        <f ca="1">_xlfn.IFNA(VLOOKUP($A75,INDIRECT("'W"&amp;C$1&amp;"'!$A$2:$T$1000"),4,FALSE),0)</f>
        <v>24</v>
      </c>
      <c r="D75" s="37">
        <f ca="1">_xlfn.IFNA(VLOOKUP($A75,INDIRECT("'W"&amp;D$1&amp;"'!$A$2:$T$1000"),4,FALSE),0)</f>
        <v>24.9</v>
      </c>
      <c r="E75" s="37">
        <f ca="1">_xlfn.IFNA(VLOOKUP($A75,INDIRECT("'W"&amp;E$1&amp;"'!$A$2:$T$1000"),4,FALSE),0)</f>
        <v>27.9</v>
      </c>
      <c r="F75" s="37">
        <f ca="1">_xlfn.IFNA(VLOOKUP($A75,INDIRECT("'W"&amp;F$1&amp;"'!$A$2:$T$1000"),4,FALSE),0)</f>
        <v>26.5</v>
      </c>
      <c r="G75" s="37">
        <f ca="1">_xlfn.IFNA(VLOOKUP($A75,INDIRECT("'W"&amp;G$1&amp;"'!$A$2:$T$1000"),4,FALSE),0)</f>
        <v>5.8000000000000007</v>
      </c>
      <c r="H75" s="37">
        <f ca="1">_xlfn.IFNA(VLOOKUP($A75,INDIRECT("'W"&amp;H$1&amp;"'!$A$2:$T$1000"),4,FALSE),0)</f>
        <v>0</v>
      </c>
      <c r="I75" s="37">
        <f ca="1">_xlfn.IFNA(VLOOKUP($A75,INDIRECT("'W"&amp;I$1&amp;"'!$A$2:$T$1000"),4,FALSE),0)</f>
        <v>0</v>
      </c>
      <c r="J75" s="37">
        <f ca="1">_xlfn.IFNA(VLOOKUP($A75,INDIRECT("'W"&amp;J$1&amp;"'!$A$2:$T$1000"),4,FALSE),0)</f>
        <v>0</v>
      </c>
      <c r="K75" s="37">
        <f ca="1">_xlfn.IFNA(VLOOKUP($A75,INDIRECT("'W"&amp;K$1&amp;"'!$A$2:$T$1000"),4,FALSE),0)</f>
        <v>0</v>
      </c>
      <c r="L75" s="37">
        <f ca="1">_xlfn.IFNA(VLOOKUP($A75,INDIRECT("'W"&amp;L$1&amp;"'!$A$2:$T$1000"),4,FALSE),0)</f>
        <v>0</v>
      </c>
      <c r="M75" s="37">
        <f ca="1">_xlfn.IFNA(VLOOKUP($A75,INDIRECT("'W"&amp;M$1&amp;"'!$A$2:$T$1000"),4,FALSE),0)</f>
        <v>0</v>
      </c>
      <c r="N75" s="37">
        <f ca="1">_xlfn.IFNA(VLOOKUP($A75,INDIRECT("'W"&amp;N$1&amp;"'!$A$2:$T$1000"),4,FALSE),0)</f>
        <v>0</v>
      </c>
      <c r="O75" s="37">
        <f ca="1">_xlfn.IFNA(VLOOKUP($A75,INDIRECT("'W"&amp;O$1&amp;"'!$A$2:$T$1000"),4,FALSE),0)</f>
        <v>0</v>
      </c>
      <c r="P75" s="37">
        <f ca="1">_xlfn.IFNA(VLOOKUP($A75,INDIRECT("'W"&amp;P$1&amp;"'!$A$2:$T$1000"),4,FALSE),0)</f>
        <v>4.7</v>
      </c>
      <c r="Q75" s="37">
        <f ca="1">_xlfn.IFNA(VLOOKUP($A75,INDIRECT("'W"&amp;Q$1&amp;"'!$A$2:$T$1000"),4,FALSE),0)</f>
        <v>15.4</v>
      </c>
      <c r="R75" s="37">
        <f ca="1">_xlfn.IFNA(VLOOKUP($A75,INDIRECT("'W"&amp;R$1&amp;"'!$A$2:$T$1000"),4,FALSE),0)</f>
        <v>26.1</v>
      </c>
      <c r="S75" s="37">
        <f ca="1">_xlfn.IFNA(VLOOKUP($A75,INDIRECT("'W"&amp;S$1&amp;"'!$A$2:$T$1000"),4,FALSE),0)</f>
        <v>10.9</v>
      </c>
      <c r="T75" s="37">
        <f ca="1">_xlfn.IFNA(VLOOKUP($A75,INDIRECT("'W"&amp;T$1&amp;"'!$A$2:$T$1000"),4,FALSE),0)</f>
        <v>36</v>
      </c>
      <c r="U75" s="36">
        <f ca="1">COUNTIF(C75:T75,"&gt; 15")</f>
        <v>7</v>
      </c>
      <c r="V75" s="36">
        <f ca="1">SUM(C75:T75)</f>
        <v>202.2</v>
      </c>
      <c r="W75" s="36"/>
      <c r="X75" s="38">
        <v>1</v>
      </c>
    </row>
    <row r="76" spans="1:24" ht="12.75" x14ac:dyDescent="0.2">
      <c r="A76" s="36" t="s">
        <v>95</v>
      </c>
      <c r="B76" s="36" t="s">
        <v>75</v>
      </c>
      <c r="C76" s="37">
        <f ca="1">_xlfn.IFNA(VLOOKUP($A76,INDIRECT("'W"&amp;C$1&amp;"'!$A$2:$T$1000"),4,FALSE),0)</f>
        <v>12</v>
      </c>
      <c r="D76" s="37">
        <f ca="1">_xlfn.IFNA(VLOOKUP($A76,INDIRECT("'W"&amp;D$1&amp;"'!$A$2:$T$1000"),4,FALSE),0)</f>
        <v>16.600000000000001</v>
      </c>
      <c r="E76" s="37">
        <f ca="1">_xlfn.IFNA(VLOOKUP($A76,INDIRECT("'W"&amp;E$1&amp;"'!$A$2:$T$1000"),4,FALSE),0)</f>
        <v>19.600000000000001</v>
      </c>
      <c r="F76" s="37">
        <f ca="1">_xlfn.IFNA(VLOOKUP($A76,INDIRECT("'W"&amp;F$1&amp;"'!$A$2:$T$1000"),4,FALSE),0)</f>
        <v>6.6000000000000005</v>
      </c>
      <c r="G76" s="37">
        <f ca="1">_xlfn.IFNA(VLOOKUP($A76,INDIRECT("'W"&amp;G$1&amp;"'!$A$2:$T$1000"),4,FALSE),0)</f>
        <v>4.6000000000000005</v>
      </c>
      <c r="H76" s="37">
        <f ca="1">_xlfn.IFNA(VLOOKUP($A76,INDIRECT("'W"&amp;H$1&amp;"'!$A$2:$T$1000"),4,FALSE),0)</f>
        <v>0</v>
      </c>
      <c r="I76" s="37">
        <f ca="1">_xlfn.IFNA(VLOOKUP($A76,INDIRECT("'W"&amp;I$1&amp;"'!$A$2:$T$1000"),4,FALSE),0)</f>
        <v>0</v>
      </c>
      <c r="J76" s="37">
        <f ca="1">_xlfn.IFNA(VLOOKUP($A76,INDIRECT("'W"&amp;J$1&amp;"'!$A$2:$T$1000"),4,FALSE),0)</f>
        <v>0</v>
      </c>
      <c r="K76" s="37">
        <f ca="1">_xlfn.IFNA(VLOOKUP($A76,INDIRECT("'W"&amp;K$1&amp;"'!$A$2:$T$1000"),4,FALSE),0)</f>
        <v>0</v>
      </c>
      <c r="L76" s="37">
        <f ca="1">_xlfn.IFNA(VLOOKUP($A76,INDIRECT("'W"&amp;L$1&amp;"'!$A$2:$T$1000"),4,FALSE),0)</f>
        <v>7.3000000000000007</v>
      </c>
      <c r="M76" s="37">
        <f ca="1">_xlfn.IFNA(VLOOKUP($A76,INDIRECT("'W"&amp;M$1&amp;"'!$A$2:$T$1000"),4,FALSE),0)</f>
        <v>8.2999999999999989</v>
      </c>
      <c r="N76" s="37">
        <f ca="1">_xlfn.IFNA(VLOOKUP($A76,INDIRECT("'W"&amp;N$1&amp;"'!$A$2:$T$1000"),4,FALSE),0)</f>
        <v>7.2</v>
      </c>
      <c r="O76" s="37">
        <f ca="1">_xlfn.IFNA(VLOOKUP($A76,INDIRECT("'W"&amp;O$1&amp;"'!$A$2:$T$1000"),4,FALSE),0)</f>
        <v>22.5</v>
      </c>
      <c r="P76" s="37">
        <f ca="1">_xlfn.IFNA(VLOOKUP($A76,INDIRECT("'W"&amp;P$1&amp;"'!$A$2:$T$1000"),4,FALSE),0)</f>
        <v>0</v>
      </c>
      <c r="Q76" s="37">
        <f ca="1">_xlfn.IFNA(VLOOKUP($A76,INDIRECT("'W"&amp;Q$1&amp;"'!$A$2:$T$1000"),4,FALSE),0)</f>
        <v>17.900000000000002</v>
      </c>
      <c r="R76" s="37">
        <f ca="1">_xlfn.IFNA(VLOOKUP($A76,INDIRECT("'W"&amp;R$1&amp;"'!$A$2:$T$1000"),4,FALSE),0)</f>
        <v>22.2</v>
      </c>
      <c r="S76" s="37">
        <f ca="1">_xlfn.IFNA(VLOOKUP($A76,INDIRECT("'W"&amp;S$1&amp;"'!$A$2:$T$1000"),4,FALSE),0)</f>
        <v>26.3</v>
      </c>
      <c r="T76" s="37">
        <f ca="1">_xlfn.IFNA(VLOOKUP($A76,INDIRECT("'W"&amp;T$1&amp;"'!$A$2:$T$1000"),4,FALSE),0)</f>
        <v>30.4</v>
      </c>
      <c r="U76" s="36">
        <f ca="1">COUNTIF(C76:T76,"&gt; 15")</f>
        <v>7</v>
      </c>
      <c r="V76" s="36">
        <f ca="1">SUM(C76:T76)</f>
        <v>201.50000000000003</v>
      </c>
      <c r="W76" s="36"/>
      <c r="X76" s="38">
        <v>51</v>
      </c>
    </row>
    <row r="77" spans="1:24" ht="12.75" x14ac:dyDescent="0.2">
      <c r="A77" s="36" t="s">
        <v>300</v>
      </c>
      <c r="B77" s="36" t="s">
        <v>69</v>
      </c>
      <c r="C77" s="37">
        <f ca="1">_xlfn.IFNA(VLOOKUP($A77,INDIRECT("'W"&amp;C$1&amp;"'!$A$2:$T$1000"),4,FALSE),0)</f>
        <v>4.4000000000000004</v>
      </c>
      <c r="D77" s="37">
        <f ca="1">_xlfn.IFNA(VLOOKUP($A77,INDIRECT("'W"&amp;D$1&amp;"'!$A$2:$T$1000"),4,FALSE),0)</f>
        <v>6.8000000000000007</v>
      </c>
      <c r="E77" s="37">
        <f ca="1">_xlfn.IFNA(VLOOKUP($A77,INDIRECT("'W"&amp;E$1&amp;"'!$A$2:$T$1000"),4,FALSE),0)</f>
        <v>6</v>
      </c>
      <c r="F77" s="37">
        <f ca="1">_xlfn.IFNA(VLOOKUP($A77,INDIRECT("'W"&amp;F$1&amp;"'!$A$2:$T$1000"),4,FALSE),0)</f>
        <v>10.600000000000001</v>
      </c>
      <c r="G77" s="37">
        <f ca="1">_xlfn.IFNA(VLOOKUP($A77,INDIRECT("'W"&amp;G$1&amp;"'!$A$2:$T$1000"),4,FALSE),0)</f>
        <v>0</v>
      </c>
      <c r="H77" s="37">
        <f ca="1">_xlfn.IFNA(VLOOKUP($A77,INDIRECT("'W"&amp;H$1&amp;"'!$A$2:$T$1000"),4,FALSE),0)</f>
        <v>5.4</v>
      </c>
      <c r="I77" s="37">
        <f ca="1">_xlfn.IFNA(VLOOKUP($A77,INDIRECT("'W"&amp;I$1&amp;"'!$A$2:$T$1000"),4,FALSE),0)</f>
        <v>10.4</v>
      </c>
      <c r="J77" s="37">
        <f ca="1">_xlfn.IFNA(VLOOKUP($A77,INDIRECT("'W"&amp;J$1&amp;"'!$A$2:$T$1000"),4,FALSE),0)</f>
        <v>17.7</v>
      </c>
      <c r="K77" s="37">
        <f ca="1">_xlfn.IFNA(VLOOKUP($A77,INDIRECT("'W"&amp;K$1&amp;"'!$A$2:$T$1000"),4,FALSE),0)</f>
        <v>12.6</v>
      </c>
      <c r="L77" s="37">
        <f ca="1">_xlfn.IFNA(VLOOKUP($A77,INDIRECT("'W"&amp;L$1&amp;"'!$A$2:$T$1000"),4,FALSE),0)</f>
        <v>11.8</v>
      </c>
      <c r="M77" s="37">
        <f ca="1">_xlfn.IFNA(VLOOKUP($A77,INDIRECT("'W"&amp;M$1&amp;"'!$A$2:$T$1000"),4,FALSE),0)</f>
        <v>12.600000000000001</v>
      </c>
      <c r="N77" s="37">
        <f ca="1">_xlfn.IFNA(VLOOKUP($A77,INDIRECT("'W"&amp;N$1&amp;"'!$A$2:$T$1000"),4,FALSE),0)</f>
        <v>11.9</v>
      </c>
      <c r="O77" s="37">
        <f ca="1">_xlfn.IFNA(VLOOKUP($A77,INDIRECT("'W"&amp;O$1&amp;"'!$A$2:$T$1000"),4,FALSE),0)</f>
        <v>3.7</v>
      </c>
      <c r="P77" s="37">
        <f ca="1">_xlfn.IFNA(VLOOKUP($A77,INDIRECT("'W"&amp;P$1&amp;"'!$A$2:$T$1000"),4,FALSE),0)</f>
        <v>27.1</v>
      </c>
      <c r="Q77" s="37">
        <f ca="1">_xlfn.IFNA(VLOOKUP($A77,INDIRECT("'W"&amp;Q$1&amp;"'!$A$2:$T$1000"),4,FALSE),0)</f>
        <v>26.4</v>
      </c>
      <c r="R77" s="37">
        <f ca="1">_xlfn.IFNA(VLOOKUP($A77,INDIRECT("'W"&amp;R$1&amp;"'!$A$2:$T$1000"),4,FALSE),0)</f>
        <v>16.399999999999999</v>
      </c>
      <c r="S77" s="37">
        <f ca="1">_xlfn.IFNA(VLOOKUP($A77,INDIRECT("'W"&amp;S$1&amp;"'!$A$2:$T$1000"),4,FALSE),0)</f>
        <v>17.399999999999999</v>
      </c>
      <c r="T77" s="37">
        <f ca="1">_xlfn.IFNA(VLOOKUP($A77,INDIRECT("'W"&amp;T$1&amp;"'!$A$2:$T$1000"),4,FALSE),0)</f>
        <v>0</v>
      </c>
      <c r="U77" s="36">
        <f ca="1">COUNTIF(C77:T77,"&gt; 15")</f>
        <v>5</v>
      </c>
      <c r="V77" s="36">
        <f ca="1">SUM(C77:T77)</f>
        <v>201.20000000000002</v>
      </c>
      <c r="W77" s="36">
        <v>1</v>
      </c>
      <c r="X77" s="38">
        <v>75</v>
      </c>
    </row>
    <row r="78" spans="1:24" ht="12.75" x14ac:dyDescent="0.2">
      <c r="A78" s="36" t="s">
        <v>63</v>
      </c>
      <c r="B78" s="36" t="s">
        <v>17</v>
      </c>
      <c r="C78" s="37">
        <f ca="1">_xlfn.IFNA(VLOOKUP($A78,INDIRECT("'W"&amp;C$1&amp;"'!$A$2:$T$1000"),4,FALSE),0)</f>
        <v>0.98000000000000043</v>
      </c>
      <c r="D78" s="37">
        <f ca="1">_xlfn.IFNA(VLOOKUP($A78,INDIRECT("'W"&amp;D$1&amp;"'!$A$2:$T$1000"),4,FALSE),0)</f>
        <v>25.220000000000002</v>
      </c>
      <c r="E78" s="37">
        <f ca="1">_xlfn.IFNA(VLOOKUP($A78,INDIRECT("'W"&amp;E$1&amp;"'!$A$2:$T$1000"),4,FALSE),0)</f>
        <v>17.060000000000002</v>
      </c>
      <c r="F78" s="37">
        <f ca="1">_xlfn.IFNA(VLOOKUP($A78,INDIRECT("'W"&amp;F$1&amp;"'!$A$2:$T$1000"),4,FALSE),0)</f>
        <v>23.400000000000002</v>
      </c>
      <c r="G78" s="37">
        <f ca="1">_xlfn.IFNA(VLOOKUP($A78,INDIRECT("'W"&amp;G$1&amp;"'!$A$2:$T$1000"),4,FALSE),0)</f>
        <v>8.74</v>
      </c>
      <c r="H78" s="37">
        <f ca="1">_xlfn.IFNA(VLOOKUP($A78,INDIRECT("'W"&amp;H$1&amp;"'!$A$2:$T$1000"),4,FALSE),0)</f>
        <v>10.100000000000001</v>
      </c>
      <c r="I78" s="37">
        <f ca="1">_xlfn.IFNA(VLOOKUP($A78,INDIRECT("'W"&amp;I$1&amp;"'!$A$2:$T$1000"),4,FALSE),0)</f>
        <v>16.14</v>
      </c>
      <c r="J78" s="37">
        <f ca="1">_xlfn.IFNA(VLOOKUP($A78,INDIRECT("'W"&amp;J$1&amp;"'!$A$2:$T$1000"),4,FALSE),0)</f>
        <v>22.92</v>
      </c>
      <c r="K78" s="37">
        <f ca="1">_xlfn.IFNA(VLOOKUP($A78,INDIRECT("'W"&amp;K$1&amp;"'!$A$2:$T$1000"),4,FALSE),0)</f>
        <v>24.92</v>
      </c>
      <c r="L78" s="37">
        <f ca="1">_xlfn.IFNA(VLOOKUP($A78,INDIRECT("'W"&amp;L$1&amp;"'!$A$2:$T$1000"),4,FALSE),0)</f>
        <v>25.12</v>
      </c>
      <c r="M78" s="37">
        <f ca="1">_xlfn.IFNA(VLOOKUP($A78,INDIRECT("'W"&amp;M$1&amp;"'!$A$2:$T$1000"),4,FALSE),0)</f>
        <v>16.939999999999998</v>
      </c>
      <c r="N78" s="37">
        <f ca="1">_xlfn.IFNA(VLOOKUP($A78,INDIRECT("'W"&amp;N$1&amp;"'!$A$2:$T$1000"),4,FALSE),0)</f>
        <v>4.5</v>
      </c>
      <c r="O78" s="37">
        <f ca="1">_xlfn.IFNA(VLOOKUP($A78,INDIRECT("'W"&amp;O$1&amp;"'!$A$2:$T$1000"),4,FALSE),0)</f>
        <v>0</v>
      </c>
      <c r="P78" s="37">
        <f ca="1">_xlfn.IFNA(VLOOKUP($A78,INDIRECT("'W"&amp;P$1&amp;"'!$A$2:$T$1000"),4,FALSE),0)</f>
        <v>4.62</v>
      </c>
      <c r="Q78" s="37">
        <f ca="1">_xlfn.IFNA(VLOOKUP($A78,INDIRECT("'W"&amp;Q$1&amp;"'!$A$2:$T$1000"),4,FALSE),0)</f>
        <v>0</v>
      </c>
      <c r="R78" s="37">
        <f ca="1">_xlfn.IFNA(VLOOKUP($A78,INDIRECT("'W"&amp;R$1&amp;"'!$A$2:$T$1000"),4,FALSE),0)</f>
        <v>0</v>
      </c>
      <c r="S78" s="37">
        <f ca="1">_xlfn.IFNA(VLOOKUP($A78,INDIRECT("'W"&amp;S$1&amp;"'!$A$2:$T$1000"),4,FALSE),0)</f>
        <v>0</v>
      </c>
      <c r="T78" s="37">
        <f ca="1">_xlfn.IFNA(VLOOKUP($A78,INDIRECT("'W"&amp;T$1&amp;"'!$A$2:$T$1000"),4,FALSE),0)</f>
        <v>0</v>
      </c>
      <c r="U78" s="36">
        <f ca="1">COUNTIF(C78:T78,"&gt; 15")</f>
        <v>8</v>
      </c>
      <c r="V78" s="36">
        <f ca="1">SUM(C78:T78)</f>
        <v>200.66000000000003</v>
      </c>
      <c r="W78" s="36"/>
      <c r="X78" s="38" t="s">
        <v>847</v>
      </c>
    </row>
    <row r="79" spans="1:24" ht="12.75" x14ac:dyDescent="0.2">
      <c r="A79" s="36" t="s">
        <v>100</v>
      </c>
      <c r="B79" s="36" t="s">
        <v>75</v>
      </c>
      <c r="C79" s="37">
        <f ca="1">_xlfn.IFNA(VLOOKUP($A79,INDIRECT("'W"&amp;C$1&amp;"'!$A$2:$T$1000"),4,FALSE),0)</f>
        <v>10.700000000000001</v>
      </c>
      <c r="D79" s="37">
        <f ca="1">_xlfn.IFNA(VLOOKUP($A79,INDIRECT("'W"&amp;D$1&amp;"'!$A$2:$T$1000"),4,FALSE),0)</f>
        <v>18.400000000000002</v>
      </c>
      <c r="E79" s="37">
        <f ca="1">_xlfn.IFNA(VLOOKUP($A79,INDIRECT("'W"&amp;E$1&amp;"'!$A$2:$T$1000"),4,FALSE),0)</f>
        <v>30.6</v>
      </c>
      <c r="F79" s="37">
        <f ca="1">_xlfn.IFNA(VLOOKUP($A79,INDIRECT("'W"&amp;F$1&amp;"'!$A$2:$T$1000"),4,FALSE),0)</f>
        <v>13.9</v>
      </c>
      <c r="G79" s="37">
        <f ca="1">_xlfn.IFNA(VLOOKUP($A79,INDIRECT("'W"&amp;G$1&amp;"'!$A$2:$T$1000"),4,FALSE),0)</f>
        <v>0</v>
      </c>
      <c r="H79" s="37">
        <f ca="1">_xlfn.IFNA(VLOOKUP($A79,INDIRECT("'W"&amp;H$1&amp;"'!$A$2:$T$1000"),4,FALSE),0)</f>
        <v>17.899999999999999</v>
      </c>
      <c r="I79" s="37">
        <f ca="1">_xlfn.IFNA(VLOOKUP($A79,INDIRECT("'W"&amp;I$1&amp;"'!$A$2:$T$1000"),4,FALSE),0)</f>
        <v>13.1</v>
      </c>
      <c r="J79" s="37">
        <f ca="1">_xlfn.IFNA(VLOOKUP($A79,INDIRECT("'W"&amp;J$1&amp;"'!$A$2:$T$1000"),4,FALSE),0)</f>
        <v>8</v>
      </c>
      <c r="K79" s="37">
        <f ca="1">_xlfn.IFNA(VLOOKUP($A79,INDIRECT("'W"&amp;K$1&amp;"'!$A$2:$T$1000"),4,FALSE),0)</f>
        <v>2.7</v>
      </c>
      <c r="L79" s="37">
        <f ca="1">_xlfn.IFNA(VLOOKUP($A79,INDIRECT("'W"&amp;L$1&amp;"'!$A$2:$T$1000"),4,FALSE),0)</f>
        <v>19.700000000000003</v>
      </c>
      <c r="M79" s="37">
        <f ca="1">_xlfn.IFNA(VLOOKUP($A79,INDIRECT("'W"&amp;M$1&amp;"'!$A$2:$T$1000"),4,FALSE),0)</f>
        <v>2.5999999999999996</v>
      </c>
      <c r="N79" s="37">
        <f ca="1">_xlfn.IFNA(VLOOKUP($A79,INDIRECT("'W"&amp;N$1&amp;"'!$A$2:$T$1000"),4,FALSE),0)</f>
        <v>0</v>
      </c>
      <c r="O79" s="37">
        <f ca="1">_xlfn.IFNA(VLOOKUP($A79,INDIRECT("'W"&amp;O$1&amp;"'!$A$2:$T$1000"),4,FALSE),0)</f>
        <v>0</v>
      </c>
      <c r="P79" s="37">
        <f ca="1">_xlfn.IFNA(VLOOKUP($A79,INDIRECT("'W"&amp;P$1&amp;"'!$A$2:$T$1000"),4,FALSE),0)</f>
        <v>9.4</v>
      </c>
      <c r="Q79" s="37">
        <f ca="1">_xlfn.IFNA(VLOOKUP($A79,INDIRECT("'W"&amp;Q$1&amp;"'!$A$2:$T$1000"),4,FALSE),0)</f>
        <v>20.200000000000003</v>
      </c>
      <c r="R79" s="37">
        <f ca="1">_xlfn.IFNA(VLOOKUP($A79,INDIRECT("'W"&amp;R$1&amp;"'!$A$2:$T$1000"),4,FALSE),0)</f>
        <v>6.6000000000000005</v>
      </c>
      <c r="S79" s="37">
        <f ca="1">_xlfn.IFNA(VLOOKUP($A79,INDIRECT("'W"&amp;S$1&amp;"'!$A$2:$T$1000"),4,FALSE),0)</f>
        <v>16.5</v>
      </c>
      <c r="T79" s="37">
        <f ca="1">_xlfn.IFNA(VLOOKUP($A79,INDIRECT("'W"&amp;T$1&amp;"'!$A$2:$T$1000"),4,FALSE),0)</f>
        <v>9.1000000000000014</v>
      </c>
      <c r="U79" s="36">
        <f ca="1">COUNTIF(C79:T79,"&gt; 15")</f>
        <v>6</v>
      </c>
      <c r="V79" s="36">
        <f ca="1">SUM(C79:T79)</f>
        <v>199.39999999999998</v>
      </c>
      <c r="W79" s="36"/>
      <c r="X79" s="38">
        <v>53</v>
      </c>
    </row>
    <row r="80" spans="1:24" ht="12.75" x14ac:dyDescent="0.2">
      <c r="A80" s="36" t="s">
        <v>152</v>
      </c>
      <c r="B80" s="36" t="s">
        <v>75</v>
      </c>
      <c r="C80" s="37">
        <f ca="1">_xlfn.IFNA(VLOOKUP($A80,INDIRECT("'W"&amp;C$1&amp;"'!$A$2:$T$1000"),4,FALSE),0)</f>
        <v>1.3</v>
      </c>
      <c r="D80" s="37">
        <f ca="1">_xlfn.IFNA(VLOOKUP($A80,INDIRECT("'W"&amp;D$1&amp;"'!$A$2:$T$1000"),4,FALSE),0)</f>
        <v>27.1</v>
      </c>
      <c r="E80" s="37">
        <f ca="1">_xlfn.IFNA(VLOOKUP($A80,INDIRECT("'W"&amp;E$1&amp;"'!$A$2:$T$1000"),4,FALSE),0)</f>
        <v>14.8</v>
      </c>
      <c r="F80" s="37">
        <f ca="1">_xlfn.IFNA(VLOOKUP($A80,INDIRECT("'W"&amp;F$1&amp;"'!$A$2:$T$1000"),4,FALSE),0)</f>
        <v>17.900000000000002</v>
      </c>
      <c r="G80" s="37">
        <f ca="1">_xlfn.IFNA(VLOOKUP($A80,INDIRECT("'W"&amp;G$1&amp;"'!$A$2:$T$1000"),4,FALSE),0)</f>
        <v>16.8</v>
      </c>
      <c r="H80" s="37">
        <f ca="1">_xlfn.IFNA(VLOOKUP($A80,INDIRECT("'W"&amp;H$1&amp;"'!$A$2:$T$1000"),4,FALSE),0)</f>
        <v>17.8</v>
      </c>
      <c r="I80" s="37">
        <f ca="1">_xlfn.IFNA(VLOOKUP($A80,INDIRECT("'W"&amp;I$1&amp;"'!$A$2:$T$1000"),4,FALSE),0)</f>
        <v>10.5</v>
      </c>
      <c r="J80" s="37">
        <f ca="1">_xlfn.IFNA(VLOOKUP($A80,INDIRECT("'W"&amp;J$1&amp;"'!$A$2:$T$1000"),4,FALSE),0)</f>
        <v>14.399999999999999</v>
      </c>
      <c r="K80" s="37">
        <f ca="1">_xlfn.IFNA(VLOOKUP($A80,INDIRECT("'W"&amp;K$1&amp;"'!$A$2:$T$1000"),4,FALSE),0)</f>
        <v>9.4</v>
      </c>
      <c r="L80" s="37">
        <f ca="1">_xlfn.IFNA(VLOOKUP($A80,INDIRECT("'W"&amp;L$1&amp;"'!$A$2:$T$1000"),4,FALSE),0)</f>
        <v>0</v>
      </c>
      <c r="M80" s="37">
        <f ca="1">_xlfn.IFNA(VLOOKUP($A80,INDIRECT("'W"&amp;M$1&amp;"'!$A$2:$T$1000"),4,FALSE),0)</f>
        <v>19.700000000000003</v>
      </c>
      <c r="N80" s="37">
        <f ca="1">_xlfn.IFNA(VLOOKUP($A80,INDIRECT("'W"&amp;N$1&amp;"'!$A$2:$T$1000"),4,FALSE),0)</f>
        <v>9.4</v>
      </c>
      <c r="O80" s="37">
        <f ca="1">_xlfn.IFNA(VLOOKUP($A80,INDIRECT("'W"&amp;O$1&amp;"'!$A$2:$T$1000"),4,FALSE),0)</f>
        <v>4</v>
      </c>
      <c r="P80" s="37">
        <f ca="1">_xlfn.IFNA(VLOOKUP($A80,INDIRECT("'W"&amp;P$1&amp;"'!$A$2:$T$1000"),4,FALSE),0)</f>
        <v>3.9000000000000004</v>
      </c>
      <c r="Q80" s="37">
        <f ca="1">_xlfn.IFNA(VLOOKUP($A80,INDIRECT("'W"&amp;Q$1&amp;"'!$A$2:$T$1000"),4,FALSE),0)</f>
        <v>9.5</v>
      </c>
      <c r="R80" s="37">
        <f ca="1">_xlfn.IFNA(VLOOKUP($A80,INDIRECT("'W"&amp;R$1&amp;"'!$A$2:$T$1000"),4,FALSE),0)</f>
        <v>15.200000000000001</v>
      </c>
      <c r="S80" s="37">
        <f ca="1">_xlfn.IFNA(VLOOKUP($A80,INDIRECT("'W"&amp;S$1&amp;"'!$A$2:$T$1000"),4,FALSE),0)</f>
        <v>7.6000000000000005</v>
      </c>
      <c r="T80" s="37">
        <f ca="1">_xlfn.IFNA(VLOOKUP($A80,INDIRECT("'W"&amp;T$1&amp;"'!$A$2:$T$1000"),4,FALSE),0)</f>
        <v>0</v>
      </c>
      <c r="U80" s="36">
        <f ca="1">COUNTIF(C80:T80,"&gt; 15")</f>
        <v>6</v>
      </c>
      <c r="V80" s="36">
        <f ca="1">SUM(C80:T80)</f>
        <v>199.29999999999998</v>
      </c>
      <c r="W80" s="36"/>
      <c r="X80" s="38">
        <v>93</v>
      </c>
    </row>
    <row r="81" spans="1:24" ht="12.75" x14ac:dyDescent="0.2">
      <c r="A81" s="36" t="s">
        <v>196</v>
      </c>
      <c r="B81" s="36" t="s">
        <v>162</v>
      </c>
      <c r="C81" s="37">
        <f ca="1">_xlfn.IFNA(VLOOKUP($A81,INDIRECT("'W"&amp;C$1&amp;"'!$A$2:$T$1000"),4,FALSE),0)</f>
        <v>11.8</v>
      </c>
      <c r="D81" s="37">
        <f ca="1">_xlfn.IFNA(VLOOKUP($A81,INDIRECT("'W"&amp;D$1&amp;"'!$A$2:$T$1000"),4,FALSE),0)</f>
        <v>12.399999999999999</v>
      </c>
      <c r="E81" s="37">
        <f ca="1">_xlfn.IFNA(VLOOKUP($A81,INDIRECT("'W"&amp;E$1&amp;"'!$A$2:$T$1000"),4,FALSE),0)</f>
        <v>0</v>
      </c>
      <c r="F81" s="37">
        <f ca="1">_xlfn.IFNA(VLOOKUP($A81,INDIRECT("'W"&amp;F$1&amp;"'!$A$2:$T$1000"),4,FALSE),0)</f>
        <v>8.6000000000000014</v>
      </c>
      <c r="G81" s="37">
        <f ca="1">_xlfn.IFNA(VLOOKUP($A81,INDIRECT("'W"&amp;G$1&amp;"'!$A$2:$T$1000"),4,FALSE),0)</f>
        <v>14.5</v>
      </c>
      <c r="H81" s="37">
        <f ca="1">_xlfn.IFNA(VLOOKUP($A81,INDIRECT("'W"&amp;H$1&amp;"'!$A$2:$T$1000"),4,FALSE),0)</f>
        <v>18.100000000000001</v>
      </c>
      <c r="I81" s="37">
        <f ca="1">_xlfn.IFNA(VLOOKUP($A81,INDIRECT("'W"&amp;I$1&amp;"'!$A$2:$T$1000"),4,FALSE),0)</f>
        <v>12.3</v>
      </c>
      <c r="J81" s="37">
        <f ca="1">_xlfn.IFNA(VLOOKUP($A81,INDIRECT("'W"&amp;J$1&amp;"'!$A$2:$T$1000"),4,FALSE),0)</f>
        <v>25.1</v>
      </c>
      <c r="K81" s="37">
        <f ca="1">_xlfn.IFNA(VLOOKUP($A81,INDIRECT("'W"&amp;K$1&amp;"'!$A$2:$T$1000"),4,FALSE),0)</f>
        <v>8.4</v>
      </c>
      <c r="L81" s="37">
        <f ca="1">_xlfn.IFNA(VLOOKUP($A81,INDIRECT("'W"&amp;L$1&amp;"'!$A$2:$T$1000"),4,FALSE),0)</f>
        <v>0</v>
      </c>
      <c r="M81" s="37">
        <f ca="1">_xlfn.IFNA(VLOOKUP($A81,INDIRECT("'W"&amp;M$1&amp;"'!$A$2:$T$1000"),4,FALSE),0)</f>
        <v>9.5</v>
      </c>
      <c r="N81" s="37">
        <f ca="1">_xlfn.IFNA(VLOOKUP($A81,INDIRECT("'W"&amp;N$1&amp;"'!$A$2:$T$1000"),4,FALSE),0)</f>
        <v>19.399999999999999</v>
      </c>
      <c r="O81" s="37">
        <f ca="1">_xlfn.IFNA(VLOOKUP($A81,INDIRECT("'W"&amp;O$1&amp;"'!$A$2:$T$1000"),4,FALSE),0)</f>
        <v>10.199999999999999</v>
      </c>
      <c r="P81" s="37">
        <f ca="1">_xlfn.IFNA(VLOOKUP($A81,INDIRECT("'W"&amp;P$1&amp;"'!$A$2:$T$1000"),4,FALSE),0)</f>
        <v>13.9</v>
      </c>
      <c r="Q81" s="37">
        <f ca="1">_xlfn.IFNA(VLOOKUP($A81,INDIRECT("'W"&amp;Q$1&amp;"'!$A$2:$T$1000"),4,FALSE),0)</f>
        <v>28.200000000000003</v>
      </c>
      <c r="R81" s="37">
        <f ca="1">_xlfn.IFNA(VLOOKUP($A81,INDIRECT("'W"&amp;R$1&amp;"'!$A$2:$T$1000"),4,FALSE),0)</f>
        <v>6.2</v>
      </c>
      <c r="S81" s="37">
        <f ca="1">_xlfn.IFNA(VLOOKUP($A81,INDIRECT("'W"&amp;S$1&amp;"'!$A$2:$T$1000"),4,FALSE),0)</f>
        <v>0</v>
      </c>
      <c r="T81" s="37">
        <f ca="1">_xlfn.IFNA(VLOOKUP($A81,INDIRECT("'W"&amp;T$1&amp;"'!$A$2:$T$1000"),4,FALSE),0)</f>
        <v>0</v>
      </c>
      <c r="U81" s="36">
        <f ca="1">COUNTIF(C81:T81,"&gt; 15")</f>
        <v>4</v>
      </c>
      <c r="V81" s="36">
        <f ca="1">SUM(C81:T81)</f>
        <v>198.60000000000002</v>
      </c>
      <c r="W81" s="36"/>
      <c r="X81" s="38">
        <v>12</v>
      </c>
    </row>
    <row r="82" spans="1:24" ht="12.75" x14ac:dyDescent="0.2">
      <c r="A82" s="36" t="s">
        <v>93</v>
      </c>
      <c r="B82" s="36" t="s">
        <v>75</v>
      </c>
      <c r="C82" s="37">
        <f ca="1">_xlfn.IFNA(VLOOKUP($A82,INDIRECT("'W"&amp;C$1&amp;"'!$A$2:$T$1000"),4,FALSE),0)</f>
        <v>13.600000000000001</v>
      </c>
      <c r="D82" s="37">
        <f ca="1">_xlfn.IFNA(VLOOKUP($A82,INDIRECT("'W"&amp;D$1&amp;"'!$A$2:$T$1000"),4,FALSE),0)</f>
        <v>28.900000000000002</v>
      </c>
      <c r="E82" s="37">
        <f ca="1">_xlfn.IFNA(VLOOKUP($A82,INDIRECT("'W"&amp;E$1&amp;"'!$A$2:$T$1000"),4,FALSE),0)</f>
        <v>7</v>
      </c>
      <c r="F82" s="37">
        <f ca="1">_xlfn.IFNA(VLOOKUP($A82,INDIRECT("'W"&amp;F$1&amp;"'!$A$2:$T$1000"),4,FALSE),0)</f>
        <v>13.1</v>
      </c>
      <c r="G82" s="37">
        <f ca="1">_xlfn.IFNA(VLOOKUP($A82,INDIRECT("'W"&amp;G$1&amp;"'!$A$2:$T$1000"),4,FALSE),0)</f>
        <v>8.3000000000000007</v>
      </c>
      <c r="H82" s="37">
        <f ca="1">_xlfn.IFNA(VLOOKUP($A82,INDIRECT("'W"&amp;H$1&amp;"'!$A$2:$T$1000"),4,FALSE),0)</f>
        <v>13.6</v>
      </c>
      <c r="I82" s="37">
        <f ca="1">_xlfn.IFNA(VLOOKUP($A82,INDIRECT("'W"&amp;I$1&amp;"'!$A$2:$T$1000"),4,FALSE),0)</f>
        <v>8.3000000000000007</v>
      </c>
      <c r="J82" s="37">
        <f ca="1">_xlfn.IFNA(VLOOKUP($A82,INDIRECT("'W"&amp;J$1&amp;"'!$A$2:$T$1000"),4,FALSE),0)</f>
        <v>9.9</v>
      </c>
      <c r="K82" s="37">
        <f ca="1">_xlfn.IFNA(VLOOKUP($A82,INDIRECT("'W"&amp;K$1&amp;"'!$A$2:$T$1000"),4,FALSE),0)</f>
        <v>11.700000000000001</v>
      </c>
      <c r="L82" s="37">
        <f ca="1">_xlfn.IFNA(VLOOKUP($A82,INDIRECT("'W"&amp;L$1&amp;"'!$A$2:$T$1000"),4,FALSE),0)</f>
        <v>27.700000000000003</v>
      </c>
      <c r="M82" s="37">
        <f ca="1">_xlfn.IFNA(VLOOKUP($A82,INDIRECT("'W"&amp;M$1&amp;"'!$A$2:$T$1000"),4,FALSE),0)</f>
        <v>20.100000000000001</v>
      </c>
      <c r="N82" s="37">
        <f ca="1">_xlfn.IFNA(VLOOKUP($A82,INDIRECT("'W"&amp;N$1&amp;"'!$A$2:$T$1000"),4,FALSE),0)</f>
        <v>8.4</v>
      </c>
      <c r="O82" s="37">
        <f ca="1">_xlfn.IFNA(VLOOKUP($A82,INDIRECT("'W"&amp;O$1&amp;"'!$A$2:$T$1000"),4,FALSE),0)</f>
        <v>5.3000000000000007</v>
      </c>
      <c r="P82" s="37">
        <f ca="1">_xlfn.IFNA(VLOOKUP($A82,INDIRECT("'W"&amp;P$1&amp;"'!$A$2:$T$1000"),4,FALSE),0)</f>
        <v>0</v>
      </c>
      <c r="Q82" s="37">
        <f ca="1">_xlfn.IFNA(VLOOKUP($A82,INDIRECT("'W"&amp;Q$1&amp;"'!$A$2:$T$1000"),4,FALSE),0)</f>
        <v>0</v>
      </c>
      <c r="R82" s="37">
        <f ca="1">_xlfn.IFNA(VLOOKUP($A82,INDIRECT("'W"&amp;R$1&amp;"'!$A$2:$T$1000"),4,FALSE),0)</f>
        <v>0</v>
      </c>
      <c r="S82" s="37">
        <f ca="1">_xlfn.IFNA(VLOOKUP($A82,INDIRECT("'W"&amp;S$1&amp;"'!$A$2:$T$1000"),4,FALSE),0)</f>
        <v>11.600000000000001</v>
      </c>
      <c r="T82" s="37">
        <f ca="1">_xlfn.IFNA(VLOOKUP($A82,INDIRECT("'W"&amp;T$1&amp;"'!$A$2:$T$1000"),4,FALSE),0)</f>
        <v>10.5</v>
      </c>
      <c r="U82" s="36">
        <f ca="1">COUNTIF(C82:T82,"&gt; 15")</f>
        <v>3</v>
      </c>
      <c r="V82" s="36">
        <f ca="1">SUM(C82:T82)</f>
        <v>198.00000000000003</v>
      </c>
      <c r="W82" s="36"/>
      <c r="X82" s="38">
        <v>113</v>
      </c>
    </row>
    <row r="83" spans="1:24" ht="12.75" x14ac:dyDescent="0.2">
      <c r="A83" s="36" t="s">
        <v>113</v>
      </c>
      <c r="B83" s="36" t="s">
        <v>75</v>
      </c>
      <c r="C83" s="37">
        <f ca="1">_xlfn.IFNA(VLOOKUP($A83,INDIRECT("'W"&amp;C$1&amp;"'!$A$2:$T$1000"),4,FALSE),0)</f>
        <v>6.8</v>
      </c>
      <c r="D83" s="37">
        <f ca="1">_xlfn.IFNA(VLOOKUP($A83,INDIRECT("'W"&amp;D$1&amp;"'!$A$2:$T$1000"),4,FALSE),0)</f>
        <v>12.600000000000001</v>
      </c>
      <c r="E83" s="37">
        <f ca="1">_xlfn.IFNA(VLOOKUP($A83,INDIRECT("'W"&amp;E$1&amp;"'!$A$2:$T$1000"),4,FALSE),0)</f>
        <v>8.2000000000000011</v>
      </c>
      <c r="F83" s="37">
        <f ca="1">_xlfn.IFNA(VLOOKUP($A83,INDIRECT("'W"&amp;F$1&amp;"'!$A$2:$T$1000"),4,FALSE),0)</f>
        <v>11.5</v>
      </c>
      <c r="G83" s="37">
        <f ca="1">_xlfn.IFNA(VLOOKUP($A83,INDIRECT("'W"&amp;G$1&amp;"'!$A$2:$T$1000"),4,FALSE),0)</f>
        <v>10.9</v>
      </c>
      <c r="H83" s="37">
        <f ca="1">_xlfn.IFNA(VLOOKUP($A83,INDIRECT("'W"&amp;H$1&amp;"'!$A$2:$T$1000"),4,FALSE),0)</f>
        <v>0</v>
      </c>
      <c r="I83" s="37">
        <f ca="1">_xlfn.IFNA(VLOOKUP($A83,INDIRECT("'W"&amp;I$1&amp;"'!$A$2:$T$1000"),4,FALSE),0)</f>
        <v>10.1</v>
      </c>
      <c r="J83" s="37">
        <f ca="1">_xlfn.IFNA(VLOOKUP($A83,INDIRECT("'W"&amp;J$1&amp;"'!$A$2:$T$1000"),4,FALSE),0)</f>
        <v>7.8000000000000007</v>
      </c>
      <c r="K83" s="37">
        <f ca="1">_xlfn.IFNA(VLOOKUP($A83,INDIRECT("'W"&amp;K$1&amp;"'!$A$2:$T$1000"),4,FALSE),0)</f>
        <v>14.3</v>
      </c>
      <c r="L83" s="37">
        <f ca="1">_xlfn.IFNA(VLOOKUP($A83,INDIRECT("'W"&amp;L$1&amp;"'!$A$2:$T$1000"),4,FALSE),0)</f>
        <v>19</v>
      </c>
      <c r="M83" s="37">
        <f ca="1">_xlfn.IFNA(VLOOKUP($A83,INDIRECT("'W"&amp;M$1&amp;"'!$A$2:$T$1000"),4,FALSE),0)</f>
        <v>23.5</v>
      </c>
      <c r="N83" s="37">
        <f ca="1">_xlfn.IFNA(VLOOKUP($A83,INDIRECT("'W"&amp;N$1&amp;"'!$A$2:$T$1000"),4,FALSE),0)</f>
        <v>7.2000000000000011</v>
      </c>
      <c r="O83" s="37">
        <f ca="1">_xlfn.IFNA(VLOOKUP($A83,INDIRECT("'W"&amp;O$1&amp;"'!$A$2:$T$1000"),4,FALSE),0)</f>
        <v>6.5</v>
      </c>
      <c r="P83" s="37">
        <f ca="1">_xlfn.IFNA(VLOOKUP($A83,INDIRECT("'W"&amp;P$1&amp;"'!$A$2:$T$1000"),4,FALSE),0)</f>
        <v>8</v>
      </c>
      <c r="Q83" s="37">
        <f ca="1">_xlfn.IFNA(VLOOKUP($A83,INDIRECT("'W"&amp;Q$1&amp;"'!$A$2:$T$1000"),4,FALSE),0)</f>
        <v>11.8</v>
      </c>
      <c r="R83" s="37">
        <f ca="1">_xlfn.IFNA(VLOOKUP($A83,INDIRECT("'W"&amp;R$1&amp;"'!$A$2:$T$1000"),4,FALSE),0)</f>
        <v>10.4</v>
      </c>
      <c r="S83" s="37">
        <f ca="1">_xlfn.IFNA(VLOOKUP($A83,INDIRECT("'W"&amp;S$1&amp;"'!$A$2:$T$1000"),4,FALSE),0)</f>
        <v>19.8</v>
      </c>
      <c r="T83" s="37">
        <f ca="1">_xlfn.IFNA(VLOOKUP($A83,INDIRECT("'W"&amp;T$1&amp;"'!$A$2:$T$1000"),4,FALSE),0)</f>
        <v>8</v>
      </c>
      <c r="U83" s="36">
        <f ca="1">COUNTIF(C83:T83,"&gt; 15")</f>
        <v>3</v>
      </c>
      <c r="V83" s="36">
        <f ca="1">SUM(C83:T83)</f>
        <v>196.40000000000003</v>
      </c>
      <c r="W83" s="36"/>
      <c r="X83" s="38">
        <v>152</v>
      </c>
    </row>
    <row r="84" spans="1:24" ht="12.75" x14ac:dyDescent="0.2">
      <c r="A84" s="36" t="s">
        <v>70</v>
      </c>
      <c r="B84" s="36" t="s">
        <v>17</v>
      </c>
      <c r="C84" s="37">
        <f ca="1">_xlfn.IFNA(VLOOKUP($A84,INDIRECT("'W"&amp;C$1&amp;"'!$A$2:$T$1000"),4,FALSE),0)</f>
        <v>0</v>
      </c>
      <c r="D84" s="37">
        <f ca="1">_xlfn.IFNA(VLOOKUP($A84,INDIRECT("'W"&amp;D$1&amp;"'!$A$2:$T$1000"),4,FALSE),0)</f>
        <v>11.14</v>
      </c>
      <c r="E84" s="37">
        <f ca="1">_xlfn.IFNA(VLOOKUP($A84,INDIRECT("'W"&amp;E$1&amp;"'!$A$2:$T$1000"),4,FALSE),0)</f>
        <v>13.08</v>
      </c>
      <c r="F84" s="37">
        <f ca="1">_xlfn.IFNA(VLOOKUP($A84,INDIRECT("'W"&amp;F$1&amp;"'!$A$2:$T$1000"),4,FALSE),0)</f>
        <v>0</v>
      </c>
      <c r="G84" s="37">
        <f ca="1">_xlfn.IFNA(VLOOKUP($A84,INDIRECT("'W"&amp;G$1&amp;"'!$A$2:$T$1000"),4,FALSE),0)</f>
        <v>6.3</v>
      </c>
      <c r="H84" s="37">
        <f ca="1">_xlfn.IFNA(VLOOKUP($A84,INDIRECT("'W"&amp;H$1&amp;"'!$A$2:$T$1000"),4,FALSE),0)</f>
        <v>9.56</v>
      </c>
      <c r="I84" s="37">
        <f ca="1">_xlfn.IFNA(VLOOKUP($A84,INDIRECT("'W"&amp;I$1&amp;"'!$A$2:$T$1000"),4,FALSE),0)</f>
        <v>27.1</v>
      </c>
      <c r="J84" s="37">
        <f ca="1">_xlfn.IFNA(VLOOKUP($A84,INDIRECT("'W"&amp;J$1&amp;"'!$A$2:$T$1000"),4,FALSE),0)</f>
        <v>14.82</v>
      </c>
      <c r="K84" s="37">
        <f ca="1">_xlfn.IFNA(VLOOKUP($A84,INDIRECT("'W"&amp;K$1&amp;"'!$A$2:$T$1000"),4,FALSE),0)</f>
        <v>9.58</v>
      </c>
      <c r="L84" s="37">
        <f ca="1">_xlfn.IFNA(VLOOKUP($A84,INDIRECT("'W"&amp;L$1&amp;"'!$A$2:$T$1000"),4,FALSE),0)</f>
        <v>5.66</v>
      </c>
      <c r="M84" s="37">
        <f ca="1">_xlfn.IFNA(VLOOKUP($A84,INDIRECT("'W"&amp;M$1&amp;"'!$A$2:$T$1000"),4,FALSE),0)</f>
        <v>0</v>
      </c>
      <c r="N84" s="37">
        <f ca="1">_xlfn.IFNA(VLOOKUP($A84,INDIRECT("'W"&amp;N$1&amp;"'!$A$2:$T$1000"),4,FALSE),0)</f>
        <v>14.64</v>
      </c>
      <c r="O84" s="37">
        <f ca="1">_xlfn.IFNA(VLOOKUP($A84,INDIRECT("'W"&amp;O$1&amp;"'!$A$2:$T$1000"),4,FALSE),0)</f>
        <v>18.68</v>
      </c>
      <c r="P84" s="37">
        <f ca="1">_xlfn.IFNA(VLOOKUP($A84,INDIRECT("'W"&amp;P$1&amp;"'!$A$2:$T$1000"),4,FALSE),0)</f>
        <v>14.1</v>
      </c>
      <c r="Q84" s="37">
        <f ca="1">_xlfn.IFNA(VLOOKUP($A84,INDIRECT("'W"&amp;Q$1&amp;"'!$A$2:$T$1000"),4,FALSE),0)</f>
        <v>20.6</v>
      </c>
      <c r="R84" s="37">
        <f ca="1">_xlfn.IFNA(VLOOKUP($A84,INDIRECT("'W"&amp;R$1&amp;"'!$A$2:$T$1000"),4,FALSE),0)</f>
        <v>9.14</v>
      </c>
      <c r="S84" s="37">
        <f ca="1">_xlfn.IFNA(VLOOKUP($A84,INDIRECT("'W"&amp;S$1&amp;"'!$A$2:$T$1000"),4,FALSE),0)</f>
        <v>13.260000000000002</v>
      </c>
      <c r="T84" s="37">
        <f ca="1">_xlfn.IFNA(VLOOKUP($A84,INDIRECT("'W"&amp;T$1&amp;"'!$A$2:$T$1000"),4,FALSE),0)</f>
        <v>8.5399999999999991</v>
      </c>
      <c r="U84" s="36">
        <f ca="1">COUNTIF(C84:T84,"&gt; 15")</f>
        <v>3</v>
      </c>
      <c r="V84" s="36">
        <f ca="1">SUM(C84:T84)</f>
        <v>196.19999999999996</v>
      </c>
      <c r="W84" s="36"/>
      <c r="X84" s="38"/>
    </row>
    <row r="85" spans="1:24" ht="12.75" x14ac:dyDescent="0.2">
      <c r="A85" s="36" t="s">
        <v>117</v>
      </c>
      <c r="B85" s="36" t="s">
        <v>75</v>
      </c>
      <c r="C85" s="37">
        <f ca="1">_xlfn.IFNA(VLOOKUP($A85,INDIRECT("'W"&amp;C$1&amp;"'!$A$2:$T$1000"),4,FALSE),0)</f>
        <v>5.3</v>
      </c>
      <c r="D85" s="37">
        <f ca="1">_xlfn.IFNA(VLOOKUP($A85,INDIRECT("'W"&amp;D$1&amp;"'!$A$2:$T$1000"),4,FALSE),0)</f>
        <v>5.3</v>
      </c>
      <c r="E85" s="37">
        <f ca="1">_xlfn.IFNA(VLOOKUP($A85,INDIRECT("'W"&amp;E$1&amp;"'!$A$2:$T$1000"),4,FALSE),0)</f>
        <v>6.5</v>
      </c>
      <c r="F85" s="37">
        <f ca="1">_xlfn.IFNA(VLOOKUP($A85,INDIRECT("'W"&amp;F$1&amp;"'!$A$2:$T$1000"),4,FALSE),0)</f>
        <v>11.3</v>
      </c>
      <c r="G85" s="37">
        <f ca="1">_xlfn.IFNA(VLOOKUP($A85,INDIRECT("'W"&amp;G$1&amp;"'!$A$2:$T$1000"),4,FALSE),0)</f>
        <v>5</v>
      </c>
      <c r="H85" s="37">
        <f ca="1">_xlfn.IFNA(VLOOKUP($A85,INDIRECT("'W"&amp;H$1&amp;"'!$A$2:$T$1000"),4,FALSE),0)</f>
        <v>0</v>
      </c>
      <c r="I85" s="37">
        <f ca="1">_xlfn.IFNA(VLOOKUP($A85,INDIRECT("'W"&amp;I$1&amp;"'!$A$2:$T$1000"),4,FALSE),0)</f>
        <v>15.8</v>
      </c>
      <c r="J85" s="37">
        <f ca="1">_xlfn.IFNA(VLOOKUP($A85,INDIRECT("'W"&amp;J$1&amp;"'!$A$2:$T$1000"),4,FALSE),0)</f>
        <v>10.5</v>
      </c>
      <c r="K85" s="37">
        <f ca="1">_xlfn.IFNA(VLOOKUP($A85,INDIRECT("'W"&amp;K$1&amp;"'!$A$2:$T$1000"),4,FALSE),0)</f>
        <v>15.6</v>
      </c>
      <c r="L85" s="37">
        <f ca="1">_xlfn.IFNA(VLOOKUP($A85,INDIRECT("'W"&amp;L$1&amp;"'!$A$2:$T$1000"),4,FALSE),0)</f>
        <v>18.600000000000001</v>
      </c>
      <c r="M85" s="37">
        <f ca="1">_xlfn.IFNA(VLOOKUP($A85,INDIRECT("'W"&amp;M$1&amp;"'!$A$2:$T$1000"),4,FALSE),0)</f>
        <v>4.5999999999999996</v>
      </c>
      <c r="N85" s="37">
        <f ca="1">_xlfn.IFNA(VLOOKUP($A85,INDIRECT("'W"&amp;N$1&amp;"'!$A$2:$T$1000"),4,FALSE),0)</f>
        <v>15.9</v>
      </c>
      <c r="O85" s="37">
        <f ca="1">_xlfn.IFNA(VLOOKUP($A85,INDIRECT("'W"&amp;O$1&amp;"'!$A$2:$T$1000"),4,FALSE),0)</f>
        <v>9.7000000000000011</v>
      </c>
      <c r="P85" s="37">
        <f ca="1">_xlfn.IFNA(VLOOKUP($A85,INDIRECT("'W"&amp;P$1&amp;"'!$A$2:$T$1000"),4,FALSE),0)</f>
        <v>7.8000000000000007</v>
      </c>
      <c r="Q85" s="37">
        <f ca="1">_xlfn.IFNA(VLOOKUP($A85,INDIRECT("'W"&amp;Q$1&amp;"'!$A$2:$T$1000"),4,FALSE),0)</f>
        <v>1.3000000000000003</v>
      </c>
      <c r="R85" s="37">
        <f ca="1">_xlfn.IFNA(VLOOKUP($A85,INDIRECT("'W"&amp;R$1&amp;"'!$A$2:$T$1000"),4,FALSE),0)</f>
        <v>13.8</v>
      </c>
      <c r="S85" s="37">
        <f ca="1">_xlfn.IFNA(VLOOKUP($A85,INDIRECT("'W"&amp;S$1&amp;"'!$A$2:$T$1000"),4,FALSE),0)</f>
        <v>24.200000000000003</v>
      </c>
      <c r="T85" s="37">
        <f ca="1">_xlfn.IFNA(VLOOKUP($A85,INDIRECT("'W"&amp;T$1&amp;"'!$A$2:$T$1000"),4,FALSE),0)</f>
        <v>24.300000000000004</v>
      </c>
      <c r="U85" s="36">
        <f ca="1">COUNTIF(C85:T85,"&gt; 15")</f>
        <v>6</v>
      </c>
      <c r="V85" s="36">
        <f ca="1">SUM(C85:T85)</f>
        <v>195.50000000000006</v>
      </c>
      <c r="W85" s="36"/>
      <c r="X85" s="38">
        <v>36</v>
      </c>
    </row>
    <row r="86" spans="1:24" ht="12.75" x14ac:dyDescent="0.2">
      <c r="A86" s="36" t="s">
        <v>375</v>
      </c>
      <c r="B86" s="36" t="s">
        <v>75</v>
      </c>
      <c r="C86" s="37">
        <f ca="1">_xlfn.IFNA(VLOOKUP($A86,INDIRECT("'W"&amp;C$1&amp;"'!$A$2:$T$1000"),4,FALSE),0)</f>
        <v>0</v>
      </c>
      <c r="D86" s="37">
        <f ca="1">_xlfn.IFNA(VLOOKUP($A86,INDIRECT("'W"&amp;D$1&amp;"'!$A$2:$T$1000"),4,FALSE),0)</f>
        <v>1.9</v>
      </c>
      <c r="E86" s="37">
        <f ca="1">_xlfn.IFNA(VLOOKUP($A86,INDIRECT("'W"&amp;E$1&amp;"'!$A$2:$T$1000"),4,FALSE),0)</f>
        <v>51.3</v>
      </c>
      <c r="F86" s="37">
        <f ca="1">_xlfn.IFNA(VLOOKUP($A86,INDIRECT("'W"&amp;F$1&amp;"'!$A$2:$T$1000"),4,FALSE),0)</f>
        <v>27</v>
      </c>
      <c r="G86" s="37">
        <f ca="1">_xlfn.IFNA(VLOOKUP($A86,INDIRECT("'W"&amp;G$1&amp;"'!$A$2:$T$1000"),4,FALSE),0)</f>
        <v>21.5</v>
      </c>
      <c r="H86" s="37">
        <f ca="1">_xlfn.IFNA(VLOOKUP($A86,INDIRECT("'W"&amp;H$1&amp;"'!$A$2:$T$1000"),4,FALSE),0)</f>
        <v>0</v>
      </c>
      <c r="I86" s="37">
        <f ca="1">_xlfn.IFNA(VLOOKUP($A86,INDIRECT("'W"&amp;I$1&amp;"'!$A$2:$T$1000"),4,FALSE),0)</f>
        <v>0</v>
      </c>
      <c r="J86" s="37">
        <f ca="1">_xlfn.IFNA(VLOOKUP($A86,INDIRECT("'W"&amp;J$1&amp;"'!$A$2:$T$1000"),4,FALSE),0)</f>
        <v>0</v>
      </c>
      <c r="K86" s="37">
        <f ca="1">_xlfn.IFNA(VLOOKUP($A86,INDIRECT("'W"&amp;K$1&amp;"'!$A$2:$T$1000"),4,FALSE),0)</f>
        <v>0</v>
      </c>
      <c r="L86" s="37">
        <f ca="1">_xlfn.IFNA(VLOOKUP($A86,INDIRECT("'W"&amp;L$1&amp;"'!$A$2:$T$1000"),4,FALSE),0)</f>
        <v>0</v>
      </c>
      <c r="M86" s="37">
        <f ca="1">_xlfn.IFNA(VLOOKUP($A86,INDIRECT("'W"&amp;M$1&amp;"'!$A$2:$T$1000"),4,FALSE),0)</f>
        <v>1.5</v>
      </c>
      <c r="N86" s="37">
        <f ca="1">_xlfn.IFNA(VLOOKUP($A86,INDIRECT("'W"&amp;N$1&amp;"'!$A$2:$T$1000"),4,FALSE),0)</f>
        <v>0</v>
      </c>
      <c r="O86" s="37">
        <f ca="1">_xlfn.IFNA(VLOOKUP($A86,INDIRECT("'W"&amp;O$1&amp;"'!$A$2:$T$1000"),4,FALSE),0)</f>
        <v>25.3</v>
      </c>
      <c r="P86" s="37">
        <f ca="1">_xlfn.IFNA(VLOOKUP($A86,INDIRECT("'W"&amp;P$1&amp;"'!$A$2:$T$1000"),4,FALSE),0)</f>
        <v>12.1</v>
      </c>
      <c r="Q86" s="37">
        <f ca="1">_xlfn.IFNA(VLOOKUP($A86,INDIRECT("'W"&amp;Q$1&amp;"'!$A$2:$T$1000"),4,FALSE),0)</f>
        <v>9.1999999999999993</v>
      </c>
      <c r="R86" s="37">
        <f ca="1">_xlfn.IFNA(VLOOKUP($A86,INDIRECT("'W"&amp;R$1&amp;"'!$A$2:$T$1000"),4,FALSE),0)</f>
        <v>4.1000000000000005</v>
      </c>
      <c r="S86" s="37">
        <f ca="1">_xlfn.IFNA(VLOOKUP($A86,INDIRECT("'W"&amp;S$1&amp;"'!$A$2:$T$1000"),4,FALSE),0)</f>
        <v>23.700000000000003</v>
      </c>
      <c r="T86" s="37">
        <f ca="1">_xlfn.IFNA(VLOOKUP($A86,INDIRECT("'W"&amp;T$1&amp;"'!$A$2:$T$1000"),4,FALSE),0)</f>
        <v>13.100000000000001</v>
      </c>
      <c r="U86" s="36">
        <f ca="1">COUNTIF(C86:T86,"&gt; 15")</f>
        <v>5</v>
      </c>
      <c r="V86" s="36">
        <f ca="1">SUM(C86:T86)</f>
        <v>190.69999999999996</v>
      </c>
      <c r="W86" s="36"/>
      <c r="X86" s="38"/>
    </row>
    <row r="87" spans="1:24" ht="12.75" x14ac:dyDescent="0.2">
      <c r="A87" s="36" t="s">
        <v>189</v>
      </c>
      <c r="B87" s="36" t="s">
        <v>162</v>
      </c>
      <c r="C87" s="37">
        <f ca="1">_xlfn.IFNA(VLOOKUP($A87,INDIRECT("'W"&amp;C$1&amp;"'!$A$2:$T$1000"),4,FALSE),0)</f>
        <v>13.2</v>
      </c>
      <c r="D87" s="37">
        <f ca="1">_xlfn.IFNA(VLOOKUP($A87,INDIRECT("'W"&amp;D$1&amp;"'!$A$2:$T$1000"),4,FALSE),0)</f>
        <v>11.600000000000001</v>
      </c>
      <c r="E87" s="37">
        <f ca="1">_xlfn.IFNA(VLOOKUP($A87,INDIRECT("'W"&amp;E$1&amp;"'!$A$2:$T$1000"),4,FALSE),0)</f>
        <v>19.100000000000001</v>
      </c>
      <c r="F87" s="37">
        <f ca="1">_xlfn.IFNA(VLOOKUP($A87,INDIRECT("'W"&amp;F$1&amp;"'!$A$2:$T$1000"),4,FALSE),0)</f>
        <v>11.7</v>
      </c>
      <c r="G87" s="37">
        <f ca="1">_xlfn.IFNA(VLOOKUP($A87,INDIRECT("'W"&amp;G$1&amp;"'!$A$2:$T$1000"),4,FALSE),0)</f>
        <v>2.2999999999999998</v>
      </c>
      <c r="H87" s="37">
        <f ca="1">_xlfn.IFNA(VLOOKUP($A87,INDIRECT("'W"&amp;H$1&amp;"'!$A$2:$T$1000"),4,FALSE),0)</f>
        <v>14.600000000000001</v>
      </c>
      <c r="I87" s="37">
        <f ca="1">_xlfn.IFNA(VLOOKUP($A87,INDIRECT("'W"&amp;I$1&amp;"'!$A$2:$T$1000"),4,FALSE),0)</f>
        <v>19.600000000000001</v>
      </c>
      <c r="J87" s="37">
        <f ca="1">_xlfn.IFNA(VLOOKUP($A87,INDIRECT("'W"&amp;J$1&amp;"'!$A$2:$T$1000"),4,FALSE),0)</f>
        <v>10.9</v>
      </c>
      <c r="K87" s="37">
        <f ca="1">_xlfn.IFNA(VLOOKUP($A87,INDIRECT("'W"&amp;K$1&amp;"'!$A$2:$T$1000"),4,FALSE),0)</f>
        <v>0</v>
      </c>
      <c r="L87" s="37">
        <f ca="1">_xlfn.IFNA(VLOOKUP($A87,INDIRECT("'W"&amp;L$1&amp;"'!$A$2:$T$1000"),4,FALSE),0)</f>
        <v>17.3</v>
      </c>
      <c r="M87" s="37">
        <f ca="1">_xlfn.IFNA(VLOOKUP($A87,INDIRECT("'W"&amp;M$1&amp;"'!$A$2:$T$1000"),4,FALSE),0)</f>
        <v>16.600000000000001</v>
      </c>
      <c r="N87" s="37">
        <f ca="1">_xlfn.IFNA(VLOOKUP($A87,INDIRECT("'W"&amp;N$1&amp;"'!$A$2:$T$1000"),4,FALSE),0)</f>
        <v>9.1000000000000014</v>
      </c>
      <c r="O87" s="37">
        <f ca="1">_xlfn.IFNA(VLOOKUP($A87,INDIRECT("'W"&amp;O$1&amp;"'!$A$2:$T$1000"),4,FALSE),0)</f>
        <v>15.7</v>
      </c>
      <c r="P87" s="37">
        <f ca="1">_xlfn.IFNA(VLOOKUP($A87,INDIRECT("'W"&amp;P$1&amp;"'!$A$2:$T$1000"),4,FALSE),0)</f>
        <v>15.2</v>
      </c>
      <c r="Q87" s="37">
        <f ca="1">_xlfn.IFNA(VLOOKUP($A87,INDIRECT("'W"&amp;Q$1&amp;"'!$A$2:$T$1000"),4,FALSE),0)</f>
        <v>12.100000000000001</v>
      </c>
      <c r="R87" s="37">
        <f ca="1">_xlfn.IFNA(VLOOKUP($A87,INDIRECT("'W"&amp;R$1&amp;"'!$A$2:$T$1000"),4,FALSE),0)</f>
        <v>0</v>
      </c>
      <c r="S87" s="37">
        <f ca="1">_xlfn.IFNA(VLOOKUP($A87,INDIRECT("'W"&amp;S$1&amp;"'!$A$2:$T$1000"),4,FALSE),0)</f>
        <v>0</v>
      </c>
      <c r="T87" s="37">
        <f ca="1">_xlfn.IFNA(VLOOKUP($A87,INDIRECT("'W"&amp;T$1&amp;"'!$A$2:$T$1000"),4,FALSE),0)</f>
        <v>1.2</v>
      </c>
      <c r="U87" s="36">
        <f ca="1">COUNTIF(C87:T87,"&gt; 15")</f>
        <v>6</v>
      </c>
      <c r="V87" s="36">
        <f ca="1">SUM(C87:T87)</f>
        <v>190.19999999999996</v>
      </c>
      <c r="W87" s="36"/>
      <c r="X87" s="38">
        <v>95</v>
      </c>
    </row>
    <row r="88" spans="1:24" ht="12.75" x14ac:dyDescent="0.2">
      <c r="A88" s="36" t="s">
        <v>116</v>
      </c>
      <c r="B88" s="36" t="s">
        <v>75</v>
      </c>
      <c r="C88" s="37">
        <f ca="1">_xlfn.IFNA(VLOOKUP($A88,INDIRECT("'W"&amp;C$1&amp;"'!$A$2:$T$1000"),4,FALSE),0)</f>
        <v>5.2</v>
      </c>
      <c r="D88" s="37">
        <f ca="1">_xlfn.IFNA(VLOOKUP($A88,INDIRECT("'W"&amp;D$1&amp;"'!$A$2:$T$1000"),4,FALSE),0)</f>
        <v>12.2</v>
      </c>
      <c r="E88" s="37">
        <f ca="1">_xlfn.IFNA(VLOOKUP($A88,INDIRECT("'W"&amp;E$1&amp;"'!$A$2:$T$1000"),4,FALSE),0)</f>
        <v>5.1000000000000005</v>
      </c>
      <c r="F88" s="37">
        <f ca="1">_xlfn.IFNA(VLOOKUP($A88,INDIRECT("'W"&amp;F$1&amp;"'!$A$2:$T$1000"),4,FALSE),0)</f>
        <v>6.9</v>
      </c>
      <c r="G88" s="37">
        <f ca="1">_xlfn.IFNA(VLOOKUP($A88,INDIRECT("'W"&amp;G$1&amp;"'!$A$2:$T$1000"),4,FALSE),0)</f>
        <v>4.8000000000000007</v>
      </c>
      <c r="H88" s="37">
        <f ca="1">_xlfn.IFNA(VLOOKUP($A88,INDIRECT("'W"&amp;H$1&amp;"'!$A$2:$T$1000"),4,FALSE),0)</f>
        <v>6.3000000000000007</v>
      </c>
      <c r="I88" s="37">
        <f ca="1">_xlfn.IFNA(VLOOKUP($A88,INDIRECT("'W"&amp;I$1&amp;"'!$A$2:$T$1000"),4,FALSE),0)</f>
        <v>21.4</v>
      </c>
      <c r="J88" s="37">
        <f ca="1">_xlfn.IFNA(VLOOKUP($A88,INDIRECT("'W"&amp;J$1&amp;"'!$A$2:$T$1000"),4,FALSE),0)</f>
        <v>29.4</v>
      </c>
      <c r="K88" s="37">
        <f ca="1">_xlfn.IFNA(VLOOKUP($A88,INDIRECT("'W"&amp;K$1&amp;"'!$A$2:$T$1000"),4,FALSE),0)</f>
        <v>17.2</v>
      </c>
      <c r="L88" s="37">
        <f ca="1">_xlfn.IFNA(VLOOKUP($A88,INDIRECT("'W"&amp;L$1&amp;"'!$A$2:$T$1000"),4,FALSE),0)</f>
        <v>9.8000000000000007</v>
      </c>
      <c r="M88" s="37">
        <f ca="1">_xlfn.IFNA(VLOOKUP($A88,INDIRECT("'W"&amp;M$1&amp;"'!$A$2:$T$1000"),4,FALSE),0)</f>
        <v>21</v>
      </c>
      <c r="N88" s="37">
        <f ca="1">_xlfn.IFNA(VLOOKUP($A88,INDIRECT("'W"&amp;N$1&amp;"'!$A$2:$T$1000"),4,FALSE),0)</f>
        <v>4.7</v>
      </c>
      <c r="O88" s="37">
        <f ca="1">_xlfn.IFNA(VLOOKUP($A88,INDIRECT("'W"&amp;O$1&amp;"'!$A$2:$T$1000"),4,FALSE),0)</f>
        <v>0</v>
      </c>
      <c r="P88" s="37">
        <f ca="1">_xlfn.IFNA(VLOOKUP($A88,INDIRECT("'W"&amp;P$1&amp;"'!$A$2:$T$1000"),4,FALSE),0)</f>
        <v>1.5</v>
      </c>
      <c r="Q88" s="37">
        <f ca="1">_xlfn.IFNA(VLOOKUP($A88,INDIRECT("'W"&amp;Q$1&amp;"'!$A$2:$T$1000"),4,FALSE),0)</f>
        <v>13.9</v>
      </c>
      <c r="R88" s="37">
        <f ca="1">_xlfn.IFNA(VLOOKUP($A88,INDIRECT("'W"&amp;R$1&amp;"'!$A$2:$T$1000"),4,FALSE),0)</f>
        <v>14</v>
      </c>
      <c r="S88" s="37">
        <f ca="1">_xlfn.IFNA(VLOOKUP($A88,INDIRECT("'W"&amp;S$1&amp;"'!$A$2:$T$1000"),4,FALSE),0)</f>
        <v>10.8</v>
      </c>
      <c r="T88" s="37">
        <f ca="1">_xlfn.IFNA(VLOOKUP($A88,INDIRECT("'W"&amp;T$1&amp;"'!$A$2:$T$1000"),4,FALSE),0)</f>
        <v>2.8000000000000007</v>
      </c>
      <c r="U88" s="36">
        <f ca="1">COUNTIF(C88:T88,"&gt; 15")</f>
        <v>4</v>
      </c>
      <c r="V88" s="36">
        <f ca="1">SUM(C88:T88)</f>
        <v>187.00000000000003</v>
      </c>
      <c r="W88" s="36"/>
      <c r="X88" s="38">
        <v>164</v>
      </c>
    </row>
    <row r="89" spans="1:24" ht="12.75" x14ac:dyDescent="0.2">
      <c r="A89" s="36" t="s">
        <v>76</v>
      </c>
      <c r="B89" s="36" t="s">
        <v>75</v>
      </c>
      <c r="C89" s="37">
        <f ca="1">_xlfn.IFNA(VLOOKUP($A89,INDIRECT("'W"&amp;C$1&amp;"'!$A$2:$T$1000"),4,FALSE),0)</f>
        <v>26.400000000000002</v>
      </c>
      <c r="D89" s="37">
        <f ca="1">_xlfn.IFNA(VLOOKUP($A89,INDIRECT("'W"&amp;D$1&amp;"'!$A$2:$T$1000"),4,FALSE),0)</f>
        <v>0</v>
      </c>
      <c r="E89" s="37">
        <f ca="1">_xlfn.IFNA(VLOOKUP($A89,INDIRECT("'W"&amp;E$1&amp;"'!$A$2:$T$1000"),4,FALSE),0)</f>
        <v>0</v>
      </c>
      <c r="F89" s="37">
        <f ca="1">_xlfn.IFNA(VLOOKUP($A89,INDIRECT("'W"&amp;F$1&amp;"'!$A$2:$T$1000"),4,FALSE),0)</f>
        <v>0</v>
      </c>
      <c r="G89" s="37">
        <f ca="1">_xlfn.IFNA(VLOOKUP($A89,INDIRECT("'W"&amp;G$1&amp;"'!$A$2:$T$1000"),4,FALSE),0)</f>
        <v>0</v>
      </c>
      <c r="H89" s="37">
        <f ca="1">_xlfn.IFNA(VLOOKUP($A89,INDIRECT("'W"&amp;H$1&amp;"'!$A$2:$T$1000"),4,FALSE),0)</f>
        <v>10.199999999999999</v>
      </c>
      <c r="I89" s="37">
        <f ca="1">_xlfn.IFNA(VLOOKUP($A89,INDIRECT("'W"&amp;I$1&amp;"'!$A$2:$T$1000"),4,FALSE),0)</f>
        <v>5.6</v>
      </c>
      <c r="J89" s="37">
        <f ca="1">_xlfn.IFNA(VLOOKUP($A89,INDIRECT("'W"&amp;J$1&amp;"'!$A$2:$T$1000"),4,FALSE),0)</f>
        <v>23.3</v>
      </c>
      <c r="K89" s="37">
        <f ca="1">_xlfn.IFNA(VLOOKUP($A89,INDIRECT("'W"&amp;K$1&amp;"'!$A$2:$T$1000"),4,FALSE),0)</f>
        <v>21</v>
      </c>
      <c r="L89" s="37">
        <f ca="1">_xlfn.IFNA(VLOOKUP($A89,INDIRECT("'W"&amp;L$1&amp;"'!$A$2:$T$1000"),4,FALSE),0)</f>
        <v>21.5</v>
      </c>
      <c r="M89" s="37">
        <f ca="1">_xlfn.IFNA(VLOOKUP($A89,INDIRECT("'W"&amp;M$1&amp;"'!$A$2:$T$1000"),4,FALSE),0)</f>
        <v>7</v>
      </c>
      <c r="N89" s="37">
        <f ca="1">_xlfn.IFNA(VLOOKUP($A89,INDIRECT("'W"&amp;N$1&amp;"'!$A$2:$T$1000"),4,FALSE),0)</f>
        <v>9.3999999999999986</v>
      </c>
      <c r="O89" s="37">
        <f ca="1">_xlfn.IFNA(VLOOKUP($A89,INDIRECT("'W"&amp;O$1&amp;"'!$A$2:$T$1000"),4,FALSE),0)</f>
        <v>4.7</v>
      </c>
      <c r="P89" s="37">
        <f ca="1">_xlfn.IFNA(VLOOKUP($A89,INDIRECT("'W"&amp;P$1&amp;"'!$A$2:$T$1000"),4,FALSE),0)</f>
        <v>21</v>
      </c>
      <c r="Q89" s="37">
        <f ca="1">_xlfn.IFNA(VLOOKUP($A89,INDIRECT("'W"&amp;Q$1&amp;"'!$A$2:$T$1000"),4,FALSE),0)</f>
        <v>7.8000000000000007</v>
      </c>
      <c r="R89" s="37">
        <f ca="1">_xlfn.IFNA(VLOOKUP($A89,INDIRECT("'W"&amp;R$1&amp;"'!$A$2:$T$1000"),4,FALSE),0)</f>
        <v>11.6</v>
      </c>
      <c r="S89" s="37">
        <f ca="1">_xlfn.IFNA(VLOOKUP($A89,INDIRECT("'W"&amp;S$1&amp;"'!$A$2:$T$1000"),4,FALSE),0)</f>
        <v>4.0000000000000009</v>
      </c>
      <c r="T89" s="37">
        <f ca="1">_xlfn.IFNA(VLOOKUP($A89,INDIRECT("'W"&amp;T$1&amp;"'!$A$2:$T$1000"),4,FALSE),0)</f>
        <v>11.9</v>
      </c>
      <c r="U89" s="36">
        <f ca="1">COUNTIF(C89:T89,"&gt; 15")</f>
        <v>5</v>
      </c>
      <c r="V89" s="36">
        <f ca="1">SUM(C89:T89)</f>
        <v>185.4</v>
      </c>
      <c r="W89" s="36"/>
      <c r="X89" s="38">
        <v>3</v>
      </c>
    </row>
    <row r="90" spans="1:24" ht="12.75" x14ac:dyDescent="0.2">
      <c r="A90" s="36" t="s">
        <v>108</v>
      </c>
      <c r="B90" s="36" t="s">
        <v>75</v>
      </c>
      <c r="C90" s="37">
        <f ca="1">_xlfn.IFNA(VLOOKUP($A90,INDIRECT("'W"&amp;C$1&amp;"'!$A$2:$T$1000"),4,FALSE),0)</f>
        <v>8.9</v>
      </c>
      <c r="D90" s="37">
        <f ca="1">_xlfn.IFNA(VLOOKUP($A90,INDIRECT("'W"&amp;D$1&amp;"'!$A$2:$T$1000"),4,FALSE),0)</f>
        <v>10</v>
      </c>
      <c r="E90" s="37">
        <f ca="1">_xlfn.IFNA(VLOOKUP($A90,INDIRECT("'W"&amp;E$1&amp;"'!$A$2:$T$1000"),4,FALSE),0)</f>
        <v>2.4000000000000004</v>
      </c>
      <c r="F90" s="37">
        <f ca="1">_xlfn.IFNA(VLOOKUP($A90,INDIRECT("'W"&amp;F$1&amp;"'!$A$2:$T$1000"),4,FALSE),0)</f>
        <v>7.3000000000000007</v>
      </c>
      <c r="G90" s="37">
        <f ca="1">_xlfn.IFNA(VLOOKUP($A90,INDIRECT("'W"&amp;G$1&amp;"'!$A$2:$T$1000"),4,FALSE),0)</f>
        <v>4.5</v>
      </c>
      <c r="H90" s="37">
        <f ca="1">_xlfn.IFNA(VLOOKUP($A90,INDIRECT("'W"&amp;H$1&amp;"'!$A$2:$T$1000"),4,FALSE),0)</f>
        <v>16</v>
      </c>
      <c r="I90" s="37">
        <f ca="1">_xlfn.IFNA(VLOOKUP($A90,INDIRECT("'W"&amp;I$1&amp;"'!$A$2:$T$1000"),4,FALSE),0)</f>
        <v>0</v>
      </c>
      <c r="J90" s="37">
        <f ca="1">_xlfn.IFNA(VLOOKUP($A90,INDIRECT("'W"&amp;J$1&amp;"'!$A$2:$T$1000"),4,FALSE),0)</f>
        <v>7.4</v>
      </c>
      <c r="K90" s="37">
        <f ca="1">_xlfn.IFNA(VLOOKUP($A90,INDIRECT("'W"&amp;K$1&amp;"'!$A$2:$T$1000"),4,FALSE),0)</f>
        <v>10.700000000000001</v>
      </c>
      <c r="L90" s="37">
        <f ca="1">_xlfn.IFNA(VLOOKUP($A90,INDIRECT("'W"&amp;L$1&amp;"'!$A$2:$T$1000"),4,FALSE),0)</f>
        <v>5.9</v>
      </c>
      <c r="M90" s="37">
        <f ca="1">_xlfn.IFNA(VLOOKUP($A90,INDIRECT("'W"&amp;M$1&amp;"'!$A$2:$T$1000"),4,FALSE),0)</f>
        <v>8.5</v>
      </c>
      <c r="N90" s="37">
        <f ca="1">_xlfn.IFNA(VLOOKUP($A90,INDIRECT("'W"&amp;N$1&amp;"'!$A$2:$T$1000"),4,FALSE),0)</f>
        <v>20.2</v>
      </c>
      <c r="O90" s="37">
        <f ca="1">_xlfn.IFNA(VLOOKUP($A90,INDIRECT("'W"&amp;O$1&amp;"'!$A$2:$T$1000"),4,FALSE),0)</f>
        <v>22.4</v>
      </c>
      <c r="P90" s="37">
        <f ca="1">_xlfn.IFNA(VLOOKUP($A90,INDIRECT("'W"&amp;P$1&amp;"'!$A$2:$T$1000"),4,FALSE),0)</f>
        <v>11.600000000000001</v>
      </c>
      <c r="Q90" s="37">
        <f ca="1">_xlfn.IFNA(VLOOKUP($A90,INDIRECT("'W"&amp;Q$1&amp;"'!$A$2:$T$1000"),4,FALSE),0)</f>
        <v>12.3</v>
      </c>
      <c r="R90" s="37">
        <f ca="1">_xlfn.IFNA(VLOOKUP($A90,INDIRECT("'W"&amp;R$1&amp;"'!$A$2:$T$1000"),4,FALSE),0)</f>
        <v>12.100000000000001</v>
      </c>
      <c r="S90" s="37">
        <f ca="1">_xlfn.IFNA(VLOOKUP($A90,INDIRECT("'W"&amp;S$1&amp;"'!$A$2:$T$1000"),4,FALSE),0)</f>
        <v>11.1</v>
      </c>
      <c r="T90" s="37">
        <f ca="1">_xlfn.IFNA(VLOOKUP($A90,INDIRECT("'W"&amp;T$1&amp;"'!$A$2:$T$1000"),4,FALSE),0)</f>
        <v>11.200000000000001</v>
      </c>
      <c r="U90" s="36">
        <f ca="1">COUNTIF(C90:T90,"&gt; 15")</f>
        <v>3</v>
      </c>
      <c r="V90" s="36">
        <f ca="1">SUM(C90:T90)</f>
        <v>182.49999999999997</v>
      </c>
      <c r="W90" s="36"/>
      <c r="X90" s="38"/>
    </row>
    <row r="91" spans="1:24" ht="12.75" x14ac:dyDescent="0.2">
      <c r="A91" s="36" t="s">
        <v>299</v>
      </c>
      <c r="B91" s="36" t="s">
        <v>69</v>
      </c>
      <c r="C91" s="37">
        <f ca="1">_xlfn.IFNA(VLOOKUP($A91,INDIRECT("'W"&amp;C$1&amp;"'!$A$2:$T$1000"),4,FALSE),0)</f>
        <v>4.3000000000000007</v>
      </c>
      <c r="D91" s="37">
        <f ca="1">_xlfn.IFNA(VLOOKUP($A91,INDIRECT("'W"&amp;D$1&amp;"'!$A$2:$T$1000"),4,FALSE),0)</f>
        <v>5.2</v>
      </c>
      <c r="E91" s="37">
        <f ca="1">_xlfn.IFNA(VLOOKUP($A91,INDIRECT("'W"&amp;E$1&amp;"'!$A$2:$T$1000"),4,FALSE),0)</f>
        <v>1.2</v>
      </c>
      <c r="F91" s="37">
        <f ca="1">_xlfn.IFNA(VLOOKUP($A91,INDIRECT("'W"&amp;F$1&amp;"'!$A$2:$T$1000"),4,FALSE),0)</f>
        <v>1.5</v>
      </c>
      <c r="G91" s="37">
        <f ca="1">_xlfn.IFNA(VLOOKUP($A91,INDIRECT("'W"&amp;G$1&amp;"'!$A$2:$T$1000"),4,FALSE),0)</f>
        <v>3.7</v>
      </c>
      <c r="H91" s="37">
        <f ca="1">_xlfn.IFNA(VLOOKUP($A91,INDIRECT("'W"&amp;H$1&amp;"'!$A$2:$T$1000"),4,FALSE),0)</f>
        <v>10.199999999999999</v>
      </c>
      <c r="I91" s="37">
        <f ca="1">_xlfn.IFNA(VLOOKUP($A91,INDIRECT("'W"&amp;I$1&amp;"'!$A$2:$T$1000"),4,FALSE),0)</f>
        <v>5.9</v>
      </c>
      <c r="J91" s="37">
        <f ca="1">_xlfn.IFNA(VLOOKUP($A91,INDIRECT("'W"&amp;J$1&amp;"'!$A$2:$T$1000"),4,FALSE),0)</f>
        <v>25.5</v>
      </c>
      <c r="K91" s="37">
        <f ca="1">_xlfn.IFNA(VLOOKUP($A91,INDIRECT("'W"&amp;K$1&amp;"'!$A$2:$T$1000"),4,FALSE),0)</f>
        <v>5.2</v>
      </c>
      <c r="L91" s="37">
        <f ca="1">_xlfn.IFNA(VLOOKUP($A91,INDIRECT("'W"&amp;L$1&amp;"'!$A$2:$T$1000"),4,FALSE),0)</f>
        <v>21.1</v>
      </c>
      <c r="M91" s="37">
        <f ca="1">_xlfn.IFNA(VLOOKUP($A91,INDIRECT("'W"&amp;M$1&amp;"'!$A$2:$T$1000"),4,FALSE),0)</f>
        <v>9.3000000000000007</v>
      </c>
      <c r="N91" s="37">
        <f ca="1">_xlfn.IFNA(VLOOKUP($A91,INDIRECT("'W"&amp;N$1&amp;"'!$A$2:$T$1000"),4,FALSE),0)</f>
        <v>13</v>
      </c>
      <c r="O91" s="37">
        <f ca="1">_xlfn.IFNA(VLOOKUP($A91,INDIRECT("'W"&amp;O$1&amp;"'!$A$2:$T$1000"),4,FALSE),0)</f>
        <v>22.9</v>
      </c>
      <c r="P91" s="37">
        <f ca="1">_xlfn.IFNA(VLOOKUP($A91,INDIRECT("'W"&amp;P$1&amp;"'!$A$2:$T$1000"),4,FALSE),0)</f>
        <v>0</v>
      </c>
      <c r="Q91" s="37">
        <f ca="1">_xlfn.IFNA(VLOOKUP($A91,INDIRECT("'W"&amp;Q$1&amp;"'!$A$2:$T$1000"),4,FALSE),0)</f>
        <v>20.200000000000003</v>
      </c>
      <c r="R91" s="37">
        <f ca="1">_xlfn.IFNA(VLOOKUP($A91,INDIRECT("'W"&amp;R$1&amp;"'!$A$2:$T$1000"),4,FALSE),0)</f>
        <v>9.1</v>
      </c>
      <c r="S91" s="37">
        <f ca="1">_xlfn.IFNA(VLOOKUP($A91,INDIRECT("'W"&amp;S$1&amp;"'!$A$2:$T$1000"),4,FALSE),0)</f>
        <v>10.8</v>
      </c>
      <c r="T91" s="37">
        <f ca="1">_xlfn.IFNA(VLOOKUP($A91,INDIRECT("'W"&amp;T$1&amp;"'!$A$2:$T$1000"),4,FALSE),0)</f>
        <v>12.4</v>
      </c>
      <c r="U91" s="36">
        <f ca="1">COUNTIF(C91:T91,"&gt; 15")</f>
        <v>4</v>
      </c>
      <c r="V91" s="36">
        <f ca="1">SUM(C91:T91)</f>
        <v>181.5</v>
      </c>
      <c r="W91" s="36">
        <v>1</v>
      </c>
      <c r="X91" s="38"/>
    </row>
    <row r="92" spans="1:24" ht="12.75" x14ac:dyDescent="0.2">
      <c r="A92" s="36" t="s">
        <v>277</v>
      </c>
      <c r="B92" s="36" t="s">
        <v>69</v>
      </c>
      <c r="C92" s="37">
        <f ca="1">_xlfn.IFNA(VLOOKUP($A92,INDIRECT("'W"&amp;C$1&amp;"'!$A$2:$T$1000"),4,FALSE),0)</f>
        <v>9.4</v>
      </c>
      <c r="D92" s="37">
        <f ca="1">_xlfn.IFNA(VLOOKUP($A92,INDIRECT("'W"&amp;D$1&amp;"'!$A$2:$T$1000"),4,FALSE),0)</f>
        <v>7.8000000000000007</v>
      </c>
      <c r="E92" s="37">
        <f ca="1">_xlfn.IFNA(VLOOKUP($A92,INDIRECT("'W"&amp;E$1&amp;"'!$A$2:$T$1000"),4,FALSE),0)</f>
        <v>4.2</v>
      </c>
      <c r="F92" s="37">
        <f ca="1">_xlfn.IFNA(VLOOKUP($A92,INDIRECT("'W"&amp;F$1&amp;"'!$A$2:$T$1000"),4,FALSE),0)</f>
        <v>27.6</v>
      </c>
      <c r="G92" s="37">
        <f ca="1">_xlfn.IFNA(VLOOKUP($A92,INDIRECT("'W"&amp;G$1&amp;"'!$A$2:$T$1000"),4,FALSE),0)</f>
        <v>15.2</v>
      </c>
      <c r="H92" s="37">
        <f ca="1">_xlfn.IFNA(VLOOKUP($A92,INDIRECT("'W"&amp;H$1&amp;"'!$A$2:$T$1000"),4,FALSE),0)</f>
        <v>2.9</v>
      </c>
      <c r="I92" s="37">
        <f ca="1">_xlfn.IFNA(VLOOKUP($A92,INDIRECT("'W"&amp;I$1&amp;"'!$A$2:$T$1000"),4,FALSE),0)</f>
        <v>0</v>
      </c>
      <c r="J92" s="37">
        <f ca="1">_xlfn.IFNA(VLOOKUP($A92,INDIRECT("'W"&amp;J$1&amp;"'!$A$2:$T$1000"),4,FALSE),0)</f>
        <v>17.899999999999999</v>
      </c>
      <c r="K92" s="37">
        <f ca="1">_xlfn.IFNA(VLOOKUP($A92,INDIRECT("'W"&amp;K$1&amp;"'!$A$2:$T$1000"),4,FALSE),0)</f>
        <v>23.5</v>
      </c>
      <c r="L92" s="37">
        <f ca="1">_xlfn.IFNA(VLOOKUP($A92,INDIRECT("'W"&amp;L$1&amp;"'!$A$2:$T$1000"),4,FALSE),0)</f>
        <v>9.6</v>
      </c>
      <c r="M92" s="37">
        <f ca="1">_xlfn.IFNA(VLOOKUP($A92,INDIRECT("'W"&amp;M$1&amp;"'!$A$2:$T$1000"),4,FALSE),0)</f>
        <v>5</v>
      </c>
      <c r="N92" s="37">
        <f ca="1">_xlfn.IFNA(VLOOKUP($A92,INDIRECT("'W"&amp;N$1&amp;"'!$A$2:$T$1000"),4,FALSE),0)</f>
        <v>11.3</v>
      </c>
      <c r="O92" s="37">
        <f ca="1">_xlfn.IFNA(VLOOKUP($A92,INDIRECT("'W"&amp;O$1&amp;"'!$A$2:$T$1000"),4,FALSE),0)</f>
        <v>0</v>
      </c>
      <c r="P92" s="37">
        <f ca="1">_xlfn.IFNA(VLOOKUP($A92,INDIRECT("'W"&amp;P$1&amp;"'!$A$2:$T$1000"),4,FALSE),0)</f>
        <v>11.600000000000001</v>
      </c>
      <c r="Q92" s="37">
        <f ca="1">_xlfn.IFNA(VLOOKUP($A92,INDIRECT("'W"&amp;Q$1&amp;"'!$A$2:$T$1000"),4,FALSE),0)</f>
        <v>13.3</v>
      </c>
      <c r="R92" s="37">
        <f ca="1">_xlfn.IFNA(VLOOKUP($A92,INDIRECT("'W"&amp;R$1&amp;"'!$A$2:$T$1000"),4,FALSE),0)</f>
        <v>14.700000000000001</v>
      </c>
      <c r="S92" s="37">
        <f ca="1">_xlfn.IFNA(VLOOKUP($A92,INDIRECT("'W"&amp;S$1&amp;"'!$A$2:$T$1000"),4,FALSE),0)</f>
        <v>0</v>
      </c>
      <c r="T92" s="37">
        <f ca="1">_xlfn.IFNA(VLOOKUP($A92,INDIRECT("'W"&amp;T$1&amp;"'!$A$2:$T$1000"),4,FALSE),0)</f>
        <v>7.1000000000000005</v>
      </c>
      <c r="U92" s="36">
        <f ca="1">COUNTIF(C92:T92,"&gt; 15")</f>
        <v>4</v>
      </c>
      <c r="V92" s="36">
        <f ca="1">SUM(C92:T92)</f>
        <v>181.1</v>
      </c>
      <c r="W92" s="36">
        <v>1</v>
      </c>
      <c r="X92" s="38">
        <v>133</v>
      </c>
    </row>
    <row r="93" spans="1:24" ht="12.75" x14ac:dyDescent="0.2">
      <c r="A93" s="36" t="s">
        <v>109</v>
      </c>
      <c r="B93" s="36" t="s">
        <v>75</v>
      </c>
      <c r="C93" s="37">
        <f ca="1">_xlfn.IFNA(VLOOKUP($A93,INDIRECT("'W"&amp;C$1&amp;"'!$A$2:$T$1000"),4,FALSE),0)</f>
        <v>9.1000000000000014</v>
      </c>
      <c r="D93" s="37">
        <f ca="1">_xlfn.IFNA(VLOOKUP($A93,INDIRECT("'W"&amp;D$1&amp;"'!$A$2:$T$1000"),4,FALSE),0)</f>
        <v>9.9</v>
      </c>
      <c r="E93" s="37">
        <f ca="1">_xlfn.IFNA(VLOOKUP($A93,INDIRECT("'W"&amp;E$1&amp;"'!$A$2:$T$1000"),4,FALSE),0)</f>
        <v>11</v>
      </c>
      <c r="F93" s="37">
        <f ca="1">_xlfn.IFNA(VLOOKUP($A93,INDIRECT("'W"&amp;F$1&amp;"'!$A$2:$T$1000"),4,FALSE),0)</f>
        <v>27.9</v>
      </c>
      <c r="G93" s="37">
        <f ca="1">_xlfn.IFNA(VLOOKUP($A93,INDIRECT("'W"&amp;G$1&amp;"'!$A$2:$T$1000"),4,FALSE),0)</f>
        <v>19.899999999999999</v>
      </c>
      <c r="H93" s="37">
        <f ca="1">_xlfn.IFNA(VLOOKUP($A93,INDIRECT("'W"&amp;H$1&amp;"'!$A$2:$T$1000"),4,FALSE),0)</f>
        <v>11.299999999999999</v>
      </c>
      <c r="I93" s="37">
        <f ca="1">_xlfn.IFNA(VLOOKUP($A93,INDIRECT("'W"&amp;I$1&amp;"'!$A$2:$T$1000"),4,FALSE),0)</f>
        <v>5.0999999999999996</v>
      </c>
      <c r="J93" s="37">
        <f ca="1">_xlfn.IFNA(VLOOKUP($A93,INDIRECT("'W"&amp;J$1&amp;"'!$A$2:$T$1000"),4,FALSE),0)</f>
        <v>16.8</v>
      </c>
      <c r="K93" s="37">
        <f ca="1">_xlfn.IFNA(VLOOKUP($A93,INDIRECT("'W"&amp;K$1&amp;"'!$A$2:$T$1000"),4,FALSE),0)</f>
        <v>21.8</v>
      </c>
      <c r="L93" s="37">
        <f ca="1">_xlfn.IFNA(VLOOKUP($A93,INDIRECT("'W"&amp;L$1&amp;"'!$A$2:$T$1000"),4,FALSE),0)</f>
        <v>12.700000000000001</v>
      </c>
      <c r="M93" s="37">
        <f ca="1">_xlfn.IFNA(VLOOKUP($A93,INDIRECT("'W"&amp;M$1&amp;"'!$A$2:$T$1000"),4,FALSE),0)</f>
        <v>6.1000000000000005</v>
      </c>
      <c r="N93" s="37">
        <f ca="1">_xlfn.IFNA(VLOOKUP($A93,INDIRECT("'W"&amp;N$1&amp;"'!$A$2:$T$1000"),4,FALSE),0)</f>
        <v>22.5</v>
      </c>
      <c r="O93" s="37">
        <f ca="1">_xlfn.IFNA(VLOOKUP($A93,INDIRECT("'W"&amp;O$1&amp;"'!$A$2:$T$1000"),4,FALSE),0)</f>
        <v>0</v>
      </c>
      <c r="P93" s="37">
        <f ca="1">_xlfn.IFNA(VLOOKUP($A93,INDIRECT("'W"&amp;P$1&amp;"'!$A$2:$T$1000"),4,FALSE),0)</f>
        <v>7</v>
      </c>
      <c r="Q93" s="37">
        <f ca="1">_xlfn.IFNA(VLOOKUP($A93,INDIRECT("'W"&amp;Q$1&amp;"'!$A$2:$T$1000"),4,FALSE),0)</f>
        <v>0</v>
      </c>
      <c r="R93" s="37">
        <f ca="1">_xlfn.IFNA(VLOOKUP($A93,INDIRECT("'W"&amp;R$1&amp;"'!$A$2:$T$1000"),4,FALSE),0)</f>
        <v>0</v>
      </c>
      <c r="S93" s="37">
        <f ca="1">_xlfn.IFNA(VLOOKUP($A93,INDIRECT("'W"&amp;S$1&amp;"'!$A$2:$T$1000"),4,FALSE),0)</f>
        <v>0</v>
      </c>
      <c r="T93" s="37">
        <f ca="1">_xlfn.IFNA(VLOOKUP($A93,INDIRECT("'W"&amp;T$1&amp;"'!$A$2:$T$1000"),4,FALSE),0)</f>
        <v>0</v>
      </c>
      <c r="U93" s="36">
        <f ca="1">COUNTIF(C93:T93,"&gt; 15")</f>
        <v>5</v>
      </c>
      <c r="V93" s="36">
        <f ca="1">SUM(C93:T93)</f>
        <v>181.09999999999997</v>
      </c>
      <c r="W93" s="36"/>
      <c r="X93" s="38">
        <v>20</v>
      </c>
    </row>
    <row r="94" spans="1:24" ht="12.75" x14ac:dyDescent="0.2">
      <c r="A94" s="36" t="s">
        <v>848</v>
      </c>
      <c r="B94" s="36" t="s">
        <v>849</v>
      </c>
      <c r="C94" s="37">
        <v>10</v>
      </c>
      <c r="D94" s="37">
        <v>18</v>
      </c>
      <c r="E94" s="37">
        <v>11</v>
      </c>
      <c r="F94" s="37">
        <v>12</v>
      </c>
      <c r="G94" s="37">
        <v>6</v>
      </c>
      <c r="H94" s="37">
        <v>8</v>
      </c>
      <c r="I94" s="37">
        <v>0</v>
      </c>
      <c r="J94" s="37">
        <v>13</v>
      </c>
      <c r="K94" s="37">
        <v>7</v>
      </c>
      <c r="L94" s="37">
        <v>7</v>
      </c>
      <c r="M94" s="37">
        <v>9</v>
      </c>
      <c r="N94" s="37">
        <v>9</v>
      </c>
      <c r="O94" s="37">
        <v>15</v>
      </c>
      <c r="P94" s="37">
        <v>23</v>
      </c>
      <c r="Q94" s="37">
        <v>4</v>
      </c>
      <c r="R94" s="37">
        <v>9</v>
      </c>
      <c r="S94" s="37">
        <v>11</v>
      </c>
      <c r="T94" s="37">
        <v>8</v>
      </c>
      <c r="U94" s="36">
        <f>COUNTIF(C94:T94,"&gt; 7")</f>
        <v>13</v>
      </c>
      <c r="V94" s="36">
        <f>SUM(C94:T94)</f>
        <v>180</v>
      </c>
      <c r="W94" s="36"/>
      <c r="X94" s="38" t="s">
        <v>847</v>
      </c>
    </row>
    <row r="95" spans="1:24" ht="12.75" x14ac:dyDescent="0.2">
      <c r="A95" s="36" t="s">
        <v>105</v>
      </c>
      <c r="B95" s="36" t="s">
        <v>75</v>
      </c>
      <c r="C95" s="37">
        <f ca="1">_xlfn.IFNA(VLOOKUP($A95,INDIRECT("'W"&amp;C$1&amp;"'!$A$2:$T$1000"),4,FALSE),0)</f>
        <v>9.6999999999999993</v>
      </c>
      <c r="D95" s="37">
        <f ca="1">_xlfn.IFNA(VLOOKUP($A95,INDIRECT("'W"&amp;D$1&amp;"'!$A$2:$T$1000"),4,FALSE),0)</f>
        <v>7.8000000000000007</v>
      </c>
      <c r="E95" s="37">
        <f ca="1">_xlfn.IFNA(VLOOKUP($A95,INDIRECT("'W"&amp;E$1&amp;"'!$A$2:$T$1000"),4,FALSE),0)</f>
        <v>8.5</v>
      </c>
      <c r="F95" s="37">
        <f ca="1">_xlfn.IFNA(VLOOKUP($A95,INDIRECT("'W"&amp;F$1&amp;"'!$A$2:$T$1000"),4,FALSE),0)</f>
        <v>3.9</v>
      </c>
      <c r="G95" s="37">
        <f ca="1">_xlfn.IFNA(VLOOKUP($A95,INDIRECT("'W"&amp;G$1&amp;"'!$A$2:$T$1000"),4,FALSE),0)</f>
        <v>0</v>
      </c>
      <c r="H95" s="37">
        <f ca="1">_xlfn.IFNA(VLOOKUP($A95,INDIRECT("'W"&amp;H$1&amp;"'!$A$2:$T$1000"),4,FALSE),0)</f>
        <v>7.2</v>
      </c>
      <c r="I95" s="37">
        <f ca="1">_xlfn.IFNA(VLOOKUP($A95,INDIRECT("'W"&amp;I$1&amp;"'!$A$2:$T$1000"),4,FALSE),0)</f>
        <v>12.600000000000001</v>
      </c>
      <c r="J95" s="37">
        <f ca="1">_xlfn.IFNA(VLOOKUP($A95,INDIRECT("'W"&amp;J$1&amp;"'!$A$2:$T$1000"),4,FALSE),0)</f>
        <v>18.8</v>
      </c>
      <c r="K95" s="37">
        <f ca="1">_xlfn.IFNA(VLOOKUP($A95,INDIRECT("'W"&amp;K$1&amp;"'!$A$2:$T$1000"),4,FALSE),0)</f>
        <v>0</v>
      </c>
      <c r="L95" s="37">
        <f ca="1">_xlfn.IFNA(VLOOKUP($A95,INDIRECT("'W"&amp;L$1&amp;"'!$A$2:$T$1000"),4,FALSE),0)</f>
        <v>21</v>
      </c>
      <c r="M95" s="37">
        <f ca="1">_xlfn.IFNA(VLOOKUP($A95,INDIRECT("'W"&amp;M$1&amp;"'!$A$2:$T$1000"),4,FALSE),0)</f>
        <v>7.3000000000000007</v>
      </c>
      <c r="N95" s="37">
        <f ca="1">_xlfn.IFNA(VLOOKUP($A95,INDIRECT("'W"&amp;N$1&amp;"'!$A$2:$T$1000"),4,FALSE),0)</f>
        <v>10.1</v>
      </c>
      <c r="O95" s="37">
        <f ca="1">_xlfn.IFNA(VLOOKUP($A95,INDIRECT("'W"&amp;O$1&amp;"'!$A$2:$T$1000"),4,FALSE),0)</f>
        <v>10</v>
      </c>
      <c r="P95" s="37">
        <f ca="1">_xlfn.IFNA(VLOOKUP($A95,INDIRECT("'W"&amp;P$1&amp;"'!$A$2:$T$1000"),4,FALSE),0)</f>
        <v>18.100000000000001</v>
      </c>
      <c r="Q95" s="37">
        <f ca="1">_xlfn.IFNA(VLOOKUP($A95,INDIRECT("'W"&amp;Q$1&amp;"'!$A$2:$T$1000"),4,FALSE),0)</f>
        <v>4</v>
      </c>
      <c r="R95" s="37">
        <f ca="1">_xlfn.IFNA(VLOOKUP($A95,INDIRECT("'W"&amp;R$1&amp;"'!$A$2:$T$1000"),4,FALSE),0)</f>
        <v>10.9</v>
      </c>
      <c r="S95" s="37">
        <f ca="1">_xlfn.IFNA(VLOOKUP($A95,INDIRECT("'W"&amp;S$1&amp;"'!$A$2:$T$1000"),4,FALSE),0)</f>
        <v>8.8000000000000007</v>
      </c>
      <c r="T95" s="37">
        <f ca="1">_xlfn.IFNA(VLOOKUP($A95,INDIRECT("'W"&amp;T$1&amp;"'!$A$2:$T$1000"),4,FALSE),0)</f>
        <v>20.5</v>
      </c>
      <c r="U95" s="36">
        <f ca="1">COUNTIF(C95:T95,"&gt; 15")</f>
        <v>4</v>
      </c>
      <c r="V95" s="36">
        <f ca="1">SUM(C95:T95)</f>
        <v>179.20000000000002</v>
      </c>
      <c r="W95" s="36"/>
      <c r="X95" s="38">
        <v>58</v>
      </c>
    </row>
    <row r="96" spans="1:24" ht="12.75" x14ac:dyDescent="0.2">
      <c r="A96" s="36" t="s">
        <v>51</v>
      </c>
      <c r="B96" s="36" t="s">
        <v>17</v>
      </c>
      <c r="C96" s="37">
        <f ca="1">_xlfn.IFNA(VLOOKUP($A96,INDIRECT("'W"&amp;C$1&amp;"'!$A$2:$T$1000"),4,FALSE),0)</f>
        <v>8.9000000000000021</v>
      </c>
      <c r="D96" s="37">
        <f ca="1">_xlfn.IFNA(VLOOKUP($A96,INDIRECT("'W"&amp;D$1&amp;"'!$A$2:$T$1000"),4,FALSE),0)</f>
        <v>21.380000000000003</v>
      </c>
      <c r="E96" s="37">
        <f ca="1">_xlfn.IFNA(VLOOKUP($A96,INDIRECT("'W"&amp;E$1&amp;"'!$A$2:$T$1000"),4,FALSE),0)</f>
        <v>6.3400000000000016</v>
      </c>
      <c r="F96" s="37">
        <f ca="1">_xlfn.IFNA(VLOOKUP($A96,INDIRECT("'W"&amp;F$1&amp;"'!$A$2:$T$1000"),4,FALSE),0)</f>
        <v>6.24</v>
      </c>
      <c r="G96" s="37">
        <f ca="1">_xlfn.IFNA(VLOOKUP($A96,INDIRECT("'W"&amp;G$1&amp;"'!$A$2:$T$1000"),4,FALSE),0)</f>
        <v>26.16</v>
      </c>
      <c r="H96" s="37">
        <f ca="1">_xlfn.IFNA(VLOOKUP($A96,INDIRECT("'W"&amp;H$1&amp;"'!$A$2:$T$1000"),4,FALSE),0)</f>
        <v>16.080000000000002</v>
      </c>
      <c r="I96" s="37">
        <f ca="1">_xlfn.IFNA(VLOOKUP($A96,INDIRECT("'W"&amp;I$1&amp;"'!$A$2:$T$1000"),4,FALSE),0)</f>
        <v>13.8</v>
      </c>
      <c r="J96" s="37">
        <f ca="1">_xlfn.IFNA(VLOOKUP($A96,INDIRECT("'W"&amp;J$1&amp;"'!$A$2:$T$1000"),4,FALSE),0)</f>
        <v>3.4399999999999995</v>
      </c>
      <c r="K96" s="37">
        <f ca="1">_xlfn.IFNA(VLOOKUP($A96,INDIRECT("'W"&amp;K$1&amp;"'!$A$2:$T$1000"),4,FALSE),0)</f>
        <v>0</v>
      </c>
      <c r="L96" s="37">
        <f ca="1">_xlfn.IFNA(VLOOKUP($A96,INDIRECT("'W"&amp;L$1&amp;"'!$A$2:$T$1000"),4,FALSE),0)</f>
        <v>8.66</v>
      </c>
      <c r="M96" s="37">
        <f ca="1">_xlfn.IFNA(VLOOKUP($A96,INDIRECT("'W"&amp;M$1&amp;"'!$A$2:$T$1000"),4,FALSE),0)</f>
        <v>0</v>
      </c>
      <c r="N96" s="37">
        <f ca="1">_xlfn.IFNA(VLOOKUP($A96,INDIRECT("'W"&amp;N$1&amp;"'!$A$2:$T$1000"),4,FALSE),0)</f>
        <v>9.7199999999999989</v>
      </c>
      <c r="O96" s="37">
        <f ca="1">_xlfn.IFNA(VLOOKUP($A96,INDIRECT("'W"&amp;O$1&amp;"'!$A$2:$T$1000"),4,FALSE),0)</f>
        <v>8.84</v>
      </c>
      <c r="P96" s="37">
        <f ca="1">_xlfn.IFNA(VLOOKUP($A96,INDIRECT("'W"&amp;P$1&amp;"'!$A$2:$T$1000"),4,FALSE),0)</f>
        <v>25.380000000000003</v>
      </c>
      <c r="Q96" s="37">
        <f ca="1">_xlfn.IFNA(VLOOKUP($A96,INDIRECT("'W"&amp;Q$1&amp;"'!$A$2:$T$1000"),4,FALSE),0)</f>
        <v>7.88</v>
      </c>
      <c r="R96" s="37">
        <f ca="1">_xlfn.IFNA(VLOOKUP($A96,INDIRECT("'W"&amp;R$1&amp;"'!$A$2:$T$1000"),4,FALSE),0)</f>
        <v>0</v>
      </c>
      <c r="S96" s="37">
        <f ca="1">_xlfn.IFNA(VLOOKUP($A96,INDIRECT("'W"&amp;S$1&amp;"'!$A$2:$T$1000"),4,FALSE),0)</f>
        <v>-1.3199999999999998</v>
      </c>
      <c r="T96" s="37">
        <f ca="1">_xlfn.IFNA(VLOOKUP($A96,INDIRECT("'W"&amp;T$1&amp;"'!$A$2:$T$1000"),4,FALSE),0)</f>
        <v>15.64</v>
      </c>
      <c r="U96" s="36">
        <f ca="1">COUNTIF(C96:T96,"&gt; 15")</f>
        <v>5</v>
      </c>
      <c r="V96" s="36">
        <f ca="1">SUM(C96:T96)</f>
        <v>177.14</v>
      </c>
      <c r="W96" s="36"/>
      <c r="X96" s="38"/>
    </row>
    <row r="97" spans="1:24" ht="12.75" x14ac:dyDescent="0.2">
      <c r="A97" s="36" t="s">
        <v>304</v>
      </c>
      <c r="B97" s="36" t="s">
        <v>69</v>
      </c>
      <c r="C97" s="37">
        <f ca="1">_xlfn.IFNA(VLOOKUP($A97,INDIRECT("'W"&amp;C$1&amp;"'!$A$2:$T$1000"),4,FALSE),0)</f>
        <v>3.1</v>
      </c>
      <c r="D97" s="37">
        <f ca="1">_xlfn.IFNA(VLOOKUP($A97,INDIRECT("'W"&amp;D$1&amp;"'!$A$2:$T$1000"),4,FALSE),0)</f>
        <v>10.1</v>
      </c>
      <c r="E97" s="37">
        <f ca="1">_xlfn.IFNA(VLOOKUP($A97,INDIRECT("'W"&amp;E$1&amp;"'!$A$2:$T$1000"),4,FALSE),0)</f>
        <v>9.8000000000000007</v>
      </c>
      <c r="F97" s="37">
        <f ca="1">_xlfn.IFNA(VLOOKUP($A97,INDIRECT("'W"&amp;F$1&amp;"'!$A$2:$T$1000"),4,FALSE),0)</f>
        <v>14.7</v>
      </c>
      <c r="G97" s="37">
        <f ca="1">_xlfn.IFNA(VLOOKUP($A97,INDIRECT("'W"&amp;G$1&amp;"'!$A$2:$T$1000"),4,FALSE),0)</f>
        <v>5.8000000000000007</v>
      </c>
      <c r="H97" s="37">
        <f ca="1">_xlfn.IFNA(VLOOKUP($A97,INDIRECT("'W"&amp;H$1&amp;"'!$A$2:$T$1000"),4,FALSE),0)</f>
        <v>2.5</v>
      </c>
      <c r="I97" s="37">
        <f ca="1">_xlfn.IFNA(VLOOKUP($A97,INDIRECT("'W"&amp;I$1&amp;"'!$A$2:$T$1000"),4,FALSE),0)</f>
        <v>0</v>
      </c>
      <c r="J97" s="37">
        <f ca="1">_xlfn.IFNA(VLOOKUP($A97,INDIRECT("'W"&amp;J$1&amp;"'!$A$2:$T$1000"),4,FALSE),0)</f>
        <v>14.7</v>
      </c>
      <c r="K97" s="37">
        <f ca="1">_xlfn.IFNA(VLOOKUP($A97,INDIRECT("'W"&amp;K$1&amp;"'!$A$2:$T$1000"),4,FALSE),0)</f>
        <v>22.1</v>
      </c>
      <c r="L97" s="37">
        <f ca="1">_xlfn.IFNA(VLOOKUP($A97,INDIRECT("'W"&amp;L$1&amp;"'!$A$2:$T$1000"),4,FALSE),0)</f>
        <v>12.6</v>
      </c>
      <c r="M97" s="37">
        <f ca="1">_xlfn.IFNA(VLOOKUP($A97,INDIRECT("'W"&amp;M$1&amp;"'!$A$2:$T$1000"),4,FALSE),0)</f>
        <v>6.2</v>
      </c>
      <c r="N97" s="37">
        <f ca="1">_xlfn.IFNA(VLOOKUP($A97,INDIRECT("'W"&amp;N$1&amp;"'!$A$2:$T$1000"),4,FALSE),0)</f>
        <v>4.5</v>
      </c>
      <c r="O97" s="37">
        <f ca="1">_xlfn.IFNA(VLOOKUP($A97,INDIRECT("'W"&amp;O$1&amp;"'!$A$2:$T$1000"),4,FALSE),0)</f>
        <v>19.7</v>
      </c>
      <c r="P97" s="37">
        <f ca="1">_xlfn.IFNA(VLOOKUP($A97,INDIRECT("'W"&amp;P$1&amp;"'!$A$2:$T$1000"),4,FALSE),0)</f>
        <v>12.2</v>
      </c>
      <c r="Q97" s="37">
        <f ca="1">_xlfn.IFNA(VLOOKUP($A97,INDIRECT("'W"&amp;Q$1&amp;"'!$A$2:$T$1000"),4,FALSE),0)</f>
        <v>10.4</v>
      </c>
      <c r="R97" s="37">
        <f ca="1">_xlfn.IFNA(VLOOKUP($A97,INDIRECT("'W"&amp;R$1&amp;"'!$A$2:$T$1000"),4,FALSE),0)</f>
        <v>8.5</v>
      </c>
      <c r="S97" s="37">
        <f ca="1">_xlfn.IFNA(VLOOKUP($A97,INDIRECT("'W"&amp;S$1&amp;"'!$A$2:$T$1000"),4,FALSE),0)</f>
        <v>7.3000000000000007</v>
      </c>
      <c r="T97" s="37">
        <f ca="1">_xlfn.IFNA(VLOOKUP($A97,INDIRECT("'W"&amp;T$1&amp;"'!$A$2:$T$1000"),4,FALSE),0)</f>
        <v>12.9</v>
      </c>
      <c r="U97" s="36">
        <f ca="1">COUNTIF(C97:T97,"&gt; 15")</f>
        <v>2</v>
      </c>
      <c r="V97" s="36">
        <f ca="1">SUM(C97:T97)</f>
        <v>177.10000000000002</v>
      </c>
      <c r="W97" s="36"/>
      <c r="X97" s="38"/>
    </row>
    <row r="98" spans="1:24" ht="12.75" x14ac:dyDescent="0.2">
      <c r="A98" s="36" t="s">
        <v>110</v>
      </c>
      <c r="B98" s="36" t="s">
        <v>75</v>
      </c>
      <c r="C98" s="37">
        <f ca="1">_xlfn.IFNA(VLOOKUP($A98,INDIRECT("'W"&amp;C$1&amp;"'!$A$2:$T$1000"),4,FALSE),0)</f>
        <v>7.3000000000000007</v>
      </c>
      <c r="D98" s="37">
        <f ca="1">_xlfn.IFNA(VLOOKUP($A98,INDIRECT("'W"&amp;D$1&amp;"'!$A$2:$T$1000"),4,FALSE),0)</f>
        <v>1.3</v>
      </c>
      <c r="E98" s="37">
        <f ca="1">_xlfn.IFNA(VLOOKUP($A98,INDIRECT("'W"&amp;E$1&amp;"'!$A$2:$T$1000"),4,FALSE),0)</f>
        <v>9.6999999999999993</v>
      </c>
      <c r="F98" s="37">
        <f ca="1">_xlfn.IFNA(VLOOKUP($A98,INDIRECT("'W"&amp;F$1&amp;"'!$A$2:$T$1000"),4,FALSE),0)</f>
        <v>4.2</v>
      </c>
      <c r="G98" s="37">
        <f ca="1">_xlfn.IFNA(VLOOKUP($A98,INDIRECT("'W"&amp;G$1&amp;"'!$A$2:$T$1000"),4,FALSE),0)</f>
        <v>7.8</v>
      </c>
      <c r="H98" s="37">
        <f ca="1">_xlfn.IFNA(VLOOKUP($A98,INDIRECT("'W"&amp;H$1&amp;"'!$A$2:$T$1000"),4,FALSE),0)</f>
        <v>11.9</v>
      </c>
      <c r="I98" s="37">
        <f ca="1">_xlfn.IFNA(VLOOKUP($A98,INDIRECT("'W"&amp;I$1&amp;"'!$A$2:$T$1000"),4,FALSE),0)</f>
        <v>9.1</v>
      </c>
      <c r="J98" s="37">
        <f ca="1">_xlfn.IFNA(VLOOKUP($A98,INDIRECT("'W"&amp;J$1&amp;"'!$A$2:$T$1000"),4,FALSE),0)</f>
        <v>3.6</v>
      </c>
      <c r="K98" s="37">
        <f ca="1">_xlfn.IFNA(VLOOKUP($A98,INDIRECT("'W"&amp;K$1&amp;"'!$A$2:$T$1000"),4,FALSE),0)</f>
        <v>6.2</v>
      </c>
      <c r="L98" s="37">
        <f ca="1">_xlfn.IFNA(VLOOKUP($A98,INDIRECT("'W"&amp;L$1&amp;"'!$A$2:$T$1000"),4,FALSE),0)</f>
        <v>10.8</v>
      </c>
      <c r="M98" s="37">
        <f ca="1">_xlfn.IFNA(VLOOKUP($A98,INDIRECT("'W"&amp;M$1&amp;"'!$A$2:$T$1000"),4,FALSE),0)</f>
        <v>0</v>
      </c>
      <c r="N98" s="37">
        <f ca="1">_xlfn.IFNA(VLOOKUP($A98,INDIRECT("'W"&amp;N$1&amp;"'!$A$2:$T$1000"),4,FALSE),0)</f>
        <v>7.2000000000000011</v>
      </c>
      <c r="O98" s="37">
        <f ca="1">_xlfn.IFNA(VLOOKUP($A98,INDIRECT("'W"&amp;O$1&amp;"'!$A$2:$T$1000"),4,FALSE),0)</f>
        <v>13.2</v>
      </c>
      <c r="P98" s="37">
        <f ca="1">_xlfn.IFNA(VLOOKUP($A98,INDIRECT("'W"&amp;P$1&amp;"'!$A$2:$T$1000"),4,FALSE),0)</f>
        <v>27</v>
      </c>
      <c r="Q98" s="37">
        <f ca="1">_xlfn.IFNA(VLOOKUP($A98,INDIRECT("'W"&amp;Q$1&amp;"'!$A$2:$T$1000"),4,FALSE),0)</f>
        <v>9.6</v>
      </c>
      <c r="R98" s="37">
        <f ca="1">_xlfn.IFNA(VLOOKUP($A98,INDIRECT("'W"&amp;R$1&amp;"'!$A$2:$T$1000"),4,FALSE),0)</f>
        <v>21</v>
      </c>
      <c r="S98" s="37">
        <f ca="1">_xlfn.IFNA(VLOOKUP($A98,INDIRECT("'W"&amp;S$1&amp;"'!$A$2:$T$1000"),4,FALSE),0)</f>
        <v>11.5</v>
      </c>
      <c r="T98" s="37">
        <f ca="1">_xlfn.IFNA(VLOOKUP($A98,INDIRECT("'W"&amp;T$1&amp;"'!$A$2:$T$1000"),4,FALSE),0)</f>
        <v>13.100000000000001</v>
      </c>
      <c r="U98" s="36">
        <f ca="1">COUNTIF(C98:T98,"&gt; 15")</f>
        <v>2</v>
      </c>
      <c r="V98" s="36">
        <f ca="1">SUM(C98:T98)</f>
        <v>174.5</v>
      </c>
      <c r="W98" s="36"/>
      <c r="X98" s="38"/>
    </row>
    <row r="99" spans="1:24" ht="12.75" x14ac:dyDescent="0.2">
      <c r="A99" s="36" t="s">
        <v>174</v>
      </c>
      <c r="B99" s="36" t="s">
        <v>162</v>
      </c>
      <c r="C99" s="37">
        <f ca="1">_xlfn.IFNA(VLOOKUP($A99,INDIRECT("'W"&amp;C$1&amp;"'!$A$2:$T$1000"),4,FALSE),0)</f>
        <v>18.600000000000001</v>
      </c>
      <c r="D99" s="37">
        <f ca="1">_xlfn.IFNA(VLOOKUP($A99,INDIRECT("'W"&amp;D$1&amp;"'!$A$2:$T$1000"),4,FALSE),0)</f>
        <v>5</v>
      </c>
      <c r="E99" s="37">
        <f ca="1">_xlfn.IFNA(VLOOKUP($A99,INDIRECT("'W"&amp;E$1&amp;"'!$A$2:$T$1000"),4,FALSE),0)</f>
        <v>18.3</v>
      </c>
      <c r="F99" s="37">
        <f ca="1">_xlfn.IFNA(VLOOKUP($A99,INDIRECT("'W"&amp;F$1&amp;"'!$A$2:$T$1000"),4,FALSE),0)</f>
        <v>18.5</v>
      </c>
      <c r="G99" s="37">
        <f ca="1">_xlfn.IFNA(VLOOKUP($A99,INDIRECT("'W"&amp;G$1&amp;"'!$A$2:$T$1000"),4,FALSE),0)</f>
        <v>1.4</v>
      </c>
      <c r="H99" s="37">
        <f ca="1">_xlfn.IFNA(VLOOKUP($A99,INDIRECT("'W"&amp;H$1&amp;"'!$A$2:$T$1000"),4,FALSE),0)</f>
        <v>0</v>
      </c>
      <c r="I99" s="37">
        <f ca="1">_xlfn.IFNA(VLOOKUP($A99,INDIRECT("'W"&amp;I$1&amp;"'!$A$2:$T$1000"),4,FALSE),0)</f>
        <v>11</v>
      </c>
      <c r="J99" s="37">
        <f ca="1">_xlfn.IFNA(VLOOKUP($A99,INDIRECT("'W"&amp;J$1&amp;"'!$A$2:$T$1000"),4,FALSE),0)</f>
        <v>11.8</v>
      </c>
      <c r="K99" s="37">
        <f ca="1">_xlfn.IFNA(VLOOKUP($A99,INDIRECT("'W"&amp;K$1&amp;"'!$A$2:$T$1000"),4,FALSE),0)</f>
        <v>6.6</v>
      </c>
      <c r="L99" s="37">
        <f ca="1">_xlfn.IFNA(VLOOKUP($A99,INDIRECT("'W"&amp;L$1&amp;"'!$A$2:$T$1000"),4,FALSE),0)</f>
        <v>12.1</v>
      </c>
      <c r="M99" s="37">
        <f ca="1">_xlfn.IFNA(VLOOKUP($A99,INDIRECT("'W"&amp;M$1&amp;"'!$A$2:$T$1000"),4,FALSE),0)</f>
        <v>16.3</v>
      </c>
      <c r="N99" s="37">
        <f ca="1">_xlfn.IFNA(VLOOKUP($A99,INDIRECT("'W"&amp;N$1&amp;"'!$A$2:$T$1000"),4,FALSE),0)</f>
        <v>6.7</v>
      </c>
      <c r="O99" s="37">
        <f ca="1">_xlfn.IFNA(VLOOKUP($A99,INDIRECT("'W"&amp;O$1&amp;"'!$A$2:$T$1000"),4,FALSE),0)</f>
        <v>11.2</v>
      </c>
      <c r="P99" s="37">
        <f ca="1">_xlfn.IFNA(VLOOKUP($A99,INDIRECT("'W"&amp;P$1&amp;"'!$A$2:$T$1000"),4,FALSE),0)</f>
        <v>7.2</v>
      </c>
      <c r="Q99" s="37">
        <f ca="1">_xlfn.IFNA(VLOOKUP($A99,INDIRECT("'W"&amp;Q$1&amp;"'!$A$2:$T$1000"),4,FALSE),0)</f>
        <v>6</v>
      </c>
      <c r="R99" s="37">
        <f ca="1">_xlfn.IFNA(VLOOKUP($A99,INDIRECT("'W"&amp;R$1&amp;"'!$A$2:$T$1000"),4,FALSE),0)</f>
        <v>17.899999999999999</v>
      </c>
      <c r="S99" s="37">
        <f ca="1">_xlfn.IFNA(VLOOKUP($A99,INDIRECT("'W"&amp;S$1&amp;"'!$A$2:$T$1000"),4,FALSE),0)</f>
        <v>5.8000000000000007</v>
      </c>
      <c r="T99" s="37">
        <f ca="1">_xlfn.IFNA(VLOOKUP($A99,INDIRECT("'W"&amp;T$1&amp;"'!$A$2:$T$1000"),4,FALSE),0)</f>
        <v>0</v>
      </c>
      <c r="U99" s="36">
        <f ca="1">COUNTIF(C99:T99,"&gt; 15")</f>
        <v>5</v>
      </c>
      <c r="V99" s="36">
        <f ca="1">SUM(C99:T99)</f>
        <v>174.4</v>
      </c>
      <c r="W99" s="36"/>
      <c r="X99" s="38" t="s">
        <v>847</v>
      </c>
    </row>
    <row r="100" spans="1:24" ht="12.75" x14ac:dyDescent="0.2">
      <c r="A100" s="36" t="s">
        <v>339</v>
      </c>
      <c r="B100" s="36" t="s">
        <v>162</v>
      </c>
      <c r="C100" s="37">
        <f ca="1">_xlfn.IFNA(VLOOKUP($A100,INDIRECT("'W"&amp;C$1&amp;"'!$A$2:$T$1000"),4,FALSE),0)</f>
        <v>0</v>
      </c>
      <c r="D100" s="37">
        <f ca="1">_xlfn.IFNA(VLOOKUP($A100,INDIRECT("'W"&amp;D$1&amp;"'!$A$2:$T$1000"),4,FALSE),0)</f>
        <v>18.7</v>
      </c>
      <c r="E100" s="37">
        <f ca="1">_xlfn.IFNA(VLOOKUP($A100,INDIRECT("'W"&amp;E$1&amp;"'!$A$2:$T$1000"),4,FALSE),0)</f>
        <v>5.0999999999999996</v>
      </c>
      <c r="F100" s="37">
        <f ca="1">_xlfn.IFNA(VLOOKUP($A100,INDIRECT("'W"&amp;F$1&amp;"'!$A$2:$T$1000"),4,FALSE),0)</f>
        <v>11.8</v>
      </c>
      <c r="G100" s="37">
        <f ca="1">_xlfn.IFNA(VLOOKUP($A100,INDIRECT("'W"&amp;G$1&amp;"'!$A$2:$T$1000"),4,FALSE),0)</f>
        <v>14.68</v>
      </c>
      <c r="H100" s="37">
        <f ca="1">_xlfn.IFNA(VLOOKUP($A100,INDIRECT("'W"&amp;H$1&amp;"'!$A$2:$T$1000"),4,FALSE),0)</f>
        <v>21.5</v>
      </c>
      <c r="I100" s="37">
        <f ca="1">_xlfn.IFNA(VLOOKUP($A100,INDIRECT("'W"&amp;I$1&amp;"'!$A$2:$T$1000"),4,FALSE),0)</f>
        <v>11.4</v>
      </c>
      <c r="J100" s="37">
        <f ca="1">_xlfn.IFNA(VLOOKUP($A100,INDIRECT("'W"&amp;J$1&amp;"'!$A$2:$T$1000"),4,FALSE),0)</f>
        <v>10.5</v>
      </c>
      <c r="K100" s="37">
        <f ca="1">_xlfn.IFNA(VLOOKUP($A100,INDIRECT("'W"&amp;K$1&amp;"'!$A$2:$T$1000"),4,FALSE),0)</f>
        <v>0</v>
      </c>
      <c r="L100" s="37">
        <f ca="1">_xlfn.IFNA(VLOOKUP($A100,INDIRECT("'W"&amp;L$1&amp;"'!$A$2:$T$1000"),4,FALSE),0)</f>
        <v>6.6</v>
      </c>
      <c r="M100" s="37">
        <f ca="1">_xlfn.IFNA(VLOOKUP($A100,INDIRECT("'W"&amp;M$1&amp;"'!$A$2:$T$1000"),4,FALSE),0)</f>
        <v>0</v>
      </c>
      <c r="N100" s="37">
        <f ca="1">_xlfn.IFNA(VLOOKUP($A100,INDIRECT("'W"&amp;N$1&amp;"'!$A$2:$T$1000"),4,FALSE),0)</f>
        <v>14.1</v>
      </c>
      <c r="O100" s="37">
        <f ca="1">_xlfn.IFNA(VLOOKUP($A100,INDIRECT("'W"&amp;O$1&amp;"'!$A$2:$T$1000"),4,FALSE),0)</f>
        <v>1.8</v>
      </c>
      <c r="P100" s="37">
        <f ca="1">_xlfn.IFNA(VLOOKUP($A100,INDIRECT("'W"&amp;P$1&amp;"'!$A$2:$T$1000"),4,FALSE),0)</f>
        <v>29.2</v>
      </c>
      <c r="Q100" s="37">
        <f ca="1">_xlfn.IFNA(VLOOKUP($A100,INDIRECT("'W"&amp;Q$1&amp;"'!$A$2:$T$1000"),4,FALSE),0)</f>
        <v>4.4000000000000004</v>
      </c>
      <c r="R100" s="37">
        <f ca="1">_xlfn.IFNA(VLOOKUP($A100,INDIRECT("'W"&amp;R$1&amp;"'!$A$2:$T$1000"),4,FALSE),0)</f>
        <v>6.9</v>
      </c>
      <c r="S100" s="37">
        <f ca="1">_xlfn.IFNA(VLOOKUP($A100,INDIRECT("'W"&amp;S$1&amp;"'!$A$2:$T$1000"),4,FALSE),0)</f>
        <v>9.6000000000000014</v>
      </c>
      <c r="T100" s="37">
        <f ca="1">_xlfn.IFNA(VLOOKUP($A100,INDIRECT("'W"&amp;T$1&amp;"'!$A$2:$T$1000"),4,FALSE),0)</f>
        <v>8.1000000000000014</v>
      </c>
      <c r="U100" s="36">
        <f ca="1">COUNTIF(C100:T100,"&gt; 15")</f>
        <v>3</v>
      </c>
      <c r="V100" s="36">
        <f ca="1">SUM(C100:T100)</f>
        <v>174.38</v>
      </c>
      <c r="W100" s="36"/>
      <c r="X100" s="38">
        <v>89</v>
      </c>
    </row>
    <row r="101" spans="1:24" ht="12.75" x14ac:dyDescent="0.2">
      <c r="A101" s="36" t="s">
        <v>233</v>
      </c>
      <c r="B101" s="36" t="s">
        <v>162</v>
      </c>
      <c r="C101" s="37">
        <f ca="1">_xlfn.IFNA(VLOOKUP($A101,INDIRECT("'W"&amp;C$1&amp;"'!$A$2:$T$1000"),4,FALSE),0)</f>
        <v>4.2</v>
      </c>
      <c r="D101" s="37">
        <f ca="1">_xlfn.IFNA(VLOOKUP($A101,INDIRECT("'W"&amp;D$1&amp;"'!$A$2:$T$1000"),4,FALSE),0)</f>
        <v>0</v>
      </c>
      <c r="E101" s="37">
        <f ca="1">_xlfn.IFNA(VLOOKUP($A101,INDIRECT("'W"&amp;E$1&amp;"'!$A$2:$T$1000"),4,FALSE),0)</f>
        <v>3.7</v>
      </c>
      <c r="F101" s="37">
        <f ca="1">_xlfn.IFNA(VLOOKUP($A101,INDIRECT("'W"&amp;F$1&amp;"'!$A$2:$T$1000"),4,FALSE),0)</f>
        <v>6.7</v>
      </c>
      <c r="G101" s="37">
        <f ca="1">_xlfn.IFNA(VLOOKUP($A101,INDIRECT("'W"&amp;G$1&amp;"'!$A$2:$T$1000"),4,FALSE),0)</f>
        <v>2.3000000000000003</v>
      </c>
      <c r="H101" s="37">
        <f ca="1">_xlfn.IFNA(VLOOKUP($A101,INDIRECT("'W"&amp;H$1&amp;"'!$A$2:$T$1000"),4,FALSE),0)</f>
        <v>15</v>
      </c>
      <c r="I101" s="37">
        <f ca="1">_xlfn.IFNA(VLOOKUP($A101,INDIRECT("'W"&amp;I$1&amp;"'!$A$2:$T$1000"),4,FALSE),0)</f>
        <v>0</v>
      </c>
      <c r="J101" s="37">
        <f ca="1">_xlfn.IFNA(VLOOKUP($A101,INDIRECT("'W"&amp;J$1&amp;"'!$A$2:$T$1000"),4,FALSE),0)</f>
        <v>14.2</v>
      </c>
      <c r="K101" s="37">
        <f ca="1">_xlfn.IFNA(VLOOKUP($A101,INDIRECT("'W"&amp;K$1&amp;"'!$A$2:$T$1000"),4,FALSE),0)</f>
        <v>1.7000000000000002</v>
      </c>
      <c r="L101" s="37">
        <f ca="1">_xlfn.IFNA(VLOOKUP($A101,INDIRECT("'W"&amp;L$1&amp;"'!$A$2:$T$1000"),4,FALSE),0)</f>
        <v>32.299999999999997</v>
      </c>
      <c r="M101" s="37">
        <f ca="1">_xlfn.IFNA(VLOOKUP($A101,INDIRECT("'W"&amp;M$1&amp;"'!$A$2:$T$1000"),4,FALSE),0)</f>
        <v>7.2</v>
      </c>
      <c r="N101" s="37">
        <f ca="1">_xlfn.IFNA(VLOOKUP($A101,INDIRECT("'W"&amp;N$1&amp;"'!$A$2:$T$1000"),4,FALSE),0)</f>
        <v>17.2</v>
      </c>
      <c r="O101" s="37">
        <f ca="1">_xlfn.IFNA(VLOOKUP($A101,INDIRECT("'W"&amp;O$1&amp;"'!$A$2:$T$1000"),4,FALSE),0)</f>
        <v>16.5</v>
      </c>
      <c r="P101" s="37">
        <f ca="1">_xlfn.IFNA(VLOOKUP($A101,INDIRECT("'W"&amp;P$1&amp;"'!$A$2:$T$1000"),4,FALSE),0)</f>
        <v>5.7</v>
      </c>
      <c r="Q101" s="37">
        <f ca="1">_xlfn.IFNA(VLOOKUP($A101,INDIRECT("'W"&amp;Q$1&amp;"'!$A$2:$T$1000"),4,FALSE),0)</f>
        <v>3</v>
      </c>
      <c r="R101" s="37">
        <f ca="1">_xlfn.IFNA(VLOOKUP($A101,INDIRECT("'W"&amp;R$1&amp;"'!$A$2:$T$1000"),4,FALSE),0)</f>
        <v>10.3</v>
      </c>
      <c r="S101" s="37">
        <f ca="1">_xlfn.IFNA(VLOOKUP($A101,INDIRECT("'W"&amp;S$1&amp;"'!$A$2:$T$1000"),4,FALSE),0)</f>
        <v>17</v>
      </c>
      <c r="T101" s="37">
        <f ca="1">_xlfn.IFNA(VLOOKUP($A101,INDIRECT("'W"&amp;T$1&amp;"'!$A$2:$T$1000"),4,FALSE),0)</f>
        <v>16.2</v>
      </c>
      <c r="U101" s="36">
        <f ca="1">COUNTIF(C101:T101,"&gt; 15")</f>
        <v>5</v>
      </c>
      <c r="V101" s="36">
        <f ca="1">SUM(C101:T101)</f>
        <v>173.2</v>
      </c>
      <c r="W101" s="36"/>
      <c r="X101" s="38">
        <v>94</v>
      </c>
    </row>
    <row r="102" spans="1:24" ht="12.75" x14ac:dyDescent="0.2">
      <c r="A102" s="36" t="s">
        <v>850</v>
      </c>
      <c r="B102" s="36" t="s">
        <v>851</v>
      </c>
      <c r="C102" s="37">
        <v>35</v>
      </c>
      <c r="D102" s="37">
        <v>16</v>
      </c>
      <c r="E102" s="37">
        <v>-2</v>
      </c>
      <c r="F102" s="37">
        <v>26</v>
      </c>
      <c r="G102" s="37">
        <v>-3</v>
      </c>
      <c r="H102" s="37">
        <v>6</v>
      </c>
      <c r="I102" s="37">
        <v>0</v>
      </c>
      <c r="J102" s="37">
        <v>16</v>
      </c>
      <c r="K102" s="37">
        <v>4</v>
      </c>
      <c r="L102" s="37">
        <v>11</v>
      </c>
      <c r="M102" s="37">
        <v>23</v>
      </c>
      <c r="N102" s="37">
        <v>14</v>
      </c>
      <c r="O102" s="37">
        <v>-3</v>
      </c>
      <c r="P102" s="37">
        <v>10</v>
      </c>
      <c r="Q102" s="37">
        <v>-1</v>
      </c>
      <c r="R102" s="37">
        <v>0</v>
      </c>
      <c r="S102" s="37">
        <v>2</v>
      </c>
      <c r="T102" s="37">
        <v>18</v>
      </c>
      <c r="U102" s="36">
        <f>COUNTIF(C102:T102,"&gt; 9")</f>
        <v>9</v>
      </c>
      <c r="V102" s="36">
        <f>SUM(C102:T102)</f>
        <v>172</v>
      </c>
      <c r="W102" s="36"/>
      <c r="X102" s="38">
        <v>172</v>
      </c>
    </row>
    <row r="103" spans="1:24" ht="12.75" x14ac:dyDescent="0.2">
      <c r="A103" s="36" t="s">
        <v>852</v>
      </c>
      <c r="B103" s="36" t="s">
        <v>851</v>
      </c>
      <c r="C103" s="37">
        <v>12</v>
      </c>
      <c r="D103" s="37">
        <v>5</v>
      </c>
      <c r="E103" s="37">
        <v>7</v>
      </c>
      <c r="F103" s="37">
        <v>17</v>
      </c>
      <c r="G103" s="37">
        <v>8</v>
      </c>
      <c r="H103" s="37">
        <v>13</v>
      </c>
      <c r="I103" s="37">
        <v>11</v>
      </c>
      <c r="J103" s="37">
        <v>6</v>
      </c>
      <c r="K103" s="37">
        <v>15</v>
      </c>
      <c r="L103" s="37">
        <v>13</v>
      </c>
      <c r="M103" s="37">
        <v>7</v>
      </c>
      <c r="N103" s="37">
        <v>16</v>
      </c>
      <c r="O103" s="37">
        <v>0</v>
      </c>
      <c r="P103" s="37">
        <v>4</v>
      </c>
      <c r="Q103" s="37">
        <v>8</v>
      </c>
      <c r="R103" s="37">
        <v>12</v>
      </c>
      <c r="S103" s="37">
        <v>8</v>
      </c>
      <c r="T103" s="37">
        <v>10</v>
      </c>
      <c r="U103" s="36">
        <f>COUNTIF(C103:T103,"&gt; 9")</f>
        <v>9</v>
      </c>
      <c r="V103" s="36">
        <f>SUM(C103:T103)</f>
        <v>172</v>
      </c>
      <c r="W103" s="36"/>
      <c r="X103" s="38">
        <v>189</v>
      </c>
    </row>
    <row r="104" spans="1:24" ht="12.75" x14ac:dyDescent="0.2">
      <c r="A104" s="36" t="s">
        <v>337</v>
      </c>
      <c r="B104" s="36" t="s">
        <v>75</v>
      </c>
      <c r="C104" s="37">
        <f ca="1">_xlfn.IFNA(VLOOKUP($A104,INDIRECT("'W"&amp;C$1&amp;"'!$A$2:$T$1000"),4,FALSE),0)</f>
        <v>0</v>
      </c>
      <c r="D104" s="37">
        <f ca="1">_xlfn.IFNA(VLOOKUP($A104,INDIRECT("'W"&amp;D$1&amp;"'!$A$2:$T$1000"),4,FALSE),0)</f>
        <v>20.7</v>
      </c>
      <c r="E104" s="37">
        <f ca="1">_xlfn.IFNA(VLOOKUP($A104,INDIRECT("'W"&amp;E$1&amp;"'!$A$2:$T$1000"),4,FALSE),0)</f>
        <v>22.5</v>
      </c>
      <c r="F104" s="37">
        <f ca="1">_xlfn.IFNA(VLOOKUP($A104,INDIRECT("'W"&amp;F$1&amp;"'!$A$2:$T$1000"),4,FALSE),0)</f>
        <v>9</v>
      </c>
      <c r="G104" s="37">
        <f ca="1">_xlfn.IFNA(VLOOKUP($A104,INDIRECT("'W"&amp;G$1&amp;"'!$A$2:$T$1000"),4,FALSE),0)</f>
        <v>33.5</v>
      </c>
      <c r="H104" s="37">
        <f ca="1">_xlfn.IFNA(VLOOKUP($A104,INDIRECT("'W"&amp;H$1&amp;"'!$A$2:$T$1000"),4,FALSE),0)</f>
        <v>17.899999999999999</v>
      </c>
      <c r="I104" s="37">
        <f ca="1">_xlfn.IFNA(VLOOKUP($A104,INDIRECT("'W"&amp;I$1&amp;"'!$A$2:$T$1000"),4,FALSE),0)</f>
        <v>7.2</v>
      </c>
      <c r="J104" s="37">
        <f ca="1">_xlfn.IFNA(VLOOKUP($A104,INDIRECT("'W"&amp;J$1&amp;"'!$A$2:$T$1000"),4,FALSE),0)</f>
        <v>14.400000000000002</v>
      </c>
      <c r="K104" s="37">
        <f ca="1">_xlfn.IFNA(VLOOKUP($A104,INDIRECT("'W"&amp;K$1&amp;"'!$A$2:$T$1000"),4,FALSE),0)</f>
        <v>2.6</v>
      </c>
      <c r="L104" s="37">
        <f ca="1">_xlfn.IFNA(VLOOKUP($A104,INDIRECT("'W"&amp;L$1&amp;"'!$A$2:$T$1000"),4,FALSE),0)</f>
        <v>0.2</v>
      </c>
      <c r="M104" s="37">
        <f ca="1">_xlfn.IFNA(VLOOKUP($A104,INDIRECT("'W"&amp;M$1&amp;"'!$A$2:$T$1000"),4,FALSE),0)</f>
        <v>0</v>
      </c>
      <c r="N104" s="37">
        <f ca="1">_xlfn.IFNA(VLOOKUP($A104,INDIRECT("'W"&amp;N$1&amp;"'!$A$2:$T$1000"),4,FALSE),0)</f>
        <v>9</v>
      </c>
      <c r="O104" s="37">
        <f ca="1">_xlfn.IFNA(VLOOKUP($A104,INDIRECT("'W"&amp;O$1&amp;"'!$A$2:$T$1000"),4,FALSE),0)</f>
        <v>7.7000000000000011</v>
      </c>
      <c r="P104" s="37">
        <f ca="1">_xlfn.IFNA(VLOOKUP($A104,INDIRECT("'W"&amp;P$1&amp;"'!$A$2:$T$1000"),4,FALSE),0)</f>
        <v>9.6000000000000014</v>
      </c>
      <c r="Q104" s="37">
        <f ca="1">_xlfn.IFNA(VLOOKUP($A104,INDIRECT("'W"&amp;Q$1&amp;"'!$A$2:$T$1000"),4,FALSE),0)</f>
        <v>12.3</v>
      </c>
      <c r="R104" s="37">
        <f ca="1">_xlfn.IFNA(VLOOKUP($A104,INDIRECT("'W"&amp;R$1&amp;"'!$A$2:$T$1000"),4,FALSE),0)</f>
        <v>0</v>
      </c>
      <c r="S104" s="37">
        <f ca="1">_xlfn.IFNA(VLOOKUP($A104,INDIRECT("'W"&amp;S$1&amp;"'!$A$2:$T$1000"),4,FALSE),0)</f>
        <v>0</v>
      </c>
      <c r="T104" s="37">
        <f ca="1">_xlfn.IFNA(VLOOKUP($A104,INDIRECT("'W"&amp;T$1&amp;"'!$A$2:$T$1000"),4,FALSE),0)</f>
        <v>3</v>
      </c>
      <c r="U104" s="36">
        <f ca="1">COUNTIF(C104:T104,"&gt; 15")</f>
        <v>4</v>
      </c>
      <c r="V104" s="36">
        <f ca="1">SUM(C104:T104)</f>
        <v>169.6</v>
      </c>
      <c r="W104" s="36"/>
      <c r="X104" s="38" t="s">
        <v>847</v>
      </c>
    </row>
    <row r="105" spans="1:24" ht="12.75" x14ac:dyDescent="0.2">
      <c r="A105" s="36" t="s">
        <v>151</v>
      </c>
      <c r="B105" s="36" t="s">
        <v>75</v>
      </c>
      <c r="C105" s="37">
        <f ca="1">_xlfn.IFNA(VLOOKUP($A105,INDIRECT("'W"&amp;C$1&amp;"'!$A$2:$T$1000"),4,FALSE),0)</f>
        <v>1.5</v>
      </c>
      <c r="D105" s="37">
        <f ca="1">_xlfn.IFNA(VLOOKUP($A105,INDIRECT("'W"&amp;D$1&amp;"'!$A$2:$T$1000"),4,FALSE),0)</f>
        <v>3.4000000000000004</v>
      </c>
      <c r="E105" s="37">
        <f ca="1">_xlfn.IFNA(VLOOKUP($A105,INDIRECT("'W"&amp;E$1&amp;"'!$A$2:$T$1000"),4,FALSE),0)</f>
        <v>6.5000000000000009</v>
      </c>
      <c r="F105" s="37">
        <f ca="1">_xlfn.IFNA(VLOOKUP($A105,INDIRECT("'W"&amp;F$1&amp;"'!$A$2:$T$1000"),4,FALSE),0)</f>
        <v>8.84</v>
      </c>
      <c r="G105" s="37">
        <f ca="1">_xlfn.IFNA(VLOOKUP($A105,INDIRECT("'W"&amp;G$1&amp;"'!$A$2:$T$1000"),4,FALSE),0)</f>
        <v>0</v>
      </c>
      <c r="H105" s="37">
        <f ca="1">_xlfn.IFNA(VLOOKUP($A105,INDIRECT("'W"&amp;H$1&amp;"'!$A$2:$T$1000"),4,FALSE),0)</f>
        <v>7.2000000000000011</v>
      </c>
      <c r="I105" s="37">
        <f ca="1">_xlfn.IFNA(VLOOKUP($A105,INDIRECT("'W"&amp;I$1&amp;"'!$A$2:$T$1000"),4,FALSE),0)</f>
        <v>0</v>
      </c>
      <c r="J105" s="37">
        <f ca="1">_xlfn.IFNA(VLOOKUP($A105,INDIRECT("'W"&amp;J$1&amp;"'!$A$2:$T$1000"),4,FALSE),0)</f>
        <v>6.3</v>
      </c>
      <c r="K105" s="37">
        <f ca="1">_xlfn.IFNA(VLOOKUP($A105,INDIRECT("'W"&amp;K$1&amp;"'!$A$2:$T$1000"),4,FALSE),0)</f>
        <v>4.5999999999999996</v>
      </c>
      <c r="L105" s="37">
        <f ca="1">_xlfn.IFNA(VLOOKUP($A105,INDIRECT("'W"&amp;L$1&amp;"'!$A$2:$T$1000"),4,FALSE),0)</f>
        <v>23.1</v>
      </c>
      <c r="M105" s="37">
        <f ca="1">_xlfn.IFNA(VLOOKUP($A105,INDIRECT("'W"&amp;M$1&amp;"'!$A$2:$T$1000"),4,FALSE),0)</f>
        <v>19.800000000000004</v>
      </c>
      <c r="N105" s="37">
        <f ca="1">_xlfn.IFNA(VLOOKUP($A105,INDIRECT("'W"&amp;N$1&amp;"'!$A$2:$T$1000"),4,FALSE),0)</f>
        <v>13.2</v>
      </c>
      <c r="O105" s="37">
        <f ca="1">_xlfn.IFNA(VLOOKUP($A105,INDIRECT("'W"&amp;O$1&amp;"'!$A$2:$T$1000"),4,FALSE),0)</f>
        <v>5</v>
      </c>
      <c r="P105" s="37">
        <f ca="1">_xlfn.IFNA(VLOOKUP($A105,INDIRECT("'W"&amp;P$1&amp;"'!$A$2:$T$1000"),4,FALSE),0)</f>
        <v>12.5</v>
      </c>
      <c r="Q105" s="37">
        <f ca="1">_xlfn.IFNA(VLOOKUP($A105,INDIRECT("'W"&amp;Q$1&amp;"'!$A$2:$T$1000"),4,FALSE),0)</f>
        <v>21</v>
      </c>
      <c r="R105" s="37">
        <f ca="1">_xlfn.IFNA(VLOOKUP($A105,INDIRECT("'W"&amp;R$1&amp;"'!$A$2:$T$1000"),4,FALSE),0)</f>
        <v>9.3000000000000007</v>
      </c>
      <c r="S105" s="37">
        <f ca="1">_xlfn.IFNA(VLOOKUP($A105,INDIRECT("'W"&amp;S$1&amp;"'!$A$2:$T$1000"),4,FALSE),0)</f>
        <v>11.6</v>
      </c>
      <c r="T105" s="37">
        <f ca="1">_xlfn.IFNA(VLOOKUP($A105,INDIRECT("'W"&amp;T$1&amp;"'!$A$2:$T$1000"),4,FALSE),0)</f>
        <v>13.5</v>
      </c>
      <c r="U105" s="36">
        <f ca="1">COUNTIF(C105:T105,"&gt; 15")</f>
        <v>3</v>
      </c>
      <c r="V105" s="36">
        <f ca="1">SUM(C105:T105)</f>
        <v>167.34</v>
      </c>
      <c r="W105" s="36"/>
      <c r="X105" s="38"/>
    </row>
    <row r="106" spans="1:24" ht="12.75" x14ac:dyDescent="0.2">
      <c r="A106" s="36" t="s">
        <v>853</v>
      </c>
      <c r="B106" s="36" t="s">
        <v>851</v>
      </c>
      <c r="C106" s="37">
        <v>9</v>
      </c>
      <c r="D106" s="37">
        <v>9</v>
      </c>
      <c r="E106" s="37">
        <v>14</v>
      </c>
      <c r="F106" s="37">
        <v>6</v>
      </c>
      <c r="G106" s="37">
        <v>0</v>
      </c>
      <c r="H106" s="37">
        <v>8</v>
      </c>
      <c r="I106" s="37">
        <v>12</v>
      </c>
      <c r="J106" s="37">
        <v>4</v>
      </c>
      <c r="K106" s="37">
        <v>23</v>
      </c>
      <c r="L106" s="37">
        <v>15</v>
      </c>
      <c r="M106" s="37">
        <v>8</v>
      </c>
      <c r="N106" s="37">
        <v>5</v>
      </c>
      <c r="O106" s="37">
        <v>-2</v>
      </c>
      <c r="P106" s="37">
        <v>14</v>
      </c>
      <c r="Q106" s="37">
        <v>14</v>
      </c>
      <c r="R106" s="37">
        <v>9</v>
      </c>
      <c r="S106" s="37">
        <v>14</v>
      </c>
      <c r="T106" s="37">
        <v>4</v>
      </c>
      <c r="U106" s="36">
        <f>COUNTIF(C106:T106,"&gt; 9")</f>
        <v>7</v>
      </c>
      <c r="V106" s="36">
        <f>SUM(C106:T106)</f>
        <v>166</v>
      </c>
      <c r="W106" s="36"/>
      <c r="X106" s="38">
        <v>186</v>
      </c>
    </row>
    <row r="107" spans="1:24" ht="12.75" x14ac:dyDescent="0.2">
      <c r="A107" s="36" t="s">
        <v>219</v>
      </c>
      <c r="B107" s="36" t="s">
        <v>162</v>
      </c>
      <c r="C107" s="37">
        <f ca="1">_xlfn.IFNA(VLOOKUP($A107,INDIRECT("'W"&amp;C$1&amp;"'!$A$2:$T$1000"),4,FALSE),0)</f>
        <v>6.4</v>
      </c>
      <c r="D107" s="37">
        <f ca="1">_xlfn.IFNA(VLOOKUP($A107,INDIRECT("'W"&amp;D$1&amp;"'!$A$2:$T$1000"),4,FALSE),0)</f>
        <v>20.2</v>
      </c>
      <c r="E107" s="37">
        <f ca="1">_xlfn.IFNA(VLOOKUP($A107,INDIRECT("'W"&amp;E$1&amp;"'!$A$2:$T$1000"),4,FALSE),0)</f>
        <v>25.5</v>
      </c>
      <c r="F107" s="37">
        <f ca="1">_xlfn.IFNA(VLOOKUP($A107,INDIRECT("'W"&amp;F$1&amp;"'!$A$2:$T$1000"),4,FALSE),0)</f>
        <v>3.9</v>
      </c>
      <c r="G107" s="37">
        <f ca="1">_xlfn.IFNA(VLOOKUP($A107,INDIRECT("'W"&amp;G$1&amp;"'!$A$2:$T$1000"),4,FALSE),0)</f>
        <v>8.3000000000000007</v>
      </c>
      <c r="H107" s="37">
        <f ca="1">_xlfn.IFNA(VLOOKUP($A107,INDIRECT("'W"&amp;H$1&amp;"'!$A$2:$T$1000"),4,FALSE),0)</f>
        <v>0</v>
      </c>
      <c r="I107" s="37">
        <f ca="1">_xlfn.IFNA(VLOOKUP($A107,INDIRECT("'W"&amp;I$1&amp;"'!$A$2:$T$1000"),4,FALSE),0)</f>
        <v>0</v>
      </c>
      <c r="J107" s="37">
        <f ca="1">_xlfn.IFNA(VLOOKUP($A107,INDIRECT("'W"&amp;J$1&amp;"'!$A$2:$T$1000"),4,FALSE),0)</f>
        <v>6.1</v>
      </c>
      <c r="K107" s="37">
        <f ca="1">_xlfn.IFNA(VLOOKUP($A107,INDIRECT("'W"&amp;K$1&amp;"'!$A$2:$T$1000"),4,FALSE),0)</f>
        <v>29.6</v>
      </c>
      <c r="L107" s="37">
        <f ca="1">_xlfn.IFNA(VLOOKUP($A107,INDIRECT("'W"&amp;L$1&amp;"'!$A$2:$T$1000"),4,FALSE),0)</f>
        <v>18.899999999999999</v>
      </c>
      <c r="M107" s="37">
        <f ca="1">_xlfn.IFNA(VLOOKUP($A107,INDIRECT("'W"&amp;M$1&amp;"'!$A$2:$T$1000"),4,FALSE),0)</f>
        <v>28.9</v>
      </c>
      <c r="N107" s="37">
        <f ca="1">_xlfn.IFNA(VLOOKUP($A107,INDIRECT("'W"&amp;N$1&amp;"'!$A$2:$T$1000"),4,FALSE),0)</f>
        <v>17.2</v>
      </c>
      <c r="O107" s="37">
        <f ca="1">_xlfn.IFNA(VLOOKUP($A107,INDIRECT("'W"&amp;O$1&amp;"'!$A$2:$T$1000"),4,FALSE),0)</f>
        <v>0</v>
      </c>
      <c r="P107" s="37">
        <f ca="1">_xlfn.IFNA(VLOOKUP($A107,INDIRECT("'W"&amp;P$1&amp;"'!$A$2:$T$1000"),4,FALSE),0)</f>
        <v>0</v>
      </c>
      <c r="Q107" s="37">
        <f ca="1">_xlfn.IFNA(VLOOKUP($A107,INDIRECT("'W"&amp;Q$1&amp;"'!$A$2:$T$1000"),4,FALSE),0)</f>
        <v>0</v>
      </c>
      <c r="R107" s="37">
        <f ca="1">_xlfn.IFNA(VLOOKUP($A107,INDIRECT("'W"&amp;R$1&amp;"'!$A$2:$T$1000"),4,FALSE),0)</f>
        <v>0</v>
      </c>
      <c r="S107" s="37">
        <f ca="1">_xlfn.IFNA(VLOOKUP($A107,INDIRECT("'W"&amp;S$1&amp;"'!$A$2:$T$1000"),4,FALSE),0)</f>
        <v>0</v>
      </c>
      <c r="T107" s="37">
        <f ca="1">_xlfn.IFNA(VLOOKUP($A107,INDIRECT("'W"&amp;T$1&amp;"'!$A$2:$T$1000"),4,FALSE),0)</f>
        <v>0</v>
      </c>
      <c r="U107" s="36">
        <f ca="1">COUNTIF(C107:T107,"&gt; 15")</f>
        <v>6</v>
      </c>
      <c r="V107" s="36">
        <f ca="1">SUM(C107:T107)</f>
        <v>165</v>
      </c>
      <c r="W107" s="36">
        <v>1</v>
      </c>
      <c r="X107" s="38" t="s">
        <v>847</v>
      </c>
    </row>
    <row r="108" spans="1:24" ht="12.75" x14ac:dyDescent="0.2">
      <c r="A108" s="36" t="s">
        <v>513</v>
      </c>
      <c r="B108" s="36" t="s">
        <v>162</v>
      </c>
      <c r="C108" s="37">
        <f ca="1">_xlfn.IFNA(VLOOKUP($A108,INDIRECT("'W"&amp;C$1&amp;"'!$A$2:$T$1000"),4,FALSE),0)</f>
        <v>0</v>
      </c>
      <c r="D108" s="37">
        <f ca="1">_xlfn.IFNA(VLOOKUP($A108,INDIRECT("'W"&amp;D$1&amp;"'!$A$2:$T$1000"),4,FALSE),0)</f>
        <v>0</v>
      </c>
      <c r="E108" s="37">
        <f ca="1">_xlfn.IFNA(VLOOKUP($A108,INDIRECT("'W"&amp;E$1&amp;"'!$A$2:$T$1000"),4,FALSE),0)</f>
        <v>0</v>
      </c>
      <c r="F108" s="37">
        <f ca="1">_xlfn.IFNA(VLOOKUP($A108,INDIRECT("'W"&amp;F$1&amp;"'!$A$2:$T$1000"),4,FALSE),0)</f>
        <v>0</v>
      </c>
      <c r="G108" s="37">
        <f ca="1">_xlfn.IFNA(VLOOKUP($A108,INDIRECT("'W"&amp;G$1&amp;"'!$A$2:$T$1000"),4,FALSE),0)</f>
        <v>19.8</v>
      </c>
      <c r="H108" s="37">
        <f ca="1">_xlfn.IFNA(VLOOKUP($A108,INDIRECT("'W"&amp;H$1&amp;"'!$A$2:$T$1000"),4,FALSE),0)</f>
        <v>27.8</v>
      </c>
      <c r="I108" s="37">
        <f ca="1">_xlfn.IFNA(VLOOKUP($A108,INDIRECT("'W"&amp;I$1&amp;"'!$A$2:$T$1000"),4,FALSE),0)</f>
        <v>6.9</v>
      </c>
      <c r="J108" s="37">
        <f ca="1">_xlfn.IFNA(VLOOKUP($A108,INDIRECT("'W"&amp;J$1&amp;"'!$A$2:$T$1000"),4,FALSE),0)</f>
        <v>6.1</v>
      </c>
      <c r="K108" s="37">
        <f ca="1">_xlfn.IFNA(VLOOKUP($A108,INDIRECT("'W"&amp;K$1&amp;"'!$A$2:$T$1000"),4,FALSE),0)</f>
        <v>6.8000000000000007</v>
      </c>
      <c r="L108" s="37">
        <f ca="1">_xlfn.IFNA(VLOOKUP($A108,INDIRECT("'W"&amp;L$1&amp;"'!$A$2:$T$1000"),4,FALSE),0)</f>
        <v>0</v>
      </c>
      <c r="M108" s="37">
        <f ca="1">_xlfn.IFNA(VLOOKUP($A108,INDIRECT("'W"&amp;M$1&amp;"'!$A$2:$T$1000"),4,FALSE),0)</f>
        <v>2.1</v>
      </c>
      <c r="N108" s="37">
        <f ca="1">_xlfn.IFNA(VLOOKUP($A108,INDIRECT("'W"&amp;N$1&amp;"'!$A$2:$T$1000"),4,FALSE),0)</f>
        <v>4.8</v>
      </c>
      <c r="O108" s="37">
        <f ca="1">_xlfn.IFNA(VLOOKUP($A108,INDIRECT("'W"&amp;O$1&amp;"'!$A$2:$T$1000"),4,FALSE),0)</f>
        <v>15.9</v>
      </c>
      <c r="P108" s="37">
        <f ca="1">_xlfn.IFNA(VLOOKUP($A108,INDIRECT("'W"&amp;P$1&amp;"'!$A$2:$T$1000"),4,FALSE),0)</f>
        <v>25.5</v>
      </c>
      <c r="Q108" s="37">
        <f ca="1">_xlfn.IFNA(VLOOKUP($A108,INDIRECT("'W"&amp;Q$1&amp;"'!$A$2:$T$1000"),4,FALSE),0)</f>
        <v>25.1</v>
      </c>
      <c r="R108" s="37">
        <f ca="1">_xlfn.IFNA(VLOOKUP($A108,INDIRECT("'W"&amp;R$1&amp;"'!$A$2:$T$1000"),4,FALSE),0)</f>
        <v>10.9</v>
      </c>
      <c r="S108" s="37">
        <f ca="1">_xlfn.IFNA(VLOOKUP($A108,INDIRECT("'W"&amp;S$1&amp;"'!$A$2:$T$1000"),4,FALSE),0)</f>
        <v>12.7</v>
      </c>
      <c r="T108" s="37">
        <f ca="1">_xlfn.IFNA(VLOOKUP($A108,INDIRECT("'W"&amp;T$1&amp;"'!$A$2:$T$1000"),4,FALSE),0)</f>
        <v>0</v>
      </c>
      <c r="U108" s="36">
        <f ca="1">COUNTIF(C108:T108,"&gt; 15")</f>
        <v>5</v>
      </c>
      <c r="V108" s="36">
        <f ca="1">SUM(C108:T108)</f>
        <v>164.4</v>
      </c>
      <c r="W108" s="36"/>
      <c r="X108" s="38">
        <v>22</v>
      </c>
    </row>
    <row r="109" spans="1:24" ht="12.75" x14ac:dyDescent="0.2">
      <c r="A109" s="36" t="s">
        <v>230</v>
      </c>
      <c r="B109" s="36" t="s">
        <v>162</v>
      </c>
      <c r="C109" s="37">
        <f ca="1">_xlfn.IFNA(VLOOKUP($A109,INDIRECT("'W"&amp;C$1&amp;"'!$A$2:$T$1000"),4,FALSE),0)</f>
        <v>5.2</v>
      </c>
      <c r="D109" s="37">
        <f ca="1">_xlfn.IFNA(VLOOKUP($A109,INDIRECT("'W"&amp;D$1&amp;"'!$A$2:$T$1000"),4,FALSE),0)</f>
        <v>21.200000000000003</v>
      </c>
      <c r="E109" s="37">
        <f ca="1">_xlfn.IFNA(VLOOKUP($A109,INDIRECT("'W"&amp;E$1&amp;"'!$A$2:$T$1000"),4,FALSE),0)</f>
        <v>10.3</v>
      </c>
      <c r="F109" s="37">
        <f ca="1">_xlfn.IFNA(VLOOKUP($A109,INDIRECT("'W"&amp;F$1&amp;"'!$A$2:$T$1000"),4,FALSE),0)</f>
        <v>15.100000000000001</v>
      </c>
      <c r="G109" s="37">
        <f ca="1">_xlfn.IFNA(VLOOKUP($A109,INDIRECT("'W"&amp;G$1&amp;"'!$A$2:$T$1000"),4,FALSE),0)</f>
        <v>22</v>
      </c>
      <c r="H109" s="37">
        <f ca="1">_xlfn.IFNA(VLOOKUP($A109,INDIRECT("'W"&amp;H$1&amp;"'!$A$2:$T$1000"),4,FALSE),0)</f>
        <v>3.0999999999999996</v>
      </c>
      <c r="I109" s="37">
        <f ca="1">_xlfn.IFNA(VLOOKUP($A109,INDIRECT("'W"&amp;I$1&amp;"'!$A$2:$T$1000"),4,FALSE),0)</f>
        <v>1.6</v>
      </c>
      <c r="J109" s="37">
        <f ca="1">_xlfn.IFNA(VLOOKUP($A109,INDIRECT("'W"&amp;J$1&amp;"'!$A$2:$T$1000"),4,FALSE),0)</f>
        <v>23.700000000000003</v>
      </c>
      <c r="K109" s="37">
        <f ca="1">_xlfn.IFNA(VLOOKUP($A109,INDIRECT("'W"&amp;K$1&amp;"'!$A$2:$T$1000"),4,FALSE),0)</f>
        <v>0</v>
      </c>
      <c r="L109" s="37">
        <f ca="1">_xlfn.IFNA(VLOOKUP($A109,INDIRECT("'W"&amp;L$1&amp;"'!$A$2:$T$1000"),4,FALSE),0)</f>
        <v>9.6000000000000014</v>
      </c>
      <c r="M109" s="37">
        <f ca="1">_xlfn.IFNA(VLOOKUP($A109,INDIRECT("'W"&amp;M$1&amp;"'!$A$2:$T$1000"),4,FALSE),0)</f>
        <v>0</v>
      </c>
      <c r="N109" s="37">
        <f ca="1">_xlfn.IFNA(VLOOKUP($A109,INDIRECT("'W"&amp;N$1&amp;"'!$A$2:$T$1000"),4,FALSE),0)</f>
        <v>22.5</v>
      </c>
      <c r="O109" s="37">
        <f ca="1">_xlfn.IFNA(VLOOKUP($A109,INDIRECT("'W"&amp;O$1&amp;"'!$A$2:$T$1000"),4,FALSE),0)</f>
        <v>0</v>
      </c>
      <c r="P109" s="37">
        <f ca="1">_xlfn.IFNA(VLOOKUP($A109,INDIRECT("'W"&amp;P$1&amp;"'!$A$2:$T$1000"),4,FALSE),0)</f>
        <v>0</v>
      </c>
      <c r="Q109" s="37">
        <f ca="1">_xlfn.IFNA(VLOOKUP($A109,INDIRECT("'W"&amp;Q$1&amp;"'!$A$2:$T$1000"),4,FALSE),0)</f>
        <v>0</v>
      </c>
      <c r="R109" s="37">
        <f ca="1">_xlfn.IFNA(VLOOKUP($A109,INDIRECT("'W"&amp;R$1&amp;"'!$A$2:$T$1000"),4,FALSE),0)</f>
        <v>23</v>
      </c>
      <c r="S109" s="37">
        <f ca="1">_xlfn.IFNA(VLOOKUP($A109,INDIRECT("'W"&amp;S$1&amp;"'!$A$2:$T$1000"),4,FALSE),0)</f>
        <v>4.0999999999999996</v>
      </c>
      <c r="T109" s="37">
        <f ca="1">_xlfn.IFNA(VLOOKUP($A109,INDIRECT("'W"&amp;T$1&amp;"'!$A$2:$T$1000"),4,FALSE),0)</f>
        <v>0</v>
      </c>
      <c r="U109" s="36">
        <f ca="1">COUNTIF(C109:T109,"&gt; 15")</f>
        <v>6</v>
      </c>
      <c r="V109" s="36">
        <f ca="1">SUM(C109:T109)</f>
        <v>161.4</v>
      </c>
      <c r="W109" s="36"/>
      <c r="X109" s="38">
        <v>128</v>
      </c>
    </row>
    <row r="110" spans="1:24" ht="12.75" x14ac:dyDescent="0.2">
      <c r="A110" s="36" t="s">
        <v>854</v>
      </c>
      <c r="B110" s="36" t="s">
        <v>851</v>
      </c>
      <c r="C110" s="37">
        <v>20</v>
      </c>
      <c r="D110" s="37">
        <v>-1</v>
      </c>
      <c r="E110" s="37">
        <v>2</v>
      </c>
      <c r="F110" s="37">
        <v>4</v>
      </c>
      <c r="G110" s="37">
        <v>18</v>
      </c>
      <c r="H110" s="37">
        <v>11</v>
      </c>
      <c r="I110" s="37">
        <v>0</v>
      </c>
      <c r="J110" s="37">
        <v>10</v>
      </c>
      <c r="K110" s="37">
        <v>8</v>
      </c>
      <c r="L110" s="37">
        <v>10</v>
      </c>
      <c r="M110" s="37">
        <v>1</v>
      </c>
      <c r="N110" s="37">
        <v>12</v>
      </c>
      <c r="O110" s="37">
        <v>11</v>
      </c>
      <c r="P110" s="37">
        <v>12</v>
      </c>
      <c r="Q110" s="37">
        <v>4</v>
      </c>
      <c r="R110" s="37">
        <v>10</v>
      </c>
      <c r="S110" s="37">
        <v>9</v>
      </c>
      <c r="T110" s="37">
        <v>18</v>
      </c>
      <c r="U110" s="36">
        <f>COUNTIF(C110:T110,"&gt; 9")</f>
        <v>10</v>
      </c>
      <c r="V110" s="36">
        <f>SUM(C110:T110)</f>
        <v>159</v>
      </c>
      <c r="W110" s="36"/>
      <c r="X110" s="38">
        <v>179</v>
      </c>
    </row>
    <row r="111" spans="1:24" ht="12.75" x14ac:dyDescent="0.2">
      <c r="A111" s="36" t="s">
        <v>855</v>
      </c>
      <c r="B111" s="36" t="s">
        <v>851</v>
      </c>
      <c r="C111" s="37">
        <v>7</v>
      </c>
      <c r="D111" s="37">
        <v>11</v>
      </c>
      <c r="E111" s="37">
        <v>31</v>
      </c>
      <c r="F111" s="37">
        <v>7</v>
      </c>
      <c r="G111" s="37">
        <v>4</v>
      </c>
      <c r="H111" s="37">
        <v>6</v>
      </c>
      <c r="I111" s="37">
        <v>1</v>
      </c>
      <c r="J111" s="37">
        <v>5</v>
      </c>
      <c r="K111" s="37">
        <v>0</v>
      </c>
      <c r="L111" s="37">
        <v>6</v>
      </c>
      <c r="M111" s="37">
        <v>21</v>
      </c>
      <c r="N111" s="37">
        <v>2</v>
      </c>
      <c r="O111" s="37">
        <v>0</v>
      </c>
      <c r="P111" s="37">
        <v>6</v>
      </c>
      <c r="Q111" s="37">
        <v>11</v>
      </c>
      <c r="R111" s="37">
        <v>7</v>
      </c>
      <c r="S111" s="37">
        <v>19</v>
      </c>
      <c r="T111" s="37">
        <v>14</v>
      </c>
      <c r="U111" s="36">
        <f>COUNTIF(C111:T111,"&gt; 9")</f>
        <v>6</v>
      </c>
      <c r="V111" s="36">
        <f>SUM(C111:T111)</f>
        <v>158</v>
      </c>
      <c r="W111" s="36"/>
      <c r="X111" s="38">
        <v>119</v>
      </c>
    </row>
    <row r="112" spans="1:24" ht="12.75" x14ac:dyDescent="0.2">
      <c r="A112" s="36" t="s">
        <v>199</v>
      </c>
      <c r="B112" s="36" t="s">
        <v>162</v>
      </c>
      <c r="C112" s="37">
        <f ca="1">_xlfn.IFNA(VLOOKUP($A112,INDIRECT("'W"&amp;C$1&amp;"'!$A$2:$T$1000"),4,FALSE),0)</f>
        <v>11</v>
      </c>
      <c r="D112" s="37">
        <f ca="1">_xlfn.IFNA(VLOOKUP($A112,INDIRECT("'W"&amp;D$1&amp;"'!$A$2:$T$1000"),4,FALSE),0)</f>
        <v>6.2</v>
      </c>
      <c r="E112" s="37">
        <f ca="1">_xlfn.IFNA(VLOOKUP($A112,INDIRECT("'W"&amp;E$1&amp;"'!$A$2:$T$1000"),4,FALSE),0)</f>
        <v>7.4</v>
      </c>
      <c r="F112" s="37">
        <f ca="1">_xlfn.IFNA(VLOOKUP($A112,INDIRECT("'W"&amp;F$1&amp;"'!$A$2:$T$1000"),4,FALSE),0)</f>
        <v>18.2</v>
      </c>
      <c r="G112" s="37">
        <f ca="1">_xlfn.IFNA(VLOOKUP($A112,INDIRECT("'W"&amp;G$1&amp;"'!$A$2:$T$1000"),4,FALSE),0)</f>
        <v>18.5</v>
      </c>
      <c r="H112" s="37">
        <f ca="1">_xlfn.IFNA(VLOOKUP($A112,INDIRECT("'W"&amp;H$1&amp;"'!$A$2:$T$1000"),4,FALSE),0)</f>
        <v>14.2</v>
      </c>
      <c r="I112" s="37">
        <f ca="1">_xlfn.IFNA(VLOOKUP($A112,INDIRECT("'W"&amp;I$1&amp;"'!$A$2:$T$1000"),4,FALSE),0)</f>
        <v>6.5</v>
      </c>
      <c r="J112" s="37">
        <f ca="1">_xlfn.IFNA(VLOOKUP($A112,INDIRECT("'W"&amp;J$1&amp;"'!$A$2:$T$1000"),4,FALSE),0)</f>
        <v>6.2</v>
      </c>
      <c r="K112" s="37">
        <f ca="1">_xlfn.IFNA(VLOOKUP($A112,INDIRECT("'W"&amp;K$1&amp;"'!$A$2:$T$1000"),4,FALSE),0)</f>
        <v>0</v>
      </c>
      <c r="L112" s="37">
        <f ca="1">_xlfn.IFNA(VLOOKUP($A112,INDIRECT("'W"&amp;L$1&amp;"'!$A$2:$T$1000"),4,FALSE),0)</f>
        <v>2.6</v>
      </c>
      <c r="M112" s="37">
        <f ca="1">_xlfn.IFNA(VLOOKUP($A112,INDIRECT("'W"&amp;M$1&amp;"'!$A$2:$T$1000"),4,FALSE),0)</f>
        <v>1.5</v>
      </c>
      <c r="N112" s="37">
        <f ca="1">_xlfn.IFNA(VLOOKUP($A112,INDIRECT("'W"&amp;N$1&amp;"'!$A$2:$T$1000"),4,FALSE),0)</f>
        <v>19</v>
      </c>
      <c r="O112" s="37">
        <f ca="1">_xlfn.IFNA(VLOOKUP($A112,INDIRECT("'W"&amp;O$1&amp;"'!$A$2:$T$1000"),4,FALSE),0)</f>
        <v>10.5</v>
      </c>
      <c r="P112" s="37">
        <f ca="1">_xlfn.IFNA(VLOOKUP($A112,INDIRECT("'W"&amp;P$1&amp;"'!$A$2:$T$1000"),4,FALSE),0)</f>
        <v>0</v>
      </c>
      <c r="Q112" s="37">
        <f ca="1">_xlfn.IFNA(VLOOKUP($A112,INDIRECT("'W"&amp;Q$1&amp;"'!$A$2:$T$1000"),4,FALSE),0)</f>
        <v>21.1</v>
      </c>
      <c r="R112" s="37">
        <f ca="1">_xlfn.IFNA(VLOOKUP($A112,INDIRECT("'W"&amp;R$1&amp;"'!$A$2:$T$1000"),4,FALSE),0)</f>
        <v>3</v>
      </c>
      <c r="S112" s="37">
        <f ca="1">_xlfn.IFNA(VLOOKUP($A112,INDIRECT("'W"&amp;S$1&amp;"'!$A$2:$T$1000"),4,FALSE),0)</f>
        <v>6.3000000000000007</v>
      </c>
      <c r="T112" s="37">
        <f ca="1">_xlfn.IFNA(VLOOKUP($A112,INDIRECT("'W"&amp;T$1&amp;"'!$A$2:$T$1000"),4,FALSE),0)</f>
        <v>5</v>
      </c>
      <c r="U112" s="36">
        <f ca="1">COUNTIF(C112:T112,"&gt; 15")</f>
        <v>4</v>
      </c>
      <c r="V112" s="36">
        <f ca="1">SUM(C112:T112)</f>
        <v>157.20000000000002</v>
      </c>
      <c r="W112" s="36"/>
      <c r="X112" s="38"/>
    </row>
    <row r="113" spans="1:24" ht="12.75" x14ac:dyDescent="0.2">
      <c r="A113" s="36" t="s">
        <v>220</v>
      </c>
      <c r="B113" s="36" t="s">
        <v>162</v>
      </c>
      <c r="C113" s="37">
        <f ca="1">_xlfn.IFNA(VLOOKUP($A113,INDIRECT("'W"&amp;C$1&amp;"'!$A$2:$T$1000"),4,FALSE),0)</f>
        <v>6</v>
      </c>
      <c r="D113" s="37">
        <f ca="1">_xlfn.IFNA(VLOOKUP($A113,INDIRECT("'W"&amp;D$1&amp;"'!$A$2:$T$1000"),4,FALSE),0)</f>
        <v>7.7</v>
      </c>
      <c r="E113" s="37">
        <f ca="1">_xlfn.IFNA(VLOOKUP($A113,INDIRECT("'W"&amp;E$1&amp;"'!$A$2:$T$1000"),4,FALSE),0)</f>
        <v>13.7</v>
      </c>
      <c r="F113" s="37">
        <f ca="1">_xlfn.IFNA(VLOOKUP($A113,INDIRECT("'W"&amp;F$1&amp;"'!$A$2:$T$1000"),4,FALSE),0)</f>
        <v>5.4</v>
      </c>
      <c r="G113" s="37">
        <f ca="1">_xlfn.IFNA(VLOOKUP($A113,INDIRECT("'W"&amp;G$1&amp;"'!$A$2:$T$1000"),4,FALSE),0)</f>
        <v>15.700000000000001</v>
      </c>
      <c r="H113" s="37">
        <f ca="1">_xlfn.IFNA(VLOOKUP($A113,INDIRECT("'W"&amp;H$1&amp;"'!$A$2:$T$1000"),4,FALSE),0)</f>
        <v>13.1</v>
      </c>
      <c r="I113" s="37">
        <f ca="1">_xlfn.IFNA(VLOOKUP($A113,INDIRECT("'W"&amp;I$1&amp;"'!$A$2:$T$1000"),4,FALSE),0)</f>
        <v>23.5</v>
      </c>
      <c r="J113" s="37">
        <f ca="1">_xlfn.IFNA(VLOOKUP($A113,INDIRECT("'W"&amp;J$1&amp;"'!$A$2:$T$1000"),4,FALSE),0)</f>
        <v>14.2</v>
      </c>
      <c r="K113" s="37">
        <f ca="1">_xlfn.IFNA(VLOOKUP($A113,INDIRECT("'W"&amp;K$1&amp;"'!$A$2:$T$1000"),4,FALSE),0)</f>
        <v>2</v>
      </c>
      <c r="L113" s="37">
        <f ca="1">_xlfn.IFNA(VLOOKUP($A113,INDIRECT("'W"&amp;L$1&amp;"'!$A$2:$T$1000"),4,FALSE),0)</f>
        <v>6</v>
      </c>
      <c r="M113" s="37">
        <f ca="1">_xlfn.IFNA(VLOOKUP($A113,INDIRECT("'W"&amp;M$1&amp;"'!$A$2:$T$1000"),4,FALSE),0)</f>
        <v>0</v>
      </c>
      <c r="N113" s="37">
        <f ca="1">_xlfn.IFNA(VLOOKUP($A113,INDIRECT("'W"&amp;N$1&amp;"'!$A$2:$T$1000"),4,FALSE),0)</f>
        <v>9.3000000000000007</v>
      </c>
      <c r="O113" s="37">
        <f ca="1">_xlfn.IFNA(VLOOKUP($A113,INDIRECT("'W"&amp;O$1&amp;"'!$A$2:$T$1000"),4,FALSE),0)</f>
        <v>4.4000000000000004</v>
      </c>
      <c r="P113" s="37">
        <f ca="1">_xlfn.IFNA(VLOOKUP($A113,INDIRECT("'W"&amp;P$1&amp;"'!$A$2:$T$1000"),4,FALSE),0)</f>
        <v>6.2</v>
      </c>
      <c r="Q113" s="37">
        <f ca="1">_xlfn.IFNA(VLOOKUP($A113,INDIRECT("'W"&amp;Q$1&amp;"'!$A$2:$T$1000"),4,FALSE),0)</f>
        <v>4.9000000000000004</v>
      </c>
      <c r="R113" s="37">
        <f ca="1">_xlfn.IFNA(VLOOKUP($A113,INDIRECT("'W"&amp;R$1&amp;"'!$A$2:$T$1000"),4,FALSE),0)</f>
        <v>9.9</v>
      </c>
      <c r="S113" s="37">
        <f ca="1">_xlfn.IFNA(VLOOKUP($A113,INDIRECT("'W"&amp;S$1&amp;"'!$A$2:$T$1000"),4,FALSE),0)</f>
        <v>7.3000000000000007</v>
      </c>
      <c r="T113" s="37">
        <f ca="1">_xlfn.IFNA(VLOOKUP($A113,INDIRECT("'W"&amp;T$1&amp;"'!$A$2:$T$1000"),4,FALSE),0)</f>
        <v>7.8000000000000007</v>
      </c>
      <c r="U113" s="36">
        <f ca="1">COUNTIF(C113:T113,"&gt; 15")</f>
        <v>2</v>
      </c>
      <c r="V113" s="36">
        <f ca="1">SUM(C113:T113)</f>
        <v>157.10000000000002</v>
      </c>
      <c r="W113" s="36"/>
      <c r="X113" s="38" t="s">
        <v>847</v>
      </c>
    </row>
    <row r="114" spans="1:24" ht="12.75" x14ac:dyDescent="0.2">
      <c r="A114" s="36" t="s">
        <v>515</v>
      </c>
      <c r="B114" s="36" t="s">
        <v>75</v>
      </c>
      <c r="C114" s="37">
        <f ca="1">_xlfn.IFNA(VLOOKUP($A114,INDIRECT("'W"&amp;C$1&amp;"'!$A$2:$T$1000"),4,FALSE),0)</f>
        <v>0</v>
      </c>
      <c r="D114" s="37">
        <f ca="1">_xlfn.IFNA(VLOOKUP($A114,INDIRECT("'W"&amp;D$1&amp;"'!$A$2:$T$1000"),4,FALSE),0)</f>
        <v>0</v>
      </c>
      <c r="E114" s="37">
        <f ca="1">_xlfn.IFNA(VLOOKUP($A114,INDIRECT("'W"&amp;E$1&amp;"'!$A$2:$T$1000"),4,FALSE),0)</f>
        <v>0</v>
      </c>
      <c r="F114" s="37">
        <f ca="1">_xlfn.IFNA(VLOOKUP($A114,INDIRECT("'W"&amp;F$1&amp;"'!$A$2:$T$1000"),4,FALSE),0)</f>
        <v>0</v>
      </c>
      <c r="G114" s="37">
        <f ca="1">_xlfn.IFNA(VLOOKUP($A114,INDIRECT("'W"&amp;G$1&amp;"'!$A$2:$T$1000"),4,FALSE),0)</f>
        <v>4.4000000000000004</v>
      </c>
      <c r="H114" s="37">
        <f ca="1">_xlfn.IFNA(VLOOKUP($A114,INDIRECT("'W"&amp;H$1&amp;"'!$A$2:$T$1000"),4,FALSE),0)</f>
        <v>11.5</v>
      </c>
      <c r="I114" s="37">
        <f ca="1">_xlfn.IFNA(VLOOKUP($A114,INDIRECT("'W"&amp;I$1&amp;"'!$A$2:$T$1000"),4,FALSE),0)</f>
        <v>21</v>
      </c>
      <c r="J114" s="37">
        <f ca="1">_xlfn.IFNA(VLOOKUP($A114,INDIRECT("'W"&amp;J$1&amp;"'!$A$2:$T$1000"),4,FALSE),0)</f>
        <v>10.7</v>
      </c>
      <c r="K114" s="37">
        <f ca="1">_xlfn.IFNA(VLOOKUP($A114,INDIRECT("'W"&amp;K$1&amp;"'!$A$2:$T$1000"),4,FALSE),0)</f>
        <v>17.899999999999999</v>
      </c>
      <c r="L114" s="37">
        <f ca="1">_xlfn.IFNA(VLOOKUP($A114,INDIRECT("'W"&amp;L$1&amp;"'!$A$2:$T$1000"),4,FALSE),0)</f>
        <v>14.5</v>
      </c>
      <c r="M114" s="37">
        <f ca="1">_xlfn.IFNA(VLOOKUP($A114,INDIRECT("'W"&amp;M$1&amp;"'!$A$2:$T$1000"),4,FALSE),0)</f>
        <v>0</v>
      </c>
      <c r="N114" s="37">
        <f ca="1">_xlfn.IFNA(VLOOKUP($A114,INDIRECT("'W"&amp;N$1&amp;"'!$A$2:$T$1000"),4,FALSE),0)</f>
        <v>21.1</v>
      </c>
      <c r="O114" s="37">
        <f ca="1">_xlfn.IFNA(VLOOKUP($A114,INDIRECT("'W"&amp;O$1&amp;"'!$A$2:$T$1000"),4,FALSE),0)</f>
        <v>0</v>
      </c>
      <c r="P114" s="37">
        <f ca="1">_xlfn.IFNA(VLOOKUP($A114,INDIRECT("'W"&amp;P$1&amp;"'!$A$2:$T$1000"),4,FALSE),0)</f>
        <v>0</v>
      </c>
      <c r="Q114" s="37">
        <f ca="1">_xlfn.IFNA(VLOOKUP($A114,INDIRECT("'W"&amp;Q$1&amp;"'!$A$2:$T$1000"),4,FALSE),0)</f>
        <v>0</v>
      </c>
      <c r="R114" s="37">
        <f ca="1">_xlfn.IFNA(VLOOKUP($A114,INDIRECT("'W"&amp;R$1&amp;"'!$A$2:$T$1000"),4,FALSE),0)</f>
        <v>10.3</v>
      </c>
      <c r="S114" s="37">
        <f ca="1">_xlfn.IFNA(VLOOKUP($A114,INDIRECT("'W"&amp;S$1&amp;"'!$A$2:$T$1000"),4,FALSE),0)</f>
        <v>17.400000000000002</v>
      </c>
      <c r="T114" s="37">
        <f ca="1">_xlfn.IFNA(VLOOKUP($A114,INDIRECT("'W"&amp;T$1&amp;"'!$A$2:$T$1000"),4,FALSE),0)</f>
        <v>27.6</v>
      </c>
      <c r="U114" s="36">
        <f ca="1">COUNTIF(C114:T114,"&gt; 15")</f>
        <v>5</v>
      </c>
      <c r="V114" s="36">
        <f ca="1">SUM(C114:T114)</f>
        <v>156.39999999999998</v>
      </c>
      <c r="W114" s="36"/>
      <c r="X114" s="38">
        <v>65</v>
      </c>
    </row>
    <row r="115" spans="1:24" ht="12.75" x14ac:dyDescent="0.2">
      <c r="A115" s="36" t="s">
        <v>57</v>
      </c>
      <c r="B115" s="36" t="s">
        <v>17</v>
      </c>
      <c r="C115" s="37">
        <f ca="1">_xlfn.IFNA(VLOOKUP($A115,INDIRECT("'W"&amp;C$1&amp;"'!$A$2:$T$1000"),4,FALSE),0)</f>
        <v>7.54</v>
      </c>
      <c r="D115" s="37">
        <f ca="1">_xlfn.IFNA(VLOOKUP($A115,INDIRECT("'W"&amp;D$1&amp;"'!$A$2:$T$1000"),4,FALSE),0)</f>
        <v>13.520000000000001</v>
      </c>
      <c r="E115" s="37">
        <f ca="1">_xlfn.IFNA(VLOOKUP($A115,INDIRECT("'W"&amp;E$1&amp;"'!$A$2:$T$1000"),4,FALSE),0)</f>
        <v>0</v>
      </c>
      <c r="F115" s="37">
        <f ca="1">_xlfn.IFNA(VLOOKUP($A115,INDIRECT("'W"&amp;F$1&amp;"'!$A$2:$T$1000"),4,FALSE),0)</f>
        <v>7.16</v>
      </c>
      <c r="G115" s="37">
        <f ca="1">_xlfn.IFNA(VLOOKUP($A115,INDIRECT("'W"&amp;G$1&amp;"'!$A$2:$T$1000"),4,FALSE),0)</f>
        <v>18.28</v>
      </c>
      <c r="H115" s="37">
        <f ca="1">_xlfn.IFNA(VLOOKUP($A115,INDIRECT("'W"&amp;H$1&amp;"'!$A$2:$T$1000"),4,FALSE),0)</f>
        <v>12.68</v>
      </c>
      <c r="I115" s="37">
        <f ca="1">_xlfn.IFNA(VLOOKUP($A115,INDIRECT("'W"&amp;I$1&amp;"'!$A$2:$T$1000"),4,FALSE),0)</f>
        <v>0</v>
      </c>
      <c r="J115" s="37">
        <f ca="1">_xlfn.IFNA(VLOOKUP($A115,INDIRECT("'W"&amp;J$1&amp;"'!$A$2:$T$1000"),4,FALSE),0)</f>
        <v>14.5</v>
      </c>
      <c r="K115" s="37">
        <f ca="1">_xlfn.IFNA(VLOOKUP($A115,INDIRECT("'W"&amp;K$1&amp;"'!$A$2:$T$1000"),4,FALSE),0)</f>
        <v>9.02</v>
      </c>
      <c r="L115" s="37">
        <f ca="1">_xlfn.IFNA(VLOOKUP($A115,INDIRECT("'W"&amp;L$1&amp;"'!$A$2:$T$1000"),4,FALSE),0)</f>
        <v>9.2000000000000011</v>
      </c>
      <c r="M115" s="37">
        <f ca="1">_xlfn.IFNA(VLOOKUP($A115,INDIRECT("'W"&amp;M$1&amp;"'!$A$2:$T$1000"),4,FALSE),0)</f>
        <v>5.22</v>
      </c>
      <c r="N115" s="37">
        <f ca="1">_xlfn.IFNA(VLOOKUP($A115,INDIRECT("'W"&amp;N$1&amp;"'!$A$2:$T$1000"),4,FALSE),0)</f>
        <v>8.06</v>
      </c>
      <c r="O115" s="37">
        <f ca="1">_xlfn.IFNA(VLOOKUP($A115,INDIRECT("'W"&amp;O$1&amp;"'!$A$2:$T$1000"),4,FALSE),0)</f>
        <v>7.12</v>
      </c>
      <c r="P115" s="37">
        <f ca="1">_xlfn.IFNA(VLOOKUP($A115,INDIRECT("'W"&amp;P$1&amp;"'!$A$2:$T$1000"),4,FALSE),0)</f>
        <v>7.48</v>
      </c>
      <c r="Q115" s="37">
        <f ca="1">_xlfn.IFNA(VLOOKUP($A115,INDIRECT("'W"&amp;Q$1&amp;"'!$A$2:$T$1000"),4,FALSE),0)</f>
        <v>7.58</v>
      </c>
      <c r="R115" s="37">
        <f ca="1">_xlfn.IFNA(VLOOKUP($A115,INDIRECT("'W"&amp;R$1&amp;"'!$A$2:$T$1000"),4,FALSE),0)</f>
        <v>22.18</v>
      </c>
      <c r="S115" s="37">
        <f ca="1">_xlfn.IFNA(VLOOKUP($A115,INDIRECT("'W"&amp;S$1&amp;"'!$A$2:$T$1000"),4,FALSE),0)</f>
        <v>2.6800000000000006</v>
      </c>
      <c r="T115" s="37">
        <f ca="1">_xlfn.IFNA(VLOOKUP($A115,INDIRECT("'W"&amp;T$1&amp;"'!$A$2:$T$1000"),4,FALSE),0)</f>
        <v>4.16</v>
      </c>
      <c r="U115" s="36">
        <f ca="1">COUNTIF(C115:T115,"&gt; 15")</f>
        <v>2</v>
      </c>
      <c r="V115" s="36">
        <f ca="1">SUM(C115:T115)</f>
        <v>156.38000000000002</v>
      </c>
      <c r="W115" s="36"/>
      <c r="X115" s="38"/>
    </row>
    <row r="116" spans="1:24" ht="12.75" x14ac:dyDescent="0.2">
      <c r="A116" s="36" t="s">
        <v>856</v>
      </c>
      <c r="B116" s="36" t="s">
        <v>849</v>
      </c>
      <c r="C116" s="37">
        <v>5</v>
      </c>
      <c r="D116" s="37">
        <v>11</v>
      </c>
      <c r="E116" s="37">
        <v>6</v>
      </c>
      <c r="F116" s="37">
        <v>4</v>
      </c>
      <c r="G116" s="37">
        <v>4</v>
      </c>
      <c r="H116" s="37">
        <v>19</v>
      </c>
      <c r="I116" s="37">
        <v>8</v>
      </c>
      <c r="J116" s="37">
        <v>7</v>
      </c>
      <c r="K116" s="37">
        <v>14</v>
      </c>
      <c r="L116" s="37">
        <v>6</v>
      </c>
      <c r="M116" s="37">
        <v>11</v>
      </c>
      <c r="N116" s="37">
        <v>9</v>
      </c>
      <c r="O116" s="37">
        <v>0</v>
      </c>
      <c r="P116" s="37">
        <v>12</v>
      </c>
      <c r="Q116" s="37">
        <v>12</v>
      </c>
      <c r="R116" s="37">
        <v>16</v>
      </c>
      <c r="S116" s="37">
        <v>8</v>
      </c>
      <c r="T116" s="37">
        <v>4</v>
      </c>
      <c r="U116" s="36">
        <f>COUNTIF(C116:T116,"&gt; 7")</f>
        <v>10</v>
      </c>
      <c r="V116" s="36">
        <f>SUM(C116:T116)</f>
        <v>156</v>
      </c>
      <c r="W116" s="36"/>
      <c r="X116" s="38">
        <v>77</v>
      </c>
    </row>
    <row r="117" spans="1:24" ht="12.75" x14ac:dyDescent="0.2">
      <c r="A117" s="36" t="s">
        <v>857</v>
      </c>
      <c r="B117" s="36" t="s">
        <v>849</v>
      </c>
      <c r="C117" s="37">
        <v>18</v>
      </c>
      <c r="D117" s="37">
        <v>12</v>
      </c>
      <c r="E117" s="37">
        <v>11</v>
      </c>
      <c r="F117" s="37">
        <v>18</v>
      </c>
      <c r="G117" s="37">
        <v>11</v>
      </c>
      <c r="H117" s="37">
        <v>1</v>
      </c>
      <c r="I117" s="37">
        <v>7</v>
      </c>
      <c r="J117" s="37">
        <v>10</v>
      </c>
      <c r="K117" s="37">
        <v>4</v>
      </c>
      <c r="L117" s="37">
        <v>0</v>
      </c>
      <c r="M117" s="37">
        <v>3</v>
      </c>
      <c r="N117" s="37">
        <v>9</v>
      </c>
      <c r="O117" s="37">
        <v>7</v>
      </c>
      <c r="P117" s="37">
        <v>10</v>
      </c>
      <c r="Q117" s="37">
        <v>5</v>
      </c>
      <c r="R117" s="37">
        <v>17</v>
      </c>
      <c r="S117" s="37">
        <v>8</v>
      </c>
      <c r="T117" s="37">
        <v>4</v>
      </c>
      <c r="U117" s="36">
        <f>COUNTIF(C117:T117,"&gt; 7")</f>
        <v>10</v>
      </c>
      <c r="V117" s="36">
        <f>SUM(C117:T117)</f>
        <v>155</v>
      </c>
      <c r="W117" s="36"/>
      <c r="X117" s="38">
        <v>151</v>
      </c>
    </row>
    <row r="118" spans="1:24" ht="12.75" x14ac:dyDescent="0.2">
      <c r="A118" s="36" t="s">
        <v>858</v>
      </c>
      <c r="B118" s="36" t="s">
        <v>849</v>
      </c>
      <c r="C118" s="37">
        <v>7</v>
      </c>
      <c r="D118" s="37">
        <v>7</v>
      </c>
      <c r="E118" s="37">
        <v>4</v>
      </c>
      <c r="F118" s="37">
        <v>4</v>
      </c>
      <c r="G118" s="37">
        <v>17</v>
      </c>
      <c r="H118" s="37">
        <v>9</v>
      </c>
      <c r="I118" s="37">
        <v>8</v>
      </c>
      <c r="J118" s="37">
        <v>1</v>
      </c>
      <c r="K118" s="37">
        <v>4</v>
      </c>
      <c r="L118" s="37">
        <v>12</v>
      </c>
      <c r="M118" s="37">
        <v>17</v>
      </c>
      <c r="N118" s="37">
        <v>13</v>
      </c>
      <c r="O118" s="37">
        <v>0</v>
      </c>
      <c r="P118" s="37">
        <v>11</v>
      </c>
      <c r="Q118" s="37">
        <v>6</v>
      </c>
      <c r="R118" s="37">
        <v>10</v>
      </c>
      <c r="S118" s="37">
        <v>14</v>
      </c>
      <c r="T118" s="37">
        <v>11</v>
      </c>
      <c r="U118" s="36">
        <f>COUNTIF(C118:T118,"&gt; 7")</f>
        <v>10</v>
      </c>
      <c r="V118" s="36">
        <f>SUM(C118:T118)</f>
        <v>155</v>
      </c>
      <c r="W118" s="36"/>
      <c r="X118" s="38" t="s">
        <v>847</v>
      </c>
    </row>
    <row r="119" spans="1:24" ht="12.75" x14ac:dyDescent="0.2">
      <c r="A119" s="36" t="s">
        <v>129</v>
      </c>
      <c r="B119" s="36" t="s">
        <v>75</v>
      </c>
      <c r="C119" s="37">
        <f ca="1">_xlfn.IFNA(VLOOKUP($A119,INDIRECT("'W"&amp;C$1&amp;"'!$A$2:$T$1000"),4,FALSE),0)</f>
        <v>3.8000000000000003</v>
      </c>
      <c r="D119" s="37">
        <f ca="1">_xlfn.IFNA(VLOOKUP($A119,INDIRECT("'W"&amp;D$1&amp;"'!$A$2:$T$1000"),4,FALSE),0)</f>
        <v>7.5</v>
      </c>
      <c r="E119" s="37">
        <f ca="1">_xlfn.IFNA(VLOOKUP($A119,INDIRECT("'W"&amp;E$1&amp;"'!$A$2:$T$1000"),4,FALSE),0)</f>
        <v>4.8999999999999995</v>
      </c>
      <c r="F119" s="37">
        <f ca="1">_xlfn.IFNA(VLOOKUP($A119,INDIRECT("'W"&amp;F$1&amp;"'!$A$2:$T$1000"),4,FALSE),0)</f>
        <v>8.8000000000000007</v>
      </c>
      <c r="G119" s="37">
        <f ca="1">_xlfn.IFNA(VLOOKUP($A119,INDIRECT("'W"&amp;G$1&amp;"'!$A$2:$T$1000"),4,FALSE),0)</f>
        <v>16.899999999999999</v>
      </c>
      <c r="H119" s="37">
        <f ca="1">_xlfn.IFNA(VLOOKUP($A119,INDIRECT("'W"&amp;H$1&amp;"'!$A$2:$T$1000"),4,FALSE),0)</f>
        <v>7.3000000000000007</v>
      </c>
      <c r="I119" s="37">
        <f ca="1">_xlfn.IFNA(VLOOKUP($A119,INDIRECT("'W"&amp;I$1&amp;"'!$A$2:$T$1000"),4,FALSE),0)</f>
        <v>0</v>
      </c>
      <c r="J119" s="37">
        <f ca="1">_xlfn.IFNA(VLOOKUP($A119,INDIRECT("'W"&amp;J$1&amp;"'!$A$2:$T$1000"),4,FALSE),0)</f>
        <v>6.6000000000000005</v>
      </c>
      <c r="K119" s="37">
        <f ca="1">_xlfn.IFNA(VLOOKUP($A119,INDIRECT("'W"&amp;K$1&amp;"'!$A$2:$T$1000"),4,FALSE),0)</f>
        <v>6.2</v>
      </c>
      <c r="L119" s="37">
        <f ca="1">_xlfn.IFNA(VLOOKUP($A119,INDIRECT("'W"&amp;L$1&amp;"'!$A$2:$T$1000"),4,FALSE),0)</f>
        <v>10</v>
      </c>
      <c r="M119" s="37">
        <f ca="1">_xlfn.IFNA(VLOOKUP($A119,INDIRECT("'W"&amp;M$1&amp;"'!$A$2:$T$1000"),4,FALSE),0)</f>
        <v>4.6000000000000005</v>
      </c>
      <c r="N119" s="37">
        <f ca="1">_xlfn.IFNA(VLOOKUP($A119,INDIRECT("'W"&amp;N$1&amp;"'!$A$2:$T$1000"),4,FALSE),0)</f>
        <v>1.7000000000000002</v>
      </c>
      <c r="O119" s="37">
        <f ca="1">_xlfn.IFNA(VLOOKUP($A119,INDIRECT("'W"&amp;O$1&amp;"'!$A$2:$T$1000"),4,FALSE),0)</f>
        <v>12.8</v>
      </c>
      <c r="P119" s="37">
        <f ca="1">_xlfn.IFNA(VLOOKUP($A119,INDIRECT("'W"&amp;P$1&amp;"'!$A$2:$T$1000"),4,FALSE),0)</f>
        <v>17.8</v>
      </c>
      <c r="Q119" s="37">
        <f ca="1">_xlfn.IFNA(VLOOKUP($A119,INDIRECT("'W"&amp;Q$1&amp;"'!$A$2:$T$1000"),4,FALSE),0)</f>
        <v>4.7</v>
      </c>
      <c r="R119" s="37">
        <f ca="1">_xlfn.IFNA(VLOOKUP($A119,INDIRECT("'W"&amp;R$1&amp;"'!$A$2:$T$1000"),4,FALSE),0)</f>
        <v>11.7</v>
      </c>
      <c r="S119" s="37">
        <f ca="1">_xlfn.IFNA(VLOOKUP($A119,INDIRECT("'W"&amp;S$1&amp;"'!$A$2:$T$1000"),4,FALSE),0)</f>
        <v>6.9</v>
      </c>
      <c r="T119" s="37">
        <f ca="1">_xlfn.IFNA(VLOOKUP($A119,INDIRECT("'W"&amp;T$1&amp;"'!$A$2:$T$1000"),4,FALSE),0)</f>
        <v>21.6</v>
      </c>
      <c r="U119" s="36">
        <f ca="1">COUNTIF(C119:T119,"&gt; 15")</f>
        <v>3</v>
      </c>
      <c r="V119" s="36">
        <f ca="1">SUM(C119:T119)</f>
        <v>153.79999999999998</v>
      </c>
      <c r="W119" s="36"/>
      <c r="X119" s="38"/>
    </row>
    <row r="120" spans="1:24" ht="12.75" x14ac:dyDescent="0.2">
      <c r="A120" s="36" t="s">
        <v>859</v>
      </c>
      <c r="B120" s="36" t="s">
        <v>849</v>
      </c>
      <c r="C120" s="37">
        <v>8</v>
      </c>
      <c r="D120" s="37">
        <v>5</v>
      </c>
      <c r="E120" s="37">
        <v>12</v>
      </c>
      <c r="F120" s="37">
        <v>11</v>
      </c>
      <c r="G120" s="37">
        <v>10</v>
      </c>
      <c r="H120" s="37">
        <v>18</v>
      </c>
      <c r="I120" s="37">
        <v>7</v>
      </c>
      <c r="J120" s="37">
        <v>11</v>
      </c>
      <c r="K120" s="37">
        <v>3</v>
      </c>
      <c r="L120" s="37">
        <v>0</v>
      </c>
      <c r="M120" s="37">
        <v>6</v>
      </c>
      <c r="N120" s="37">
        <v>7</v>
      </c>
      <c r="O120" s="37">
        <v>7</v>
      </c>
      <c r="P120" s="37">
        <v>5</v>
      </c>
      <c r="Q120" s="37">
        <v>10</v>
      </c>
      <c r="R120" s="37">
        <v>1</v>
      </c>
      <c r="S120" s="37">
        <v>24</v>
      </c>
      <c r="T120" s="37">
        <v>8</v>
      </c>
      <c r="U120" s="36">
        <f>COUNTIF(C120:T120,"&gt; 7")</f>
        <v>9</v>
      </c>
      <c r="V120" s="36">
        <f>SUM(C120:T120)</f>
        <v>153</v>
      </c>
      <c r="W120" s="36"/>
      <c r="X120" s="38">
        <v>84</v>
      </c>
    </row>
    <row r="121" spans="1:24" ht="12.75" x14ac:dyDescent="0.2">
      <c r="A121" s="36" t="s">
        <v>214</v>
      </c>
      <c r="B121" s="36" t="s">
        <v>162</v>
      </c>
      <c r="C121" s="37">
        <f ca="1">_xlfn.IFNA(VLOOKUP($A121,INDIRECT("'W"&amp;C$1&amp;"'!$A$2:$T$1000"),4,FALSE),0)</f>
        <v>7.8000000000000007</v>
      </c>
      <c r="D121" s="37">
        <f ca="1">_xlfn.IFNA(VLOOKUP($A121,INDIRECT("'W"&amp;D$1&amp;"'!$A$2:$T$1000"),4,FALSE),0)</f>
        <v>0</v>
      </c>
      <c r="E121" s="37">
        <f ca="1">_xlfn.IFNA(VLOOKUP($A121,INDIRECT("'W"&amp;E$1&amp;"'!$A$2:$T$1000"),4,FALSE),0)</f>
        <v>0</v>
      </c>
      <c r="F121" s="37">
        <f ca="1">_xlfn.IFNA(VLOOKUP($A121,INDIRECT("'W"&amp;F$1&amp;"'!$A$2:$T$1000"),4,FALSE),0)</f>
        <v>0</v>
      </c>
      <c r="G121" s="37">
        <f ca="1">_xlfn.IFNA(VLOOKUP($A121,INDIRECT("'W"&amp;G$1&amp;"'!$A$2:$T$1000"),4,FALSE),0)</f>
        <v>0</v>
      </c>
      <c r="H121" s="37">
        <f ca="1">_xlfn.IFNA(VLOOKUP($A121,INDIRECT("'W"&amp;H$1&amp;"'!$A$2:$T$1000"),4,FALSE),0)</f>
        <v>0</v>
      </c>
      <c r="I121" s="37">
        <f ca="1">_xlfn.IFNA(VLOOKUP($A121,INDIRECT("'W"&amp;I$1&amp;"'!$A$2:$T$1000"),4,FALSE),0)</f>
        <v>12.9</v>
      </c>
      <c r="J121" s="37">
        <f ca="1">_xlfn.IFNA(VLOOKUP($A121,INDIRECT("'W"&amp;J$1&amp;"'!$A$2:$T$1000"),4,FALSE),0)</f>
        <v>16.5</v>
      </c>
      <c r="K121" s="37">
        <f ca="1">_xlfn.IFNA(VLOOKUP($A121,INDIRECT("'W"&amp;K$1&amp;"'!$A$2:$T$1000"),4,FALSE),0)</f>
        <v>22</v>
      </c>
      <c r="L121" s="37">
        <f ca="1">_xlfn.IFNA(VLOOKUP($A121,INDIRECT("'W"&amp;L$1&amp;"'!$A$2:$T$1000"),4,FALSE),0)</f>
        <v>2.7</v>
      </c>
      <c r="M121" s="37">
        <f ca="1">_xlfn.IFNA(VLOOKUP($A121,INDIRECT("'W"&amp;M$1&amp;"'!$A$2:$T$1000"),4,FALSE),0)</f>
        <v>3.6</v>
      </c>
      <c r="N121" s="37">
        <f ca="1">_xlfn.IFNA(VLOOKUP($A121,INDIRECT("'W"&amp;N$1&amp;"'!$A$2:$T$1000"),4,FALSE),0)</f>
        <v>9</v>
      </c>
      <c r="O121" s="37">
        <f ca="1">_xlfn.IFNA(VLOOKUP($A121,INDIRECT("'W"&amp;O$1&amp;"'!$A$2:$T$1000"),4,FALSE),0)</f>
        <v>13.3</v>
      </c>
      <c r="P121" s="37">
        <f ca="1">_xlfn.IFNA(VLOOKUP($A121,INDIRECT("'W"&amp;P$1&amp;"'!$A$2:$T$1000"),4,FALSE),0)</f>
        <v>14.7</v>
      </c>
      <c r="Q121" s="37">
        <f ca="1">_xlfn.IFNA(VLOOKUP($A121,INDIRECT("'W"&amp;Q$1&amp;"'!$A$2:$T$1000"),4,FALSE),0)</f>
        <v>16.2</v>
      </c>
      <c r="R121" s="37">
        <f ca="1">_xlfn.IFNA(VLOOKUP($A121,INDIRECT("'W"&amp;R$1&amp;"'!$A$2:$T$1000"),4,FALSE),0)</f>
        <v>3.5</v>
      </c>
      <c r="S121" s="37">
        <f ca="1">_xlfn.IFNA(VLOOKUP($A121,INDIRECT("'W"&amp;S$1&amp;"'!$A$2:$T$1000"),4,FALSE),0)</f>
        <v>11.600000000000001</v>
      </c>
      <c r="T121" s="37">
        <f ca="1">_xlfn.IFNA(VLOOKUP($A121,INDIRECT("'W"&amp;T$1&amp;"'!$A$2:$T$1000"),4,FALSE),0)</f>
        <v>18.899999999999999</v>
      </c>
      <c r="U121" s="36">
        <f ca="1">COUNTIF(C121:T121,"&gt; 15")</f>
        <v>4</v>
      </c>
      <c r="V121" s="36">
        <f ca="1">SUM(C121:T121)</f>
        <v>152.70000000000002</v>
      </c>
      <c r="W121" s="36"/>
      <c r="X121" s="38">
        <v>68</v>
      </c>
    </row>
    <row r="122" spans="1:24" ht="12.75" x14ac:dyDescent="0.2">
      <c r="A122" s="36" t="s">
        <v>860</v>
      </c>
      <c r="B122" s="36" t="s">
        <v>849</v>
      </c>
      <c r="C122" s="37">
        <v>7</v>
      </c>
      <c r="D122" s="37">
        <v>5</v>
      </c>
      <c r="E122" s="37">
        <v>18</v>
      </c>
      <c r="F122" s="37">
        <v>5</v>
      </c>
      <c r="G122" s="37">
        <v>0</v>
      </c>
      <c r="H122" s="37">
        <v>9</v>
      </c>
      <c r="I122" s="37">
        <v>9</v>
      </c>
      <c r="J122" s="37">
        <v>6</v>
      </c>
      <c r="K122" s="37">
        <v>3</v>
      </c>
      <c r="L122" s="37">
        <v>21</v>
      </c>
      <c r="M122" s="37">
        <v>14</v>
      </c>
      <c r="N122" s="37">
        <v>8</v>
      </c>
      <c r="O122" s="37">
        <v>4</v>
      </c>
      <c r="P122" s="37">
        <v>5</v>
      </c>
      <c r="Q122" s="37">
        <v>9</v>
      </c>
      <c r="R122" s="37">
        <v>8</v>
      </c>
      <c r="S122" s="37">
        <v>13</v>
      </c>
      <c r="T122" s="37">
        <v>7</v>
      </c>
      <c r="U122" s="36">
        <f>COUNTIF(C122:T122,"&gt; 7")</f>
        <v>9</v>
      </c>
      <c r="V122" s="36">
        <f>SUM(C122:T122)</f>
        <v>151</v>
      </c>
      <c r="W122" s="36"/>
      <c r="X122" s="38">
        <v>85</v>
      </c>
    </row>
    <row r="123" spans="1:24" ht="12.75" x14ac:dyDescent="0.2">
      <c r="A123" s="36" t="s">
        <v>236</v>
      </c>
      <c r="B123" s="36" t="s">
        <v>162</v>
      </c>
      <c r="C123" s="37">
        <f ca="1">_xlfn.IFNA(VLOOKUP($A123,INDIRECT("'W"&amp;C$1&amp;"'!$A$2:$T$1000"),4,FALSE),0)</f>
        <v>4.5</v>
      </c>
      <c r="D123" s="37">
        <f ca="1">_xlfn.IFNA(VLOOKUP($A123,INDIRECT("'W"&amp;D$1&amp;"'!$A$2:$T$1000"),4,FALSE),0)</f>
        <v>9.1999999999999993</v>
      </c>
      <c r="E123" s="37">
        <f ca="1">_xlfn.IFNA(VLOOKUP($A123,INDIRECT("'W"&amp;E$1&amp;"'!$A$2:$T$1000"),4,FALSE),0)</f>
        <v>6.2</v>
      </c>
      <c r="F123" s="37">
        <f ca="1">_xlfn.IFNA(VLOOKUP($A123,INDIRECT("'W"&amp;F$1&amp;"'!$A$2:$T$1000"),4,FALSE),0)</f>
        <v>4.3000000000000007</v>
      </c>
      <c r="G123" s="37">
        <f ca="1">_xlfn.IFNA(VLOOKUP($A123,INDIRECT("'W"&amp;G$1&amp;"'!$A$2:$T$1000"),4,FALSE),0)</f>
        <v>5.5</v>
      </c>
      <c r="H123" s="37">
        <f ca="1">_xlfn.IFNA(VLOOKUP($A123,INDIRECT("'W"&amp;H$1&amp;"'!$A$2:$T$1000"),4,FALSE),0)</f>
        <v>10.9</v>
      </c>
      <c r="I123" s="37">
        <f ca="1">_xlfn.IFNA(VLOOKUP($A123,INDIRECT("'W"&amp;I$1&amp;"'!$A$2:$T$1000"),4,FALSE),0)</f>
        <v>3.2</v>
      </c>
      <c r="J123" s="37">
        <f ca="1">_xlfn.IFNA(VLOOKUP($A123,INDIRECT("'W"&amp;J$1&amp;"'!$A$2:$T$1000"),4,FALSE),0)</f>
        <v>0.9</v>
      </c>
      <c r="K123" s="37">
        <f ca="1">_xlfn.IFNA(VLOOKUP($A123,INDIRECT("'W"&amp;K$1&amp;"'!$A$2:$T$1000"),4,FALSE),0)</f>
        <v>9.9</v>
      </c>
      <c r="L123" s="37">
        <f ca="1">_xlfn.IFNA(VLOOKUP($A123,INDIRECT("'W"&amp;L$1&amp;"'!$A$2:$T$1000"),4,FALSE),0)</f>
        <v>5.0999999999999996</v>
      </c>
      <c r="M123" s="37">
        <f ca="1">_xlfn.IFNA(VLOOKUP($A123,INDIRECT("'W"&amp;M$1&amp;"'!$A$2:$T$1000"),4,FALSE),0)</f>
        <v>18.200000000000003</v>
      </c>
      <c r="N123" s="37">
        <f ca="1">_xlfn.IFNA(VLOOKUP($A123,INDIRECT("'W"&amp;N$1&amp;"'!$A$2:$T$1000"),4,FALSE),0)</f>
        <v>3.6</v>
      </c>
      <c r="O123" s="37">
        <f ca="1">_xlfn.IFNA(VLOOKUP($A123,INDIRECT("'W"&amp;O$1&amp;"'!$A$2:$T$1000"),4,FALSE),0)</f>
        <v>0</v>
      </c>
      <c r="P123" s="37">
        <f ca="1">_xlfn.IFNA(VLOOKUP($A123,INDIRECT("'W"&amp;P$1&amp;"'!$A$2:$T$1000"),4,FALSE),0)</f>
        <v>3.4000000000000004</v>
      </c>
      <c r="Q123" s="37">
        <f ca="1">_xlfn.IFNA(VLOOKUP($A123,INDIRECT("'W"&amp;Q$1&amp;"'!$A$2:$T$1000"),4,FALSE),0)</f>
        <v>10.3</v>
      </c>
      <c r="R123" s="37">
        <f ca="1">_xlfn.IFNA(VLOOKUP($A123,INDIRECT("'W"&amp;R$1&amp;"'!$A$2:$T$1000"),4,FALSE),0)</f>
        <v>18</v>
      </c>
      <c r="S123" s="37">
        <f ca="1">_xlfn.IFNA(VLOOKUP($A123,INDIRECT("'W"&amp;S$1&amp;"'!$A$2:$T$1000"),4,FALSE),0)</f>
        <v>20.6</v>
      </c>
      <c r="T123" s="37">
        <f ca="1">_xlfn.IFNA(VLOOKUP($A123,INDIRECT("'W"&amp;T$1&amp;"'!$A$2:$T$1000"),4,FALSE),0)</f>
        <v>17.2</v>
      </c>
      <c r="U123" s="36">
        <f ca="1">COUNTIF(C123:T123,"&gt; 15")</f>
        <v>4</v>
      </c>
      <c r="V123" s="36">
        <f ca="1">SUM(C123:T123)</f>
        <v>151</v>
      </c>
      <c r="W123" s="36"/>
      <c r="X123" s="38"/>
    </row>
    <row r="124" spans="1:24" ht="12.75" x14ac:dyDescent="0.2">
      <c r="A124" s="36" t="s">
        <v>313</v>
      </c>
      <c r="B124" s="36" t="s">
        <v>69</v>
      </c>
      <c r="C124" s="37">
        <f ca="1">_xlfn.IFNA(VLOOKUP($A124,INDIRECT("'W"&amp;C$1&amp;"'!$A$2:$T$1000"),4,FALSE),0)</f>
        <v>2.4</v>
      </c>
      <c r="D124" s="37">
        <f ca="1">_xlfn.IFNA(VLOOKUP($A124,INDIRECT("'W"&amp;D$1&amp;"'!$A$2:$T$1000"),4,FALSE),0)</f>
        <v>7.4</v>
      </c>
      <c r="E124" s="37">
        <f ca="1">_xlfn.IFNA(VLOOKUP($A124,INDIRECT("'W"&amp;E$1&amp;"'!$A$2:$T$1000"),4,FALSE),0)</f>
        <v>1.9</v>
      </c>
      <c r="F124" s="37">
        <f ca="1">_xlfn.IFNA(VLOOKUP($A124,INDIRECT("'W"&amp;F$1&amp;"'!$A$2:$T$1000"),4,FALSE),0)</f>
        <v>13.2</v>
      </c>
      <c r="G124" s="37">
        <f ca="1">_xlfn.IFNA(VLOOKUP($A124,INDIRECT("'W"&amp;G$1&amp;"'!$A$2:$T$1000"),4,FALSE),0)</f>
        <v>19.5</v>
      </c>
      <c r="H124" s="37">
        <f ca="1">_xlfn.IFNA(VLOOKUP($A124,INDIRECT("'W"&amp;H$1&amp;"'!$A$2:$T$1000"),4,FALSE),0)</f>
        <v>16.100000000000001</v>
      </c>
      <c r="I124" s="37">
        <f ca="1">_xlfn.IFNA(VLOOKUP($A124,INDIRECT("'W"&amp;I$1&amp;"'!$A$2:$T$1000"),4,FALSE),0)</f>
        <v>0</v>
      </c>
      <c r="J124" s="37">
        <f ca="1">_xlfn.IFNA(VLOOKUP($A124,INDIRECT("'W"&amp;J$1&amp;"'!$A$2:$T$1000"),4,FALSE),0)</f>
        <v>2.5</v>
      </c>
      <c r="K124" s="37">
        <f ca="1">_xlfn.IFNA(VLOOKUP($A124,INDIRECT("'W"&amp;K$1&amp;"'!$A$2:$T$1000"),4,FALSE),0)</f>
        <v>27</v>
      </c>
      <c r="L124" s="37">
        <f ca="1">_xlfn.IFNA(VLOOKUP($A124,INDIRECT("'W"&amp;L$1&amp;"'!$A$2:$T$1000"),4,FALSE),0)</f>
        <v>11.100000000000001</v>
      </c>
      <c r="M124" s="37">
        <f ca="1">_xlfn.IFNA(VLOOKUP($A124,INDIRECT("'W"&amp;M$1&amp;"'!$A$2:$T$1000"),4,FALSE),0)</f>
        <v>11.2</v>
      </c>
      <c r="N124" s="37">
        <f ca="1">_xlfn.IFNA(VLOOKUP($A124,INDIRECT("'W"&amp;N$1&amp;"'!$A$2:$T$1000"),4,FALSE),0)</f>
        <v>1.2</v>
      </c>
      <c r="O124" s="37">
        <f ca="1">_xlfn.IFNA(VLOOKUP($A124,INDIRECT("'W"&amp;O$1&amp;"'!$A$2:$T$1000"),4,FALSE),0)</f>
        <v>0</v>
      </c>
      <c r="P124" s="37">
        <f ca="1">_xlfn.IFNA(VLOOKUP($A124,INDIRECT("'W"&amp;P$1&amp;"'!$A$2:$T$1000"),4,FALSE),0)</f>
        <v>0</v>
      </c>
      <c r="Q124" s="37">
        <f ca="1">_xlfn.IFNA(VLOOKUP($A124,INDIRECT("'W"&amp;Q$1&amp;"'!$A$2:$T$1000"),4,FALSE),0)</f>
        <v>9.8000000000000007</v>
      </c>
      <c r="R124" s="37">
        <f ca="1">_xlfn.IFNA(VLOOKUP($A124,INDIRECT("'W"&amp;R$1&amp;"'!$A$2:$T$1000"),4,FALSE),0)</f>
        <v>14.100000000000001</v>
      </c>
      <c r="S124" s="37">
        <f ca="1">_xlfn.IFNA(VLOOKUP($A124,INDIRECT("'W"&amp;S$1&amp;"'!$A$2:$T$1000"),4,FALSE),0)</f>
        <v>3.9000000000000004</v>
      </c>
      <c r="T124" s="37">
        <f ca="1">_xlfn.IFNA(VLOOKUP($A124,INDIRECT("'W"&amp;T$1&amp;"'!$A$2:$T$1000"),4,FALSE),0)</f>
        <v>9.1999999999999993</v>
      </c>
      <c r="U124" s="36">
        <f ca="1">COUNTIF(C124:T124,"&gt; 15")</f>
        <v>3</v>
      </c>
      <c r="V124" s="36">
        <f ca="1">SUM(C124:T124)</f>
        <v>150.5</v>
      </c>
      <c r="W124" s="36">
        <v>1</v>
      </c>
      <c r="X124" s="38" t="s">
        <v>847</v>
      </c>
    </row>
    <row r="125" spans="1:24" ht="12.75" x14ac:dyDescent="0.2">
      <c r="A125" s="36" t="s">
        <v>291</v>
      </c>
      <c r="B125" s="36" t="s">
        <v>69</v>
      </c>
      <c r="C125" s="37">
        <f ca="1">_xlfn.IFNA(VLOOKUP($A125,INDIRECT("'W"&amp;C$1&amp;"'!$A$2:$T$1000"),4,FALSE),0)</f>
        <v>6.6</v>
      </c>
      <c r="D125" s="37">
        <f ca="1">_xlfn.IFNA(VLOOKUP($A125,INDIRECT("'W"&amp;D$1&amp;"'!$A$2:$T$1000"),4,FALSE),0)</f>
        <v>9.3000000000000007</v>
      </c>
      <c r="E125" s="37">
        <f ca="1">_xlfn.IFNA(VLOOKUP($A125,INDIRECT("'W"&amp;E$1&amp;"'!$A$2:$T$1000"),4,FALSE),0)</f>
        <v>2.2999999999999998</v>
      </c>
      <c r="F125" s="37">
        <f ca="1">_xlfn.IFNA(VLOOKUP($A125,INDIRECT("'W"&amp;F$1&amp;"'!$A$2:$T$1000"),4,FALSE),0)</f>
        <v>6.7</v>
      </c>
      <c r="G125" s="37">
        <f ca="1">_xlfn.IFNA(VLOOKUP($A125,INDIRECT("'W"&amp;G$1&amp;"'!$A$2:$T$1000"),4,FALSE),0)</f>
        <v>3.9000000000000004</v>
      </c>
      <c r="H125" s="37">
        <f ca="1">_xlfn.IFNA(VLOOKUP($A125,INDIRECT("'W"&amp;H$1&amp;"'!$A$2:$T$1000"),4,FALSE),0)</f>
        <v>0</v>
      </c>
      <c r="I125" s="37">
        <f ca="1">_xlfn.IFNA(VLOOKUP($A125,INDIRECT("'W"&amp;I$1&amp;"'!$A$2:$T$1000"),4,FALSE),0)</f>
        <v>15.5</v>
      </c>
      <c r="J125" s="37">
        <f ca="1">_xlfn.IFNA(VLOOKUP($A125,INDIRECT("'W"&amp;J$1&amp;"'!$A$2:$T$1000"),4,FALSE),0)</f>
        <v>17.5</v>
      </c>
      <c r="K125" s="37">
        <f ca="1">_xlfn.IFNA(VLOOKUP($A125,INDIRECT("'W"&amp;K$1&amp;"'!$A$2:$T$1000"),4,FALSE),0)</f>
        <v>16.100000000000001</v>
      </c>
      <c r="L125" s="37">
        <f ca="1">_xlfn.IFNA(VLOOKUP($A125,INDIRECT("'W"&amp;L$1&amp;"'!$A$2:$T$1000"),4,FALSE),0)</f>
        <v>16.100000000000001</v>
      </c>
      <c r="M125" s="37">
        <f ca="1">_xlfn.IFNA(VLOOKUP($A125,INDIRECT("'W"&amp;M$1&amp;"'!$A$2:$T$1000"),4,FALSE),0)</f>
        <v>10.600000000000001</v>
      </c>
      <c r="N125" s="37">
        <f ca="1">_xlfn.IFNA(VLOOKUP($A125,INDIRECT("'W"&amp;N$1&amp;"'!$A$2:$T$1000"),4,FALSE),0)</f>
        <v>8.8000000000000007</v>
      </c>
      <c r="O125" s="37">
        <f ca="1">_xlfn.IFNA(VLOOKUP($A125,INDIRECT("'W"&amp;O$1&amp;"'!$A$2:$T$1000"),4,FALSE),0)</f>
        <v>0</v>
      </c>
      <c r="P125" s="37">
        <f ca="1">_xlfn.IFNA(VLOOKUP($A125,INDIRECT("'W"&amp;P$1&amp;"'!$A$2:$T$1000"),4,FALSE),0)</f>
        <v>7.1</v>
      </c>
      <c r="Q125" s="37">
        <f ca="1">_xlfn.IFNA(VLOOKUP($A125,INDIRECT("'W"&amp;Q$1&amp;"'!$A$2:$T$1000"),4,FALSE),0)</f>
        <v>0</v>
      </c>
      <c r="R125" s="37">
        <f ca="1">_xlfn.IFNA(VLOOKUP($A125,INDIRECT("'W"&amp;R$1&amp;"'!$A$2:$T$1000"),4,FALSE),0)</f>
        <v>1.7000000000000002</v>
      </c>
      <c r="S125" s="37">
        <f ca="1">_xlfn.IFNA(VLOOKUP($A125,INDIRECT("'W"&amp;S$1&amp;"'!$A$2:$T$1000"),4,FALSE),0)</f>
        <v>12.700000000000001</v>
      </c>
      <c r="T125" s="37">
        <f ca="1">_xlfn.IFNA(VLOOKUP($A125,INDIRECT("'W"&amp;T$1&amp;"'!$A$2:$T$1000"),4,FALSE),0)</f>
        <v>15.4</v>
      </c>
      <c r="U125" s="36">
        <f ca="1">COUNTIF(C125:T125,"&gt; 15")</f>
        <v>5</v>
      </c>
      <c r="V125" s="36">
        <f ca="1">SUM(C125:T125)</f>
        <v>150.29999999999998</v>
      </c>
      <c r="W125" s="36"/>
      <c r="X125" s="38">
        <v>116</v>
      </c>
    </row>
    <row r="126" spans="1:24" ht="12.75" x14ac:dyDescent="0.2">
      <c r="A126" s="36" t="s">
        <v>263</v>
      </c>
      <c r="B126" s="36" t="s">
        <v>162</v>
      </c>
      <c r="C126" s="37">
        <f ca="1">_xlfn.IFNA(VLOOKUP($A126,INDIRECT("'W"&amp;C$1&amp;"'!$A$2:$T$1000"),4,FALSE),0)</f>
        <v>1.9</v>
      </c>
      <c r="D126" s="37">
        <f ca="1">_xlfn.IFNA(VLOOKUP($A126,INDIRECT("'W"&amp;D$1&amp;"'!$A$2:$T$1000"),4,FALSE),0)</f>
        <v>21.96</v>
      </c>
      <c r="E126" s="37">
        <f ca="1">_xlfn.IFNA(VLOOKUP($A126,INDIRECT("'W"&amp;E$1&amp;"'!$A$2:$T$1000"),4,FALSE),0)</f>
        <v>15.4</v>
      </c>
      <c r="F126" s="37">
        <f ca="1">_xlfn.IFNA(VLOOKUP($A126,INDIRECT("'W"&amp;F$1&amp;"'!$A$2:$T$1000"),4,FALSE),0)</f>
        <v>16.399999999999999</v>
      </c>
      <c r="G126" s="37">
        <f ca="1">_xlfn.IFNA(VLOOKUP($A126,INDIRECT("'W"&amp;G$1&amp;"'!$A$2:$T$1000"),4,FALSE),0)</f>
        <v>14.4</v>
      </c>
      <c r="H126" s="37">
        <f ca="1">_xlfn.IFNA(VLOOKUP($A126,INDIRECT("'W"&amp;H$1&amp;"'!$A$2:$T$1000"),4,FALSE),0)</f>
        <v>13.9</v>
      </c>
      <c r="I126" s="37">
        <f ca="1">_xlfn.IFNA(VLOOKUP($A126,INDIRECT("'W"&amp;I$1&amp;"'!$A$2:$T$1000"),4,FALSE),0)</f>
        <v>19</v>
      </c>
      <c r="J126" s="37">
        <f ca="1">_xlfn.IFNA(VLOOKUP($A126,INDIRECT("'W"&amp;J$1&amp;"'!$A$2:$T$1000"),4,FALSE),0)</f>
        <v>8.6000000000000014</v>
      </c>
      <c r="K126" s="37">
        <f ca="1">_xlfn.IFNA(VLOOKUP($A126,INDIRECT("'W"&amp;K$1&amp;"'!$A$2:$T$1000"),4,FALSE),0)</f>
        <v>0</v>
      </c>
      <c r="L126" s="37">
        <f ca="1">_xlfn.IFNA(VLOOKUP($A126,INDIRECT("'W"&amp;L$1&amp;"'!$A$2:$T$1000"),4,FALSE),0)</f>
        <v>14.399999999999999</v>
      </c>
      <c r="M126" s="37">
        <f ca="1">_xlfn.IFNA(VLOOKUP($A126,INDIRECT("'W"&amp;M$1&amp;"'!$A$2:$T$1000"),4,FALSE),0)</f>
        <v>7.8000000000000007</v>
      </c>
      <c r="N126" s="37">
        <f ca="1">_xlfn.IFNA(VLOOKUP($A126,INDIRECT("'W"&amp;N$1&amp;"'!$A$2:$T$1000"),4,FALSE),0)</f>
        <v>12.9</v>
      </c>
      <c r="O126" s="37">
        <f ca="1">_xlfn.IFNA(VLOOKUP($A126,INDIRECT("'W"&amp;O$1&amp;"'!$A$2:$T$1000"),4,FALSE),0)</f>
        <v>3.6</v>
      </c>
      <c r="P126" s="37">
        <f ca="1">_xlfn.IFNA(VLOOKUP($A126,INDIRECT("'W"&amp;P$1&amp;"'!$A$2:$T$1000"),4,FALSE),0)</f>
        <v>0</v>
      </c>
      <c r="Q126" s="37">
        <f ca="1">_xlfn.IFNA(VLOOKUP($A126,INDIRECT("'W"&amp;Q$1&amp;"'!$A$2:$T$1000"),4,FALSE),0)</f>
        <v>0</v>
      </c>
      <c r="R126" s="37">
        <f ca="1">_xlfn.IFNA(VLOOKUP($A126,INDIRECT("'W"&amp;R$1&amp;"'!$A$2:$T$1000"),4,FALSE),0)</f>
        <v>0</v>
      </c>
      <c r="S126" s="37">
        <f ca="1">_xlfn.IFNA(VLOOKUP($A126,INDIRECT("'W"&amp;S$1&amp;"'!$A$2:$T$1000"),4,FALSE),0)</f>
        <v>0</v>
      </c>
      <c r="T126" s="37">
        <f ca="1">_xlfn.IFNA(VLOOKUP($A126,INDIRECT("'W"&amp;T$1&amp;"'!$A$2:$T$1000"),4,FALSE),0)</f>
        <v>0</v>
      </c>
      <c r="U126" s="36">
        <f ca="1">COUNTIF(C126:T126,"&gt; 15")</f>
        <v>4</v>
      </c>
      <c r="V126" s="36">
        <f ca="1">SUM(C126:T126)</f>
        <v>150.26000000000002</v>
      </c>
      <c r="W126" s="36"/>
      <c r="X126" s="38">
        <v>92</v>
      </c>
    </row>
    <row r="127" spans="1:24" ht="12.75" x14ac:dyDescent="0.2">
      <c r="A127" s="36" t="s">
        <v>237</v>
      </c>
      <c r="B127" s="36" t="s">
        <v>162</v>
      </c>
      <c r="C127" s="37">
        <f ca="1">_xlfn.IFNA(VLOOKUP($A127,INDIRECT("'W"&amp;C$1&amp;"'!$A$2:$T$1000"),4,FALSE),0)</f>
        <v>4.3</v>
      </c>
      <c r="D127" s="37">
        <f ca="1">_xlfn.IFNA(VLOOKUP($A127,INDIRECT("'W"&amp;D$1&amp;"'!$A$2:$T$1000"),4,FALSE),0)</f>
        <v>8.4</v>
      </c>
      <c r="E127" s="37">
        <f ca="1">_xlfn.IFNA(VLOOKUP($A127,INDIRECT("'W"&amp;E$1&amp;"'!$A$2:$T$1000"),4,FALSE),0)</f>
        <v>2</v>
      </c>
      <c r="F127" s="37">
        <f ca="1">_xlfn.IFNA(VLOOKUP($A127,INDIRECT("'W"&amp;F$1&amp;"'!$A$2:$T$1000"),4,FALSE),0)</f>
        <v>3.5</v>
      </c>
      <c r="G127" s="37">
        <f ca="1">_xlfn.IFNA(VLOOKUP($A127,INDIRECT("'W"&amp;G$1&amp;"'!$A$2:$T$1000"),4,FALSE),0)</f>
        <v>0</v>
      </c>
      <c r="H127" s="37">
        <f ca="1">_xlfn.IFNA(VLOOKUP($A127,INDIRECT("'W"&amp;H$1&amp;"'!$A$2:$T$1000"),4,FALSE),0)</f>
        <v>8.8000000000000007</v>
      </c>
      <c r="I127" s="37">
        <f ca="1">_xlfn.IFNA(VLOOKUP($A127,INDIRECT("'W"&amp;I$1&amp;"'!$A$2:$T$1000"),4,FALSE),0)</f>
        <v>16.3</v>
      </c>
      <c r="J127" s="37">
        <f ca="1">_xlfn.IFNA(VLOOKUP($A127,INDIRECT("'W"&amp;J$1&amp;"'!$A$2:$T$1000"),4,FALSE),0)</f>
        <v>12.6</v>
      </c>
      <c r="K127" s="37">
        <f ca="1">_xlfn.IFNA(VLOOKUP($A127,INDIRECT("'W"&amp;K$1&amp;"'!$A$2:$T$1000"),4,FALSE),0)</f>
        <v>12.3</v>
      </c>
      <c r="L127" s="37">
        <f ca="1">_xlfn.IFNA(VLOOKUP($A127,INDIRECT("'W"&amp;L$1&amp;"'!$A$2:$T$1000"),4,FALSE),0)</f>
        <v>9.3000000000000007</v>
      </c>
      <c r="M127" s="37">
        <f ca="1">_xlfn.IFNA(VLOOKUP($A127,INDIRECT("'W"&amp;M$1&amp;"'!$A$2:$T$1000"),4,FALSE),0)</f>
        <v>7</v>
      </c>
      <c r="N127" s="37">
        <f ca="1">_xlfn.IFNA(VLOOKUP($A127,INDIRECT("'W"&amp;N$1&amp;"'!$A$2:$T$1000"),4,FALSE),0)</f>
        <v>6.1000000000000005</v>
      </c>
      <c r="O127" s="37">
        <f ca="1">_xlfn.IFNA(VLOOKUP($A127,INDIRECT("'W"&amp;O$1&amp;"'!$A$2:$T$1000"),4,FALSE),0)</f>
        <v>13.2</v>
      </c>
      <c r="P127" s="37">
        <f ca="1">_xlfn.IFNA(VLOOKUP($A127,INDIRECT("'W"&amp;P$1&amp;"'!$A$2:$T$1000"),4,FALSE),0)</f>
        <v>6.5</v>
      </c>
      <c r="Q127" s="37">
        <f ca="1">_xlfn.IFNA(VLOOKUP($A127,INDIRECT("'W"&amp;Q$1&amp;"'!$A$2:$T$1000"),4,FALSE),0)</f>
        <v>14.8</v>
      </c>
      <c r="R127" s="37">
        <f ca="1">_xlfn.IFNA(VLOOKUP($A127,INDIRECT("'W"&amp;R$1&amp;"'!$A$2:$T$1000"),4,FALSE),0)</f>
        <v>12.100000000000001</v>
      </c>
      <c r="S127" s="37">
        <f ca="1">_xlfn.IFNA(VLOOKUP($A127,INDIRECT("'W"&amp;S$1&amp;"'!$A$2:$T$1000"),4,FALSE),0)</f>
        <v>8.1999999999999993</v>
      </c>
      <c r="T127" s="37">
        <f ca="1">_xlfn.IFNA(VLOOKUP($A127,INDIRECT("'W"&amp;T$1&amp;"'!$A$2:$T$1000"),4,FALSE),0)</f>
        <v>4.4000000000000004</v>
      </c>
      <c r="U127" s="36">
        <f ca="1">COUNTIF(C127:T127,"&gt; 15")</f>
        <v>1</v>
      </c>
      <c r="V127" s="36">
        <f ca="1">SUM(C127:T127)</f>
        <v>149.79999999999998</v>
      </c>
      <c r="W127" s="36"/>
      <c r="X127" s="38"/>
    </row>
    <row r="128" spans="1:24" ht="12.75" x14ac:dyDescent="0.2">
      <c r="A128" s="36" t="s">
        <v>30</v>
      </c>
      <c r="B128" s="36" t="s">
        <v>17</v>
      </c>
      <c r="C128" s="37">
        <f ca="1">_xlfn.IFNA(VLOOKUP($A128,INDIRECT("'W"&amp;C$1&amp;"'!$A$2:$T$1000"),4,FALSE),0)</f>
        <v>16.459999999999997</v>
      </c>
      <c r="D128" s="37">
        <f ca="1">_xlfn.IFNA(VLOOKUP($A128,INDIRECT("'W"&amp;D$1&amp;"'!$A$2:$T$1000"),4,FALSE),0)</f>
        <v>28.560000000000002</v>
      </c>
      <c r="E128" s="37">
        <f ca="1">_xlfn.IFNA(VLOOKUP($A128,INDIRECT("'W"&amp;E$1&amp;"'!$A$2:$T$1000"),4,FALSE),0)</f>
        <v>25.68</v>
      </c>
      <c r="F128" s="37">
        <f ca="1">_xlfn.IFNA(VLOOKUP($A128,INDIRECT("'W"&amp;F$1&amp;"'!$A$2:$T$1000"),4,FALSE),0)</f>
        <v>9.56</v>
      </c>
      <c r="G128" s="37">
        <f ca="1">_xlfn.IFNA(VLOOKUP($A128,INDIRECT("'W"&amp;G$1&amp;"'!$A$2:$T$1000"),4,FALSE),0)</f>
        <v>19.86</v>
      </c>
      <c r="H128" s="37">
        <f ca="1">_xlfn.IFNA(VLOOKUP($A128,INDIRECT("'W"&amp;H$1&amp;"'!$A$2:$T$1000"),4,FALSE),0)</f>
        <v>8.74</v>
      </c>
      <c r="I128" s="37">
        <f ca="1">_xlfn.IFNA(VLOOKUP($A128,INDIRECT("'W"&amp;I$1&amp;"'!$A$2:$T$1000"),4,FALSE),0)</f>
        <v>21.02</v>
      </c>
      <c r="J128" s="37">
        <f ca="1">_xlfn.IFNA(VLOOKUP($A128,INDIRECT("'W"&amp;J$1&amp;"'!$A$2:$T$1000"),4,FALSE),0)</f>
        <v>19.86</v>
      </c>
      <c r="K128" s="37">
        <f ca="1">_xlfn.IFNA(VLOOKUP($A128,INDIRECT("'W"&amp;K$1&amp;"'!$A$2:$T$1000"),4,FALSE),0)</f>
        <v>0</v>
      </c>
      <c r="L128" s="37">
        <f ca="1">_xlfn.IFNA(VLOOKUP($A128,INDIRECT("'W"&amp;L$1&amp;"'!$A$2:$T$1000"),4,FALSE),0)</f>
        <v>0</v>
      </c>
      <c r="M128" s="37">
        <f ca="1">_xlfn.IFNA(VLOOKUP($A128,INDIRECT("'W"&amp;M$1&amp;"'!$A$2:$T$1000"),4,FALSE),0)</f>
        <v>0</v>
      </c>
      <c r="N128" s="37">
        <f ca="1">_xlfn.IFNA(VLOOKUP($A128,INDIRECT("'W"&amp;N$1&amp;"'!$A$2:$T$1000"),4,FALSE),0)</f>
        <v>0</v>
      </c>
      <c r="O128" s="37">
        <f ca="1">_xlfn.IFNA(VLOOKUP($A128,INDIRECT("'W"&amp;O$1&amp;"'!$A$2:$T$1000"),4,FALSE),0)</f>
        <v>0</v>
      </c>
      <c r="P128" s="37">
        <f ca="1">_xlfn.IFNA(VLOOKUP($A128,INDIRECT("'W"&amp;P$1&amp;"'!$A$2:$T$1000"),4,FALSE),0)</f>
        <v>0</v>
      </c>
      <c r="Q128" s="37">
        <f ca="1">_xlfn.IFNA(VLOOKUP($A128,INDIRECT("'W"&amp;Q$1&amp;"'!$A$2:$T$1000"),4,FALSE),0)</f>
        <v>0</v>
      </c>
      <c r="R128" s="37">
        <f ca="1">_xlfn.IFNA(VLOOKUP($A128,INDIRECT("'W"&amp;R$1&amp;"'!$A$2:$T$1000"),4,FALSE),0)</f>
        <v>0</v>
      </c>
      <c r="S128" s="37">
        <f ca="1">_xlfn.IFNA(VLOOKUP($A128,INDIRECT("'W"&amp;S$1&amp;"'!$A$2:$T$1000"),4,FALSE),0)</f>
        <v>0</v>
      </c>
      <c r="T128" s="37">
        <f ca="1">_xlfn.IFNA(VLOOKUP($A128,INDIRECT("'W"&amp;T$1&amp;"'!$A$2:$T$1000"),4,FALSE),0)</f>
        <v>0</v>
      </c>
      <c r="U128" s="36">
        <f ca="1">COUNTIF(C128:T128,"&gt; 15")</f>
        <v>6</v>
      </c>
      <c r="V128" s="36">
        <f ca="1">SUM(C128:T128)</f>
        <v>149.74</v>
      </c>
      <c r="W128" s="36"/>
      <c r="X128" s="38">
        <v>59</v>
      </c>
    </row>
    <row r="129" spans="1:24" ht="12.75" x14ac:dyDescent="0.2">
      <c r="A129" s="36" t="s">
        <v>172</v>
      </c>
      <c r="B129" s="36" t="s">
        <v>162</v>
      </c>
      <c r="C129" s="37">
        <f ca="1">_xlfn.IFNA(VLOOKUP($A129,INDIRECT("'W"&amp;C$1&amp;"'!$A$2:$T$1000"),4,FALSE),0)</f>
        <v>19</v>
      </c>
      <c r="D129" s="37">
        <f ca="1">_xlfn.IFNA(VLOOKUP($A129,INDIRECT("'W"&amp;D$1&amp;"'!$A$2:$T$1000"),4,FALSE),0)</f>
        <v>10.3</v>
      </c>
      <c r="E129" s="37">
        <f ca="1">_xlfn.IFNA(VLOOKUP($A129,INDIRECT("'W"&amp;E$1&amp;"'!$A$2:$T$1000"),4,FALSE),0)</f>
        <v>0</v>
      </c>
      <c r="F129" s="37">
        <f ca="1">_xlfn.IFNA(VLOOKUP($A129,INDIRECT("'W"&amp;F$1&amp;"'!$A$2:$T$1000"),4,FALSE),0)</f>
        <v>6.3000000000000007</v>
      </c>
      <c r="G129" s="37">
        <f ca="1">_xlfn.IFNA(VLOOKUP($A129,INDIRECT("'W"&amp;G$1&amp;"'!$A$2:$T$1000"),4,FALSE),0)</f>
        <v>4.8000000000000007</v>
      </c>
      <c r="H129" s="37">
        <f ca="1">_xlfn.IFNA(VLOOKUP($A129,INDIRECT("'W"&amp;H$1&amp;"'!$A$2:$T$1000"),4,FALSE),0)</f>
        <v>18.3</v>
      </c>
      <c r="I129" s="37">
        <f ca="1">_xlfn.IFNA(VLOOKUP($A129,INDIRECT("'W"&amp;I$1&amp;"'!$A$2:$T$1000"),4,FALSE),0)</f>
        <v>7.2000000000000011</v>
      </c>
      <c r="J129" s="37">
        <f ca="1">_xlfn.IFNA(VLOOKUP($A129,INDIRECT("'W"&amp;J$1&amp;"'!$A$2:$T$1000"),4,FALSE),0)</f>
        <v>24.3</v>
      </c>
      <c r="K129" s="37">
        <f ca="1">_xlfn.IFNA(VLOOKUP($A129,INDIRECT("'W"&amp;K$1&amp;"'!$A$2:$T$1000"),4,FALSE),0)</f>
        <v>5.2</v>
      </c>
      <c r="L129" s="37">
        <f ca="1">_xlfn.IFNA(VLOOKUP($A129,INDIRECT("'W"&amp;L$1&amp;"'!$A$2:$T$1000"),4,FALSE),0)</f>
        <v>7.4</v>
      </c>
      <c r="M129" s="37">
        <f ca="1">_xlfn.IFNA(VLOOKUP($A129,INDIRECT("'W"&amp;M$1&amp;"'!$A$2:$T$1000"),4,FALSE),0)</f>
        <v>0</v>
      </c>
      <c r="N129" s="37">
        <f ca="1">_xlfn.IFNA(VLOOKUP($A129,INDIRECT("'W"&amp;N$1&amp;"'!$A$2:$T$1000"),4,FALSE),0)</f>
        <v>2.9</v>
      </c>
      <c r="O129" s="37">
        <f ca="1">_xlfn.IFNA(VLOOKUP($A129,INDIRECT("'W"&amp;O$1&amp;"'!$A$2:$T$1000"),4,FALSE),0)</f>
        <v>0</v>
      </c>
      <c r="P129" s="37">
        <f ca="1">_xlfn.IFNA(VLOOKUP($A129,INDIRECT("'W"&amp;P$1&amp;"'!$A$2:$T$1000"),4,FALSE),0)</f>
        <v>0</v>
      </c>
      <c r="Q129" s="37">
        <f ca="1">_xlfn.IFNA(VLOOKUP($A129,INDIRECT("'W"&amp;Q$1&amp;"'!$A$2:$T$1000"),4,FALSE),0)</f>
        <v>6.6</v>
      </c>
      <c r="R129" s="37">
        <f ca="1">_xlfn.IFNA(VLOOKUP($A129,INDIRECT("'W"&amp;R$1&amp;"'!$A$2:$T$1000"),4,FALSE),0)</f>
        <v>18.399999999999999</v>
      </c>
      <c r="S129" s="37">
        <f ca="1">_xlfn.IFNA(VLOOKUP($A129,INDIRECT("'W"&amp;S$1&amp;"'!$A$2:$T$1000"),4,FALSE),0)</f>
        <v>3.4000000000000004</v>
      </c>
      <c r="T129" s="37">
        <f ca="1">_xlfn.IFNA(VLOOKUP($A129,INDIRECT("'W"&amp;T$1&amp;"'!$A$2:$T$1000"),4,FALSE),0)</f>
        <v>15.5</v>
      </c>
      <c r="U129" s="36">
        <f ca="1">COUNTIF(C129:T129,"&gt; 15")</f>
        <v>5</v>
      </c>
      <c r="V129" s="36">
        <f ca="1">SUM(C129:T129)</f>
        <v>149.60000000000002</v>
      </c>
      <c r="W129" s="36"/>
      <c r="X129" s="38"/>
    </row>
    <row r="130" spans="1:24" ht="12.75" x14ac:dyDescent="0.2">
      <c r="A130" s="36" t="s">
        <v>861</v>
      </c>
      <c r="B130" s="36" t="s">
        <v>849</v>
      </c>
      <c r="C130" s="37">
        <v>3</v>
      </c>
      <c r="D130" s="37">
        <v>8</v>
      </c>
      <c r="E130" s="37">
        <v>24</v>
      </c>
      <c r="F130" s="37">
        <v>0</v>
      </c>
      <c r="G130" s="37">
        <v>12</v>
      </c>
      <c r="H130" s="37">
        <v>10</v>
      </c>
      <c r="I130" s="37">
        <v>7</v>
      </c>
      <c r="J130" s="37">
        <v>10</v>
      </c>
      <c r="K130" s="37">
        <v>11</v>
      </c>
      <c r="L130" s="37">
        <v>5</v>
      </c>
      <c r="M130" s="37">
        <v>0</v>
      </c>
      <c r="N130" s="37">
        <v>9</v>
      </c>
      <c r="O130" s="37">
        <v>14</v>
      </c>
      <c r="P130" s="37">
        <v>-1</v>
      </c>
      <c r="Q130" s="37">
        <v>11</v>
      </c>
      <c r="R130" s="37">
        <v>4</v>
      </c>
      <c r="S130" s="37">
        <v>12</v>
      </c>
      <c r="T130" s="37">
        <v>10</v>
      </c>
      <c r="U130" s="36">
        <f>COUNTIF(C130:T130,"&gt; 7")</f>
        <v>11</v>
      </c>
      <c r="V130" s="36">
        <f>SUM(C130:T130)</f>
        <v>149</v>
      </c>
      <c r="W130" s="36"/>
      <c r="X130" s="38">
        <v>155</v>
      </c>
    </row>
    <row r="131" spans="1:24" ht="12.75" x14ac:dyDescent="0.2">
      <c r="A131" s="36" t="s">
        <v>862</v>
      </c>
      <c r="B131" s="36" t="s">
        <v>849</v>
      </c>
      <c r="C131" s="37">
        <v>12</v>
      </c>
      <c r="D131" s="37">
        <v>10</v>
      </c>
      <c r="E131" s="37">
        <v>3</v>
      </c>
      <c r="F131" s="37">
        <v>6</v>
      </c>
      <c r="G131" s="37">
        <v>0</v>
      </c>
      <c r="H131" s="37">
        <v>5</v>
      </c>
      <c r="I131" s="37">
        <v>7</v>
      </c>
      <c r="J131" s="37">
        <v>16</v>
      </c>
      <c r="K131" s="37">
        <v>11</v>
      </c>
      <c r="L131" s="37">
        <v>9</v>
      </c>
      <c r="M131" s="37">
        <v>8</v>
      </c>
      <c r="N131" s="37">
        <v>4</v>
      </c>
      <c r="O131" s="37">
        <v>6</v>
      </c>
      <c r="P131" s="37">
        <v>1</v>
      </c>
      <c r="Q131" s="37">
        <v>3</v>
      </c>
      <c r="R131" s="37">
        <v>21</v>
      </c>
      <c r="S131" s="37">
        <v>12</v>
      </c>
      <c r="T131" s="37">
        <v>15</v>
      </c>
      <c r="U131" s="36">
        <f>COUNTIF(C131:T131,"&gt; 7")</f>
        <v>9</v>
      </c>
      <c r="V131" s="36">
        <f>SUM(C131:T131)</f>
        <v>149</v>
      </c>
      <c r="W131" s="36"/>
      <c r="X131" s="38">
        <v>187</v>
      </c>
    </row>
    <row r="132" spans="1:24" ht="12.75" x14ac:dyDescent="0.2">
      <c r="A132" s="36" t="s">
        <v>62</v>
      </c>
      <c r="B132" s="36" t="s">
        <v>17</v>
      </c>
      <c r="C132" s="37">
        <f ca="1">_xlfn.IFNA(VLOOKUP($A132,INDIRECT("'W"&amp;C$1&amp;"'!$A$2:$T$1000"),4,FALSE),0)</f>
        <v>3.18</v>
      </c>
      <c r="D132" s="37">
        <f ca="1">_xlfn.IFNA(VLOOKUP($A132,INDIRECT("'W"&amp;D$1&amp;"'!$A$2:$T$1000"),4,FALSE),0)</f>
        <v>15.380000000000003</v>
      </c>
      <c r="E132" s="37">
        <f ca="1">_xlfn.IFNA(VLOOKUP($A132,INDIRECT("'W"&amp;E$1&amp;"'!$A$2:$T$1000"),4,FALSE),0)</f>
        <v>8.16</v>
      </c>
      <c r="F132" s="37">
        <f ca="1">_xlfn.IFNA(VLOOKUP($A132,INDIRECT("'W"&amp;F$1&amp;"'!$A$2:$T$1000"),4,FALSE),0)</f>
        <v>4.7</v>
      </c>
      <c r="G132" s="37">
        <f ca="1">_xlfn.IFNA(VLOOKUP($A132,INDIRECT("'W"&amp;G$1&amp;"'!$A$2:$T$1000"),4,FALSE),0)</f>
        <v>23.38</v>
      </c>
      <c r="H132" s="37">
        <f ca="1">_xlfn.IFNA(VLOOKUP($A132,INDIRECT("'W"&amp;H$1&amp;"'!$A$2:$T$1000"),4,FALSE),0)</f>
        <v>13.8</v>
      </c>
      <c r="I132" s="37">
        <f ca="1">_xlfn.IFNA(VLOOKUP($A132,INDIRECT("'W"&amp;I$1&amp;"'!$A$2:$T$1000"),4,FALSE),0)</f>
        <v>0</v>
      </c>
      <c r="J132" s="37">
        <f ca="1">_xlfn.IFNA(VLOOKUP($A132,INDIRECT("'W"&amp;J$1&amp;"'!$A$2:$T$1000"),4,FALSE),0)</f>
        <v>27.62</v>
      </c>
      <c r="K132" s="37">
        <f ca="1">_xlfn.IFNA(VLOOKUP($A132,INDIRECT("'W"&amp;K$1&amp;"'!$A$2:$T$1000"),4,FALSE),0)</f>
        <v>22.32</v>
      </c>
      <c r="L132" s="37">
        <f ca="1">_xlfn.IFNA(VLOOKUP($A132,INDIRECT("'W"&amp;L$1&amp;"'!$A$2:$T$1000"),4,FALSE),0)</f>
        <v>19.880000000000003</v>
      </c>
      <c r="M132" s="37">
        <f ca="1">_xlfn.IFNA(VLOOKUP($A132,INDIRECT("'W"&amp;M$1&amp;"'!$A$2:$T$1000"),4,FALSE),0)</f>
        <v>8.7399999999999984</v>
      </c>
      <c r="N132" s="37">
        <f ca="1">_xlfn.IFNA(VLOOKUP($A132,INDIRECT("'W"&amp;N$1&amp;"'!$A$2:$T$1000"),4,FALSE),0)</f>
        <v>0</v>
      </c>
      <c r="O132" s="37">
        <f ca="1">_xlfn.IFNA(VLOOKUP($A132,INDIRECT("'W"&amp;O$1&amp;"'!$A$2:$T$1000"),4,FALSE),0)</f>
        <v>0</v>
      </c>
      <c r="P132" s="37">
        <f ca="1">_xlfn.IFNA(VLOOKUP($A132,INDIRECT("'W"&amp;P$1&amp;"'!$A$2:$T$1000"),4,FALSE),0)</f>
        <v>0</v>
      </c>
      <c r="Q132" s="37">
        <f ca="1">_xlfn.IFNA(VLOOKUP($A132,INDIRECT("'W"&amp;Q$1&amp;"'!$A$2:$T$1000"),4,FALSE),0)</f>
        <v>0</v>
      </c>
      <c r="R132" s="37">
        <f ca="1">_xlfn.IFNA(VLOOKUP($A132,INDIRECT("'W"&amp;R$1&amp;"'!$A$2:$T$1000"),4,FALSE),0)</f>
        <v>0</v>
      </c>
      <c r="S132" s="37">
        <f ca="1">_xlfn.IFNA(VLOOKUP($A132,INDIRECT("'W"&amp;S$1&amp;"'!$A$2:$T$1000"),4,FALSE),0)</f>
        <v>0</v>
      </c>
      <c r="T132" s="37">
        <f ca="1">_xlfn.IFNA(VLOOKUP($A132,INDIRECT("'W"&amp;T$1&amp;"'!$A$2:$T$1000"),4,FALSE),0)</f>
        <v>0</v>
      </c>
      <c r="U132" s="36">
        <f ca="1">COUNTIF(C132:T132,"&gt; 15")</f>
        <v>5</v>
      </c>
      <c r="V132" s="36">
        <f ca="1">SUM(C132:T132)</f>
        <v>147.16</v>
      </c>
      <c r="W132" s="36"/>
      <c r="X132" s="38">
        <v>26</v>
      </c>
    </row>
    <row r="133" spans="1:24" ht="12.75" x14ac:dyDescent="0.2">
      <c r="A133" s="36" t="s">
        <v>642</v>
      </c>
      <c r="B133" s="36" t="s">
        <v>17</v>
      </c>
      <c r="C133" s="37">
        <f ca="1">_xlfn.IFNA(VLOOKUP($A133,INDIRECT("'W"&amp;C$1&amp;"'!$A$2:$T$1000"),4,FALSE),0)</f>
        <v>0</v>
      </c>
      <c r="D133" s="37">
        <f ca="1">_xlfn.IFNA(VLOOKUP($A133,INDIRECT("'W"&amp;D$1&amp;"'!$A$2:$T$1000"),4,FALSE),0)</f>
        <v>0</v>
      </c>
      <c r="E133" s="37">
        <f ca="1">_xlfn.IFNA(VLOOKUP($A133,INDIRECT("'W"&amp;E$1&amp;"'!$A$2:$T$1000"),4,FALSE),0)</f>
        <v>0</v>
      </c>
      <c r="F133" s="37">
        <f ca="1">_xlfn.IFNA(VLOOKUP($A133,INDIRECT("'W"&amp;F$1&amp;"'!$A$2:$T$1000"),4,FALSE),0)</f>
        <v>0</v>
      </c>
      <c r="G133" s="37">
        <f ca="1">_xlfn.IFNA(VLOOKUP($A133,INDIRECT("'W"&amp;G$1&amp;"'!$A$2:$T$1000"),4,FALSE),0)</f>
        <v>0</v>
      </c>
      <c r="H133" s="37">
        <f ca="1">_xlfn.IFNA(VLOOKUP($A133,INDIRECT("'W"&amp;H$1&amp;"'!$A$2:$T$1000"),4,FALSE),0)</f>
        <v>0</v>
      </c>
      <c r="I133" s="37">
        <f ca="1">_xlfn.IFNA(VLOOKUP($A133,INDIRECT("'W"&amp;I$1&amp;"'!$A$2:$T$1000"),4,FALSE),0)</f>
        <v>0</v>
      </c>
      <c r="J133" s="37">
        <f ca="1">_xlfn.IFNA(VLOOKUP($A133,INDIRECT("'W"&amp;J$1&amp;"'!$A$2:$T$1000"),4,FALSE),0)</f>
        <v>0</v>
      </c>
      <c r="K133" s="37">
        <f ca="1">_xlfn.IFNA(VLOOKUP($A133,INDIRECT("'W"&amp;K$1&amp;"'!$A$2:$T$1000"),4,FALSE),0)</f>
        <v>0</v>
      </c>
      <c r="L133" s="37">
        <f ca="1">_xlfn.IFNA(VLOOKUP($A133,INDIRECT("'W"&amp;L$1&amp;"'!$A$2:$T$1000"),4,FALSE),0)</f>
        <v>17.260000000000002</v>
      </c>
      <c r="M133" s="37">
        <f ca="1">_xlfn.IFNA(VLOOKUP($A133,INDIRECT("'W"&amp;M$1&amp;"'!$A$2:$T$1000"),4,FALSE),0)</f>
        <v>21.66</v>
      </c>
      <c r="N133" s="37">
        <f ca="1">_xlfn.IFNA(VLOOKUP($A133,INDIRECT("'W"&amp;N$1&amp;"'!$A$2:$T$1000"),4,FALSE),0)</f>
        <v>20.439999999999998</v>
      </c>
      <c r="O133" s="37">
        <f ca="1">_xlfn.IFNA(VLOOKUP($A133,INDIRECT("'W"&amp;O$1&amp;"'!$A$2:$T$1000"),4,FALSE),0)</f>
        <v>11.8</v>
      </c>
      <c r="P133" s="37">
        <f ca="1">_xlfn.IFNA(VLOOKUP($A133,INDIRECT("'W"&amp;P$1&amp;"'!$A$2:$T$1000"),4,FALSE),0)</f>
        <v>0</v>
      </c>
      <c r="Q133" s="37">
        <f ca="1">_xlfn.IFNA(VLOOKUP($A133,INDIRECT("'W"&amp;Q$1&amp;"'!$A$2:$T$1000"),4,FALSE),0)</f>
        <v>13.34</v>
      </c>
      <c r="R133" s="37">
        <f ca="1">_xlfn.IFNA(VLOOKUP($A133,INDIRECT("'W"&amp;R$1&amp;"'!$A$2:$T$1000"),4,FALSE),0)</f>
        <v>20.400000000000002</v>
      </c>
      <c r="S133" s="37">
        <f ca="1">_xlfn.IFNA(VLOOKUP($A133,INDIRECT("'W"&amp;S$1&amp;"'!$A$2:$T$1000"),4,FALSE),0)</f>
        <v>23.68</v>
      </c>
      <c r="T133" s="37">
        <f ca="1">_xlfn.IFNA(VLOOKUP($A133,INDIRECT("'W"&amp;T$1&amp;"'!$A$2:$T$1000"),4,FALSE),0)</f>
        <v>17.78</v>
      </c>
      <c r="U133" s="36">
        <f ca="1">COUNTIF(C133:T133,"&gt; 15")</f>
        <v>6</v>
      </c>
      <c r="V133" s="36">
        <f ca="1">SUM(C133:T133)</f>
        <v>146.36000000000001</v>
      </c>
      <c r="W133" s="36">
        <v>1</v>
      </c>
      <c r="X133" s="38" t="s">
        <v>847</v>
      </c>
    </row>
    <row r="134" spans="1:24" ht="12.75" x14ac:dyDescent="0.2">
      <c r="A134" s="36" t="s">
        <v>863</v>
      </c>
      <c r="B134" s="36" t="s">
        <v>849</v>
      </c>
      <c r="C134" s="37">
        <v>12</v>
      </c>
      <c r="D134" s="37">
        <v>8</v>
      </c>
      <c r="E134" s="37">
        <v>12</v>
      </c>
      <c r="F134" s="37">
        <v>5</v>
      </c>
      <c r="G134" s="37">
        <v>0</v>
      </c>
      <c r="H134" s="37">
        <v>16</v>
      </c>
      <c r="I134" s="37">
        <v>22</v>
      </c>
      <c r="J134" s="37">
        <v>8</v>
      </c>
      <c r="K134" s="37">
        <v>9</v>
      </c>
      <c r="L134" s="37">
        <v>14</v>
      </c>
      <c r="M134" s="37">
        <v>7</v>
      </c>
      <c r="N134" s="37">
        <v>6</v>
      </c>
      <c r="O134" s="37">
        <v>8</v>
      </c>
      <c r="P134" s="37">
        <v>9</v>
      </c>
      <c r="Q134" s="37">
        <v>8</v>
      </c>
      <c r="R134" s="37">
        <v>2</v>
      </c>
      <c r="S134" s="37">
        <v>0</v>
      </c>
      <c r="T134" s="37">
        <v>0</v>
      </c>
      <c r="U134" s="36">
        <f>COUNTIF(C134:T134,"&gt; 7")</f>
        <v>11</v>
      </c>
      <c r="V134" s="36">
        <f>SUM(C134:T134)</f>
        <v>146</v>
      </c>
      <c r="W134" s="36"/>
      <c r="X134" s="38"/>
    </row>
    <row r="135" spans="1:24" ht="12.75" x14ac:dyDescent="0.2">
      <c r="A135" s="36" t="s">
        <v>87</v>
      </c>
      <c r="B135" s="36" t="s">
        <v>75</v>
      </c>
      <c r="C135" s="37">
        <f ca="1">_xlfn.IFNA(VLOOKUP($A135,INDIRECT("'W"&amp;C$1&amp;"'!$A$2:$T$1000"),4,FALSE),0)</f>
        <v>14.9</v>
      </c>
      <c r="D135" s="37">
        <f ca="1">_xlfn.IFNA(VLOOKUP($A135,INDIRECT("'W"&amp;D$1&amp;"'!$A$2:$T$1000"),4,FALSE),0)</f>
        <v>15</v>
      </c>
      <c r="E135" s="37">
        <f ca="1">_xlfn.IFNA(VLOOKUP($A135,INDIRECT("'W"&amp;E$1&amp;"'!$A$2:$T$1000"),4,FALSE),0)</f>
        <v>7.2</v>
      </c>
      <c r="F135" s="37">
        <f ca="1">_xlfn.IFNA(VLOOKUP($A135,INDIRECT("'W"&amp;F$1&amp;"'!$A$2:$T$1000"),4,FALSE),0)</f>
        <v>6</v>
      </c>
      <c r="G135" s="37">
        <f ca="1">_xlfn.IFNA(VLOOKUP($A135,INDIRECT("'W"&amp;G$1&amp;"'!$A$2:$T$1000"),4,FALSE),0)</f>
        <v>2.4000000000000004</v>
      </c>
      <c r="H135" s="37">
        <f ca="1">_xlfn.IFNA(VLOOKUP($A135,INDIRECT("'W"&amp;H$1&amp;"'!$A$2:$T$1000"),4,FALSE),0)</f>
        <v>18</v>
      </c>
      <c r="I135" s="37">
        <f ca="1">_xlfn.IFNA(VLOOKUP($A135,INDIRECT("'W"&amp;I$1&amp;"'!$A$2:$T$1000"),4,FALSE),0)</f>
        <v>14.5</v>
      </c>
      <c r="J135" s="37">
        <f ca="1">_xlfn.IFNA(VLOOKUP($A135,INDIRECT("'W"&amp;J$1&amp;"'!$A$2:$T$1000"),4,FALSE),0)</f>
        <v>7</v>
      </c>
      <c r="K135" s="37">
        <f ca="1">_xlfn.IFNA(VLOOKUP($A135,INDIRECT("'W"&amp;K$1&amp;"'!$A$2:$T$1000"),4,FALSE),0)</f>
        <v>22.900000000000002</v>
      </c>
      <c r="L135" s="37">
        <f ca="1">_xlfn.IFNA(VLOOKUP($A135,INDIRECT("'W"&amp;L$1&amp;"'!$A$2:$T$1000"),4,FALSE),0)</f>
        <v>13.200000000000001</v>
      </c>
      <c r="M135" s="37">
        <f ca="1">_xlfn.IFNA(VLOOKUP($A135,INDIRECT("'W"&amp;M$1&amp;"'!$A$2:$T$1000"),4,FALSE),0)</f>
        <v>0</v>
      </c>
      <c r="N135" s="37">
        <f ca="1">_xlfn.IFNA(VLOOKUP($A135,INDIRECT("'W"&amp;N$1&amp;"'!$A$2:$T$1000"),4,FALSE),0)</f>
        <v>21.7</v>
      </c>
      <c r="O135" s="37">
        <f ca="1">_xlfn.IFNA(VLOOKUP($A135,INDIRECT("'W"&amp;O$1&amp;"'!$A$2:$T$1000"),4,FALSE),0)</f>
        <v>2.9000000000000004</v>
      </c>
      <c r="P135" s="37">
        <f ca="1">_xlfn.IFNA(VLOOKUP($A135,INDIRECT("'W"&amp;P$1&amp;"'!$A$2:$T$1000"),4,FALSE),0)</f>
        <v>0</v>
      </c>
      <c r="Q135" s="37">
        <f ca="1">_xlfn.IFNA(VLOOKUP($A135,INDIRECT("'W"&amp;Q$1&amp;"'!$A$2:$T$1000"),4,FALSE),0)</f>
        <v>0</v>
      </c>
      <c r="R135" s="37">
        <f ca="1">_xlfn.IFNA(VLOOKUP($A135,INDIRECT("'W"&amp;R$1&amp;"'!$A$2:$T$1000"),4,FALSE),0)</f>
        <v>0</v>
      </c>
      <c r="S135" s="37">
        <f ca="1">_xlfn.IFNA(VLOOKUP($A135,INDIRECT("'W"&amp;S$1&amp;"'!$A$2:$T$1000"),4,FALSE),0)</f>
        <v>0</v>
      </c>
      <c r="T135" s="37">
        <f ca="1">_xlfn.IFNA(VLOOKUP($A135,INDIRECT("'W"&amp;T$1&amp;"'!$A$2:$T$1000"),4,FALSE),0)</f>
        <v>0</v>
      </c>
      <c r="U135" s="36">
        <f ca="1">COUNTIF(C135:T135,"&gt; 15")</f>
        <v>3</v>
      </c>
      <c r="V135" s="36">
        <f ca="1">SUM(C135:T135)</f>
        <v>145.70000000000002</v>
      </c>
      <c r="W135" s="36"/>
      <c r="X135" s="38">
        <v>37</v>
      </c>
    </row>
    <row r="136" spans="1:24" ht="12.75" x14ac:dyDescent="0.2">
      <c r="A136" s="36" t="s">
        <v>238</v>
      </c>
      <c r="B136" s="36" t="s">
        <v>162</v>
      </c>
      <c r="C136" s="37">
        <f ca="1">_xlfn.IFNA(VLOOKUP($A136,INDIRECT("'W"&amp;C$1&amp;"'!$A$2:$T$1000"),4,FALSE),0)</f>
        <v>3</v>
      </c>
      <c r="D136" s="37">
        <f ca="1">_xlfn.IFNA(VLOOKUP($A136,INDIRECT("'W"&amp;D$1&amp;"'!$A$2:$T$1000"),4,FALSE),0)</f>
        <v>11.2</v>
      </c>
      <c r="E136" s="37">
        <f ca="1">_xlfn.IFNA(VLOOKUP($A136,INDIRECT("'W"&amp;E$1&amp;"'!$A$2:$T$1000"),4,FALSE),0)</f>
        <v>8.9</v>
      </c>
      <c r="F136" s="37">
        <f ca="1">_xlfn.IFNA(VLOOKUP($A136,INDIRECT("'W"&amp;F$1&amp;"'!$A$2:$T$1000"),4,FALSE),0)</f>
        <v>6.6</v>
      </c>
      <c r="G136" s="37">
        <f ca="1">_xlfn.IFNA(VLOOKUP($A136,INDIRECT("'W"&amp;G$1&amp;"'!$A$2:$T$1000"),4,FALSE),0)</f>
        <v>9.9</v>
      </c>
      <c r="H136" s="37">
        <f ca="1">_xlfn.IFNA(VLOOKUP($A136,INDIRECT("'W"&amp;H$1&amp;"'!$A$2:$T$1000"),4,FALSE),0)</f>
        <v>16.8</v>
      </c>
      <c r="I136" s="37">
        <f ca="1">_xlfn.IFNA(VLOOKUP($A136,INDIRECT("'W"&amp;I$1&amp;"'!$A$2:$T$1000"),4,FALSE),0)</f>
        <v>0</v>
      </c>
      <c r="J136" s="37">
        <f ca="1">_xlfn.IFNA(VLOOKUP($A136,INDIRECT("'W"&amp;J$1&amp;"'!$A$2:$T$1000"),4,FALSE),0)</f>
        <v>13.6</v>
      </c>
      <c r="K136" s="37">
        <f ca="1">_xlfn.IFNA(VLOOKUP($A136,INDIRECT("'W"&amp;K$1&amp;"'!$A$2:$T$1000"),4,FALSE),0)</f>
        <v>8.6000000000000014</v>
      </c>
      <c r="L136" s="37">
        <f ca="1">_xlfn.IFNA(VLOOKUP($A136,INDIRECT("'W"&amp;L$1&amp;"'!$A$2:$T$1000"),4,FALSE),0)</f>
        <v>19.700000000000003</v>
      </c>
      <c r="M136" s="37">
        <f ca="1">_xlfn.IFNA(VLOOKUP($A136,INDIRECT("'W"&amp;M$1&amp;"'!$A$2:$T$1000"),4,FALSE),0)</f>
        <v>5.2</v>
      </c>
      <c r="N136" s="37">
        <f ca="1">_xlfn.IFNA(VLOOKUP($A136,INDIRECT("'W"&amp;N$1&amp;"'!$A$2:$T$1000"),4,FALSE),0)</f>
        <v>5.3000000000000007</v>
      </c>
      <c r="O136" s="37">
        <f ca="1">_xlfn.IFNA(VLOOKUP($A136,INDIRECT("'W"&amp;O$1&amp;"'!$A$2:$T$1000"),4,FALSE),0)</f>
        <v>7.2</v>
      </c>
      <c r="P136" s="37">
        <f ca="1">_xlfn.IFNA(VLOOKUP($A136,INDIRECT("'W"&amp;P$1&amp;"'!$A$2:$T$1000"),4,FALSE),0)</f>
        <v>4.3000000000000007</v>
      </c>
      <c r="Q136" s="37">
        <f ca="1">_xlfn.IFNA(VLOOKUP($A136,INDIRECT("'W"&amp;Q$1&amp;"'!$A$2:$T$1000"),4,FALSE),0)</f>
        <v>7.3000000000000007</v>
      </c>
      <c r="R136" s="37">
        <f ca="1">_xlfn.IFNA(VLOOKUP($A136,INDIRECT("'W"&amp;R$1&amp;"'!$A$2:$T$1000"),4,FALSE),0)</f>
        <v>10.9</v>
      </c>
      <c r="S136" s="37">
        <f ca="1">_xlfn.IFNA(VLOOKUP($A136,INDIRECT("'W"&amp;S$1&amp;"'!$A$2:$T$1000"),4,FALSE),0)</f>
        <v>4.9000000000000004</v>
      </c>
      <c r="T136" s="37">
        <f ca="1">_xlfn.IFNA(VLOOKUP($A136,INDIRECT("'W"&amp;T$1&amp;"'!$A$2:$T$1000"),4,FALSE),0)</f>
        <v>1.4</v>
      </c>
      <c r="U136" s="36">
        <f ca="1">COUNTIF(C136:T136,"&gt; 15")</f>
        <v>2</v>
      </c>
      <c r="V136" s="36">
        <f ca="1">SUM(C136:T136)</f>
        <v>144.80000000000001</v>
      </c>
      <c r="W136" s="36"/>
      <c r="X136" s="38"/>
    </row>
    <row r="137" spans="1:24" ht="12.75" x14ac:dyDescent="0.2">
      <c r="A137" s="36" t="s">
        <v>65</v>
      </c>
      <c r="B137" s="36" t="s">
        <v>17</v>
      </c>
      <c r="C137" s="37">
        <f ca="1">_xlfn.IFNA(VLOOKUP($A137,INDIRECT("'W"&amp;C$1&amp;"'!$A$2:$T$1000"),4,FALSE),0)</f>
        <v>-0.1</v>
      </c>
      <c r="D137" s="37">
        <f ca="1">_xlfn.IFNA(VLOOKUP($A137,INDIRECT("'W"&amp;D$1&amp;"'!$A$2:$T$1000"),4,FALSE),0)</f>
        <v>0</v>
      </c>
      <c r="E137" s="37">
        <f ca="1">_xlfn.IFNA(VLOOKUP($A137,INDIRECT("'W"&amp;E$1&amp;"'!$A$2:$T$1000"),4,FALSE),0)</f>
        <v>0</v>
      </c>
      <c r="F137" s="37">
        <f ca="1">_xlfn.IFNA(VLOOKUP($A137,INDIRECT("'W"&amp;F$1&amp;"'!$A$2:$T$1000"),4,FALSE),0)</f>
        <v>0</v>
      </c>
      <c r="G137" s="37">
        <f ca="1">_xlfn.IFNA(VLOOKUP($A137,INDIRECT("'W"&amp;G$1&amp;"'!$A$2:$T$1000"),4,FALSE),0)</f>
        <v>0</v>
      </c>
      <c r="H137" s="37">
        <f ca="1">_xlfn.IFNA(VLOOKUP($A137,INDIRECT("'W"&amp;H$1&amp;"'!$A$2:$T$1000"),4,FALSE),0)</f>
        <v>0</v>
      </c>
      <c r="I137" s="37">
        <f ca="1">_xlfn.IFNA(VLOOKUP($A137,INDIRECT("'W"&amp;I$1&amp;"'!$A$2:$T$1000"),4,FALSE),0)</f>
        <v>0</v>
      </c>
      <c r="J137" s="37">
        <f ca="1">_xlfn.IFNA(VLOOKUP($A137,INDIRECT("'W"&amp;J$1&amp;"'!$A$2:$T$1000"),4,FALSE),0)</f>
        <v>0</v>
      </c>
      <c r="K137" s="37">
        <f ca="1">_xlfn.IFNA(VLOOKUP($A137,INDIRECT("'W"&amp;K$1&amp;"'!$A$2:$T$1000"),4,FALSE),0)</f>
        <v>0</v>
      </c>
      <c r="L137" s="37">
        <f ca="1">_xlfn.IFNA(VLOOKUP($A137,INDIRECT("'W"&amp;L$1&amp;"'!$A$2:$T$1000"),4,FALSE),0)</f>
        <v>0</v>
      </c>
      <c r="M137" s="37">
        <f ca="1">_xlfn.IFNA(VLOOKUP($A137,INDIRECT("'W"&amp;M$1&amp;"'!$A$2:$T$1000"),4,FALSE),0)</f>
        <v>10.72</v>
      </c>
      <c r="N137" s="37">
        <f ca="1">_xlfn.IFNA(VLOOKUP($A137,INDIRECT("'W"&amp;N$1&amp;"'!$A$2:$T$1000"),4,FALSE),0)</f>
        <v>11.98</v>
      </c>
      <c r="O137" s="37">
        <f ca="1">_xlfn.IFNA(VLOOKUP($A137,INDIRECT("'W"&amp;O$1&amp;"'!$A$2:$T$1000"),4,FALSE),0)</f>
        <v>26.66</v>
      </c>
      <c r="P137" s="37">
        <f ca="1">_xlfn.IFNA(VLOOKUP($A137,INDIRECT("'W"&amp;P$1&amp;"'!$A$2:$T$1000"),4,FALSE),0)</f>
        <v>23.7</v>
      </c>
      <c r="Q137" s="37">
        <f ca="1">_xlfn.IFNA(VLOOKUP($A137,INDIRECT("'W"&amp;Q$1&amp;"'!$A$2:$T$1000"),4,FALSE),0)</f>
        <v>18.96</v>
      </c>
      <c r="R137" s="37">
        <f ca="1">_xlfn.IFNA(VLOOKUP($A137,INDIRECT("'W"&amp;R$1&amp;"'!$A$2:$T$1000"),4,FALSE),0)</f>
        <v>13.399999999999999</v>
      </c>
      <c r="S137" s="37">
        <f ca="1">_xlfn.IFNA(VLOOKUP($A137,INDIRECT("'W"&amp;S$1&amp;"'!$A$2:$T$1000"),4,FALSE),0)</f>
        <v>21.08</v>
      </c>
      <c r="T137" s="37">
        <f ca="1">_xlfn.IFNA(VLOOKUP($A137,INDIRECT("'W"&amp;T$1&amp;"'!$A$2:$T$1000"),4,FALSE),0)</f>
        <v>18.040000000000003</v>
      </c>
      <c r="U137" s="36">
        <f ca="1">COUNTIF(C137:T137,"&gt; 15")</f>
        <v>5</v>
      </c>
      <c r="V137" s="36">
        <f ca="1">SUM(C137:T137)</f>
        <v>144.44000000000003</v>
      </c>
      <c r="W137" s="36"/>
      <c r="X137" s="38"/>
    </row>
    <row r="138" spans="1:24" ht="12.75" x14ac:dyDescent="0.2">
      <c r="A138" s="36" t="s">
        <v>68</v>
      </c>
      <c r="B138" s="36" t="s">
        <v>69</v>
      </c>
      <c r="C138" s="37">
        <f ca="1">_xlfn.IFNA(VLOOKUP($A138,INDIRECT("'W"&amp;C$1&amp;"'!$A$2:$T$1000"),4,FALSE),0)</f>
        <v>0.4</v>
      </c>
      <c r="D138" s="37">
        <f ca="1">_xlfn.IFNA(VLOOKUP($A138,INDIRECT("'W"&amp;D$1&amp;"'!$A$2:$T$1000"),4,FALSE),0)</f>
        <v>8.7200000000000006</v>
      </c>
      <c r="E138" s="37">
        <f ca="1">_xlfn.IFNA(VLOOKUP($A138,INDIRECT("'W"&amp;E$1&amp;"'!$A$2:$T$1000"),4,FALSE),0)</f>
        <v>3.1</v>
      </c>
      <c r="F138" s="37">
        <f ca="1">_xlfn.IFNA(VLOOKUP($A138,INDIRECT("'W"&amp;F$1&amp;"'!$A$2:$T$1000"),4,FALSE),0)</f>
        <v>3.22</v>
      </c>
      <c r="G138" s="37">
        <f ca="1">_xlfn.IFNA(VLOOKUP($A138,INDIRECT("'W"&amp;G$1&amp;"'!$A$2:$T$1000"),4,FALSE),0)</f>
        <v>3.0000000000000004</v>
      </c>
      <c r="H138" s="37">
        <f ca="1">_xlfn.IFNA(VLOOKUP($A138,INDIRECT("'W"&amp;H$1&amp;"'!$A$2:$T$1000"),4,FALSE),0)</f>
        <v>12.260000000000002</v>
      </c>
      <c r="I138" s="37">
        <f ca="1">_xlfn.IFNA(VLOOKUP($A138,INDIRECT("'W"&amp;I$1&amp;"'!$A$2:$T$1000"),4,FALSE),0)</f>
        <v>16.8</v>
      </c>
      <c r="J138" s="37">
        <f ca="1">_xlfn.IFNA(VLOOKUP($A138,INDIRECT("'W"&amp;J$1&amp;"'!$A$2:$T$1000"),4,FALSE),0)</f>
        <v>22.46</v>
      </c>
      <c r="K138" s="37">
        <f ca="1">_xlfn.IFNA(VLOOKUP($A138,INDIRECT("'W"&amp;K$1&amp;"'!$A$2:$T$1000"),4,FALSE),0)</f>
        <v>20.62</v>
      </c>
      <c r="L138" s="37">
        <f ca="1">_xlfn.IFNA(VLOOKUP($A138,INDIRECT("'W"&amp;L$1&amp;"'!$A$2:$T$1000"),4,FALSE),0)</f>
        <v>4.3000000000000007</v>
      </c>
      <c r="M138" s="37">
        <f ca="1">_xlfn.IFNA(VLOOKUP($A138,INDIRECT("'W"&amp;M$1&amp;"'!$A$2:$T$1000"),4,FALSE),0)</f>
        <v>0</v>
      </c>
      <c r="N138" s="37">
        <f ca="1">_xlfn.IFNA(VLOOKUP($A138,INDIRECT("'W"&amp;N$1&amp;"'!$A$2:$T$1000"),4,FALSE),0)</f>
        <v>8.1</v>
      </c>
      <c r="O138" s="37">
        <f ca="1">_xlfn.IFNA(VLOOKUP($A138,INDIRECT("'W"&amp;O$1&amp;"'!$A$2:$T$1000"),4,FALSE),0)</f>
        <v>15.4</v>
      </c>
      <c r="P138" s="37">
        <f ca="1">_xlfn.IFNA(VLOOKUP($A138,INDIRECT("'W"&amp;P$1&amp;"'!$A$2:$T$1000"),4,FALSE),0)</f>
        <v>0</v>
      </c>
      <c r="Q138" s="37">
        <f ca="1">_xlfn.IFNA(VLOOKUP($A138,INDIRECT("'W"&amp;Q$1&amp;"'!$A$2:$T$1000"),4,FALSE),0)</f>
        <v>1.5</v>
      </c>
      <c r="R138" s="37">
        <f ca="1">_xlfn.IFNA(VLOOKUP($A138,INDIRECT("'W"&amp;R$1&amp;"'!$A$2:$T$1000"),4,FALSE),0)</f>
        <v>0.2</v>
      </c>
      <c r="S138" s="37">
        <f ca="1">_xlfn.IFNA(VLOOKUP($A138,INDIRECT("'W"&amp;S$1&amp;"'!$A$2:$T$1000"),4,FALSE),0)</f>
        <v>11.54</v>
      </c>
      <c r="T138" s="37">
        <f ca="1">_xlfn.IFNA(VLOOKUP($A138,INDIRECT("'W"&amp;T$1&amp;"'!$A$2:$T$1000"),4,FALSE),0)</f>
        <v>11.900000000000002</v>
      </c>
      <c r="U138" s="36">
        <f ca="1">COUNTIF(C138:T138,"&gt; 15")</f>
        <v>4</v>
      </c>
      <c r="V138" s="36">
        <f ca="1">SUM(C138:T138)</f>
        <v>143.52000000000001</v>
      </c>
      <c r="W138" s="36"/>
      <c r="X138" s="38">
        <v>42</v>
      </c>
    </row>
    <row r="139" spans="1:24" ht="12.75" x14ac:dyDescent="0.2">
      <c r="A139" s="36" t="s">
        <v>864</v>
      </c>
      <c r="B139" s="36" t="s">
        <v>849</v>
      </c>
      <c r="C139" s="37">
        <v>12</v>
      </c>
      <c r="D139" s="37">
        <v>8</v>
      </c>
      <c r="E139" s="37">
        <v>4</v>
      </c>
      <c r="F139" s="37">
        <v>10</v>
      </c>
      <c r="G139" s="37">
        <v>14</v>
      </c>
      <c r="H139" s="37">
        <v>7</v>
      </c>
      <c r="I139" s="37">
        <v>10</v>
      </c>
      <c r="J139" s="37">
        <v>8</v>
      </c>
      <c r="K139" s="37">
        <v>7</v>
      </c>
      <c r="L139" s="37">
        <v>4</v>
      </c>
      <c r="M139" s="37">
        <v>0</v>
      </c>
      <c r="N139" s="37">
        <v>18</v>
      </c>
      <c r="O139" s="37">
        <v>4</v>
      </c>
      <c r="P139" s="37">
        <v>3</v>
      </c>
      <c r="Q139" s="37">
        <v>8</v>
      </c>
      <c r="R139" s="37">
        <v>2</v>
      </c>
      <c r="S139" s="37">
        <v>12</v>
      </c>
      <c r="T139" s="37">
        <v>12</v>
      </c>
      <c r="U139" s="36">
        <f>COUNTIF(C139:T139,"&gt; 7")</f>
        <v>10</v>
      </c>
      <c r="V139" s="36">
        <f>SUM(C139:T139)</f>
        <v>143</v>
      </c>
      <c r="W139" s="36"/>
      <c r="X139" s="38"/>
    </row>
    <row r="140" spans="1:24" ht="12.75" x14ac:dyDescent="0.2">
      <c r="A140" s="36" t="s">
        <v>865</v>
      </c>
      <c r="B140" s="36" t="s">
        <v>849</v>
      </c>
      <c r="C140" s="37">
        <v>14</v>
      </c>
      <c r="D140" s="37">
        <v>4</v>
      </c>
      <c r="E140" s="37">
        <v>10</v>
      </c>
      <c r="F140" s="37">
        <v>2</v>
      </c>
      <c r="G140" s="37">
        <v>8</v>
      </c>
      <c r="H140" s="37">
        <v>6</v>
      </c>
      <c r="I140" s="37">
        <v>6</v>
      </c>
      <c r="J140" s="37">
        <v>7</v>
      </c>
      <c r="K140" s="37">
        <v>2</v>
      </c>
      <c r="L140" s="37">
        <v>0</v>
      </c>
      <c r="M140" s="37">
        <v>10</v>
      </c>
      <c r="N140" s="37">
        <v>12</v>
      </c>
      <c r="O140" s="37">
        <v>10</v>
      </c>
      <c r="P140" s="37">
        <v>8</v>
      </c>
      <c r="Q140" s="37">
        <v>12</v>
      </c>
      <c r="R140" s="37">
        <v>22</v>
      </c>
      <c r="S140" s="37">
        <v>7</v>
      </c>
      <c r="T140" s="37">
        <v>2</v>
      </c>
      <c r="U140" s="36">
        <f>COUNTIF(C140:T140,"&gt; 7")</f>
        <v>9</v>
      </c>
      <c r="V140" s="36">
        <f>SUM(C140:T140)</f>
        <v>142</v>
      </c>
      <c r="W140" s="36"/>
      <c r="X140" s="38"/>
    </row>
    <row r="141" spans="1:24" ht="12.75" x14ac:dyDescent="0.2">
      <c r="A141" s="36" t="s">
        <v>360</v>
      </c>
      <c r="B141" s="36" t="s">
        <v>162</v>
      </c>
      <c r="C141" s="37">
        <f ca="1">_xlfn.IFNA(VLOOKUP($A141,INDIRECT("'W"&amp;C$1&amp;"'!$A$2:$T$1000"),4,FALSE),0)</f>
        <v>0</v>
      </c>
      <c r="D141" s="37">
        <f ca="1">_xlfn.IFNA(VLOOKUP($A141,INDIRECT("'W"&amp;D$1&amp;"'!$A$2:$T$1000"),4,FALSE),0)</f>
        <v>5.5</v>
      </c>
      <c r="E141" s="37">
        <f ca="1">_xlfn.IFNA(VLOOKUP($A141,INDIRECT("'W"&amp;E$1&amp;"'!$A$2:$T$1000"),4,FALSE),0)</f>
        <v>13.1</v>
      </c>
      <c r="F141" s="37">
        <f ca="1">_xlfn.IFNA(VLOOKUP($A141,INDIRECT("'W"&amp;F$1&amp;"'!$A$2:$T$1000"),4,FALSE),0)</f>
        <v>8.1999999999999993</v>
      </c>
      <c r="G141" s="37">
        <f ca="1">_xlfn.IFNA(VLOOKUP($A141,INDIRECT("'W"&amp;G$1&amp;"'!$A$2:$T$1000"),4,FALSE),0)</f>
        <v>11</v>
      </c>
      <c r="H141" s="37">
        <f ca="1">_xlfn.IFNA(VLOOKUP($A141,INDIRECT("'W"&amp;H$1&amp;"'!$A$2:$T$1000"),4,FALSE),0)</f>
        <v>4.4000000000000004</v>
      </c>
      <c r="I141" s="37">
        <f ca="1">_xlfn.IFNA(VLOOKUP($A141,INDIRECT("'W"&amp;I$1&amp;"'!$A$2:$T$1000"),4,FALSE),0)</f>
        <v>11.4</v>
      </c>
      <c r="J141" s="37">
        <f ca="1">_xlfn.IFNA(VLOOKUP($A141,INDIRECT("'W"&amp;J$1&amp;"'!$A$2:$T$1000"),4,FALSE),0)</f>
        <v>13</v>
      </c>
      <c r="K141" s="37">
        <f ca="1">_xlfn.IFNA(VLOOKUP($A141,INDIRECT("'W"&amp;K$1&amp;"'!$A$2:$T$1000"),4,FALSE),0)</f>
        <v>0</v>
      </c>
      <c r="L141" s="37">
        <f ca="1">_xlfn.IFNA(VLOOKUP($A141,INDIRECT("'W"&amp;L$1&amp;"'!$A$2:$T$1000"),4,FALSE),0)</f>
        <v>6.5</v>
      </c>
      <c r="M141" s="37">
        <f ca="1">_xlfn.IFNA(VLOOKUP($A141,INDIRECT("'W"&amp;M$1&amp;"'!$A$2:$T$1000"),4,FALSE),0)</f>
        <v>10.8</v>
      </c>
      <c r="N141" s="37">
        <f ca="1">_xlfn.IFNA(VLOOKUP($A141,INDIRECT("'W"&amp;N$1&amp;"'!$A$2:$T$1000"),4,FALSE),0)</f>
        <v>3.1</v>
      </c>
      <c r="O141" s="37">
        <f ca="1">_xlfn.IFNA(VLOOKUP($A141,INDIRECT("'W"&amp;O$1&amp;"'!$A$2:$T$1000"),4,FALSE),0)</f>
        <v>8.1000000000000014</v>
      </c>
      <c r="P141" s="37">
        <f ca="1">_xlfn.IFNA(VLOOKUP($A141,INDIRECT("'W"&amp;P$1&amp;"'!$A$2:$T$1000"),4,FALSE),0)</f>
        <v>3.6</v>
      </c>
      <c r="Q141" s="37">
        <f ca="1">_xlfn.IFNA(VLOOKUP($A141,INDIRECT("'W"&amp;Q$1&amp;"'!$A$2:$T$1000"),4,FALSE),0)</f>
        <v>10.4</v>
      </c>
      <c r="R141" s="37">
        <f ca="1">_xlfn.IFNA(VLOOKUP($A141,INDIRECT("'W"&amp;R$1&amp;"'!$A$2:$T$1000"),4,FALSE),0)</f>
        <v>7.4</v>
      </c>
      <c r="S141" s="37">
        <f ca="1">_xlfn.IFNA(VLOOKUP($A141,INDIRECT("'W"&amp;S$1&amp;"'!$A$2:$T$1000"),4,FALSE),0)</f>
        <v>8.4</v>
      </c>
      <c r="T141" s="37">
        <f ca="1">_xlfn.IFNA(VLOOKUP($A141,INDIRECT("'W"&amp;T$1&amp;"'!$A$2:$T$1000"),4,FALSE),0)</f>
        <v>16.899999999999999</v>
      </c>
      <c r="U141" s="36">
        <f ca="1">COUNTIF(C141:T141,"&gt; 15")</f>
        <v>1</v>
      </c>
      <c r="V141" s="36">
        <f ca="1">SUM(C141:T141)</f>
        <v>141.80000000000001</v>
      </c>
      <c r="W141" s="36"/>
      <c r="X141" s="38">
        <v>90</v>
      </c>
    </row>
    <row r="142" spans="1:24" ht="12.75" x14ac:dyDescent="0.2">
      <c r="A142" s="36" t="s">
        <v>866</v>
      </c>
      <c r="B142" s="36" t="s">
        <v>851</v>
      </c>
      <c r="C142" s="37">
        <v>3</v>
      </c>
      <c r="D142" s="37">
        <v>11</v>
      </c>
      <c r="E142" s="37">
        <v>12</v>
      </c>
      <c r="F142" s="37">
        <v>4</v>
      </c>
      <c r="G142" s="37">
        <v>5</v>
      </c>
      <c r="H142" s="37">
        <v>16</v>
      </c>
      <c r="I142" s="37">
        <v>9</v>
      </c>
      <c r="J142" s="37">
        <v>12</v>
      </c>
      <c r="K142" s="37">
        <v>14</v>
      </c>
      <c r="L142" s="37">
        <v>0</v>
      </c>
      <c r="M142" s="37">
        <v>9</v>
      </c>
      <c r="N142" s="37">
        <v>1</v>
      </c>
      <c r="O142" s="37">
        <v>1</v>
      </c>
      <c r="P142" s="37">
        <v>5</v>
      </c>
      <c r="Q142" s="37">
        <v>9</v>
      </c>
      <c r="R142" s="37">
        <v>7</v>
      </c>
      <c r="S142" s="37">
        <v>9</v>
      </c>
      <c r="T142" s="37">
        <v>13</v>
      </c>
      <c r="U142" s="36">
        <f>COUNTIF(C142:T142,"&gt; 9")</f>
        <v>6</v>
      </c>
      <c r="V142" s="36">
        <f>SUM(C142:T142)</f>
        <v>140</v>
      </c>
      <c r="W142" s="36"/>
      <c r="X142" s="38"/>
    </row>
    <row r="143" spans="1:24" ht="12.75" x14ac:dyDescent="0.2">
      <c r="A143" s="36" t="s">
        <v>867</v>
      </c>
      <c r="B143" s="36" t="s">
        <v>849</v>
      </c>
      <c r="C143" s="37">
        <v>11</v>
      </c>
      <c r="D143" s="37">
        <v>0</v>
      </c>
      <c r="E143" s="37">
        <v>6</v>
      </c>
      <c r="F143" s="37">
        <v>3</v>
      </c>
      <c r="G143" s="37">
        <v>18</v>
      </c>
      <c r="H143" s="37">
        <v>14</v>
      </c>
      <c r="I143" s="37">
        <v>0</v>
      </c>
      <c r="J143" s="37">
        <v>7</v>
      </c>
      <c r="K143" s="37">
        <v>8</v>
      </c>
      <c r="L143" s="37">
        <v>16</v>
      </c>
      <c r="M143" s="37">
        <v>0</v>
      </c>
      <c r="N143" s="37">
        <v>1</v>
      </c>
      <c r="O143" s="37">
        <v>7</v>
      </c>
      <c r="P143" s="37">
        <v>17</v>
      </c>
      <c r="Q143" s="37">
        <v>0</v>
      </c>
      <c r="R143" s="37">
        <v>14</v>
      </c>
      <c r="S143" s="37">
        <v>9</v>
      </c>
      <c r="T143" s="37">
        <v>9</v>
      </c>
      <c r="U143" s="36">
        <f>COUNTIF(C143:T143,"&gt; 7")</f>
        <v>9</v>
      </c>
      <c r="V143" s="36">
        <f>SUM(C143:T143)</f>
        <v>140</v>
      </c>
      <c r="W143" s="36"/>
      <c r="X143" s="38"/>
    </row>
    <row r="144" spans="1:24" ht="12.75" x14ac:dyDescent="0.2">
      <c r="A144" s="36" t="s">
        <v>869</v>
      </c>
      <c r="B144" s="36" t="s">
        <v>851</v>
      </c>
      <c r="C144" s="37">
        <v>-1</v>
      </c>
      <c r="D144" s="37">
        <v>11</v>
      </c>
      <c r="E144" s="37">
        <v>6</v>
      </c>
      <c r="F144" s="37">
        <v>-6</v>
      </c>
      <c r="G144" s="37">
        <v>12</v>
      </c>
      <c r="H144" s="37">
        <v>7</v>
      </c>
      <c r="I144" s="37">
        <v>11</v>
      </c>
      <c r="J144" s="37">
        <v>8</v>
      </c>
      <c r="K144" s="37">
        <v>7</v>
      </c>
      <c r="L144" s="37">
        <v>0</v>
      </c>
      <c r="M144" s="37">
        <v>13</v>
      </c>
      <c r="N144" s="37">
        <v>23</v>
      </c>
      <c r="O144" s="37">
        <v>14</v>
      </c>
      <c r="P144" s="37">
        <v>9</v>
      </c>
      <c r="Q144" s="37">
        <v>22</v>
      </c>
      <c r="R144" s="37">
        <v>6</v>
      </c>
      <c r="S144" s="37">
        <v>-7</v>
      </c>
      <c r="T144" s="37">
        <v>4</v>
      </c>
      <c r="U144" s="36">
        <f>COUNTIF(C144:T144,"&gt; 9")</f>
        <v>7</v>
      </c>
      <c r="V144" s="36">
        <f>SUM(C144:T144)</f>
        <v>139</v>
      </c>
      <c r="W144" s="36"/>
      <c r="X144" s="38">
        <v>166</v>
      </c>
    </row>
    <row r="145" spans="1:24" ht="12.75" x14ac:dyDescent="0.2">
      <c r="A145" s="36" t="s">
        <v>868</v>
      </c>
      <c r="B145" s="36" t="s">
        <v>849</v>
      </c>
      <c r="C145" s="37">
        <v>8</v>
      </c>
      <c r="D145" s="37">
        <v>10</v>
      </c>
      <c r="E145" s="37">
        <v>3</v>
      </c>
      <c r="F145" s="37">
        <v>14</v>
      </c>
      <c r="G145" s="37">
        <v>6</v>
      </c>
      <c r="H145" s="37">
        <v>17</v>
      </c>
      <c r="I145" s="37">
        <v>8</v>
      </c>
      <c r="J145" s="37">
        <v>16</v>
      </c>
      <c r="K145" s="37">
        <v>0</v>
      </c>
      <c r="L145" s="37">
        <v>3</v>
      </c>
      <c r="M145" s="37">
        <v>10</v>
      </c>
      <c r="N145" s="37">
        <v>13</v>
      </c>
      <c r="O145" s="37">
        <v>7</v>
      </c>
      <c r="P145" s="37">
        <v>3</v>
      </c>
      <c r="Q145" s="37">
        <v>-1</v>
      </c>
      <c r="R145" s="37">
        <v>-1</v>
      </c>
      <c r="S145" s="37">
        <v>14</v>
      </c>
      <c r="T145" s="37">
        <v>9</v>
      </c>
      <c r="U145" s="36">
        <f>COUNTIF(C145:T145,"&gt; 7")</f>
        <v>10</v>
      </c>
      <c r="V145" s="36">
        <f>SUM(C145:T145)</f>
        <v>139</v>
      </c>
      <c r="W145" s="36"/>
      <c r="X145" s="38">
        <v>165</v>
      </c>
    </row>
    <row r="146" spans="1:24" ht="12.75" x14ac:dyDescent="0.2">
      <c r="A146" s="36" t="s">
        <v>78</v>
      </c>
      <c r="B146" s="36" t="s">
        <v>75</v>
      </c>
      <c r="C146" s="37">
        <f ca="1">_xlfn.IFNA(VLOOKUP($A146,INDIRECT("'W"&amp;C$1&amp;"'!$A$2:$T$1000"),4,FALSE),0)</f>
        <v>24.4</v>
      </c>
      <c r="D146" s="37">
        <f ca="1">_xlfn.IFNA(VLOOKUP($A146,INDIRECT("'W"&amp;D$1&amp;"'!$A$2:$T$1000"),4,FALSE),0)</f>
        <v>4.8000000000000007</v>
      </c>
      <c r="E146" s="37">
        <f ca="1">_xlfn.IFNA(VLOOKUP($A146,INDIRECT("'W"&amp;E$1&amp;"'!$A$2:$T$1000"),4,FALSE),0)</f>
        <v>4.9000000000000004</v>
      </c>
      <c r="F146" s="37">
        <f ca="1">_xlfn.IFNA(VLOOKUP($A146,INDIRECT("'W"&amp;F$1&amp;"'!$A$2:$T$1000"),4,FALSE),0)</f>
        <v>2.2000000000000002</v>
      </c>
      <c r="G146" s="37">
        <f ca="1">_xlfn.IFNA(VLOOKUP($A146,INDIRECT("'W"&amp;G$1&amp;"'!$A$2:$T$1000"),4,FALSE),0)</f>
        <v>6</v>
      </c>
      <c r="H146" s="37">
        <f ca="1">_xlfn.IFNA(VLOOKUP($A146,INDIRECT("'W"&amp;H$1&amp;"'!$A$2:$T$1000"),4,FALSE),0)</f>
        <v>5.1000000000000005</v>
      </c>
      <c r="I146" s="37">
        <f ca="1">_xlfn.IFNA(VLOOKUP($A146,INDIRECT("'W"&amp;I$1&amp;"'!$A$2:$T$1000"),4,FALSE),0)</f>
        <v>14.200000000000001</v>
      </c>
      <c r="J146" s="37">
        <f ca="1">_xlfn.IFNA(VLOOKUP($A146,INDIRECT("'W"&amp;J$1&amp;"'!$A$2:$T$1000"),4,FALSE),0)</f>
        <v>3.1</v>
      </c>
      <c r="K146" s="37">
        <f ca="1">_xlfn.IFNA(VLOOKUP($A146,INDIRECT("'W"&amp;K$1&amp;"'!$A$2:$T$1000"),4,FALSE),0)</f>
        <v>11</v>
      </c>
      <c r="L146" s="37">
        <f ca="1">_xlfn.IFNA(VLOOKUP($A146,INDIRECT("'W"&amp;L$1&amp;"'!$A$2:$T$1000"),4,FALSE),0)</f>
        <v>4.8</v>
      </c>
      <c r="M146" s="37">
        <f ca="1">_xlfn.IFNA(VLOOKUP($A146,INDIRECT("'W"&amp;M$1&amp;"'!$A$2:$T$1000"),4,FALSE),0)</f>
        <v>0</v>
      </c>
      <c r="N146" s="37">
        <f ca="1">_xlfn.IFNA(VLOOKUP($A146,INDIRECT("'W"&amp;N$1&amp;"'!$A$2:$T$1000"),4,FALSE),0)</f>
        <v>6.4</v>
      </c>
      <c r="O146" s="37">
        <f ca="1">_xlfn.IFNA(VLOOKUP($A146,INDIRECT("'W"&amp;O$1&amp;"'!$A$2:$T$1000"),4,FALSE),0)</f>
        <v>2.6</v>
      </c>
      <c r="P146" s="37">
        <f ca="1">_xlfn.IFNA(VLOOKUP($A146,INDIRECT("'W"&amp;P$1&amp;"'!$A$2:$T$1000"),4,FALSE),0)</f>
        <v>4</v>
      </c>
      <c r="Q146" s="37">
        <f ca="1">_xlfn.IFNA(VLOOKUP($A146,INDIRECT("'W"&amp;Q$1&amp;"'!$A$2:$T$1000"),4,FALSE),0)</f>
        <v>6.1</v>
      </c>
      <c r="R146" s="37">
        <f ca="1">_xlfn.IFNA(VLOOKUP($A146,INDIRECT("'W"&amp;R$1&amp;"'!$A$2:$T$1000"),4,FALSE),0)</f>
        <v>15.8</v>
      </c>
      <c r="S146" s="37">
        <f ca="1">_xlfn.IFNA(VLOOKUP($A146,INDIRECT("'W"&amp;S$1&amp;"'!$A$2:$T$1000"),4,FALSE),0)</f>
        <v>15.8</v>
      </c>
      <c r="T146" s="37">
        <f ca="1">_xlfn.IFNA(VLOOKUP($A146,INDIRECT("'W"&amp;T$1&amp;"'!$A$2:$T$1000"),4,FALSE),0)</f>
        <v>6.4</v>
      </c>
      <c r="U146" s="36">
        <f ca="1">COUNTIF(C146:T146,"&gt; 15")</f>
        <v>3</v>
      </c>
      <c r="V146" s="36">
        <f ca="1">SUM(C146:T146)</f>
        <v>137.6</v>
      </c>
      <c r="W146" s="36"/>
      <c r="X146" s="38"/>
    </row>
    <row r="147" spans="1:24" ht="12.75" x14ac:dyDescent="0.2">
      <c r="A147" s="36" t="s">
        <v>326</v>
      </c>
      <c r="B147" s="36" t="s">
        <v>162</v>
      </c>
      <c r="C147" s="37">
        <f ca="1">_xlfn.IFNA(VLOOKUP($A147,INDIRECT("'W"&amp;C$1&amp;"'!$A$2:$T$1000"),4,FALSE),0)</f>
        <v>0</v>
      </c>
      <c r="D147" s="37">
        <f ca="1">_xlfn.IFNA(VLOOKUP($A147,INDIRECT("'W"&amp;D$1&amp;"'!$A$2:$T$1000"),4,FALSE),0)</f>
        <v>28.9</v>
      </c>
      <c r="E147" s="37">
        <f ca="1">_xlfn.IFNA(VLOOKUP($A147,INDIRECT("'W"&amp;E$1&amp;"'!$A$2:$T$1000"),4,FALSE),0)</f>
        <v>4.0999999999999996</v>
      </c>
      <c r="F147" s="37">
        <f ca="1">_xlfn.IFNA(VLOOKUP($A147,INDIRECT("'W"&amp;F$1&amp;"'!$A$2:$T$1000"),4,FALSE),0)</f>
        <v>3.9000000000000004</v>
      </c>
      <c r="G147" s="37">
        <f ca="1">_xlfn.IFNA(VLOOKUP($A147,INDIRECT("'W"&amp;G$1&amp;"'!$A$2:$T$1000"),4,FALSE),0)</f>
        <v>0</v>
      </c>
      <c r="H147" s="37">
        <f ca="1">_xlfn.IFNA(VLOOKUP($A147,INDIRECT("'W"&amp;H$1&amp;"'!$A$2:$T$1000"),4,FALSE),0)</f>
        <v>4</v>
      </c>
      <c r="I147" s="37">
        <f ca="1">_xlfn.IFNA(VLOOKUP($A147,INDIRECT("'W"&amp;I$1&amp;"'!$A$2:$T$1000"),4,FALSE),0)</f>
        <v>0</v>
      </c>
      <c r="J147" s="37">
        <f ca="1">_xlfn.IFNA(VLOOKUP($A147,INDIRECT("'W"&amp;J$1&amp;"'!$A$2:$T$1000"),4,FALSE),0)</f>
        <v>11.9</v>
      </c>
      <c r="K147" s="37">
        <f ca="1">_xlfn.IFNA(VLOOKUP($A147,INDIRECT("'W"&amp;K$1&amp;"'!$A$2:$T$1000"),4,FALSE),0)</f>
        <v>19</v>
      </c>
      <c r="L147" s="37">
        <f ca="1">_xlfn.IFNA(VLOOKUP($A147,INDIRECT("'W"&amp;L$1&amp;"'!$A$2:$T$1000"),4,FALSE),0)</f>
        <v>0</v>
      </c>
      <c r="M147" s="37">
        <f ca="1">_xlfn.IFNA(VLOOKUP($A147,INDIRECT("'W"&amp;M$1&amp;"'!$A$2:$T$1000"),4,FALSE),0)</f>
        <v>0</v>
      </c>
      <c r="N147" s="37">
        <f ca="1">_xlfn.IFNA(VLOOKUP($A147,INDIRECT("'W"&amp;N$1&amp;"'!$A$2:$T$1000"),4,FALSE),0)</f>
        <v>0</v>
      </c>
      <c r="O147" s="37">
        <f ca="1">_xlfn.IFNA(VLOOKUP($A147,INDIRECT("'W"&amp;O$1&amp;"'!$A$2:$T$1000"),4,FALSE),0)</f>
        <v>6.6</v>
      </c>
      <c r="P147" s="37">
        <f ca="1">_xlfn.IFNA(VLOOKUP($A147,INDIRECT("'W"&amp;P$1&amp;"'!$A$2:$T$1000"),4,FALSE),0)</f>
        <v>9.1999999999999993</v>
      </c>
      <c r="Q147" s="37">
        <f ca="1">_xlfn.IFNA(VLOOKUP($A147,INDIRECT("'W"&amp;Q$1&amp;"'!$A$2:$T$1000"),4,FALSE),0)</f>
        <v>22.1</v>
      </c>
      <c r="R147" s="37">
        <f ca="1">_xlfn.IFNA(VLOOKUP($A147,INDIRECT("'W"&amp;R$1&amp;"'!$A$2:$T$1000"),4,FALSE),0)</f>
        <v>25</v>
      </c>
      <c r="S147" s="37">
        <f ca="1">_xlfn.IFNA(VLOOKUP($A147,INDIRECT("'W"&amp;S$1&amp;"'!$A$2:$T$1000"),4,FALSE),0)</f>
        <v>2.9000000000000004</v>
      </c>
      <c r="T147" s="37">
        <f ca="1">_xlfn.IFNA(VLOOKUP($A147,INDIRECT("'W"&amp;T$1&amp;"'!$A$2:$T$1000"),4,FALSE),0)</f>
        <v>0</v>
      </c>
      <c r="U147" s="36">
        <f ca="1">COUNTIF(C147:T147,"&gt; 15")</f>
        <v>4</v>
      </c>
      <c r="V147" s="36">
        <f ca="1">SUM(C147:T147)</f>
        <v>137.6</v>
      </c>
      <c r="W147" s="36"/>
      <c r="X147" s="38">
        <v>31</v>
      </c>
    </row>
    <row r="148" spans="1:24" ht="12.75" x14ac:dyDescent="0.2">
      <c r="A148" s="36" t="s">
        <v>293</v>
      </c>
      <c r="B148" s="36" t="s">
        <v>69</v>
      </c>
      <c r="C148" s="37">
        <f ca="1">_xlfn.IFNA(VLOOKUP($A148,INDIRECT("'W"&amp;C$1&amp;"'!$A$2:$T$1000"),4,FALSE),0)</f>
        <v>6.4</v>
      </c>
      <c r="D148" s="37">
        <f ca="1">_xlfn.IFNA(VLOOKUP($A148,INDIRECT("'W"&amp;D$1&amp;"'!$A$2:$T$1000"),4,FALSE),0)</f>
        <v>3.5</v>
      </c>
      <c r="E148" s="37">
        <f ca="1">_xlfn.IFNA(VLOOKUP($A148,INDIRECT("'W"&amp;E$1&amp;"'!$A$2:$T$1000"),4,FALSE),0)</f>
        <v>8.6999999999999993</v>
      </c>
      <c r="F148" s="37">
        <f ca="1">_xlfn.IFNA(VLOOKUP($A148,INDIRECT("'W"&amp;F$1&amp;"'!$A$2:$T$1000"),4,FALSE),0)</f>
        <v>4.0999999999999996</v>
      </c>
      <c r="G148" s="37">
        <f ca="1">_xlfn.IFNA(VLOOKUP($A148,INDIRECT("'W"&amp;G$1&amp;"'!$A$2:$T$1000"),4,FALSE),0)</f>
        <v>15.700000000000001</v>
      </c>
      <c r="H148" s="37">
        <f ca="1">_xlfn.IFNA(VLOOKUP($A148,INDIRECT("'W"&amp;H$1&amp;"'!$A$2:$T$1000"),4,FALSE),0)</f>
        <v>14.3</v>
      </c>
      <c r="I148" s="37">
        <f ca="1">_xlfn.IFNA(VLOOKUP($A148,INDIRECT("'W"&amp;I$1&amp;"'!$A$2:$T$1000"),4,FALSE),0)</f>
        <v>7.7</v>
      </c>
      <c r="J148" s="37">
        <f ca="1">_xlfn.IFNA(VLOOKUP($A148,INDIRECT("'W"&amp;J$1&amp;"'!$A$2:$T$1000"),4,FALSE),0)</f>
        <v>6.5</v>
      </c>
      <c r="K148" s="37">
        <f ca="1">_xlfn.IFNA(VLOOKUP($A148,INDIRECT("'W"&amp;K$1&amp;"'!$A$2:$T$1000"),4,FALSE),0)</f>
        <v>9.6000000000000014</v>
      </c>
      <c r="L148" s="37">
        <f ca="1">_xlfn.IFNA(VLOOKUP($A148,INDIRECT("'W"&amp;L$1&amp;"'!$A$2:$T$1000"),4,FALSE),0)</f>
        <v>6</v>
      </c>
      <c r="M148" s="37">
        <f ca="1">_xlfn.IFNA(VLOOKUP($A148,INDIRECT("'W"&amp;M$1&amp;"'!$A$2:$T$1000"),4,FALSE),0)</f>
        <v>0</v>
      </c>
      <c r="N148" s="37">
        <f ca="1">_xlfn.IFNA(VLOOKUP($A148,INDIRECT("'W"&amp;N$1&amp;"'!$A$2:$T$1000"),4,FALSE),0)</f>
        <v>4.2</v>
      </c>
      <c r="O148" s="37">
        <f ca="1">_xlfn.IFNA(VLOOKUP($A148,INDIRECT("'W"&amp;O$1&amp;"'!$A$2:$T$1000"),4,FALSE),0)</f>
        <v>9.1000000000000014</v>
      </c>
      <c r="P148" s="37">
        <f ca="1">_xlfn.IFNA(VLOOKUP($A148,INDIRECT("'W"&amp;P$1&amp;"'!$A$2:$T$1000"),4,FALSE),0)</f>
        <v>14.7</v>
      </c>
      <c r="Q148" s="37">
        <f ca="1">_xlfn.IFNA(VLOOKUP($A148,INDIRECT("'W"&amp;Q$1&amp;"'!$A$2:$T$1000"),4,FALSE),0)</f>
        <v>6.7</v>
      </c>
      <c r="R148" s="37">
        <f ca="1">_xlfn.IFNA(VLOOKUP($A148,INDIRECT("'W"&amp;R$1&amp;"'!$A$2:$T$1000"),4,FALSE),0)</f>
        <v>13.9</v>
      </c>
      <c r="S148" s="37">
        <f ca="1">_xlfn.IFNA(VLOOKUP($A148,INDIRECT("'W"&amp;S$1&amp;"'!$A$2:$T$1000"),4,FALSE),0)</f>
        <v>1.5</v>
      </c>
      <c r="T148" s="37">
        <f ca="1">_xlfn.IFNA(VLOOKUP($A148,INDIRECT("'W"&amp;T$1&amp;"'!$A$2:$T$1000"),4,FALSE),0)</f>
        <v>4.7</v>
      </c>
      <c r="U148" s="36">
        <f ca="1">COUNTIF(C148:T148,"&gt; 15")</f>
        <v>1</v>
      </c>
      <c r="V148" s="36">
        <f ca="1">SUM(C148:T148)</f>
        <v>137.30000000000001</v>
      </c>
      <c r="W148" s="36"/>
      <c r="X148" s="38">
        <v>69</v>
      </c>
    </row>
    <row r="149" spans="1:24" ht="12.75" x14ac:dyDescent="0.2">
      <c r="A149" s="36" t="s">
        <v>349</v>
      </c>
      <c r="B149" s="36" t="s">
        <v>69</v>
      </c>
      <c r="C149" s="37">
        <f ca="1">_xlfn.IFNA(VLOOKUP($A149,INDIRECT("'W"&amp;C$1&amp;"'!$A$2:$T$1000"),4,FALSE),0)</f>
        <v>0</v>
      </c>
      <c r="D149" s="37">
        <f ca="1">_xlfn.IFNA(VLOOKUP($A149,INDIRECT("'W"&amp;D$1&amp;"'!$A$2:$T$1000"),4,FALSE),0)</f>
        <v>8.1999999999999993</v>
      </c>
      <c r="E149" s="37">
        <f ca="1">_xlfn.IFNA(VLOOKUP($A149,INDIRECT("'W"&amp;E$1&amp;"'!$A$2:$T$1000"),4,FALSE),0)</f>
        <v>9.1000000000000014</v>
      </c>
      <c r="F149" s="37">
        <f ca="1">_xlfn.IFNA(VLOOKUP($A149,INDIRECT("'W"&amp;F$1&amp;"'!$A$2:$T$1000"),4,FALSE),0)</f>
        <v>4.5</v>
      </c>
      <c r="G149" s="37">
        <f ca="1">_xlfn.IFNA(VLOOKUP($A149,INDIRECT("'W"&amp;G$1&amp;"'!$A$2:$T$1000"),4,FALSE),0)</f>
        <v>25.700000000000003</v>
      </c>
      <c r="H149" s="37">
        <f ca="1">_xlfn.IFNA(VLOOKUP($A149,INDIRECT("'W"&amp;H$1&amp;"'!$A$2:$T$1000"),4,FALSE),0)</f>
        <v>9.1999999999999993</v>
      </c>
      <c r="I149" s="37">
        <f ca="1">_xlfn.IFNA(VLOOKUP($A149,INDIRECT("'W"&amp;I$1&amp;"'!$A$2:$T$1000"),4,FALSE),0)</f>
        <v>18.7</v>
      </c>
      <c r="J149" s="37">
        <f ca="1">_xlfn.IFNA(VLOOKUP($A149,INDIRECT("'W"&amp;J$1&amp;"'!$A$2:$T$1000"),4,FALSE),0)</f>
        <v>7.6</v>
      </c>
      <c r="K149" s="37">
        <f ca="1">_xlfn.IFNA(VLOOKUP($A149,INDIRECT("'W"&amp;K$1&amp;"'!$A$2:$T$1000"),4,FALSE),0)</f>
        <v>8</v>
      </c>
      <c r="L149" s="37">
        <f ca="1">_xlfn.IFNA(VLOOKUP($A149,INDIRECT("'W"&amp;L$1&amp;"'!$A$2:$T$1000"),4,FALSE),0)</f>
        <v>0</v>
      </c>
      <c r="M149" s="37">
        <f ca="1">_xlfn.IFNA(VLOOKUP($A149,INDIRECT("'W"&amp;M$1&amp;"'!$A$2:$T$1000"),4,FALSE),0)</f>
        <v>0</v>
      </c>
      <c r="N149" s="37">
        <f ca="1">_xlfn.IFNA(VLOOKUP($A149,INDIRECT("'W"&amp;N$1&amp;"'!$A$2:$T$1000"),4,FALSE),0)</f>
        <v>0</v>
      </c>
      <c r="O149" s="37">
        <f ca="1">_xlfn.IFNA(VLOOKUP($A149,INDIRECT("'W"&amp;O$1&amp;"'!$A$2:$T$1000"),4,FALSE),0)</f>
        <v>0</v>
      </c>
      <c r="P149" s="37">
        <f ca="1">_xlfn.IFNA(VLOOKUP($A149,INDIRECT("'W"&amp;P$1&amp;"'!$A$2:$T$1000"),4,FALSE),0)</f>
        <v>7</v>
      </c>
      <c r="Q149" s="37">
        <f ca="1">_xlfn.IFNA(VLOOKUP($A149,INDIRECT("'W"&amp;Q$1&amp;"'!$A$2:$T$1000"),4,FALSE),0)</f>
        <v>7.1</v>
      </c>
      <c r="R149" s="37">
        <f ca="1">_xlfn.IFNA(VLOOKUP($A149,INDIRECT("'W"&amp;R$1&amp;"'!$A$2:$T$1000"),4,FALSE),0)</f>
        <v>14.100000000000001</v>
      </c>
      <c r="S149" s="37">
        <f ca="1">_xlfn.IFNA(VLOOKUP($A149,INDIRECT("'W"&amp;S$1&amp;"'!$A$2:$T$1000"),4,FALSE),0)</f>
        <v>15.7</v>
      </c>
      <c r="T149" s="37">
        <f ca="1">_xlfn.IFNA(VLOOKUP($A149,INDIRECT("'W"&amp;T$1&amp;"'!$A$2:$T$1000"),4,FALSE),0)</f>
        <v>1.4</v>
      </c>
      <c r="U149" s="36">
        <f ca="1">COUNTIF(C149:T149,"&gt; 15")</f>
        <v>3</v>
      </c>
      <c r="V149" s="36">
        <f ca="1">SUM(C149:T149)</f>
        <v>136.29999999999998</v>
      </c>
      <c r="W149" s="36"/>
      <c r="X149" s="38">
        <v>62</v>
      </c>
    </row>
    <row r="150" spans="1:24" ht="12.75" x14ac:dyDescent="0.2">
      <c r="A150" s="36" t="s">
        <v>870</v>
      </c>
      <c r="B150" s="36" t="s">
        <v>851</v>
      </c>
      <c r="C150" s="37">
        <v>14</v>
      </c>
      <c r="D150" s="37">
        <v>4</v>
      </c>
      <c r="E150" s="37">
        <v>10</v>
      </c>
      <c r="F150" s="37">
        <v>1</v>
      </c>
      <c r="G150" s="37">
        <v>18</v>
      </c>
      <c r="H150" s="37">
        <v>6</v>
      </c>
      <c r="I150" s="37">
        <v>-3</v>
      </c>
      <c r="J150" s="37">
        <v>1</v>
      </c>
      <c r="K150" s="37">
        <v>0</v>
      </c>
      <c r="L150" s="37">
        <v>19</v>
      </c>
      <c r="M150" s="37">
        <v>11</v>
      </c>
      <c r="N150" s="37">
        <v>15</v>
      </c>
      <c r="O150" s="37">
        <v>3</v>
      </c>
      <c r="P150" s="37">
        <v>9</v>
      </c>
      <c r="Q150" s="37">
        <v>9</v>
      </c>
      <c r="R150" s="37">
        <v>3</v>
      </c>
      <c r="S150" s="37">
        <v>10</v>
      </c>
      <c r="T150" s="37">
        <v>6</v>
      </c>
      <c r="U150" s="36">
        <f>COUNTIF(C150:T150,"&gt; 9")</f>
        <v>7</v>
      </c>
      <c r="V150" s="36">
        <f>SUM(C150:T150)</f>
        <v>136</v>
      </c>
      <c r="W150" s="36"/>
      <c r="X150" s="38">
        <v>88</v>
      </c>
    </row>
    <row r="151" spans="1:24" ht="12.75" x14ac:dyDescent="0.2">
      <c r="A151" s="36" t="s">
        <v>341</v>
      </c>
      <c r="B151" s="36" t="s">
        <v>69</v>
      </c>
      <c r="C151" s="37">
        <f ca="1">_xlfn.IFNA(VLOOKUP($A151,INDIRECT("'W"&amp;C$1&amp;"'!$A$2:$T$1000"),4,FALSE),0)</f>
        <v>0</v>
      </c>
      <c r="D151" s="37">
        <f ca="1">_xlfn.IFNA(VLOOKUP($A151,INDIRECT("'W"&amp;D$1&amp;"'!$A$2:$T$1000"),4,FALSE),0)</f>
        <v>15.5</v>
      </c>
      <c r="E151" s="37">
        <f ca="1">_xlfn.IFNA(VLOOKUP($A151,INDIRECT("'W"&amp;E$1&amp;"'!$A$2:$T$1000"),4,FALSE),0)</f>
        <v>7.5</v>
      </c>
      <c r="F151" s="37">
        <f ca="1">_xlfn.IFNA(VLOOKUP($A151,INDIRECT("'W"&amp;F$1&amp;"'!$A$2:$T$1000"),4,FALSE),0)</f>
        <v>25</v>
      </c>
      <c r="G151" s="37">
        <f ca="1">_xlfn.IFNA(VLOOKUP($A151,INDIRECT("'W"&amp;G$1&amp;"'!$A$2:$T$1000"),4,FALSE),0)</f>
        <v>12.5</v>
      </c>
      <c r="H151" s="37">
        <f ca="1">_xlfn.IFNA(VLOOKUP($A151,INDIRECT("'W"&amp;H$1&amp;"'!$A$2:$T$1000"),4,FALSE),0)</f>
        <v>10.9</v>
      </c>
      <c r="I151" s="37">
        <f ca="1">_xlfn.IFNA(VLOOKUP($A151,INDIRECT("'W"&amp;I$1&amp;"'!$A$2:$T$1000"),4,FALSE),0)</f>
        <v>22.3</v>
      </c>
      <c r="J151" s="37">
        <f ca="1">_xlfn.IFNA(VLOOKUP($A151,INDIRECT("'W"&amp;J$1&amp;"'!$A$2:$T$1000"),4,FALSE),0)</f>
        <v>14</v>
      </c>
      <c r="K151" s="37">
        <f ca="1">_xlfn.IFNA(VLOOKUP($A151,INDIRECT("'W"&amp;K$1&amp;"'!$A$2:$T$1000"),4,FALSE),0)</f>
        <v>17</v>
      </c>
      <c r="L151" s="37">
        <f ca="1">_xlfn.IFNA(VLOOKUP($A151,INDIRECT("'W"&amp;L$1&amp;"'!$A$2:$T$1000"),4,FALSE),0)</f>
        <v>6.4</v>
      </c>
      <c r="M151" s="37">
        <f ca="1">_xlfn.IFNA(VLOOKUP($A151,INDIRECT("'W"&amp;M$1&amp;"'!$A$2:$T$1000"),4,FALSE),0)</f>
        <v>4.3000000000000007</v>
      </c>
      <c r="N151" s="37">
        <f ca="1">_xlfn.IFNA(VLOOKUP($A151,INDIRECT("'W"&amp;N$1&amp;"'!$A$2:$T$1000"),4,FALSE),0)</f>
        <v>0</v>
      </c>
      <c r="O151" s="37">
        <f ca="1">_xlfn.IFNA(VLOOKUP($A151,INDIRECT("'W"&amp;O$1&amp;"'!$A$2:$T$1000"),4,FALSE),0)</f>
        <v>0</v>
      </c>
      <c r="P151" s="37">
        <f ca="1">_xlfn.IFNA(VLOOKUP($A151,INDIRECT("'W"&amp;P$1&amp;"'!$A$2:$T$1000"),4,FALSE),0)</f>
        <v>0</v>
      </c>
      <c r="Q151" s="37">
        <f ca="1">_xlfn.IFNA(VLOOKUP($A151,INDIRECT("'W"&amp;Q$1&amp;"'!$A$2:$T$1000"),4,FALSE),0)</f>
        <v>0</v>
      </c>
      <c r="R151" s="37">
        <f ca="1">_xlfn.IFNA(VLOOKUP($A151,INDIRECT("'W"&amp;R$1&amp;"'!$A$2:$T$1000"),4,FALSE),0)</f>
        <v>0</v>
      </c>
      <c r="S151" s="37">
        <f ca="1">_xlfn.IFNA(VLOOKUP($A151,INDIRECT("'W"&amp;S$1&amp;"'!$A$2:$T$1000"),4,FALSE),0)</f>
        <v>0</v>
      </c>
      <c r="T151" s="37">
        <f ca="1">_xlfn.IFNA(VLOOKUP($A151,INDIRECT("'W"&amp;T$1&amp;"'!$A$2:$T$1000"),4,FALSE),0)</f>
        <v>0</v>
      </c>
      <c r="U151" s="36">
        <f ca="1">COUNTIF(C151:T151,"&gt; 15")</f>
        <v>4</v>
      </c>
      <c r="V151" s="36">
        <f ca="1">SUM(C151:T151)</f>
        <v>135.4</v>
      </c>
      <c r="W151" s="36"/>
      <c r="X151" s="38">
        <v>13</v>
      </c>
    </row>
    <row r="152" spans="1:24" ht="12.75" x14ac:dyDescent="0.2">
      <c r="A152" s="36" t="s">
        <v>872</v>
      </c>
      <c r="B152" s="36" t="s">
        <v>851</v>
      </c>
      <c r="C152" s="37">
        <v>5</v>
      </c>
      <c r="D152" s="37">
        <v>-6</v>
      </c>
      <c r="E152" s="37">
        <v>1</v>
      </c>
      <c r="F152" s="37">
        <v>4</v>
      </c>
      <c r="G152" s="37">
        <v>13</v>
      </c>
      <c r="H152" s="37">
        <v>11</v>
      </c>
      <c r="I152" s="37">
        <v>4</v>
      </c>
      <c r="J152" s="37">
        <v>8</v>
      </c>
      <c r="K152" s="37">
        <v>18</v>
      </c>
      <c r="L152" s="37">
        <v>6</v>
      </c>
      <c r="M152" s="37">
        <v>4</v>
      </c>
      <c r="N152" s="37">
        <v>-1</v>
      </c>
      <c r="O152" s="37">
        <v>0</v>
      </c>
      <c r="P152" s="37">
        <v>11</v>
      </c>
      <c r="Q152" s="37">
        <v>25</v>
      </c>
      <c r="R152" s="37">
        <v>21</v>
      </c>
      <c r="S152" s="37">
        <v>1</v>
      </c>
      <c r="T152" s="37">
        <v>10</v>
      </c>
      <c r="U152" s="36">
        <f>COUNTIF(C152:T152,"&gt; 9")</f>
        <v>7</v>
      </c>
      <c r="V152" s="36">
        <f>SUM(C152:T152)</f>
        <v>135</v>
      </c>
      <c r="W152" s="36"/>
      <c r="X152" s="38"/>
    </row>
    <row r="153" spans="1:24" ht="12.75" x14ac:dyDescent="0.2">
      <c r="A153" s="36" t="s">
        <v>871</v>
      </c>
      <c r="B153" s="36" t="s">
        <v>849</v>
      </c>
      <c r="C153" s="37">
        <v>3</v>
      </c>
      <c r="D153" s="37">
        <v>6</v>
      </c>
      <c r="E153" s="37">
        <v>18</v>
      </c>
      <c r="F153" s="37">
        <v>3</v>
      </c>
      <c r="G153" s="37">
        <v>12</v>
      </c>
      <c r="H153" s="37">
        <v>7</v>
      </c>
      <c r="I153" s="37">
        <v>0</v>
      </c>
      <c r="J153" s="37">
        <v>8</v>
      </c>
      <c r="K153" s="37">
        <v>6</v>
      </c>
      <c r="L153" s="37">
        <v>11</v>
      </c>
      <c r="M153" s="37">
        <v>9</v>
      </c>
      <c r="N153" s="37">
        <v>5</v>
      </c>
      <c r="O153" s="37">
        <v>12</v>
      </c>
      <c r="P153" s="37">
        <v>10</v>
      </c>
      <c r="Q153" s="37">
        <v>9</v>
      </c>
      <c r="R153" s="37">
        <v>3</v>
      </c>
      <c r="S153" s="37">
        <v>5</v>
      </c>
      <c r="T153" s="37">
        <v>8</v>
      </c>
      <c r="U153" s="36">
        <f>COUNTIF(C153:T153,"&gt; 7")</f>
        <v>9</v>
      </c>
      <c r="V153" s="36">
        <f>SUM(C153:T153)</f>
        <v>135</v>
      </c>
      <c r="W153" s="36"/>
      <c r="X153" s="38">
        <v>121</v>
      </c>
    </row>
    <row r="154" spans="1:24" ht="12.75" x14ac:dyDescent="0.2">
      <c r="A154" s="36" t="s">
        <v>74</v>
      </c>
      <c r="B154" s="36" t="s">
        <v>75</v>
      </c>
      <c r="C154" s="37">
        <f ca="1">_xlfn.IFNA(VLOOKUP($A154,INDIRECT("'W"&amp;C$1&amp;"'!$A$2:$T$1000"),4,FALSE),0)</f>
        <v>26.700000000000003</v>
      </c>
      <c r="D154" s="37">
        <f ca="1">_xlfn.IFNA(VLOOKUP($A154,INDIRECT("'W"&amp;D$1&amp;"'!$A$2:$T$1000"),4,FALSE),0)</f>
        <v>0</v>
      </c>
      <c r="E154" s="37">
        <f ca="1">_xlfn.IFNA(VLOOKUP($A154,INDIRECT("'W"&amp;E$1&amp;"'!$A$2:$T$1000"),4,FALSE),0)</f>
        <v>0</v>
      </c>
      <c r="F154" s="37">
        <f ca="1">_xlfn.IFNA(VLOOKUP($A154,INDIRECT("'W"&amp;F$1&amp;"'!$A$2:$T$1000"),4,FALSE),0)</f>
        <v>2.4</v>
      </c>
      <c r="G154" s="37">
        <f ca="1">_xlfn.IFNA(VLOOKUP($A154,INDIRECT("'W"&amp;G$1&amp;"'!$A$2:$T$1000"),4,FALSE),0)</f>
        <v>0</v>
      </c>
      <c r="H154" s="37">
        <f ca="1">_xlfn.IFNA(VLOOKUP($A154,INDIRECT("'W"&amp;H$1&amp;"'!$A$2:$T$1000"),4,FALSE),0)</f>
        <v>0</v>
      </c>
      <c r="I154" s="37">
        <f ca="1">_xlfn.IFNA(VLOOKUP($A154,INDIRECT("'W"&amp;I$1&amp;"'!$A$2:$T$1000"),4,FALSE),0)</f>
        <v>8.6999999999999993</v>
      </c>
      <c r="J154" s="37">
        <f ca="1">_xlfn.IFNA(VLOOKUP($A154,INDIRECT("'W"&amp;J$1&amp;"'!$A$2:$T$1000"),4,FALSE),0)</f>
        <v>8.6000000000000014</v>
      </c>
      <c r="K154" s="37">
        <f ca="1">_xlfn.IFNA(VLOOKUP($A154,INDIRECT("'W"&amp;K$1&amp;"'!$A$2:$T$1000"),4,FALSE),0)</f>
        <v>17.900000000000002</v>
      </c>
      <c r="L154" s="37">
        <f ca="1">_xlfn.IFNA(VLOOKUP($A154,INDIRECT("'W"&amp;L$1&amp;"'!$A$2:$T$1000"),4,FALSE),0)</f>
        <v>9.4</v>
      </c>
      <c r="M154" s="37">
        <f ca="1">_xlfn.IFNA(VLOOKUP($A154,INDIRECT("'W"&amp;M$1&amp;"'!$A$2:$T$1000"),4,FALSE),0)</f>
        <v>2.7</v>
      </c>
      <c r="N154" s="37">
        <f ca="1">_xlfn.IFNA(VLOOKUP($A154,INDIRECT("'W"&amp;N$1&amp;"'!$A$2:$T$1000"),4,FALSE),0)</f>
        <v>0</v>
      </c>
      <c r="O154" s="37">
        <f ca="1">_xlfn.IFNA(VLOOKUP($A154,INDIRECT("'W"&amp;O$1&amp;"'!$A$2:$T$1000"),4,FALSE),0)</f>
        <v>0</v>
      </c>
      <c r="P154" s="37">
        <f ca="1">_xlfn.IFNA(VLOOKUP($A154,INDIRECT("'W"&amp;P$1&amp;"'!$A$2:$T$1000"),4,FALSE),0)</f>
        <v>0</v>
      </c>
      <c r="Q154" s="37">
        <f ca="1">_xlfn.IFNA(VLOOKUP($A154,INDIRECT("'W"&amp;Q$1&amp;"'!$A$2:$T$1000"),4,FALSE),0)</f>
        <v>10.9</v>
      </c>
      <c r="R154" s="37">
        <f ca="1">_xlfn.IFNA(VLOOKUP($A154,INDIRECT("'W"&amp;R$1&amp;"'!$A$2:$T$1000"),4,FALSE),0)</f>
        <v>14.500000000000002</v>
      </c>
      <c r="S154" s="37">
        <f ca="1">_xlfn.IFNA(VLOOKUP($A154,INDIRECT("'W"&amp;S$1&amp;"'!$A$2:$T$1000"),4,FALSE),0)</f>
        <v>14</v>
      </c>
      <c r="T154" s="37">
        <f ca="1">_xlfn.IFNA(VLOOKUP($A154,INDIRECT("'W"&amp;T$1&amp;"'!$A$2:$T$1000"),4,FALSE),0)</f>
        <v>19.100000000000001</v>
      </c>
      <c r="U154" s="36">
        <f ca="1">COUNTIF(C154:T154,"&gt; 15")</f>
        <v>3</v>
      </c>
      <c r="V154" s="36">
        <f ca="1">SUM(C154:T154)</f>
        <v>134.9</v>
      </c>
      <c r="W154" s="36"/>
      <c r="X154" s="38">
        <v>35</v>
      </c>
    </row>
    <row r="155" spans="1:24" ht="12.75" x14ac:dyDescent="0.2">
      <c r="A155" s="36" t="s">
        <v>213</v>
      </c>
      <c r="B155" s="36" t="s">
        <v>162</v>
      </c>
      <c r="C155" s="37">
        <f ca="1">_xlfn.IFNA(VLOOKUP($A155,INDIRECT("'W"&amp;C$1&amp;"'!$A$2:$T$1000"),4,FALSE),0)</f>
        <v>8.7000000000000011</v>
      </c>
      <c r="D155" s="37">
        <f ca="1">_xlfn.IFNA(VLOOKUP($A155,INDIRECT("'W"&amp;D$1&amp;"'!$A$2:$T$1000"),4,FALSE),0)</f>
        <v>17.399999999999999</v>
      </c>
      <c r="E155" s="37">
        <f ca="1">_xlfn.IFNA(VLOOKUP($A155,INDIRECT("'W"&amp;E$1&amp;"'!$A$2:$T$1000"),4,FALSE),0)</f>
        <v>17.100000000000001</v>
      </c>
      <c r="F155" s="37">
        <f ca="1">_xlfn.IFNA(VLOOKUP($A155,INDIRECT("'W"&amp;F$1&amp;"'!$A$2:$T$1000"),4,FALSE),0)</f>
        <v>16.600000000000001</v>
      </c>
      <c r="G155" s="37">
        <f ca="1">_xlfn.IFNA(VLOOKUP($A155,INDIRECT("'W"&amp;G$1&amp;"'!$A$2:$T$1000"),4,FALSE),0)</f>
        <v>16.100000000000001</v>
      </c>
      <c r="H155" s="37">
        <f ca="1">_xlfn.IFNA(VLOOKUP($A155,INDIRECT("'W"&amp;H$1&amp;"'!$A$2:$T$1000"),4,FALSE),0)</f>
        <v>7.4</v>
      </c>
      <c r="I155" s="37">
        <f ca="1">_xlfn.IFNA(VLOOKUP($A155,INDIRECT("'W"&amp;I$1&amp;"'!$A$2:$T$1000"),4,FALSE),0)</f>
        <v>7.9</v>
      </c>
      <c r="J155" s="37">
        <f ca="1">_xlfn.IFNA(VLOOKUP($A155,INDIRECT("'W"&amp;J$1&amp;"'!$A$2:$T$1000"),4,FALSE),0)</f>
        <v>15.3</v>
      </c>
      <c r="K155" s="37">
        <f ca="1">_xlfn.IFNA(VLOOKUP($A155,INDIRECT("'W"&amp;K$1&amp;"'!$A$2:$T$1000"),4,FALSE),0)</f>
        <v>6.4</v>
      </c>
      <c r="L155" s="37">
        <f ca="1">_xlfn.IFNA(VLOOKUP($A155,INDIRECT("'W"&amp;L$1&amp;"'!$A$2:$T$1000"),4,FALSE),0)</f>
        <v>3.8000000000000003</v>
      </c>
      <c r="M155" s="37">
        <f ca="1">_xlfn.IFNA(VLOOKUP($A155,INDIRECT("'W"&amp;M$1&amp;"'!$A$2:$T$1000"),4,FALSE),0)</f>
        <v>3.2</v>
      </c>
      <c r="N155" s="37">
        <f ca="1">_xlfn.IFNA(VLOOKUP($A155,INDIRECT("'W"&amp;N$1&amp;"'!$A$2:$T$1000"),4,FALSE),0)</f>
        <v>14.8</v>
      </c>
      <c r="O155" s="37">
        <f ca="1">_xlfn.IFNA(VLOOKUP($A155,INDIRECT("'W"&amp;O$1&amp;"'!$A$2:$T$1000"),4,FALSE),0)</f>
        <v>0</v>
      </c>
      <c r="P155" s="37">
        <f ca="1">_xlfn.IFNA(VLOOKUP($A155,INDIRECT("'W"&amp;P$1&amp;"'!$A$2:$T$1000"),4,FALSE),0)</f>
        <v>0</v>
      </c>
      <c r="Q155" s="37">
        <f ca="1">_xlfn.IFNA(VLOOKUP($A155,INDIRECT("'W"&amp;Q$1&amp;"'!$A$2:$T$1000"),4,FALSE),0)</f>
        <v>0</v>
      </c>
      <c r="R155" s="37">
        <f ca="1">_xlfn.IFNA(VLOOKUP($A155,INDIRECT("'W"&amp;R$1&amp;"'!$A$2:$T$1000"),4,FALSE),0)</f>
        <v>0</v>
      </c>
      <c r="S155" s="37">
        <f ca="1">_xlfn.IFNA(VLOOKUP($A155,INDIRECT("'W"&amp;S$1&amp;"'!$A$2:$T$1000"),4,FALSE),0)</f>
        <v>0</v>
      </c>
      <c r="T155" s="37">
        <f ca="1">_xlfn.IFNA(VLOOKUP($A155,INDIRECT("'W"&amp;T$1&amp;"'!$A$2:$T$1000"),4,FALSE),0)</f>
        <v>0</v>
      </c>
      <c r="U155" s="36">
        <f ca="1">COUNTIF(C155:T155,"&gt; 15")</f>
        <v>5</v>
      </c>
      <c r="V155" s="36">
        <f ca="1">SUM(C155:T155)</f>
        <v>134.70000000000002</v>
      </c>
      <c r="W155" s="36"/>
      <c r="X155" s="38">
        <v>96</v>
      </c>
    </row>
    <row r="156" spans="1:24" ht="12.75" x14ac:dyDescent="0.2">
      <c r="A156" s="36" t="s">
        <v>873</v>
      </c>
      <c r="B156" s="36" t="s">
        <v>849</v>
      </c>
      <c r="C156" s="37">
        <v>10</v>
      </c>
      <c r="D156" s="37">
        <v>8</v>
      </c>
      <c r="E156" s="37">
        <v>3</v>
      </c>
      <c r="F156" s="37">
        <v>10</v>
      </c>
      <c r="G156" s="37">
        <v>0</v>
      </c>
      <c r="H156" s="37">
        <v>6</v>
      </c>
      <c r="I156" s="37">
        <v>7</v>
      </c>
      <c r="J156" s="37">
        <v>5</v>
      </c>
      <c r="K156" s="37">
        <v>16</v>
      </c>
      <c r="L156" s="37">
        <v>8</v>
      </c>
      <c r="M156" s="37">
        <v>2</v>
      </c>
      <c r="N156" s="37">
        <v>8</v>
      </c>
      <c r="O156" s="37">
        <v>3</v>
      </c>
      <c r="P156" s="37">
        <v>11</v>
      </c>
      <c r="Q156" s="37">
        <v>11</v>
      </c>
      <c r="R156" s="37">
        <v>14</v>
      </c>
      <c r="S156" s="37">
        <v>1</v>
      </c>
      <c r="T156" s="37">
        <v>11</v>
      </c>
      <c r="U156" s="36">
        <f>COUNTIF(C156:T156,"&gt; 7")</f>
        <v>10</v>
      </c>
      <c r="V156" s="36">
        <f>SUM(C156:T156)</f>
        <v>134</v>
      </c>
      <c r="W156" s="36"/>
      <c r="X156" s="38"/>
    </row>
    <row r="157" spans="1:24" ht="12.75" x14ac:dyDescent="0.2">
      <c r="A157" s="36" t="s">
        <v>89</v>
      </c>
      <c r="B157" s="36" t="s">
        <v>75</v>
      </c>
      <c r="C157" s="37">
        <f ca="1">_xlfn.IFNA(VLOOKUP($A157,INDIRECT("'W"&amp;C$1&amp;"'!$A$2:$T$1000"),4,FALSE),0)</f>
        <v>13.4</v>
      </c>
      <c r="D157" s="37">
        <f ca="1">_xlfn.IFNA(VLOOKUP($A157,INDIRECT("'W"&amp;D$1&amp;"'!$A$2:$T$1000"),4,FALSE),0)</f>
        <v>4.9000000000000004</v>
      </c>
      <c r="E157" s="37">
        <f ca="1">_xlfn.IFNA(VLOOKUP($A157,INDIRECT("'W"&amp;E$1&amp;"'!$A$2:$T$1000"),4,FALSE),0)</f>
        <v>17.5</v>
      </c>
      <c r="F157" s="37">
        <f ca="1">_xlfn.IFNA(VLOOKUP($A157,INDIRECT("'W"&amp;F$1&amp;"'!$A$2:$T$1000"),4,FALSE),0)</f>
        <v>10.8</v>
      </c>
      <c r="G157" s="37">
        <f ca="1">_xlfn.IFNA(VLOOKUP($A157,INDIRECT("'W"&amp;G$1&amp;"'!$A$2:$T$1000"),4,FALSE),0)</f>
        <v>12.6</v>
      </c>
      <c r="H157" s="37">
        <f ca="1">_xlfn.IFNA(VLOOKUP($A157,INDIRECT("'W"&amp;H$1&amp;"'!$A$2:$T$1000"),4,FALSE),0)</f>
        <v>11.200000000000001</v>
      </c>
      <c r="I157" s="37">
        <f ca="1">_xlfn.IFNA(VLOOKUP($A157,INDIRECT("'W"&amp;I$1&amp;"'!$A$2:$T$1000"),4,FALSE),0)</f>
        <v>6.2</v>
      </c>
      <c r="J157" s="37">
        <f ca="1">_xlfn.IFNA(VLOOKUP($A157,INDIRECT("'W"&amp;J$1&amp;"'!$A$2:$T$1000"),4,FALSE),0)</f>
        <v>4.3</v>
      </c>
      <c r="K157" s="37">
        <f ca="1">_xlfn.IFNA(VLOOKUP($A157,INDIRECT("'W"&amp;K$1&amp;"'!$A$2:$T$1000"),4,FALSE),0)</f>
        <v>17.3</v>
      </c>
      <c r="L157" s="37">
        <f ca="1">_xlfn.IFNA(VLOOKUP($A157,INDIRECT("'W"&amp;L$1&amp;"'!$A$2:$T$1000"),4,FALSE),0)</f>
        <v>4.3000000000000007</v>
      </c>
      <c r="M157" s="37">
        <f ca="1">_xlfn.IFNA(VLOOKUP($A157,INDIRECT("'W"&amp;M$1&amp;"'!$A$2:$T$1000"),4,FALSE),0)</f>
        <v>7</v>
      </c>
      <c r="N157" s="37">
        <f ca="1">_xlfn.IFNA(VLOOKUP($A157,INDIRECT("'W"&amp;N$1&amp;"'!$A$2:$T$1000"),4,FALSE),0)</f>
        <v>8.3000000000000007</v>
      </c>
      <c r="O157" s="37">
        <f ca="1">_xlfn.IFNA(VLOOKUP($A157,INDIRECT("'W"&amp;O$1&amp;"'!$A$2:$T$1000"),4,FALSE),0)</f>
        <v>0</v>
      </c>
      <c r="P157" s="37">
        <f ca="1">_xlfn.IFNA(VLOOKUP($A157,INDIRECT("'W"&amp;P$1&amp;"'!$A$2:$T$1000"),4,FALSE),0)</f>
        <v>6.6000000000000005</v>
      </c>
      <c r="Q157" s="37">
        <f ca="1">_xlfn.IFNA(VLOOKUP($A157,INDIRECT("'W"&amp;Q$1&amp;"'!$A$2:$T$1000"),4,FALSE),0)</f>
        <v>0</v>
      </c>
      <c r="R157" s="37">
        <f ca="1">_xlfn.IFNA(VLOOKUP($A157,INDIRECT("'W"&amp;R$1&amp;"'!$A$2:$T$1000"),4,FALSE),0)</f>
        <v>-0.1</v>
      </c>
      <c r="S157" s="37">
        <f ca="1">_xlfn.IFNA(VLOOKUP($A157,INDIRECT("'W"&amp;S$1&amp;"'!$A$2:$T$1000"),4,FALSE),0)</f>
        <v>5</v>
      </c>
      <c r="T157" s="37">
        <f ca="1">_xlfn.IFNA(VLOOKUP($A157,INDIRECT("'W"&amp;T$1&amp;"'!$A$2:$T$1000"),4,FALSE),0)</f>
        <v>3.9000000000000004</v>
      </c>
      <c r="U157" s="36">
        <f ca="1">COUNTIF(C157:T157,"&gt; 15")</f>
        <v>2</v>
      </c>
      <c r="V157" s="36">
        <f ca="1">SUM(C157:T157)</f>
        <v>133.19999999999999</v>
      </c>
      <c r="W157" s="36"/>
      <c r="X157" s="38">
        <v>55</v>
      </c>
    </row>
    <row r="158" spans="1:24" ht="12.75" x14ac:dyDescent="0.2">
      <c r="A158" s="36" t="s">
        <v>427</v>
      </c>
      <c r="B158" s="36" t="s">
        <v>162</v>
      </c>
      <c r="C158" s="37">
        <f ca="1">_xlfn.IFNA(VLOOKUP($A158,INDIRECT("'W"&amp;C$1&amp;"'!$A$2:$T$1000"),4,FALSE),0)</f>
        <v>0</v>
      </c>
      <c r="D158" s="37">
        <f ca="1">_xlfn.IFNA(VLOOKUP($A158,INDIRECT("'W"&amp;D$1&amp;"'!$A$2:$T$1000"),4,FALSE),0)</f>
        <v>0</v>
      </c>
      <c r="E158" s="37">
        <f ca="1">_xlfn.IFNA(VLOOKUP($A158,INDIRECT("'W"&amp;E$1&amp;"'!$A$2:$T$1000"),4,FALSE),0)</f>
        <v>6.1</v>
      </c>
      <c r="F158" s="37">
        <f ca="1">_xlfn.IFNA(VLOOKUP($A158,INDIRECT("'W"&amp;F$1&amp;"'!$A$2:$T$1000"),4,FALSE),0)</f>
        <v>9.6999999999999993</v>
      </c>
      <c r="G158" s="37">
        <f ca="1">_xlfn.IFNA(VLOOKUP($A158,INDIRECT("'W"&amp;G$1&amp;"'!$A$2:$T$1000"),4,FALSE),0)</f>
        <v>6.8999999999999995</v>
      </c>
      <c r="H158" s="37">
        <f ca="1">_xlfn.IFNA(VLOOKUP($A158,INDIRECT("'W"&amp;H$1&amp;"'!$A$2:$T$1000"),4,FALSE),0)</f>
        <v>14.2</v>
      </c>
      <c r="I158" s="37">
        <f ca="1">_xlfn.IFNA(VLOOKUP($A158,INDIRECT("'W"&amp;I$1&amp;"'!$A$2:$T$1000"),4,FALSE),0)</f>
        <v>3.2</v>
      </c>
      <c r="J158" s="37">
        <f ca="1">_xlfn.IFNA(VLOOKUP($A158,INDIRECT("'W"&amp;J$1&amp;"'!$A$2:$T$1000"),4,FALSE),0)</f>
        <v>1.7000000000000002</v>
      </c>
      <c r="K158" s="37">
        <f ca="1">_xlfn.IFNA(VLOOKUP($A158,INDIRECT("'W"&amp;K$1&amp;"'!$A$2:$T$1000"),4,FALSE),0)</f>
        <v>13.5</v>
      </c>
      <c r="L158" s="37">
        <f ca="1">_xlfn.IFNA(VLOOKUP($A158,INDIRECT("'W"&amp;L$1&amp;"'!$A$2:$T$1000"),4,FALSE),0)</f>
        <v>2.6</v>
      </c>
      <c r="M158" s="37">
        <f ca="1">_xlfn.IFNA(VLOOKUP($A158,INDIRECT("'W"&amp;M$1&amp;"'!$A$2:$T$1000"),4,FALSE),0)</f>
        <v>6.7</v>
      </c>
      <c r="N158" s="37">
        <f ca="1">_xlfn.IFNA(VLOOKUP($A158,INDIRECT("'W"&amp;N$1&amp;"'!$A$2:$T$1000"),4,FALSE),0)</f>
        <v>6.6</v>
      </c>
      <c r="O158" s="37">
        <f ca="1">_xlfn.IFNA(VLOOKUP($A158,INDIRECT("'W"&amp;O$1&amp;"'!$A$2:$T$1000"),4,FALSE),0)</f>
        <v>0</v>
      </c>
      <c r="P158" s="37">
        <f ca="1">_xlfn.IFNA(VLOOKUP($A158,INDIRECT("'W"&amp;P$1&amp;"'!$A$2:$T$1000"),4,FALSE),0)</f>
        <v>17.5</v>
      </c>
      <c r="Q158" s="37">
        <f ca="1">_xlfn.IFNA(VLOOKUP($A158,INDIRECT("'W"&amp;Q$1&amp;"'!$A$2:$T$1000"),4,FALSE),0)</f>
        <v>6.5</v>
      </c>
      <c r="R158" s="37">
        <f ca="1">_xlfn.IFNA(VLOOKUP($A158,INDIRECT("'W"&amp;R$1&amp;"'!$A$2:$T$1000"),4,FALSE),0)</f>
        <v>4.5999999999999996</v>
      </c>
      <c r="S158" s="37">
        <f ca="1">_xlfn.IFNA(VLOOKUP($A158,INDIRECT("'W"&amp;S$1&amp;"'!$A$2:$T$1000"),4,FALSE),0)</f>
        <v>19.899999999999999</v>
      </c>
      <c r="T158" s="37">
        <f ca="1">_xlfn.IFNA(VLOOKUP($A158,INDIRECT("'W"&amp;T$1&amp;"'!$A$2:$T$1000"),4,FALSE),0)</f>
        <v>13.5</v>
      </c>
      <c r="U158" s="36">
        <f ca="1">COUNTIF(C158:T158,"&gt; 15")</f>
        <v>2</v>
      </c>
      <c r="V158" s="36">
        <f ca="1">SUM(C158:T158)</f>
        <v>133.19999999999999</v>
      </c>
      <c r="W158" s="36"/>
      <c r="X158" s="38"/>
    </row>
    <row r="159" spans="1:24" ht="12.75" x14ac:dyDescent="0.2">
      <c r="A159" s="36" t="s">
        <v>874</v>
      </c>
      <c r="B159" s="36" t="s">
        <v>849</v>
      </c>
      <c r="C159" s="37">
        <v>7</v>
      </c>
      <c r="D159" s="37">
        <v>13</v>
      </c>
      <c r="E159" s="37">
        <v>6</v>
      </c>
      <c r="F159" s="37">
        <v>1</v>
      </c>
      <c r="G159" s="37">
        <v>7</v>
      </c>
      <c r="H159" s="37">
        <v>5</v>
      </c>
      <c r="I159" s="37">
        <v>13</v>
      </c>
      <c r="J159" s="37">
        <v>12</v>
      </c>
      <c r="K159" s="37">
        <v>19</v>
      </c>
      <c r="L159" s="37">
        <v>5</v>
      </c>
      <c r="M159" s="37">
        <v>0</v>
      </c>
      <c r="N159" s="37">
        <v>6</v>
      </c>
      <c r="O159" s="37">
        <v>8</v>
      </c>
      <c r="P159" s="37">
        <v>3</v>
      </c>
      <c r="Q159" s="37">
        <v>1</v>
      </c>
      <c r="R159" s="37">
        <v>19</v>
      </c>
      <c r="S159" s="37">
        <v>3</v>
      </c>
      <c r="T159" s="37">
        <v>5</v>
      </c>
      <c r="U159" s="36">
        <f>COUNTIF(C159:T159,"&gt; 7")</f>
        <v>6</v>
      </c>
      <c r="V159" s="36">
        <f>SUM(C159:T159)</f>
        <v>133</v>
      </c>
      <c r="W159" s="36"/>
      <c r="X159" s="38">
        <v>98</v>
      </c>
    </row>
    <row r="160" spans="1:24" ht="12.75" x14ac:dyDescent="0.2">
      <c r="A160" s="36" t="s">
        <v>208</v>
      </c>
      <c r="B160" s="36" t="s">
        <v>162</v>
      </c>
      <c r="C160" s="37">
        <f ca="1">_xlfn.IFNA(VLOOKUP($A160,INDIRECT("'W"&amp;C$1&amp;"'!$A$2:$T$1000"),4,FALSE),0)</f>
        <v>9.1999999999999993</v>
      </c>
      <c r="D160" s="37">
        <f ca="1">_xlfn.IFNA(VLOOKUP($A160,INDIRECT("'W"&amp;D$1&amp;"'!$A$2:$T$1000"),4,FALSE),0)</f>
        <v>7.1</v>
      </c>
      <c r="E160" s="37">
        <f ca="1">_xlfn.IFNA(VLOOKUP($A160,INDIRECT("'W"&amp;E$1&amp;"'!$A$2:$T$1000"),4,FALSE),0)</f>
        <v>11.8</v>
      </c>
      <c r="F160" s="37">
        <f ca="1">_xlfn.IFNA(VLOOKUP($A160,INDIRECT("'W"&amp;F$1&amp;"'!$A$2:$T$1000"),4,FALSE),0)</f>
        <v>2</v>
      </c>
      <c r="G160" s="37">
        <f ca="1">_xlfn.IFNA(VLOOKUP($A160,INDIRECT("'W"&amp;G$1&amp;"'!$A$2:$T$1000"),4,FALSE),0)</f>
        <v>0</v>
      </c>
      <c r="H160" s="37">
        <f ca="1">_xlfn.IFNA(VLOOKUP($A160,INDIRECT("'W"&amp;H$1&amp;"'!$A$2:$T$1000"),4,FALSE),0)</f>
        <v>6.7</v>
      </c>
      <c r="I160" s="37">
        <f ca="1">_xlfn.IFNA(VLOOKUP($A160,INDIRECT("'W"&amp;I$1&amp;"'!$A$2:$T$1000"),4,FALSE),0)</f>
        <v>9.9</v>
      </c>
      <c r="J160" s="37">
        <f ca="1">_xlfn.IFNA(VLOOKUP($A160,INDIRECT("'W"&amp;J$1&amp;"'!$A$2:$T$1000"),4,FALSE),0)</f>
        <v>5</v>
      </c>
      <c r="K160" s="37">
        <f ca="1">_xlfn.IFNA(VLOOKUP($A160,INDIRECT("'W"&amp;K$1&amp;"'!$A$2:$T$1000"),4,FALSE),0)</f>
        <v>3.4000000000000004</v>
      </c>
      <c r="L160" s="37">
        <f ca="1">_xlfn.IFNA(VLOOKUP($A160,INDIRECT("'W"&amp;L$1&amp;"'!$A$2:$T$1000"),4,FALSE),0)</f>
        <v>15.4</v>
      </c>
      <c r="M160" s="37">
        <f ca="1">_xlfn.IFNA(VLOOKUP($A160,INDIRECT("'W"&amp;M$1&amp;"'!$A$2:$T$1000"),4,FALSE),0)</f>
        <v>12</v>
      </c>
      <c r="N160" s="37">
        <f ca="1">_xlfn.IFNA(VLOOKUP($A160,INDIRECT("'W"&amp;N$1&amp;"'!$A$2:$T$1000"),4,FALSE),0)</f>
        <v>5.4</v>
      </c>
      <c r="O160" s="37">
        <f ca="1">_xlfn.IFNA(VLOOKUP($A160,INDIRECT("'W"&amp;O$1&amp;"'!$A$2:$T$1000"),4,FALSE),0)</f>
        <v>12.3</v>
      </c>
      <c r="P160" s="37">
        <f ca="1">_xlfn.IFNA(VLOOKUP($A160,INDIRECT("'W"&amp;P$1&amp;"'!$A$2:$T$1000"),4,FALSE),0)</f>
        <v>7.2</v>
      </c>
      <c r="Q160" s="37">
        <f ca="1">_xlfn.IFNA(VLOOKUP($A160,INDIRECT("'W"&amp;Q$1&amp;"'!$A$2:$T$1000"),4,FALSE),0)</f>
        <v>3.7</v>
      </c>
      <c r="R160" s="37">
        <f ca="1">_xlfn.IFNA(VLOOKUP($A160,INDIRECT("'W"&amp;R$1&amp;"'!$A$2:$T$1000"),4,FALSE),0)</f>
        <v>3.9000000000000004</v>
      </c>
      <c r="S160" s="37">
        <f ca="1">_xlfn.IFNA(VLOOKUP($A160,INDIRECT("'W"&amp;S$1&amp;"'!$A$2:$T$1000"),4,FALSE),0)</f>
        <v>17.100000000000001</v>
      </c>
      <c r="T160" s="37">
        <f ca="1">_xlfn.IFNA(VLOOKUP($A160,INDIRECT("'W"&amp;T$1&amp;"'!$A$2:$T$1000"),4,FALSE),0)</f>
        <v>0</v>
      </c>
      <c r="U160" s="36">
        <f ca="1">COUNTIF(C160:T160,"&gt; 15")</f>
        <v>2</v>
      </c>
      <c r="V160" s="36">
        <f ca="1">SUM(C160:T160)</f>
        <v>132.10000000000002</v>
      </c>
      <c r="W160" s="36"/>
      <c r="X160" s="38"/>
    </row>
    <row r="161" spans="1:24" ht="12.75" x14ac:dyDescent="0.2">
      <c r="A161" s="36" t="s">
        <v>875</v>
      </c>
      <c r="B161" s="36" t="s">
        <v>849</v>
      </c>
      <c r="C161" s="37">
        <v>1</v>
      </c>
      <c r="D161" s="37">
        <v>12</v>
      </c>
      <c r="E161" s="37">
        <v>15</v>
      </c>
      <c r="F161" s="37">
        <v>6</v>
      </c>
      <c r="G161" s="37">
        <v>11</v>
      </c>
      <c r="H161" s="37">
        <v>0</v>
      </c>
      <c r="I161" s="37">
        <v>8</v>
      </c>
      <c r="J161" s="37">
        <v>3</v>
      </c>
      <c r="K161" s="37">
        <v>8</v>
      </c>
      <c r="L161" s="37">
        <v>13</v>
      </c>
      <c r="M161" s="37">
        <v>4</v>
      </c>
      <c r="N161" s="37">
        <v>11</v>
      </c>
      <c r="O161" s="37">
        <v>3</v>
      </c>
      <c r="P161" s="37">
        <v>6</v>
      </c>
      <c r="Q161" s="37">
        <v>1</v>
      </c>
      <c r="R161" s="37">
        <v>12</v>
      </c>
      <c r="S161" s="37">
        <v>12</v>
      </c>
      <c r="T161" s="37">
        <v>5</v>
      </c>
      <c r="U161" s="36">
        <f>COUNTIF(C161:T161,"&gt; 7")</f>
        <v>9</v>
      </c>
      <c r="V161" s="36">
        <f>SUM(C161:T161)</f>
        <v>131</v>
      </c>
      <c r="W161" s="36"/>
      <c r="X161" s="38"/>
    </row>
    <row r="162" spans="1:24" ht="12.75" x14ac:dyDescent="0.2">
      <c r="A162" s="36" t="s">
        <v>876</v>
      </c>
      <c r="B162" s="36" t="s">
        <v>851</v>
      </c>
      <c r="C162" s="37">
        <v>12</v>
      </c>
      <c r="D162" s="37">
        <v>9</v>
      </c>
      <c r="E162" s="37">
        <v>9</v>
      </c>
      <c r="F162" s="37">
        <v>2</v>
      </c>
      <c r="G162" s="37">
        <v>22</v>
      </c>
      <c r="H162" s="37">
        <v>6</v>
      </c>
      <c r="I162" s="37">
        <v>4</v>
      </c>
      <c r="J162" s="37">
        <v>3</v>
      </c>
      <c r="K162" s="37">
        <v>12</v>
      </c>
      <c r="L162" s="37">
        <v>0</v>
      </c>
      <c r="M162" s="37">
        <v>0</v>
      </c>
      <c r="N162" s="37">
        <v>3</v>
      </c>
      <c r="O162" s="37">
        <v>0</v>
      </c>
      <c r="P162" s="37">
        <v>18</v>
      </c>
      <c r="Q162" s="37">
        <v>14</v>
      </c>
      <c r="R162" s="37">
        <v>-5</v>
      </c>
      <c r="S162" s="37">
        <v>13</v>
      </c>
      <c r="T162" s="37">
        <v>7</v>
      </c>
      <c r="U162" s="36">
        <f>COUNTIF(C162:T162,"&gt; 9")</f>
        <v>6</v>
      </c>
      <c r="V162" s="36">
        <f>SUM(C162:T162)</f>
        <v>129</v>
      </c>
      <c r="W162" s="36"/>
      <c r="X162" s="38">
        <v>157</v>
      </c>
    </row>
    <row r="163" spans="1:24" ht="12.75" x14ac:dyDescent="0.2">
      <c r="A163" s="36" t="s">
        <v>877</v>
      </c>
      <c r="B163" s="36" t="s">
        <v>849</v>
      </c>
      <c r="C163" s="37">
        <v>18</v>
      </c>
      <c r="D163" s="37">
        <v>10</v>
      </c>
      <c r="E163" s="37">
        <v>4</v>
      </c>
      <c r="F163" s="37">
        <v>11</v>
      </c>
      <c r="G163" s="37">
        <v>12</v>
      </c>
      <c r="H163" s="37">
        <v>10</v>
      </c>
      <c r="I163" s="37">
        <v>0</v>
      </c>
      <c r="J163" s="37">
        <v>3</v>
      </c>
      <c r="K163" s="37">
        <v>11</v>
      </c>
      <c r="L163" s="37">
        <v>5</v>
      </c>
      <c r="M163" s="37">
        <v>2</v>
      </c>
      <c r="N163" s="37">
        <v>7</v>
      </c>
      <c r="O163" s="37">
        <v>9</v>
      </c>
      <c r="P163" s="37">
        <v>8</v>
      </c>
      <c r="Q163" s="37">
        <v>5</v>
      </c>
      <c r="R163" s="37">
        <v>5</v>
      </c>
      <c r="S163" s="37">
        <v>5</v>
      </c>
      <c r="T163" s="37">
        <v>4</v>
      </c>
      <c r="U163" s="36">
        <f>COUNTIF(C163:T163,"&gt; 7")</f>
        <v>8</v>
      </c>
      <c r="V163" s="36">
        <f>SUM(C163:T163)</f>
        <v>129</v>
      </c>
      <c r="W163" s="36"/>
      <c r="X163" s="38"/>
    </row>
    <row r="164" spans="1:24" ht="12.75" x14ac:dyDescent="0.2">
      <c r="A164" s="36" t="s">
        <v>191</v>
      </c>
      <c r="B164" s="36" t="s">
        <v>162</v>
      </c>
      <c r="C164" s="37">
        <f ca="1">_xlfn.IFNA(VLOOKUP($A164,INDIRECT("'W"&amp;C$1&amp;"'!$A$2:$T$1000"),4,FALSE),0)</f>
        <v>12</v>
      </c>
      <c r="D164" s="37">
        <f ca="1">_xlfn.IFNA(VLOOKUP($A164,INDIRECT("'W"&amp;D$1&amp;"'!$A$2:$T$1000"),4,FALSE),0)</f>
        <v>23.6</v>
      </c>
      <c r="E164" s="37">
        <f ca="1">_xlfn.IFNA(VLOOKUP($A164,INDIRECT("'W"&amp;E$1&amp;"'!$A$2:$T$1000"),4,FALSE),0)</f>
        <v>0</v>
      </c>
      <c r="F164" s="37">
        <f ca="1">_xlfn.IFNA(VLOOKUP($A164,INDIRECT("'W"&amp;F$1&amp;"'!$A$2:$T$1000"),4,FALSE),0)</f>
        <v>9.9</v>
      </c>
      <c r="G164" s="37">
        <f ca="1">_xlfn.IFNA(VLOOKUP($A164,INDIRECT("'W"&amp;G$1&amp;"'!$A$2:$T$1000"),4,FALSE),0)</f>
        <v>17.600000000000001</v>
      </c>
      <c r="H164" s="37">
        <f ca="1">_xlfn.IFNA(VLOOKUP($A164,INDIRECT("'W"&amp;H$1&amp;"'!$A$2:$T$1000"),4,FALSE),0)</f>
        <v>8</v>
      </c>
      <c r="I164" s="37">
        <f ca="1">_xlfn.IFNA(VLOOKUP($A164,INDIRECT("'W"&amp;I$1&amp;"'!$A$2:$T$1000"),4,FALSE),0)</f>
        <v>6.3</v>
      </c>
      <c r="J164" s="37">
        <f ca="1">_xlfn.IFNA(VLOOKUP($A164,INDIRECT("'W"&amp;J$1&amp;"'!$A$2:$T$1000"),4,FALSE),0)</f>
        <v>0.29999999999999982</v>
      </c>
      <c r="K164" s="37">
        <f ca="1">_xlfn.IFNA(VLOOKUP($A164,INDIRECT("'W"&amp;K$1&amp;"'!$A$2:$T$1000"),4,FALSE),0)</f>
        <v>0</v>
      </c>
      <c r="L164" s="37">
        <f ca="1">_xlfn.IFNA(VLOOKUP($A164,INDIRECT("'W"&amp;L$1&amp;"'!$A$2:$T$1000"),4,FALSE),0)</f>
        <v>3.5</v>
      </c>
      <c r="M164" s="37">
        <f ca="1">_xlfn.IFNA(VLOOKUP($A164,INDIRECT("'W"&amp;M$1&amp;"'!$A$2:$T$1000"),4,FALSE),0)</f>
        <v>2.1</v>
      </c>
      <c r="N164" s="37">
        <f ca="1">_xlfn.IFNA(VLOOKUP($A164,INDIRECT("'W"&amp;N$1&amp;"'!$A$2:$T$1000"),4,FALSE),0)</f>
        <v>9.5</v>
      </c>
      <c r="O164" s="37">
        <f ca="1">_xlfn.IFNA(VLOOKUP($A164,INDIRECT("'W"&amp;O$1&amp;"'!$A$2:$T$1000"),4,FALSE),0)</f>
        <v>2.2000000000000002</v>
      </c>
      <c r="P164" s="37">
        <f ca="1">_xlfn.IFNA(VLOOKUP($A164,INDIRECT("'W"&amp;P$1&amp;"'!$A$2:$T$1000"),4,FALSE),0)</f>
        <v>13.4</v>
      </c>
      <c r="Q164" s="37">
        <f ca="1">_xlfn.IFNA(VLOOKUP($A164,INDIRECT("'W"&amp;Q$1&amp;"'!$A$2:$T$1000"),4,FALSE),0)</f>
        <v>6.1000000000000005</v>
      </c>
      <c r="R164" s="37">
        <f ca="1">_xlfn.IFNA(VLOOKUP($A164,INDIRECT("'W"&amp;R$1&amp;"'!$A$2:$T$1000"),4,FALSE),0)</f>
        <v>2.6</v>
      </c>
      <c r="S164" s="37">
        <f ca="1">_xlfn.IFNA(VLOOKUP($A164,INDIRECT("'W"&amp;S$1&amp;"'!$A$2:$T$1000"),4,FALSE),0)</f>
        <v>2.2999999999999998</v>
      </c>
      <c r="T164" s="37">
        <f ca="1">_xlfn.IFNA(VLOOKUP($A164,INDIRECT("'W"&amp;T$1&amp;"'!$A$2:$T$1000"),4,FALSE),0)</f>
        <v>9.4</v>
      </c>
      <c r="U164" s="36">
        <f ca="1">COUNTIF(C164:T164,"&gt; 15")</f>
        <v>2</v>
      </c>
      <c r="V164" s="36">
        <f ca="1">SUM(C164:T164)</f>
        <v>128.79999999999998</v>
      </c>
      <c r="W164" s="36"/>
      <c r="X164" s="38"/>
    </row>
    <row r="165" spans="1:24" ht="12.75" x14ac:dyDescent="0.2">
      <c r="A165" s="36" t="s">
        <v>878</v>
      </c>
      <c r="B165" s="36" t="s">
        <v>849</v>
      </c>
      <c r="C165" s="37">
        <v>13</v>
      </c>
      <c r="D165" s="37">
        <v>8</v>
      </c>
      <c r="E165" s="37">
        <v>15</v>
      </c>
      <c r="F165" s="37">
        <v>14</v>
      </c>
      <c r="G165" s="37">
        <v>2</v>
      </c>
      <c r="H165" s="37">
        <v>0</v>
      </c>
      <c r="I165" s="37">
        <v>4</v>
      </c>
      <c r="J165" s="37">
        <v>6</v>
      </c>
      <c r="K165" s="37">
        <v>4</v>
      </c>
      <c r="L165" s="37">
        <v>2</v>
      </c>
      <c r="M165" s="37">
        <v>17</v>
      </c>
      <c r="N165" s="37">
        <v>10</v>
      </c>
      <c r="O165" s="37">
        <v>0</v>
      </c>
      <c r="P165" s="37">
        <v>8</v>
      </c>
      <c r="Q165" s="37">
        <v>7</v>
      </c>
      <c r="R165" s="37">
        <v>6</v>
      </c>
      <c r="S165" s="37">
        <v>9</v>
      </c>
      <c r="T165" s="37">
        <v>3</v>
      </c>
      <c r="U165" s="36">
        <f>COUNTIF(C165:T165,"&gt; 7")</f>
        <v>8</v>
      </c>
      <c r="V165" s="36">
        <f>SUM(C165:T165)</f>
        <v>128</v>
      </c>
      <c r="W165" s="36"/>
      <c r="X165" s="38">
        <v>137</v>
      </c>
    </row>
    <row r="166" spans="1:24" ht="12.75" x14ac:dyDescent="0.2">
      <c r="A166" s="36" t="s">
        <v>145</v>
      </c>
      <c r="B166" s="36" t="s">
        <v>75</v>
      </c>
      <c r="C166" s="37">
        <f ca="1">_xlfn.IFNA(VLOOKUP($A166,INDIRECT("'W"&amp;C$1&amp;"'!$A$2:$T$1000"),4,FALSE),0)</f>
        <v>0.89999999999999991</v>
      </c>
      <c r="D166" s="37">
        <f ca="1">_xlfn.IFNA(VLOOKUP($A166,INDIRECT("'W"&amp;D$1&amp;"'!$A$2:$T$1000"),4,FALSE),0)</f>
        <v>8.3000000000000007</v>
      </c>
      <c r="E166" s="37">
        <f ca="1">_xlfn.IFNA(VLOOKUP($A166,INDIRECT("'W"&amp;E$1&amp;"'!$A$2:$T$1000"),4,FALSE),0)</f>
        <v>3.4000000000000004</v>
      </c>
      <c r="F166" s="37">
        <f ca="1">_xlfn.IFNA(VLOOKUP($A166,INDIRECT("'W"&amp;F$1&amp;"'!$A$2:$T$1000"),4,FALSE),0)</f>
        <v>3.6000000000000005</v>
      </c>
      <c r="G166" s="37">
        <f ca="1">_xlfn.IFNA(VLOOKUP($A166,INDIRECT("'W"&amp;G$1&amp;"'!$A$2:$T$1000"),4,FALSE),0)</f>
        <v>10.4</v>
      </c>
      <c r="H166" s="37">
        <f ca="1">_xlfn.IFNA(VLOOKUP($A166,INDIRECT("'W"&amp;H$1&amp;"'!$A$2:$T$1000"),4,FALSE),0)</f>
        <v>8.6</v>
      </c>
      <c r="I166" s="37">
        <f ca="1">_xlfn.IFNA(VLOOKUP($A166,INDIRECT("'W"&amp;I$1&amp;"'!$A$2:$T$1000"),4,FALSE),0)</f>
        <v>5.1000000000000005</v>
      </c>
      <c r="J166" s="37">
        <f ca="1">_xlfn.IFNA(VLOOKUP($A166,INDIRECT("'W"&amp;J$1&amp;"'!$A$2:$T$1000"),4,FALSE),0)</f>
        <v>9.2000000000000011</v>
      </c>
      <c r="K166" s="37">
        <f ca="1">_xlfn.IFNA(VLOOKUP($A166,INDIRECT("'W"&amp;K$1&amp;"'!$A$2:$T$1000"),4,FALSE),0)</f>
        <v>12.600000000000001</v>
      </c>
      <c r="L166" s="37">
        <f ca="1">_xlfn.IFNA(VLOOKUP($A166,INDIRECT("'W"&amp;L$1&amp;"'!$A$2:$T$1000"),4,FALSE),0)</f>
        <v>16.5</v>
      </c>
      <c r="M166" s="37">
        <f ca="1">_xlfn.IFNA(VLOOKUP($A166,INDIRECT("'W"&amp;M$1&amp;"'!$A$2:$T$1000"),4,FALSE),0)</f>
        <v>0</v>
      </c>
      <c r="N166" s="37">
        <f ca="1">_xlfn.IFNA(VLOOKUP($A166,INDIRECT("'W"&amp;N$1&amp;"'!$A$2:$T$1000"),4,FALSE),0)</f>
        <v>6.6999999999999993</v>
      </c>
      <c r="O166" s="37">
        <f ca="1">_xlfn.IFNA(VLOOKUP($A166,INDIRECT("'W"&amp;O$1&amp;"'!$A$2:$T$1000"),4,FALSE),0)</f>
        <v>11.2</v>
      </c>
      <c r="P166" s="37">
        <f ca="1">_xlfn.IFNA(VLOOKUP($A166,INDIRECT("'W"&amp;P$1&amp;"'!$A$2:$T$1000"),4,FALSE),0)</f>
        <v>0</v>
      </c>
      <c r="Q166" s="37">
        <f ca="1">_xlfn.IFNA(VLOOKUP($A166,INDIRECT("'W"&amp;Q$1&amp;"'!$A$2:$T$1000"),4,FALSE),0)</f>
        <v>8.5</v>
      </c>
      <c r="R166" s="37">
        <f ca="1">_xlfn.IFNA(VLOOKUP($A166,INDIRECT("'W"&amp;R$1&amp;"'!$A$2:$T$1000"),4,FALSE),0)</f>
        <v>10.199999999999999</v>
      </c>
      <c r="S166" s="37">
        <f ca="1">_xlfn.IFNA(VLOOKUP($A166,INDIRECT("'W"&amp;S$1&amp;"'!$A$2:$T$1000"),4,FALSE),0)</f>
        <v>5.6000000000000005</v>
      </c>
      <c r="T166" s="37">
        <f ca="1">_xlfn.IFNA(VLOOKUP($A166,INDIRECT("'W"&amp;T$1&amp;"'!$A$2:$T$1000"),4,FALSE),0)</f>
        <v>6.6</v>
      </c>
      <c r="U166" s="36">
        <f ca="1">COUNTIF(C166:T166,"&gt; 15")</f>
        <v>1</v>
      </c>
      <c r="V166" s="36">
        <f ca="1">SUM(C166:T166)</f>
        <v>127.4</v>
      </c>
      <c r="W166" s="36"/>
      <c r="X166" s="38"/>
    </row>
    <row r="167" spans="1:24" ht="12.75" x14ac:dyDescent="0.2">
      <c r="A167" s="36" t="s">
        <v>879</v>
      </c>
      <c r="B167" s="36" t="s">
        <v>849</v>
      </c>
      <c r="C167" s="37">
        <v>14</v>
      </c>
      <c r="D167" s="37">
        <v>14</v>
      </c>
      <c r="E167" s="37">
        <v>12</v>
      </c>
      <c r="F167" s="37">
        <v>5</v>
      </c>
      <c r="G167" s="37">
        <v>6</v>
      </c>
      <c r="H167" s="37">
        <v>3</v>
      </c>
      <c r="I167" s="37">
        <v>6</v>
      </c>
      <c r="J167" s="37">
        <v>5</v>
      </c>
      <c r="K167" s="37">
        <v>0</v>
      </c>
      <c r="L167" s="37">
        <v>10</v>
      </c>
      <c r="M167" s="37">
        <v>9</v>
      </c>
      <c r="N167" s="37">
        <v>7</v>
      </c>
      <c r="O167" s="37">
        <v>6</v>
      </c>
      <c r="P167" s="37">
        <v>4</v>
      </c>
      <c r="Q167" s="37">
        <v>10</v>
      </c>
      <c r="R167" s="37">
        <v>6</v>
      </c>
      <c r="S167" s="37">
        <v>9</v>
      </c>
      <c r="T167" s="37">
        <v>1</v>
      </c>
      <c r="U167" s="36">
        <f>COUNTIF(C167:T167,"&gt; 7")</f>
        <v>7</v>
      </c>
      <c r="V167" s="36">
        <f>SUM(C167:T167)</f>
        <v>127</v>
      </c>
      <c r="W167" s="36"/>
      <c r="X167" s="38"/>
    </row>
    <row r="168" spans="1:24" ht="12.75" x14ac:dyDescent="0.2">
      <c r="A168" s="36" t="s">
        <v>282</v>
      </c>
      <c r="B168" s="36" t="s">
        <v>69</v>
      </c>
      <c r="C168" s="37">
        <f ca="1">_xlfn.IFNA(VLOOKUP($A168,INDIRECT("'W"&amp;C$1&amp;"'!$A$2:$T$1000"),4,FALSE),0)</f>
        <v>8.3000000000000007</v>
      </c>
      <c r="D168" s="37">
        <f ca="1">_xlfn.IFNA(VLOOKUP($A168,INDIRECT("'W"&amp;D$1&amp;"'!$A$2:$T$1000"),4,FALSE),0)</f>
        <v>10.199999999999999</v>
      </c>
      <c r="E168" s="37">
        <f ca="1">_xlfn.IFNA(VLOOKUP($A168,INDIRECT("'W"&amp;E$1&amp;"'!$A$2:$T$1000"),4,FALSE),0)</f>
        <v>0</v>
      </c>
      <c r="F168" s="37">
        <f ca="1">_xlfn.IFNA(VLOOKUP($A168,INDIRECT("'W"&amp;F$1&amp;"'!$A$2:$T$1000"),4,FALSE),0)</f>
        <v>7.3000000000000007</v>
      </c>
      <c r="G168" s="37">
        <f ca="1">_xlfn.IFNA(VLOOKUP($A168,INDIRECT("'W"&amp;G$1&amp;"'!$A$2:$T$1000"),4,FALSE),0)</f>
        <v>20.7</v>
      </c>
      <c r="H168" s="37">
        <f ca="1">_xlfn.IFNA(VLOOKUP($A168,INDIRECT("'W"&amp;H$1&amp;"'!$A$2:$T$1000"),4,FALSE),0)</f>
        <v>1.2</v>
      </c>
      <c r="I168" s="37">
        <f ca="1">_xlfn.IFNA(VLOOKUP($A168,INDIRECT("'W"&amp;I$1&amp;"'!$A$2:$T$1000"),4,FALSE),0)</f>
        <v>9.1000000000000014</v>
      </c>
      <c r="J168" s="37">
        <f ca="1">_xlfn.IFNA(VLOOKUP($A168,INDIRECT("'W"&amp;J$1&amp;"'!$A$2:$T$1000"),4,FALSE),0)</f>
        <v>16.399999999999999</v>
      </c>
      <c r="K168" s="37">
        <f ca="1">_xlfn.IFNA(VLOOKUP($A168,INDIRECT("'W"&amp;K$1&amp;"'!$A$2:$T$1000"),4,FALSE),0)</f>
        <v>7.1</v>
      </c>
      <c r="L168" s="37">
        <f ca="1">_xlfn.IFNA(VLOOKUP($A168,INDIRECT("'W"&amp;L$1&amp;"'!$A$2:$T$1000"),4,FALSE),0)</f>
        <v>9</v>
      </c>
      <c r="M168" s="37">
        <f ca="1">_xlfn.IFNA(VLOOKUP($A168,INDIRECT("'W"&amp;M$1&amp;"'!$A$2:$T$1000"),4,FALSE),0)</f>
        <v>8.8000000000000007</v>
      </c>
      <c r="N168" s="37">
        <f ca="1">_xlfn.IFNA(VLOOKUP($A168,INDIRECT("'W"&amp;N$1&amp;"'!$A$2:$T$1000"),4,FALSE),0)</f>
        <v>3.5</v>
      </c>
      <c r="O168" s="37">
        <f ca="1">_xlfn.IFNA(VLOOKUP($A168,INDIRECT("'W"&amp;O$1&amp;"'!$A$2:$T$1000"),4,FALSE),0)</f>
        <v>2</v>
      </c>
      <c r="P168" s="37">
        <f ca="1">_xlfn.IFNA(VLOOKUP($A168,INDIRECT("'W"&amp;P$1&amp;"'!$A$2:$T$1000"),4,FALSE),0)</f>
        <v>0</v>
      </c>
      <c r="Q168" s="37">
        <f ca="1">_xlfn.IFNA(VLOOKUP($A168,INDIRECT("'W"&amp;Q$1&amp;"'!$A$2:$T$1000"),4,FALSE),0)</f>
        <v>1.7000000000000002</v>
      </c>
      <c r="R168" s="37">
        <f ca="1">_xlfn.IFNA(VLOOKUP($A168,INDIRECT("'W"&amp;R$1&amp;"'!$A$2:$T$1000"),4,FALSE),0)</f>
        <v>14.6</v>
      </c>
      <c r="S168" s="37">
        <f ca="1">_xlfn.IFNA(VLOOKUP($A168,INDIRECT("'W"&amp;S$1&amp;"'!$A$2:$T$1000"),4,FALSE),0)</f>
        <v>5</v>
      </c>
      <c r="T168" s="37">
        <f ca="1">_xlfn.IFNA(VLOOKUP($A168,INDIRECT("'W"&amp;T$1&amp;"'!$A$2:$T$1000"),4,FALSE),0)</f>
        <v>1.9</v>
      </c>
      <c r="U168" s="36">
        <f ca="1">COUNTIF(C168:T168,"&gt; 15")</f>
        <v>2</v>
      </c>
      <c r="V168" s="36">
        <f ca="1">SUM(C168:T168)</f>
        <v>126.8</v>
      </c>
      <c r="W168" s="36"/>
      <c r="X168" s="38"/>
    </row>
    <row r="169" spans="1:24" ht="12.75" x14ac:dyDescent="0.2">
      <c r="A169" s="36" t="s">
        <v>476</v>
      </c>
      <c r="B169" s="36" t="s">
        <v>17</v>
      </c>
      <c r="C169" s="37">
        <f ca="1">_xlfn.IFNA(VLOOKUP($A169,INDIRECT("'W"&amp;C$1&amp;"'!$A$2:$T$1000"),4,FALSE),0)</f>
        <v>0</v>
      </c>
      <c r="D169" s="37">
        <f ca="1">_xlfn.IFNA(VLOOKUP($A169,INDIRECT("'W"&amp;D$1&amp;"'!$A$2:$T$1000"),4,FALSE),0)</f>
        <v>0</v>
      </c>
      <c r="E169" s="37">
        <f ca="1">_xlfn.IFNA(VLOOKUP($A169,INDIRECT("'W"&amp;E$1&amp;"'!$A$2:$T$1000"),4,FALSE),0)</f>
        <v>0</v>
      </c>
      <c r="F169" s="37">
        <f ca="1">_xlfn.IFNA(VLOOKUP($A169,INDIRECT("'W"&amp;F$1&amp;"'!$A$2:$T$1000"),4,FALSE),0)</f>
        <v>9.82</v>
      </c>
      <c r="G169" s="37">
        <f ca="1">_xlfn.IFNA(VLOOKUP($A169,INDIRECT("'W"&amp;G$1&amp;"'!$A$2:$T$1000"),4,FALSE),0)</f>
        <v>0</v>
      </c>
      <c r="H169" s="37">
        <f ca="1">_xlfn.IFNA(VLOOKUP($A169,INDIRECT("'W"&amp;H$1&amp;"'!$A$2:$T$1000"),4,FALSE),0)</f>
        <v>0</v>
      </c>
      <c r="I169" s="37">
        <f ca="1">_xlfn.IFNA(VLOOKUP($A169,INDIRECT("'W"&amp;I$1&amp;"'!$A$2:$T$1000"),4,FALSE),0)</f>
        <v>5</v>
      </c>
      <c r="J169" s="37">
        <f ca="1">_xlfn.IFNA(VLOOKUP($A169,INDIRECT("'W"&amp;J$1&amp;"'!$A$2:$T$1000"),4,FALSE),0)</f>
        <v>0</v>
      </c>
      <c r="K169" s="37">
        <f ca="1">_xlfn.IFNA(VLOOKUP($A169,INDIRECT("'W"&amp;K$1&amp;"'!$A$2:$T$1000"),4,FALSE),0)</f>
        <v>8.36</v>
      </c>
      <c r="L169" s="37">
        <f ca="1">_xlfn.IFNA(VLOOKUP($A169,INDIRECT("'W"&amp;L$1&amp;"'!$A$2:$T$1000"),4,FALSE),0)</f>
        <v>8.4200000000000017</v>
      </c>
      <c r="M169" s="37">
        <f ca="1">_xlfn.IFNA(VLOOKUP($A169,INDIRECT("'W"&amp;M$1&amp;"'!$A$2:$T$1000"),4,FALSE),0)</f>
        <v>9.14</v>
      </c>
      <c r="N169" s="37">
        <f ca="1">_xlfn.IFNA(VLOOKUP($A169,INDIRECT("'W"&amp;N$1&amp;"'!$A$2:$T$1000"),4,FALSE),0)</f>
        <v>13.92</v>
      </c>
      <c r="O169" s="37">
        <f ca="1">_xlfn.IFNA(VLOOKUP($A169,INDIRECT("'W"&amp;O$1&amp;"'!$A$2:$T$1000"),4,FALSE),0)</f>
        <v>0</v>
      </c>
      <c r="P169" s="37">
        <f ca="1">_xlfn.IFNA(VLOOKUP($A169,INDIRECT("'W"&amp;P$1&amp;"'!$A$2:$T$1000"),4,FALSE),0)</f>
        <v>5.04</v>
      </c>
      <c r="Q169" s="37">
        <f ca="1">_xlfn.IFNA(VLOOKUP($A169,INDIRECT("'W"&amp;Q$1&amp;"'!$A$2:$T$1000"),4,FALSE),0)</f>
        <v>25.92</v>
      </c>
      <c r="R169" s="37">
        <f ca="1">_xlfn.IFNA(VLOOKUP($A169,INDIRECT("'W"&amp;R$1&amp;"'!$A$2:$T$1000"),4,FALSE),0)</f>
        <v>2.08</v>
      </c>
      <c r="S169" s="37">
        <f ca="1">_xlfn.IFNA(VLOOKUP($A169,INDIRECT("'W"&amp;S$1&amp;"'!$A$2:$T$1000"),4,FALSE),0)</f>
        <v>20.260000000000002</v>
      </c>
      <c r="T169" s="37">
        <f ca="1">_xlfn.IFNA(VLOOKUP($A169,INDIRECT("'W"&amp;T$1&amp;"'!$A$2:$T$1000"),4,FALSE),0)</f>
        <v>17.86</v>
      </c>
      <c r="U169" s="36">
        <f ca="1">COUNTIF(C169:T169,"&gt; 15")</f>
        <v>3</v>
      </c>
      <c r="V169" s="36">
        <f ca="1">SUM(C169:T169)</f>
        <v>125.82000000000001</v>
      </c>
      <c r="W169" s="36"/>
      <c r="X169" s="38"/>
    </row>
    <row r="170" spans="1:24" ht="12.75" x14ac:dyDescent="0.2">
      <c r="A170" s="36" t="s">
        <v>880</v>
      </c>
      <c r="B170" s="36" t="s">
        <v>851</v>
      </c>
      <c r="C170" s="37">
        <v>3</v>
      </c>
      <c r="D170" s="37">
        <v>23</v>
      </c>
      <c r="E170" s="37">
        <v>7</v>
      </c>
      <c r="F170" s="37">
        <v>-6</v>
      </c>
      <c r="G170" s="37">
        <v>17</v>
      </c>
      <c r="H170" s="37">
        <v>0</v>
      </c>
      <c r="I170" s="37">
        <v>4</v>
      </c>
      <c r="J170" s="37">
        <v>8</v>
      </c>
      <c r="K170" s="37">
        <v>7</v>
      </c>
      <c r="L170" s="37">
        <v>6</v>
      </c>
      <c r="M170" s="37">
        <v>8</v>
      </c>
      <c r="N170" s="37">
        <v>11</v>
      </c>
      <c r="O170" s="37">
        <v>4</v>
      </c>
      <c r="P170" s="37">
        <v>4</v>
      </c>
      <c r="Q170" s="37">
        <v>3</v>
      </c>
      <c r="R170" s="37">
        <v>11</v>
      </c>
      <c r="S170" s="37">
        <v>2</v>
      </c>
      <c r="T170" s="37">
        <v>13</v>
      </c>
      <c r="U170" s="36">
        <f>COUNTIF(C170:T170,"&gt; 9")</f>
        <v>5</v>
      </c>
      <c r="V170" s="36">
        <f>SUM(C170:T170)</f>
        <v>125</v>
      </c>
      <c r="W170" s="36"/>
      <c r="X170" s="38">
        <v>109</v>
      </c>
    </row>
    <row r="171" spans="1:24" ht="12.75" x14ac:dyDescent="0.2">
      <c r="A171" s="36" t="s">
        <v>203</v>
      </c>
      <c r="B171" s="36" t="s">
        <v>162</v>
      </c>
      <c r="C171" s="37">
        <f ca="1">_xlfn.IFNA(VLOOKUP($A171,INDIRECT("'W"&amp;C$1&amp;"'!$A$2:$T$1000"),4,FALSE),0)</f>
        <v>9</v>
      </c>
      <c r="D171" s="37">
        <f ca="1">_xlfn.IFNA(VLOOKUP($A171,INDIRECT("'W"&amp;D$1&amp;"'!$A$2:$T$1000"),4,FALSE),0)</f>
        <v>5.2</v>
      </c>
      <c r="E171" s="37">
        <f ca="1">_xlfn.IFNA(VLOOKUP($A171,INDIRECT("'W"&amp;E$1&amp;"'!$A$2:$T$1000"),4,FALSE),0)</f>
        <v>4.0999999999999996</v>
      </c>
      <c r="F171" s="37">
        <f ca="1">_xlfn.IFNA(VLOOKUP($A171,INDIRECT("'W"&amp;F$1&amp;"'!$A$2:$T$1000"),4,FALSE),0)</f>
        <v>12.7</v>
      </c>
      <c r="G171" s="37">
        <f ca="1">_xlfn.IFNA(VLOOKUP($A171,INDIRECT("'W"&amp;G$1&amp;"'!$A$2:$T$1000"),4,FALSE),0)</f>
        <v>6</v>
      </c>
      <c r="H171" s="37">
        <f ca="1">_xlfn.IFNA(VLOOKUP($A171,INDIRECT("'W"&amp;H$1&amp;"'!$A$2:$T$1000"),4,FALSE),0)</f>
        <v>0</v>
      </c>
      <c r="I171" s="37">
        <f ca="1">_xlfn.IFNA(VLOOKUP($A171,INDIRECT("'W"&amp;I$1&amp;"'!$A$2:$T$1000"),4,FALSE),0)</f>
        <v>9.3000000000000007</v>
      </c>
      <c r="J171" s="37">
        <f ca="1">_xlfn.IFNA(VLOOKUP($A171,INDIRECT("'W"&amp;J$1&amp;"'!$A$2:$T$1000"),4,FALSE),0)</f>
        <v>24.8</v>
      </c>
      <c r="K171" s="37">
        <f ca="1">_xlfn.IFNA(VLOOKUP($A171,INDIRECT("'W"&amp;K$1&amp;"'!$A$2:$T$1000"),4,FALSE),0)</f>
        <v>16.899999999999999</v>
      </c>
      <c r="L171" s="37">
        <f ca="1">_xlfn.IFNA(VLOOKUP($A171,INDIRECT("'W"&amp;L$1&amp;"'!$A$2:$T$1000"),4,FALSE),0)</f>
        <v>0</v>
      </c>
      <c r="M171" s="37">
        <f ca="1">_xlfn.IFNA(VLOOKUP($A171,INDIRECT("'W"&amp;M$1&amp;"'!$A$2:$T$1000"),4,FALSE),0)</f>
        <v>11.3</v>
      </c>
      <c r="N171" s="37">
        <f ca="1">_xlfn.IFNA(VLOOKUP($A171,INDIRECT("'W"&amp;N$1&amp;"'!$A$2:$T$1000"),4,FALSE),0)</f>
        <v>10.199999999999999</v>
      </c>
      <c r="O171" s="37">
        <f ca="1">_xlfn.IFNA(VLOOKUP($A171,INDIRECT("'W"&amp;O$1&amp;"'!$A$2:$T$1000"),4,FALSE),0)</f>
        <v>4.3000000000000007</v>
      </c>
      <c r="P171" s="37">
        <f ca="1">_xlfn.IFNA(VLOOKUP($A171,INDIRECT("'W"&amp;P$1&amp;"'!$A$2:$T$1000"),4,FALSE),0)</f>
        <v>0</v>
      </c>
      <c r="Q171" s="37">
        <f ca="1">_xlfn.IFNA(VLOOKUP($A171,INDIRECT("'W"&amp;Q$1&amp;"'!$A$2:$T$1000"),4,FALSE),0)</f>
        <v>2.2000000000000002</v>
      </c>
      <c r="R171" s="37">
        <f ca="1">_xlfn.IFNA(VLOOKUP($A171,INDIRECT("'W"&amp;R$1&amp;"'!$A$2:$T$1000"),4,FALSE),0)</f>
        <v>5.0999999999999996</v>
      </c>
      <c r="S171" s="37">
        <f ca="1">_xlfn.IFNA(VLOOKUP($A171,INDIRECT("'W"&amp;S$1&amp;"'!$A$2:$T$1000"),4,FALSE),0)</f>
        <v>0</v>
      </c>
      <c r="T171" s="37">
        <f ca="1">_xlfn.IFNA(VLOOKUP($A171,INDIRECT("'W"&amp;T$1&amp;"'!$A$2:$T$1000"),4,FALSE),0)</f>
        <v>3.7</v>
      </c>
      <c r="U171" s="36">
        <f ca="1">COUNTIF(C171:T171,"&gt; 15")</f>
        <v>2</v>
      </c>
      <c r="V171" s="36">
        <f ca="1">SUM(C171:T171)</f>
        <v>124.8</v>
      </c>
      <c r="W171" s="36"/>
      <c r="X171" s="38"/>
    </row>
    <row r="172" spans="1:24" ht="12.75" x14ac:dyDescent="0.2">
      <c r="A172" s="36" t="s">
        <v>348</v>
      </c>
      <c r="B172" s="36" t="s">
        <v>69</v>
      </c>
      <c r="C172" s="37">
        <f ca="1">_xlfn.IFNA(VLOOKUP($A172,INDIRECT("'W"&amp;C$1&amp;"'!$A$2:$T$1000"),4,FALSE),0)</f>
        <v>0</v>
      </c>
      <c r="D172" s="37">
        <f ca="1">_xlfn.IFNA(VLOOKUP($A172,INDIRECT("'W"&amp;D$1&amp;"'!$A$2:$T$1000"),4,FALSE),0)</f>
        <v>8.6999999999999993</v>
      </c>
      <c r="E172" s="37">
        <f ca="1">_xlfn.IFNA(VLOOKUP($A172,INDIRECT("'W"&amp;E$1&amp;"'!$A$2:$T$1000"),4,FALSE),0)</f>
        <v>8.6999999999999993</v>
      </c>
      <c r="F172" s="37">
        <f ca="1">_xlfn.IFNA(VLOOKUP($A172,INDIRECT("'W"&amp;F$1&amp;"'!$A$2:$T$1000"),4,FALSE),0)</f>
        <v>15.5</v>
      </c>
      <c r="G172" s="37">
        <f ca="1">_xlfn.IFNA(VLOOKUP($A172,INDIRECT("'W"&amp;G$1&amp;"'!$A$2:$T$1000"),4,FALSE),0)</f>
        <v>10.7</v>
      </c>
      <c r="H172" s="37">
        <f ca="1">_xlfn.IFNA(VLOOKUP($A172,INDIRECT("'W"&amp;H$1&amp;"'!$A$2:$T$1000"),4,FALSE),0)</f>
        <v>13.6</v>
      </c>
      <c r="I172" s="37">
        <f ca="1">_xlfn.IFNA(VLOOKUP($A172,INDIRECT("'W"&amp;I$1&amp;"'!$A$2:$T$1000"),4,FALSE),0)</f>
        <v>5.7</v>
      </c>
      <c r="J172" s="37">
        <f ca="1">_xlfn.IFNA(VLOOKUP($A172,INDIRECT("'W"&amp;J$1&amp;"'!$A$2:$T$1000"),4,FALSE),0)</f>
        <v>2.2999999999999998</v>
      </c>
      <c r="K172" s="37">
        <f ca="1">_xlfn.IFNA(VLOOKUP($A172,INDIRECT("'W"&amp;K$1&amp;"'!$A$2:$T$1000"),4,FALSE),0)</f>
        <v>21</v>
      </c>
      <c r="L172" s="37">
        <f ca="1">_xlfn.IFNA(VLOOKUP($A172,INDIRECT("'W"&amp;L$1&amp;"'!$A$2:$T$1000"),4,FALSE),0)</f>
        <v>1.1000000000000001</v>
      </c>
      <c r="M172" s="37">
        <f ca="1">_xlfn.IFNA(VLOOKUP($A172,INDIRECT("'W"&amp;M$1&amp;"'!$A$2:$T$1000"),4,FALSE),0)</f>
        <v>0</v>
      </c>
      <c r="N172" s="37">
        <f ca="1">_xlfn.IFNA(VLOOKUP($A172,INDIRECT("'W"&amp;N$1&amp;"'!$A$2:$T$1000"),4,FALSE),0)</f>
        <v>0</v>
      </c>
      <c r="O172" s="37">
        <f ca="1">_xlfn.IFNA(VLOOKUP($A172,INDIRECT("'W"&amp;O$1&amp;"'!$A$2:$T$1000"),4,FALSE),0)</f>
        <v>3</v>
      </c>
      <c r="P172" s="37">
        <f ca="1">_xlfn.IFNA(VLOOKUP($A172,INDIRECT("'W"&amp;P$1&amp;"'!$A$2:$T$1000"),4,FALSE),0)</f>
        <v>6.7</v>
      </c>
      <c r="Q172" s="37">
        <f ca="1">_xlfn.IFNA(VLOOKUP($A172,INDIRECT("'W"&amp;Q$1&amp;"'!$A$2:$T$1000"),4,FALSE),0)</f>
        <v>8.1000000000000014</v>
      </c>
      <c r="R172" s="37">
        <f ca="1">_xlfn.IFNA(VLOOKUP($A172,INDIRECT("'W"&amp;R$1&amp;"'!$A$2:$T$1000"),4,FALSE),0)</f>
        <v>7.2</v>
      </c>
      <c r="S172" s="37">
        <f ca="1">_xlfn.IFNA(VLOOKUP($A172,INDIRECT("'W"&amp;S$1&amp;"'!$A$2:$T$1000"),4,FALSE),0)</f>
        <v>0</v>
      </c>
      <c r="T172" s="37">
        <f ca="1">_xlfn.IFNA(VLOOKUP($A172,INDIRECT("'W"&amp;T$1&amp;"'!$A$2:$T$1000"),4,FALSE),0)</f>
        <v>11.9</v>
      </c>
      <c r="U172" s="36">
        <f ca="1">COUNTIF(C172:T172,"&gt; 15")</f>
        <v>2</v>
      </c>
      <c r="V172" s="36">
        <f ca="1">SUM(C172:T172)</f>
        <v>124.2</v>
      </c>
      <c r="W172" s="36"/>
      <c r="X172" s="38"/>
    </row>
    <row r="173" spans="1:24" ht="12.75" x14ac:dyDescent="0.2">
      <c r="A173" s="36" t="s">
        <v>316</v>
      </c>
      <c r="B173" s="36" t="s">
        <v>69</v>
      </c>
      <c r="C173" s="37">
        <f ca="1">_xlfn.IFNA(VLOOKUP($A173,INDIRECT("'W"&amp;C$1&amp;"'!$A$2:$T$1000"),4,FALSE),0)</f>
        <v>1.2</v>
      </c>
      <c r="D173" s="37">
        <f ca="1">_xlfn.IFNA(VLOOKUP($A173,INDIRECT("'W"&amp;D$1&amp;"'!$A$2:$T$1000"),4,FALSE),0)</f>
        <v>10</v>
      </c>
      <c r="E173" s="37">
        <f ca="1">_xlfn.IFNA(VLOOKUP($A173,INDIRECT("'W"&amp;E$1&amp;"'!$A$2:$T$1000"),4,FALSE),0)</f>
        <v>5.6</v>
      </c>
      <c r="F173" s="37">
        <f ca="1">_xlfn.IFNA(VLOOKUP($A173,INDIRECT("'W"&amp;F$1&amp;"'!$A$2:$T$1000"),4,FALSE),0)</f>
        <v>9.8000000000000007</v>
      </c>
      <c r="G173" s="37">
        <f ca="1">_xlfn.IFNA(VLOOKUP($A173,INDIRECT("'W"&amp;G$1&amp;"'!$A$2:$T$1000"),4,FALSE),0)</f>
        <v>10.7</v>
      </c>
      <c r="H173" s="37">
        <f ca="1">_xlfn.IFNA(VLOOKUP($A173,INDIRECT("'W"&amp;H$1&amp;"'!$A$2:$T$1000"),4,FALSE),0)</f>
        <v>5.4</v>
      </c>
      <c r="I173" s="37">
        <f ca="1">_xlfn.IFNA(VLOOKUP($A173,INDIRECT("'W"&amp;I$1&amp;"'!$A$2:$T$1000"),4,FALSE),0)</f>
        <v>0</v>
      </c>
      <c r="J173" s="37">
        <f ca="1">_xlfn.IFNA(VLOOKUP($A173,INDIRECT("'W"&amp;J$1&amp;"'!$A$2:$T$1000"),4,FALSE),0)</f>
        <v>0</v>
      </c>
      <c r="K173" s="37">
        <f ca="1">_xlfn.IFNA(VLOOKUP($A173,INDIRECT("'W"&amp;K$1&amp;"'!$A$2:$T$1000"),4,FALSE),0)</f>
        <v>12.600000000000001</v>
      </c>
      <c r="L173" s="37">
        <f ca="1">_xlfn.IFNA(VLOOKUP($A173,INDIRECT("'W"&amp;L$1&amp;"'!$A$2:$T$1000"),4,FALSE),0)</f>
        <v>14</v>
      </c>
      <c r="M173" s="37">
        <f ca="1">_xlfn.IFNA(VLOOKUP($A173,INDIRECT("'W"&amp;M$1&amp;"'!$A$2:$T$1000"),4,FALSE),0)</f>
        <v>3.8</v>
      </c>
      <c r="N173" s="37">
        <f ca="1">_xlfn.IFNA(VLOOKUP($A173,INDIRECT("'W"&amp;N$1&amp;"'!$A$2:$T$1000"),4,FALSE),0)</f>
        <v>7.3000000000000007</v>
      </c>
      <c r="O173" s="37">
        <f ca="1">_xlfn.IFNA(VLOOKUP($A173,INDIRECT("'W"&amp;O$1&amp;"'!$A$2:$T$1000"),4,FALSE),0)</f>
        <v>6.5</v>
      </c>
      <c r="P173" s="37">
        <f ca="1">_xlfn.IFNA(VLOOKUP($A173,INDIRECT("'W"&amp;P$1&amp;"'!$A$2:$T$1000"),4,FALSE),0)</f>
        <v>9.6999999999999993</v>
      </c>
      <c r="Q173" s="37">
        <f ca="1">_xlfn.IFNA(VLOOKUP($A173,INDIRECT("'W"&amp;Q$1&amp;"'!$A$2:$T$1000"),4,FALSE),0)</f>
        <v>5.8</v>
      </c>
      <c r="R173" s="37">
        <f ca="1">_xlfn.IFNA(VLOOKUP($A173,INDIRECT("'W"&amp;R$1&amp;"'!$A$2:$T$1000"),4,FALSE),0)</f>
        <v>7.6</v>
      </c>
      <c r="S173" s="37">
        <f ca="1">_xlfn.IFNA(VLOOKUP($A173,INDIRECT("'W"&amp;S$1&amp;"'!$A$2:$T$1000"),4,FALSE),0)</f>
        <v>9.5</v>
      </c>
      <c r="T173" s="37">
        <f ca="1">_xlfn.IFNA(VLOOKUP($A173,INDIRECT("'W"&amp;T$1&amp;"'!$A$2:$T$1000"),4,FALSE),0)</f>
        <v>3.6</v>
      </c>
      <c r="U173" s="36">
        <f ca="1">COUNTIF(C173:T173,"&gt; 15")</f>
        <v>0</v>
      </c>
      <c r="V173" s="36">
        <f ca="1">SUM(C173:T173)</f>
        <v>123.09999999999998</v>
      </c>
      <c r="W173" s="36"/>
      <c r="X173" s="38"/>
    </row>
    <row r="174" spans="1:24" ht="12.75" x14ac:dyDescent="0.2">
      <c r="A174" s="36" t="s">
        <v>881</v>
      </c>
      <c r="B174" s="36" t="s">
        <v>851</v>
      </c>
      <c r="C174" s="37">
        <v>11</v>
      </c>
      <c r="D174" s="37">
        <v>7</v>
      </c>
      <c r="E174" s="37">
        <v>8</v>
      </c>
      <c r="F174" s="37">
        <v>-2</v>
      </c>
      <c r="G174" s="37">
        <v>4</v>
      </c>
      <c r="H174" s="37">
        <v>4</v>
      </c>
      <c r="I174" s="37">
        <v>5</v>
      </c>
      <c r="J174" s="37">
        <v>-6</v>
      </c>
      <c r="K174" s="37">
        <v>27</v>
      </c>
      <c r="L174" s="37">
        <v>13</v>
      </c>
      <c r="M174" s="37">
        <v>0</v>
      </c>
      <c r="N174" s="37">
        <v>12</v>
      </c>
      <c r="O174" s="37">
        <v>17</v>
      </c>
      <c r="P174" s="37">
        <v>6</v>
      </c>
      <c r="Q174" s="37">
        <v>15</v>
      </c>
      <c r="R174" s="37">
        <v>-3</v>
      </c>
      <c r="S174" s="37">
        <v>1</v>
      </c>
      <c r="T174" s="37">
        <v>4</v>
      </c>
      <c r="U174" s="36">
        <f>COUNTIF(C174:T174,"&gt; 9")</f>
        <v>6</v>
      </c>
      <c r="V174" s="36">
        <f>SUM(C174:T174)</f>
        <v>123</v>
      </c>
      <c r="W174" s="36"/>
      <c r="X174" s="38"/>
    </row>
    <row r="175" spans="1:24" ht="12.75" x14ac:dyDescent="0.2">
      <c r="A175" s="36" t="s">
        <v>98</v>
      </c>
      <c r="B175" s="36" t="s">
        <v>75</v>
      </c>
      <c r="C175" s="37">
        <f ca="1">_xlfn.IFNA(VLOOKUP($A175,INDIRECT("'W"&amp;C$1&amp;"'!$A$2:$T$1000"),4,FALSE),0)</f>
        <v>11.8</v>
      </c>
      <c r="D175" s="37">
        <f ca="1">_xlfn.IFNA(VLOOKUP($A175,INDIRECT("'W"&amp;D$1&amp;"'!$A$2:$T$1000"),4,FALSE),0)</f>
        <v>5.4</v>
      </c>
      <c r="E175" s="37">
        <f ca="1">_xlfn.IFNA(VLOOKUP($A175,INDIRECT("'W"&amp;E$1&amp;"'!$A$2:$T$1000"),4,FALSE),0)</f>
        <v>4.4000000000000004</v>
      </c>
      <c r="F175" s="37">
        <f ca="1">_xlfn.IFNA(VLOOKUP($A175,INDIRECT("'W"&amp;F$1&amp;"'!$A$2:$T$1000"),4,FALSE),0)</f>
        <v>5.5</v>
      </c>
      <c r="G175" s="37">
        <f ca="1">_xlfn.IFNA(VLOOKUP($A175,INDIRECT("'W"&amp;G$1&amp;"'!$A$2:$T$1000"),4,FALSE),0)</f>
        <v>11.5</v>
      </c>
      <c r="H175" s="37">
        <f ca="1">_xlfn.IFNA(VLOOKUP($A175,INDIRECT("'W"&amp;H$1&amp;"'!$A$2:$T$1000"),4,FALSE),0)</f>
        <v>1.6</v>
      </c>
      <c r="I175" s="37">
        <f ca="1">_xlfn.IFNA(VLOOKUP($A175,INDIRECT("'W"&amp;I$1&amp;"'!$A$2:$T$1000"),4,FALSE),0)</f>
        <v>7.1</v>
      </c>
      <c r="J175" s="37">
        <f ca="1">_xlfn.IFNA(VLOOKUP($A175,INDIRECT("'W"&amp;J$1&amp;"'!$A$2:$T$1000"),4,FALSE),0)</f>
        <v>4.0999999999999996</v>
      </c>
      <c r="K175" s="37">
        <f ca="1">_xlfn.IFNA(VLOOKUP($A175,INDIRECT("'W"&amp;K$1&amp;"'!$A$2:$T$1000"),4,FALSE),0)</f>
        <v>0</v>
      </c>
      <c r="L175" s="37">
        <f ca="1">_xlfn.IFNA(VLOOKUP($A175,INDIRECT("'W"&amp;L$1&amp;"'!$A$2:$T$1000"),4,FALSE),0)</f>
        <v>7.3</v>
      </c>
      <c r="M175" s="37">
        <f ca="1">_xlfn.IFNA(VLOOKUP($A175,INDIRECT("'W"&amp;M$1&amp;"'!$A$2:$T$1000"),4,FALSE),0)</f>
        <v>13.7</v>
      </c>
      <c r="N175" s="37">
        <f ca="1">_xlfn.IFNA(VLOOKUP($A175,INDIRECT("'W"&amp;N$1&amp;"'!$A$2:$T$1000"),4,FALSE),0)</f>
        <v>13.6</v>
      </c>
      <c r="O175" s="37">
        <f ca="1">_xlfn.IFNA(VLOOKUP($A175,INDIRECT("'W"&amp;O$1&amp;"'!$A$2:$T$1000"),4,FALSE),0)</f>
        <v>2.6</v>
      </c>
      <c r="P175" s="37">
        <f ca="1">_xlfn.IFNA(VLOOKUP($A175,INDIRECT("'W"&amp;P$1&amp;"'!$A$2:$T$1000"),4,FALSE),0)</f>
        <v>9.4</v>
      </c>
      <c r="Q175" s="37">
        <f ca="1">_xlfn.IFNA(VLOOKUP($A175,INDIRECT("'W"&amp;Q$1&amp;"'!$A$2:$T$1000"),4,FALSE),0)</f>
        <v>5.8000000000000007</v>
      </c>
      <c r="R175" s="37">
        <f ca="1">_xlfn.IFNA(VLOOKUP($A175,INDIRECT("'W"&amp;R$1&amp;"'!$A$2:$T$1000"),4,FALSE),0)</f>
        <v>6.9</v>
      </c>
      <c r="S175" s="37">
        <f ca="1">_xlfn.IFNA(VLOOKUP($A175,INDIRECT("'W"&amp;S$1&amp;"'!$A$2:$T$1000"),4,FALSE),0)</f>
        <v>4.5999999999999996</v>
      </c>
      <c r="T175" s="37">
        <f ca="1">_xlfn.IFNA(VLOOKUP($A175,INDIRECT("'W"&amp;T$1&amp;"'!$A$2:$T$1000"),4,FALSE),0)</f>
        <v>6</v>
      </c>
      <c r="U175" s="36">
        <f ca="1">COUNTIF(C175:T175,"&gt; 15")</f>
        <v>0</v>
      </c>
      <c r="V175" s="36">
        <f ca="1">SUM(C175:T175)</f>
        <v>121.3</v>
      </c>
      <c r="W175" s="36"/>
      <c r="X175" s="38"/>
    </row>
    <row r="176" spans="1:24" ht="12.75" x14ac:dyDescent="0.2">
      <c r="A176" s="36" t="s">
        <v>224</v>
      </c>
      <c r="B176" s="36" t="s">
        <v>162</v>
      </c>
      <c r="C176" s="37">
        <f ca="1">_xlfn.IFNA(VLOOKUP($A176,INDIRECT("'W"&amp;C$1&amp;"'!$A$2:$T$1000"),4,FALSE),0)</f>
        <v>6.1</v>
      </c>
      <c r="D176" s="37">
        <f ca="1">_xlfn.IFNA(VLOOKUP($A176,INDIRECT("'W"&amp;D$1&amp;"'!$A$2:$T$1000"),4,FALSE),0)</f>
        <v>12.4</v>
      </c>
      <c r="E176" s="37">
        <f ca="1">_xlfn.IFNA(VLOOKUP($A176,INDIRECT("'W"&amp;E$1&amp;"'!$A$2:$T$1000"),4,FALSE),0)</f>
        <v>10.6</v>
      </c>
      <c r="F176" s="37">
        <f ca="1">_xlfn.IFNA(VLOOKUP($A176,INDIRECT("'W"&amp;F$1&amp;"'!$A$2:$T$1000"),4,FALSE),0)</f>
        <v>2.6</v>
      </c>
      <c r="G176" s="37">
        <f ca="1">_xlfn.IFNA(VLOOKUP($A176,INDIRECT("'W"&amp;G$1&amp;"'!$A$2:$T$1000"),4,FALSE),0)</f>
        <v>9.9</v>
      </c>
      <c r="H176" s="37">
        <f ca="1">_xlfn.IFNA(VLOOKUP($A176,INDIRECT("'W"&amp;H$1&amp;"'!$A$2:$T$1000"),4,FALSE),0)</f>
        <v>8.8000000000000007</v>
      </c>
      <c r="I176" s="37">
        <f ca="1">_xlfn.IFNA(VLOOKUP($A176,INDIRECT("'W"&amp;I$1&amp;"'!$A$2:$T$1000"),4,FALSE),0)</f>
        <v>9.6999999999999993</v>
      </c>
      <c r="J176" s="37">
        <f ca="1">_xlfn.IFNA(VLOOKUP($A176,INDIRECT("'W"&amp;J$1&amp;"'!$A$2:$T$1000"),4,FALSE),0)</f>
        <v>17.899999999999999</v>
      </c>
      <c r="K176" s="37">
        <f ca="1">_xlfn.IFNA(VLOOKUP($A176,INDIRECT("'W"&amp;K$1&amp;"'!$A$2:$T$1000"),4,FALSE),0)</f>
        <v>3.7</v>
      </c>
      <c r="L176" s="37">
        <f ca="1">_xlfn.IFNA(VLOOKUP($A176,INDIRECT("'W"&amp;L$1&amp;"'!$A$2:$T$1000"),4,FALSE),0)</f>
        <v>0</v>
      </c>
      <c r="M176" s="37">
        <f ca="1">_xlfn.IFNA(VLOOKUP($A176,INDIRECT("'W"&amp;M$1&amp;"'!$A$2:$T$1000"),4,FALSE),0)</f>
        <v>1.7000000000000002</v>
      </c>
      <c r="N176" s="37">
        <f ca="1">_xlfn.IFNA(VLOOKUP($A176,INDIRECT("'W"&amp;N$1&amp;"'!$A$2:$T$1000"),4,FALSE),0)</f>
        <v>6.4</v>
      </c>
      <c r="O176" s="37">
        <f ca="1">_xlfn.IFNA(VLOOKUP($A176,INDIRECT("'W"&amp;O$1&amp;"'!$A$2:$T$1000"),4,FALSE),0)</f>
        <v>0</v>
      </c>
      <c r="P176" s="37">
        <f ca="1">_xlfn.IFNA(VLOOKUP($A176,INDIRECT("'W"&amp;P$1&amp;"'!$A$2:$T$1000"),4,FALSE),0)</f>
        <v>5.5</v>
      </c>
      <c r="Q176" s="37">
        <f ca="1">_xlfn.IFNA(VLOOKUP($A176,INDIRECT("'W"&amp;Q$1&amp;"'!$A$2:$T$1000"),4,FALSE),0)</f>
        <v>1.3</v>
      </c>
      <c r="R176" s="37">
        <f ca="1">_xlfn.IFNA(VLOOKUP($A176,INDIRECT("'W"&amp;R$1&amp;"'!$A$2:$T$1000"),4,FALSE),0)</f>
        <v>20.5</v>
      </c>
      <c r="S176" s="37">
        <f ca="1">_xlfn.IFNA(VLOOKUP($A176,INDIRECT("'W"&amp;S$1&amp;"'!$A$2:$T$1000"),4,FALSE),0)</f>
        <v>0</v>
      </c>
      <c r="T176" s="37">
        <f ca="1">_xlfn.IFNA(VLOOKUP($A176,INDIRECT("'W"&amp;T$1&amp;"'!$A$2:$T$1000"),4,FALSE),0)</f>
        <v>2.9</v>
      </c>
      <c r="U176" s="36">
        <f ca="1">COUNTIF(C176:T176,"&gt; 15")</f>
        <v>2</v>
      </c>
      <c r="V176" s="36">
        <f ca="1">SUM(C176:T176)</f>
        <v>120.00000000000001</v>
      </c>
      <c r="W176" s="36"/>
      <c r="X176" s="38"/>
    </row>
    <row r="177" spans="1:24" ht="12.75" x14ac:dyDescent="0.2">
      <c r="A177" s="36" t="s">
        <v>56</v>
      </c>
      <c r="B177" s="36" t="s">
        <v>17</v>
      </c>
      <c r="C177" s="37">
        <f ca="1">_xlfn.IFNA(VLOOKUP($A177,INDIRECT("'W"&amp;C$1&amp;"'!$A$2:$T$1000"),4,FALSE),0)</f>
        <v>8.2000000000000011</v>
      </c>
      <c r="D177" s="37">
        <f ca="1">_xlfn.IFNA(VLOOKUP($A177,INDIRECT("'W"&amp;D$1&amp;"'!$A$2:$T$1000"),4,FALSE),0)</f>
        <v>8.4</v>
      </c>
      <c r="E177" s="37">
        <f ca="1">_xlfn.IFNA(VLOOKUP($A177,INDIRECT("'W"&amp;E$1&amp;"'!$A$2:$T$1000"),4,FALSE),0)</f>
        <v>6.38</v>
      </c>
      <c r="F177" s="37">
        <f ca="1">_xlfn.IFNA(VLOOKUP($A177,INDIRECT("'W"&amp;F$1&amp;"'!$A$2:$T$1000"),4,FALSE),0)</f>
        <v>19.2</v>
      </c>
      <c r="G177" s="37">
        <f ca="1">_xlfn.IFNA(VLOOKUP($A177,INDIRECT("'W"&amp;G$1&amp;"'!$A$2:$T$1000"),4,FALSE),0)</f>
        <v>8.56</v>
      </c>
      <c r="H177" s="37">
        <f ca="1">_xlfn.IFNA(VLOOKUP($A177,INDIRECT("'W"&amp;H$1&amp;"'!$A$2:$T$1000"),4,FALSE),0)</f>
        <v>10.940000000000001</v>
      </c>
      <c r="I177" s="37">
        <f ca="1">_xlfn.IFNA(VLOOKUP($A177,INDIRECT("'W"&amp;I$1&amp;"'!$A$2:$T$1000"),4,FALSE),0)</f>
        <v>0</v>
      </c>
      <c r="J177" s="37">
        <f ca="1">_xlfn.IFNA(VLOOKUP($A177,INDIRECT("'W"&amp;J$1&amp;"'!$A$2:$T$1000"),4,FALSE),0)</f>
        <v>12.100000000000001</v>
      </c>
      <c r="K177" s="37">
        <f ca="1">_xlfn.IFNA(VLOOKUP($A177,INDIRECT("'W"&amp;K$1&amp;"'!$A$2:$T$1000"),4,FALSE),0)</f>
        <v>7.2199999999999989</v>
      </c>
      <c r="L177" s="37">
        <f ca="1">_xlfn.IFNA(VLOOKUP($A177,INDIRECT("'W"&amp;L$1&amp;"'!$A$2:$T$1000"),4,FALSE),0)</f>
        <v>13.92</v>
      </c>
      <c r="M177" s="37">
        <f ca="1">_xlfn.IFNA(VLOOKUP($A177,INDIRECT("'W"&amp;M$1&amp;"'!$A$2:$T$1000"),4,FALSE),0)</f>
        <v>6.74</v>
      </c>
      <c r="N177" s="37">
        <f ca="1">_xlfn.IFNA(VLOOKUP($A177,INDIRECT("'W"&amp;N$1&amp;"'!$A$2:$T$1000"),4,FALSE),0)</f>
        <v>0</v>
      </c>
      <c r="O177" s="37">
        <f ca="1">_xlfn.IFNA(VLOOKUP($A177,INDIRECT("'W"&amp;O$1&amp;"'!$A$2:$T$1000"),4,FALSE),0)</f>
        <v>0</v>
      </c>
      <c r="P177" s="37">
        <f ca="1">_xlfn.IFNA(VLOOKUP($A177,INDIRECT("'W"&amp;P$1&amp;"'!$A$2:$T$1000"),4,FALSE),0)</f>
        <v>19.239999999999998</v>
      </c>
      <c r="Q177" s="37">
        <f ca="1">_xlfn.IFNA(VLOOKUP($A177,INDIRECT("'W"&amp;Q$1&amp;"'!$A$2:$T$1000"),4,FALSE),0)</f>
        <v>-0.96</v>
      </c>
      <c r="R177" s="37">
        <f ca="1">_xlfn.IFNA(VLOOKUP($A177,INDIRECT("'W"&amp;R$1&amp;"'!$A$2:$T$1000"),4,FALSE),0)</f>
        <v>0</v>
      </c>
      <c r="S177" s="37">
        <f ca="1">_xlfn.IFNA(VLOOKUP($A177,INDIRECT("'W"&amp;S$1&amp;"'!$A$2:$T$1000"),4,FALSE),0)</f>
        <v>0</v>
      </c>
      <c r="T177" s="37">
        <f ca="1">_xlfn.IFNA(VLOOKUP($A177,INDIRECT("'W"&amp;T$1&amp;"'!$A$2:$T$1000"),4,FALSE),0)</f>
        <v>0</v>
      </c>
      <c r="U177" s="36">
        <f ca="1">COUNTIF(C177:T177,"&gt; 15")</f>
        <v>2</v>
      </c>
      <c r="V177" s="36">
        <f ca="1">SUM(C177:T177)</f>
        <v>119.94</v>
      </c>
      <c r="W177" s="36"/>
      <c r="X177" s="38"/>
    </row>
    <row r="178" spans="1:24" ht="12.75" x14ac:dyDescent="0.2">
      <c r="A178" s="36" t="s">
        <v>271</v>
      </c>
      <c r="B178" s="36" t="s">
        <v>69</v>
      </c>
      <c r="C178" s="37">
        <f ca="1">_xlfn.IFNA(VLOOKUP($A178,INDIRECT("'W"&amp;C$1&amp;"'!$A$2:$T$1000"),4,FALSE),0)</f>
        <v>16.600000000000001</v>
      </c>
      <c r="D178" s="37">
        <f ca="1">_xlfn.IFNA(VLOOKUP($A178,INDIRECT("'W"&amp;D$1&amp;"'!$A$2:$T$1000"),4,FALSE),0)</f>
        <v>17.2</v>
      </c>
      <c r="E178" s="37">
        <f ca="1">_xlfn.IFNA(VLOOKUP($A178,INDIRECT("'W"&amp;E$1&amp;"'!$A$2:$T$1000"),4,FALSE),0)</f>
        <v>3.7</v>
      </c>
      <c r="F178" s="37">
        <f ca="1">_xlfn.IFNA(VLOOKUP($A178,INDIRECT("'W"&amp;F$1&amp;"'!$A$2:$T$1000"),4,FALSE),0)</f>
        <v>9.1000000000000014</v>
      </c>
      <c r="G178" s="37">
        <f ca="1">_xlfn.IFNA(VLOOKUP($A178,INDIRECT("'W"&amp;G$1&amp;"'!$A$2:$T$1000"),4,FALSE),0)</f>
        <v>0</v>
      </c>
      <c r="H178" s="37">
        <f ca="1">_xlfn.IFNA(VLOOKUP($A178,INDIRECT("'W"&amp;H$1&amp;"'!$A$2:$T$1000"),4,FALSE),0)</f>
        <v>1.7000000000000002</v>
      </c>
      <c r="I178" s="37">
        <f ca="1">_xlfn.IFNA(VLOOKUP($A178,INDIRECT("'W"&amp;I$1&amp;"'!$A$2:$T$1000"),4,FALSE),0)</f>
        <v>4.7</v>
      </c>
      <c r="J178" s="37">
        <f ca="1">_xlfn.IFNA(VLOOKUP($A178,INDIRECT("'W"&amp;J$1&amp;"'!$A$2:$T$1000"),4,FALSE),0)</f>
        <v>5.8000000000000007</v>
      </c>
      <c r="K178" s="37">
        <f ca="1">_xlfn.IFNA(VLOOKUP($A178,INDIRECT("'W"&amp;K$1&amp;"'!$A$2:$T$1000"),4,FALSE),0)</f>
        <v>13.9</v>
      </c>
      <c r="L178" s="37">
        <f ca="1">_xlfn.IFNA(VLOOKUP($A178,INDIRECT("'W"&amp;L$1&amp;"'!$A$2:$T$1000"),4,FALSE),0)</f>
        <v>5.0999999999999996</v>
      </c>
      <c r="M178" s="37">
        <f ca="1">_xlfn.IFNA(VLOOKUP($A178,INDIRECT("'W"&amp;M$1&amp;"'!$A$2:$T$1000"),4,FALSE),0)</f>
        <v>0</v>
      </c>
      <c r="N178" s="37">
        <f ca="1">_xlfn.IFNA(VLOOKUP($A178,INDIRECT("'W"&amp;N$1&amp;"'!$A$2:$T$1000"),4,FALSE),0)</f>
        <v>0</v>
      </c>
      <c r="O178" s="37">
        <f ca="1">_xlfn.IFNA(VLOOKUP($A178,INDIRECT("'W"&amp;O$1&amp;"'!$A$2:$T$1000"),4,FALSE),0)</f>
        <v>3.5</v>
      </c>
      <c r="P178" s="37">
        <f ca="1">_xlfn.IFNA(VLOOKUP($A178,INDIRECT("'W"&amp;P$1&amp;"'!$A$2:$T$1000"),4,FALSE),0)</f>
        <v>19</v>
      </c>
      <c r="Q178" s="37">
        <f ca="1">_xlfn.IFNA(VLOOKUP($A178,INDIRECT("'W"&amp;Q$1&amp;"'!$A$2:$T$1000"),4,FALSE),0)</f>
        <v>19.600000000000001</v>
      </c>
      <c r="R178" s="37">
        <f ca="1">_xlfn.IFNA(VLOOKUP($A178,INDIRECT("'W"&amp;R$1&amp;"'!$A$2:$T$1000"),4,FALSE),0)</f>
        <v>0</v>
      </c>
      <c r="S178" s="37">
        <f ca="1">_xlfn.IFNA(VLOOKUP($A178,INDIRECT("'W"&amp;S$1&amp;"'!$A$2:$T$1000"),4,FALSE),0)</f>
        <v>0</v>
      </c>
      <c r="T178" s="37">
        <f ca="1">_xlfn.IFNA(VLOOKUP($A178,INDIRECT("'W"&amp;T$1&amp;"'!$A$2:$T$1000"),4,FALSE),0)</f>
        <v>0</v>
      </c>
      <c r="U178" s="36">
        <f ca="1">COUNTIF(C178:T178,"&gt; 15")</f>
        <v>4</v>
      </c>
      <c r="V178" s="36">
        <f ca="1">SUM(C178:T178)</f>
        <v>119.9</v>
      </c>
      <c r="W178" s="36"/>
      <c r="X178" s="38"/>
    </row>
    <row r="179" spans="1:24" ht="12.75" x14ac:dyDescent="0.2">
      <c r="A179" s="36" t="s">
        <v>344</v>
      </c>
      <c r="B179" s="36" t="s">
        <v>162</v>
      </c>
      <c r="C179" s="37">
        <f ca="1">_xlfn.IFNA(VLOOKUP($A179,INDIRECT("'W"&amp;C$1&amp;"'!$A$2:$T$1000"),4,FALSE),0)</f>
        <v>0</v>
      </c>
      <c r="D179" s="37">
        <f ca="1">_xlfn.IFNA(VLOOKUP($A179,INDIRECT("'W"&amp;D$1&amp;"'!$A$2:$T$1000"),4,FALSE),0)</f>
        <v>12</v>
      </c>
      <c r="E179" s="37">
        <f ca="1">_xlfn.IFNA(VLOOKUP($A179,INDIRECT("'W"&amp;E$1&amp;"'!$A$2:$T$1000"),4,FALSE),0)</f>
        <v>8.5</v>
      </c>
      <c r="F179" s="37">
        <f ca="1">_xlfn.IFNA(VLOOKUP($A179,INDIRECT("'W"&amp;F$1&amp;"'!$A$2:$T$1000"),4,FALSE),0)</f>
        <v>0</v>
      </c>
      <c r="G179" s="37">
        <f ca="1">_xlfn.IFNA(VLOOKUP($A179,INDIRECT("'W"&amp;G$1&amp;"'!$A$2:$T$1000"),4,FALSE),0)</f>
        <v>2</v>
      </c>
      <c r="H179" s="37">
        <f ca="1">_xlfn.IFNA(VLOOKUP($A179,INDIRECT("'W"&amp;H$1&amp;"'!$A$2:$T$1000"),4,FALSE),0)</f>
        <v>0</v>
      </c>
      <c r="I179" s="37">
        <f ca="1">_xlfn.IFNA(VLOOKUP($A179,INDIRECT("'W"&amp;I$1&amp;"'!$A$2:$T$1000"),4,FALSE),0)</f>
        <v>3.3600000000000003</v>
      </c>
      <c r="J179" s="37">
        <f ca="1">_xlfn.IFNA(VLOOKUP($A179,INDIRECT("'W"&amp;J$1&amp;"'!$A$2:$T$1000"),4,FALSE),0)</f>
        <v>4.8000000000000007</v>
      </c>
      <c r="K179" s="37">
        <f ca="1">_xlfn.IFNA(VLOOKUP($A179,INDIRECT("'W"&amp;K$1&amp;"'!$A$2:$T$1000"),4,FALSE),0)</f>
        <v>6.9</v>
      </c>
      <c r="L179" s="37">
        <f ca="1">_xlfn.IFNA(VLOOKUP($A179,INDIRECT("'W"&amp;L$1&amp;"'!$A$2:$T$1000"),4,FALSE),0)</f>
        <v>8.1000000000000014</v>
      </c>
      <c r="M179" s="37">
        <f ca="1">_xlfn.IFNA(VLOOKUP($A179,INDIRECT("'W"&amp;M$1&amp;"'!$A$2:$T$1000"),4,FALSE),0)</f>
        <v>12.1</v>
      </c>
      <c r="N179" s="37">
        <f ca="1">_xlfn.IFNA(VLOOKUP($A179,INDIRECT("'W"&amp;N$1&amp;"'!$A$2:$T$1000"),4,FALSE),0)</f>
        <v>0</v>
      </c>
      <c r="O179" s="37">
        <f ca="1">_xlfn.IFNA(VLOOKUP($A179,INDIRECT("'W"&amp;O$1&amp;"'!$A$2:$T$1000"),4,FALSE),0)</f>
        <v>7.3</v>
      </c>
      <c r="P179" s="37">
        <f ca="1">_xlfn.IFNA(VLOOKUP($A179,INDIRECT("'W"&amp;P$1&amp;"'!$A$2:$T$1000"),4,FALSE),0)</f>
        <v>4</v>
      </c>
      <c r="Q179" s="37">
        <f ca="1">_xlfn.IFNA(VLOOKUP($A179,INDIRECT("'W"&amp;Q$1&amp;"'!$A$2:$T$1000"),4,FALSE),0)</f>
        <v>15.700000000000001</v>
      </c>
      <c r="R179" s="37">
        <f ca="1">_xlfn.IFNA(VLOOKUP($A179,INDIRECT("'W"&amp;R$1&amp;"'!$A$2:$T$1000"),4,FALSE),0)</f>
        <v>10.9</v>
      </c>
      <c r="S179" s="37">
        <f ca="1">_xlfn.IFNA(VLOOKUP($A179,INDIRECT("'W"&amp;S$1&amp;"'!$A$2:$T$1000"),4,FALSE),0)</f>
        <v>0</v>
      </c>
      <c r="T179" s="37">
        <f ca="1">_xlfn.IFNA(VLOOKUP($A179,INDIRECT("'W"&amp;T$1&amp;"'!$A$2:$T$1000"),4,FALSE),0)</f>
        <v>24.1</v>
      </c>
      <c r="U179" s="36">
        <f ca="1">COUNTIF(C179:T179,"&gt; 15")</f>
        <v>2</v>
      </c>
      <c r="V179" s="36">
        <f ca="1">SUM(C179:T179)</f>
        <v>119.76000000000002</v>
      </c>
      <c r="W179" s="36"/>
      <c r="X179" s="38"/>
    </row>
    <row r="180" spans="1:24" ht="12.75" x14ac:dyDescent="0.2">
      <c r="A180" s="36" t="s">
        <v>428</v>
      </c>
      <c r="B180" s="36" t="s">
        <v>75</v>
      </c>
      <c r="C180" s="37">
        <f ca="1">_xlfn.IFNA(VLOOKUP($A180,INDIRECT("'W"&amp;C$1&amp;"'!$A$2:$T$1000"),4,FALSE),0)</f>
        <v>0</v>
      </c>
      <c r="D180" s="37">
        <f ca="1">_xlfn.IFNA(VLOOKUP($A180,INDIRECT("'W"&amp;D$1&amp;"'!$A$2:$T$1000"),4,FALSE),0)</f>
        <v>0</v>
      </c>
      <c r="E180" s="37">
        <f ca="1">_xlfn.IFNA(VLOOKUP($A180,INDIRECT("'W"&amp;E$1&amp;"'!$A$2:$T$1000"),4,FALSE),0)</f>
        <v>5.5</v>
      </c>
      <c r="F180" s="37">
        <f ca="1">_xlfn.IFNA(VLOOKUP($A180,INDIRECT("'W"&amp;F$1&amp;"'!$A$2:$T$1000"),4,FALSE),0)</f>
        <v>1.2000000000000002</v>
      </c>
      <c r="G180" s="37">
        <f ca="1">_xlfn.IFNA(VLOOKUP($A180,INDIRECT("'W"&amp;G$1&amp;"'!$A$2:$T$1000"),4,FALSE),0)</f>
        <v>0</v>
      </c>
      <c r="H180" s="37">
        <f ca="1">_xlfn.IFNA(VLOOKUP($A180,INDIRECT("'W"&amp;H$1&amp;"'!$A$2:$T$1000"),4,FALSE),0)</f>
        <v>16.100000000000001</v>
      </c>
      <c r="I180" s="37">
        <f ca="1">_xlfn.IFNA(VLOOKUP($A180,INDIRECT("'W"&amp;I$1&amp;"'!$A$2:$T$1000"),4,FALSE),0)</f>
        <v>15.1</v>
      </c>
      <c r="J180" s="37">
        <f ca="1">_xlfn.IFNA(VLOOKUP($A180,INDIRECT("'W"&amp;J$1&amp;"'!$A$2:$T$1000"),4,FALSE),0)</f>
        <v>13.7</v>
      </c>
      <c r="K180" s="37">
        <f ca="1">_xlfn.IFNA(VLOOKUP($A180,INDIRECT("'W"&amp;K$1&amp;"'!$A$2:$T$1000"),4,FALSE),0)</f>
        <v>9.8000000000000007</v>
      </c>
      <c r="L180" s="37">
        <f ca="1">_xlfn.IFNA(VLOOKUP($A180,INDIRECT("'W"&amp;L$1&amp;"'!$A$2:$T$1000"),4,FALSE),0)</f>
        <v>9.1999999999999993</v>
      </c>
      <c r="M180" s="37">
        <f ca="1">_xlfn.IFNA(VLOOKUP($A180,INDIRECT("'W"&amp;M$1&amp;"'!$A$2:$T$1000"),4,FALSE),0)</f>
        <v>6.6999999999999993</v>
      </c>
      <c r="N180" s="37">
        <f ca="1">_xlfn.IFNA(VLOOKUP($A180,INDIRECT("'W"&amp;N$1&amp;"'!$A$2:$T$1000"),4,FALSE),0)</f>
        <v>2.2000000000000002</v>
      </c>
      <c r="O180" s="37">
        <f ca="1">_xlfn.IFNA(VLOOKUP($A180,INDIRECT("'W"&amp;O$1&amp;"'!$A$2:$T$1000"),4,FALSE),0)</f>
        <v>5.8000000000000007</v>
      </c>
      <c r="P180" s="37">
        <f ca="1">_xlfn.IFNA(VLOOKUP($A180,INDIRECT("'W"&amp;P$1&amp;"'!$A$2:$T$1000"),4,FALSE),0)</f>
        <v>10</v>
      </c>
      <c r="Q180" s="37">
        <f ca="1">_xlfn.IFNA(VLOOKUP($A180,INDIRECT("'W"&amp;Q$1&amp;"'!$A$2:$T$1000"),4,FALSE),0)</f>
        <v>3</v>
      </c>
      <c r="R180" s="37">
        <f ca="1">_xlfn.IFNA(VLOOKUP($A180,INDIRECT("'W"&amp;R$1&amp;"'!$A$2:$T$1000"),4,FALSE),0)</f>
        <v>9.6</v>
      </c>
      <c r="S180" s="37">
        <f ca="1">_xlfn.IFNA(VLOOKUP($A180,INDIRECT("'W"&amp;S$1&amp;"'!$A$2:$T$1000"),4,FALSE),0)</f>
        <v>9.1</v>
      </c>
      <c r="T180" s="37">
        <f ca="1">_xlfn.IFNA(VLOOKUP($A180,INDIRECT("'W"&amp;T$1&amp;"'!$A$2:$T$1000"),4,FALSE),0)</f>
        <v>1.5</v>
      </c>
      <c r="U180" s="36">
        <f ca="1">COUNTIF(C180:T180,"&gt; 15")</f>
        <v>2</v>
      </c>
      <c r="V180" s="36">
        <f ca="1">SUM(C180:T180)</f>
        <v>118.49999999999999</v>
      </c>
      <c r="W180" s="36"/>
      <c r="X180" s="38"/>
    </row>
    <row r="181" spans="1:24" ht="12.75" x14ac:dyDescent="0.2">
      <c r="A181" s="36" t="s">
        <v>882</v>
      </c>
      <c r="B181" s="36" t="s">
        <v>851</v>
      </c>
      <c r="C181" s="37">
        <v>10</v>
      </c>
      <c r="D181" s="37">
        <v>-2</v>
      </c>
      <c r="E181" s="37">
        <v>10</v>
      </c>
      <c r="F181" s="37">
        <v>11</v>
      </c>
      <c r="G181" s="37">
        <v>1</v>
      </c>
      <c r="H181" s="37">
        <v>4</v>
      </c>
      <c r="I181" s="37">
        <v>0</v>
      </c>
      <c r="J181" s="37">
        <v>9</v>
      </c>
      <c r="K181" s="37">
        <v>1</v>
      </c>
      <c r="L181" s="37">
        <v>7</v>
      </c>
      <c r="M181" s="37">
        <v>8</v>
      </c>
      <c r="N181" s="37">
        <v>-1</v>
      </c>
      <c r="O181" s="37">
        <v>12</v>
      </c>
      <c r="P181" s="37">
        <v>5</v>
      </c>
      <c r="Q181" s="37">
        <v>14</v>
      </c>
      <c r="R181" s="37">
        <v>5</v>
      </c>
      <c r="S181" s="37">
        <v>21</v>
      </c>
      <c r="T181" s="37">
        <v>3</v>
      </c>
      <c r="U181" s="36">
        <f>COUNTIF(C181:T181,"&gt; 9")</f>
        <v>6</v>
      </c>
      <c r="V181" s="36">
        <f>SUM(C181:T181)</f>
        <v>118</v>
      </c>
      <c r="W181" s="36"/>
      <c r="X181" s="38"/>
    </row>
    <row r="182" spans="1:24" ht="12.75" x14ac:dyDescent="0.2">
      <c r="A182" s="36" t="s">
        <v>122</v>
      </c>
      <c r="B182" s="36" t="s">
        <v>75</v>
      </c>
      <c r="C182" s="37">
        <f ca="1">_xlfn.IFNA(VLOOKUP($A182,INDIRECT("'W"&amp;C$1&amp;"'!$A$2:$T$1000"),4,FALSE),0)</f>
        <v>5.6000000000000005</v>
      </c>
      <c r="D182" s="37">
        <f ca="1">_xlfn.IFNA(VLOOKUP($A182,INDIRECT("'W"&amp;D$1&amp;"'!$A$2:$T$1000"),4,FALSE),0)</f>
        <v>7.3</v>
      </c>
      <c r="E182" s="37">
        <f ca="1">_xlfn.IFNA(VLOOKUP($A182,INDIRECT("'W"&amp;E$1&amp;"'!$A$2:$T$1000"),4,FALSE),0)</f>
        <v>3.3000000000000003</v>
      </c>
      <c r="F182" s="37">
        <f ca="1">_xlfn.IFNA(VLOOKUP($A182,INDIRECT("'W"&amp;F$1&amp;"'!$A$2:$T$1000"),4,FALSE),0)</f>
        <v>1.1000000000000001</v>
      </c>
      <c r="G182" s="37">
        <f ca="1">_xlfn.IFNA(VLOOKUP($A182,INDIRECT("'W"&amp;G$1&amp;"'!$A$2:$T$1000"),4,FALSE),0)</f>
        <v>13.600000000000001</v>
      </c>
      <c r="H182" s="37">
        <f ca="1">_xlfn.IFNA(VLOOKUP($A182,INDIRECT("'W"&amp;H$1&amp;"'!$A$2:$T$1000"),4,FALSE),0)</f>
        <v>0</v>
      </c>
      <c r="I182" s="37">
        <f ca="1">_xlfn.IFNA(VLOOKUP($A182,INDIRECT("'W"&amp;I$1&amp;"'!$A$2:$T$1000"),4,FALSE),0)</f>
        <v>11.500000000000002</v>
      </c>
      <c r="J182" s="37">
        <f ca="1">_xlfn.IFNA(VLOOKUP($A182,INDIRECT("'W"&amp;J$1&amp;"'!$A$2:$T$1000"),4,FALSE),0)</f>
        <v>10.199999999999999</v>
      </c>
      <c r="K182" s="37">
        <f ca="1">_xlfn.IFNA(VLOOKUP($A182,INDIRECT("'W"&amp;K$1&amp;"'!$A$2:$T$1000"),4,FALSE),0)</f>
        <v>5.3</v>
      </c>
      <c r="L182" s="37">
        <f ca="1">_xlfn.IFNA(VLOOKUP($A182,INDIRECT("'W"&amp;L$1&amp;"'!$A$2:$T$1000"),4,FALSE),0)</f>
        <v>9.1</v>
      </c>
      <c r="M182" s="37">
        <f ca="1">_xlfn.IFNA(VLOOKUP($A182,INDIRECT("'W"&amp;M$1&amp;"'!$A$2:$T$1000"),4,FALSE),0)</f>
        <v>10.100000000000001</v>
      </c>
      <c r="N182" s="37">
        <f ca="1">_xlfn.IFNA(VLOOKUP($A182,INDIRECT("'W"&amp;N$1&amp;"'!$A$2:$T$1000"),4,FALSE),0)</f>
        <v>11.1</v>
      </c>
      <c r="O182" s="37">
        <f ca="1">_xlfn.IFNA(VLOOKUP($A182,INDIRECT("'W"&amp;O$1&amp;"'!$A$2:$T$1000"),4,FALSE),0)</f>
        <v>9.7000000000000011</v>
      </c>
      <c r="P182" s="37">
        <f ca="1">_xlfn.IFNA(VLOOKUP($A182,INDIRECT("'W"&amp;P$1&amp;"'!$A$2:$T$1000"),4,FALSE),0)</f>
        <v>9.8000000000000007</v>
      </c>
      <c r="Q182" s="37">
        <f ca="1">_xlfn.IFNA(VLOOKUP($A182,INDIRECT("'W"&amp;Q$1&amp;"'!$A$2:$T$1000"),4,FALSE),0)</f>
        <v>0</v>
      </c>
      <c r="R182" s="37">
        <f ca="1">_xlfn.IFNA(VLOOKUP($A182,INDIRECT("'W"&amp;R$1&amp;"'!$A$2:$T$1000"),4,FALSE),0)</f>
        <v>7.2</v>
      </c>
      <c r="S182" s="37">
        <f ca="1">_xlfn.IFNA(VLOOKUP($A182,INDIRECT("'W"&amp;S$1&amp;"'!$A$2:$T$1000"),4,FALSE),0)</f>
        <v>2.7</v>
      </c>
      <c r="T182" s="37">
        <f ca="1">_xlfn.IFNA(VLOOKUP($A182,INDIRECT("'W"&amp;T$1&amp;"'!$A$2:$T$1000"),4,FALSE),0)</f>
        <v>0</v>
      </c>
      <c r="U182" s="36">
        <f ca="1">COUNTIF(C182:T182,"&gt; 15")</f>
        <v>0</v>
      </c>
      <c r="V182" s="36">
        <f ca="1">SUM(C182:T182)</f>
        <v>117.6</v>
      </c>
      <c r="W182" s="36"/>
      <c r="X182" s="38">
        <v>105</v>
      </c>
    </row>
    <row r="183" spans="1:24" ht="12.75" x14ac:dyDescent="0.2">
      <c r="A183" s="36" t="s">
        <v>309</v>
      </c>
      <c r="B183" s="36" t="s">
        <v>69</v>
      </c>
      <c r="C183" s="37">
        <f ca="1">_xlfn.IFNA(VLOOKUP($A183,INDIRECT("'W"&amp;C$1&amp;"'!$A$2:$T$1000"),4,FALSE),0)</f>
        <v>3.9000000000000004</v>
      </c>
      <c r="D183" s="37">
        <f ca="1">_xlfn.IFNA(VLOOKUP($A183,INDIRECT("'W"&amp;D$1&amp;"'!$A$2:$T$1000"),4,FALSE),0)</f>
        <v>10.100000000000001</v>
      </c>
      <c r="E183" s="37">
        <f ca="1">_xlfn.IFNA(VLOOKUP($A183,INDIRECT("'W"&amp;E$1&amp;"'!$A$2:$T$1000"),4,FALSE),0)</f>
        <v>2.6</v>
      </c>
      <c r="F183" s="37">
        <f ca="1">_xlfn.IFNA(VLOOKUP($A183,INDIRECT("'W"&amp;F$1&amp;"'!$A$2:$T$1000"),4,FALSE),0)</f>
        <v>10.3</v>
      </c>
      <c r="G183" s="37">
        <f ca="1">_xlfn.IFNA(VLOOKUP($A183,INDIRECT("'W"&amp;G$1&amp;"'!$A$2:$T$1000"),4,FALSE),0)</f>
        <v>0</v>
      </c>
      <c r="H183" s="37">
        <f ca="1">_xlfn.IFNA(VLOOKUP($A183,INDIRECT("'W"&amp;H$1&amp;"'!$A$2:$T$1000"),4,FALSE),0)</f>
        <v>2.5</v>
      </c>
      <c r="I183" s="37">
        <f ca="1">_xlfn.IFNA(VLOOKUP($A183,INDIRECT("'W"&amp;I$1&amp;"'!$A$2:$T$1000"),4,FALSE),0)</f>
        <v>9.3000000000000007</v>
      </c>
      <c r="J183" s="37">
        <f ca="1">_xlfn.IFNA(VLOOKUP($A183,INDIRECT("'W"&amp;J$1&amp;"'!$A$2:$T$1000"),4,FALSE),0)</f>
        <v>8.6999999999999993</v>
      </c>
      <c r="K183" s="37">
        <f ca="1">_xlfn.IFNA(VLOOKUP($A183,INDIRECT("'W"&amp;K$1&amp;"'!$A$2:$T$1000"),4,FALSE),0)</f>
        <v>23</v>
      </c>
      <c r="L183" s="37">
        <f ca="1">_xlfn.IFNA(VLOOKUP($A183,INDIRECT("'W"&amp;L$1&amp;"'!$A$2:$T$1000"),4,FALSE),0)</f>
        <v>3</v>
      </c>
      <c r="M183" s="37">
        <f ca="1">_xlfn.IFNA(VLOOKUP($A183,INDIRECT("'W"&amp;M$1&amp;"'!$A$2:$T$1000"),4,FALSE),0)</f>
        <v>8.9</v>
      </c>
      <c r="N183" s="37">
        <f ca="1">_xlfn.IFNA(VLOOKUP($A183,INDIRECT("'W"&amp;N$1&amp;"'!$A$2:$T$1000"),4,FALSE),0)</f>
        <v>8.5</v>
      </c>
      <c r="O183" s="37">
        <f ca="1">_xlfn.IFNA(VLOOKUP($A183,INDIRECT("'W"&amp;O$1&amp;"'!$A$2:$T$1000"),4,FALSE),0)</f>
        <v>0</v>
      </c>
      <c r="P183" s="37">
        <f ca="1">_xlfn.IFNA(VLOOKUP($A183,INDIRECT("'W"&amp;P$1&amp;"'!$A$2:$T$1000"),4,FALSE),0)</f>
        <v>9.6</v>
      </c>
      <c r="Q183" s="37">
        <f ca="1">_xlfn.IFNA(VLOOKUP($A183,INDIRECT("'W"&amp;Q$1&amp;"'!$A$2:$T$1000"),4,FALSE),0)</f>
        <v>6.4</v>
      </c>
      <c r="R183" s="37">
        <f ca="1">_xlfn.IFNA(VLOOKUP($A183,INDIRECT("'W"&amp;R$1&amp;"'!$A$2:$T$1000"),4,FALSE),0)</f>
        <v>1.7000000000000002</v>
      </c>
      <c r="S183" s="37">
        <f ca="1">_xlfn.IFNA(VLOOKUP($A183,INDIRECT("'W"&amp;S$1&amp;"'!$A$2:$T$1000"),4,FALSE),0)</f>
        <v>3</v>
      </c>
      <c r="T183" s="37">
        <f ca="1">_xlfn.IFNA(VLOOKUP($A183,INDIRECT("'W"&amp;T$1&amp;"'!$A$2:$T$1000"),4,FALSE),0)</f>
        <v>5</v>
      </c>
      <c r="U183" s="36">
        <f ca="1">COUNTIF(C183:T183,"&gt; 15")</f>
        <v>1</v>
      </c>
      <c r="V183" s="36">
        <f ca="1">SUM(C183:T183)</f>
        <v>116.50000000000001</v>
      </c>
      <c r="W183" s="36"/>
      <c r="X183" s="38"/>
    </row>
    <row r="184" spans="1:24" ht="12.75" x14ac:dyDescent="0.2">
      <c r="A184" s="36" t="s">
        <v>371</v>
      </c>
      <c r="B184" s="36" t="s">
        <v>162</v>
      </c>
      <c r="C184" s="37">
        <f ca="1">_xlfn.IFNA(VLOOKUP($A184,INDIRECT("'W"&amp;C$1&amp;"'!$A$2:$T$1000"),4,FALSE),0)</f>
        <v>0</v>
      </c>
      <c r="D184" s="37">
        <f ca="1">_xlfn.IFNA(VLOOKUP($A184,INDIRECT("'W"&amp;D$1&amp;"'!$A$2:$T$1000"),4,FALSE),0)</f>
        <v>2.5</v>
      </c>
      <c r="E184" s="37">
        <f ca="1">_xlfn.IFNA(VLOOKUP($A184,INDIRECT("'W"&amp;E$1&amp;"'!$A$2:$T$1000"),4,FALSE),0)</f>
        <v>18.600000000000001</v>
      </c>
      <c r="F184" s="37">
        <f ca="1">_xlfn.IFNA(VLOOKUP($A184,INDIRECT("'W"&amp;F$1&amp;"'!$A$2:$T$1000"),4,FALSE),0)</f>
        <v>4.8000000000000007</v>
      </c>
      <c r="G184" s="37">
        <f ca="1">_xlfn.IFNA(VLOOKUP($A184,INDIRECT("'W"&amp;G$1&amp;"'!$A$2:$T$1000"),4,FALSE),0)</f>
        <v>13.2</v>
      </c>
      <c r="H184" s="37">
        <f ca="1">_xlfn.IFNA(VLOOKUP($A184,INDIRECT("'W"&amp;H$1&amp;"'!$A$2:$T$1000"),4,FALSE),0)</f>
        <v>5.6</v>
      </c>
      <c r="I184" s="37">
        <f ca="1">_xlfn.IFNA(VLOOKUP($A184,INDIRECT("'W"&amp;I$1&amp;"'!$A$2:$T$1000"),4,FALSE),0)</f>
        <v>0</v>
      </c>
      <c r="J184" s="37">
        <f ca="1">_xlfn.IFNA(VLOOKUP($A184,INDIRECT("'W"&amp;J$1&amp;"'!$A$2:$T$1000"),4,FALSE),0)</f>
        <v>4.3000000000000007</v>
      </c>
      <c r="K184" s="37">
        <f ca="1">_xlfn.IFNA(VLOOKUP($A184,INDIRECT("'W"&amp;K$1&amp;"'!$A$2:$T$1000"),4,FALSE),0)</f>
        <v>8.9</v>
      </c>
      <c r="L184" s="37">
        <f ca="1">_xlfn.IFNA(VLOOKUP($A184,INDIRECT("'W"&amp;L$1&amp;"'!$A$2:$T$1000"),4,FALSE),0)</f>
        <v>0</v>
      </c>
      <c r="M184" s="37">
        <f ca="1">_xlfn.IFNA(VLOOKUP($A184,INDIRECT("'W"&amp;M$1&amp;"'!$A$2:$T$1000"),4,FALSE),0)</f>
        <v>0</v>
      </c>
      <c r="N184" s="37">
        <f ca="1">_xlfn.IFNA(VLOOKUP($A184,INDIRECT("'W"&amp;N$1&amp;"'!$A$2:$T$1000"),4,FALSE),0)</f>
        <v>6.4</v>
      </c>
      <c r="O184" s="37">
        <f ca="1">_xlfn.IFNA(VLOOKUP($A184,INDIRECT("'W"&amp;O$1&amp;"'!$A$2:$T$1000"),4,FALSE),0)</f>
        <v>8.6000000000000014</v>
      </c>
      <c r="P184" s="37">
        <f ca="1">_xlfn.IFNA(VLOOKUP($A184,INDIRECT("'W"&amp;P$1&amp;"'!$A$2:$T$1000"),4,FALSE),0)</f>
        <v>4.5999999999999996</v>
      </c>
      <c r="Q184" s="37">
        <f ca="1">_xlfn.IFNA(VLOOKUP($A184,INDIRECT("'W"&amp;Q$1&amp;"'!$A$2:$T$1000"),4,FALSE),0)</f>
        <v>2.8</v>
      </c>
      <c r="R184" s="37">
        <f ca="1">_xlfn.IFNA(VLOOKUP($A184,INDIRECT("'W"&amp;R$1&amp;"'!$A$2:$T$1000"),4,FALSE),0)</f>
        <v>27.8</v>
      </c>
      <c r="S184" s="37">
        <f ca="1">_xlfn.IFNA(VLOOKUP($A184,INDIRECT("'W"&amp;S$1&amp;"'!$A$2:$T$1000"),4,FALSE),0)</f>
        <v>2.8</v>
      </c>
      <c r="T184" s="37">
        <f ca="1">_xlfn.IFNA(VLOOKUP($A184,INDIRECT("'W"&amp;T$1&amp;"'!$A$2:$T$1000"),4,FALSE),0)</f>
        <v>4.6000000000000005</v>
      </c>
      <c r="U184" s="36">
        <f ca="1">COUNTIF(C184:T184,"&gt; 15")</f>
        <v>2</v>
      </c>
      <c r="V184" s="36">
        <f ca="1">SUM(C184:T184)</f>
        <v>115.49999999999999</v>
      </c>
      <c r="W184" s="36"/>
      <c r="X184" s="38"/>
    </row>
    <row r="185" spans="1:24" ht="12.75" x14ac:dyDescent="0.2">
      <c r="A185" s="36" t="s">
        <v>250</v>
      </c>
      <c r="B185" s="36" t="s">
        <v>162</v>
      </c>
      <c r="C185" s="37">
        <f ca="1">_xlfn.IFNA(VLOOKUP($A185,INDIRECT("'W"&amp;C$1&amp;"'!$A$2:$T$1000"),4,FALSE),0)</f>
        <v>3.9000000000000004</v>
      </c>
      <c r="D185" s="37">
        <f ca="1">_xlfn.IFNA(VLOOKUP($A185,INDIRECT("'W"&amp;D$1&amp;"'!$A$2:$T$1000"),4,FALSE),0)</f>
        <v>8.6000000000000014</v>
      </c>
      <c r="E185" s="37">
        <f ca="1">_xlfn.IFNA(VLOOKUP($A185,INDIRECT("'W"&amp;E$1&amp;"'!$A$2:$T$1000"),4,FALSE),0)</f>
        <v>10.6</v>
      </c>
      <c r="F185" s="37">
        <f ca="1">_xlfn.IFNA(VLOOKUP($A185,INDIRECT("'W"&amp;F$1&amp;"'!$A$2:$T$1000"),4,FALSE),0)</f>
        <v>26.6</v>
      </c>
      <c r="G185" s="37">
        <f ca="1">_xlfn.IFNA(VLOOKUP($A185,INDIRECT("'W"&amp;G$1&amp;"'!$A$2:$T$1000"),4,FALSE),0)</f>
        <v>2.8</v>
      </c>
      <c r="H185" s="37">
        <f ca="1">_xlfn.IFNA(VLOOKUP($A185,INDIRECT("'W"&amp;H$1&amp;"'!$A$2:$T$1000"),4,FALSE),0)</f>
        <v>9.1999999999999993</v>
      </c>
      <c r="I185" s="37">
        <f ca="1">_xlfn.IFNA(VLOOKUP($A185,INDIRECT("'W"&amp;I$1&amp;"'!$A$2:$T$1000"),4,FALSE),0)</f>
        <v>5.6</v>
      </c>
      <c r="J185" s="37">
        <f ca="1">_xlfn.IFNA(VLOOKUP($A185,INDIRECT("'W"&amp;J$1&amp;"'!$A$2:$T$1000"),4,FALSE),0)</f>
        <v>9.8000000000000007</v>
      </c>
      <c r="K185" s="37">
        <f ca="1">_xlfn.IFNA(VLOOKUP($A185,INDIRECT("'W"&amp;K$1&amp;"'!$A$2:$T$1000"),4,FALSE),0)</f>
        <v>0</v>
      </c>
      <c r="L185" s="37">
        <f ca="1">_xlfn.IFNA(VLOOKUP($A185,INDIRECT("'W"&amp;L$1&amp;"'!$A$2:$T$1000"),4,FALSE),0)</f>
        <v>6.4</v>
      </c>
      <c r="M185" s="37">
        <f ca="1">_xlfn.IFNA(VLOOKUP($A185,INDIRECT("'W"&amp;M$1&amp;"'!$A$2:$T$1000"),4,FALSE),0)</f>
        <v>0</v>
      </c>
      <c r="N185" s="37">
        <f ca="1">_xlfn.IFNA(VLOOKUP($A185,INDIRECT("'W"&amp;N$1&amp;"'!$A$2:$T$1000"),4,FALSE),0)</f>
        <v>0</v>
      </c>
      <c r="O185" s="37">
        <f ca="1">_xlfn.IFNA(VLOOKUP($A185,INDIRECT("'W"&amp;O$1&amp;"'!$A$2:$T$1000"),4,FALSE),0)</f>
        <v>0</v>
      </c>
      <c r="P185" s="37">
        <f ca="1">_xlfn.IFNA(VLOOKUP($A185,INDIRECT("'W"&amp;P$1&amp;"'!$A$2:$T$1000"),4,FALSE),0)</f>
        <v>0</v>
      </c>
      <c r="Q185" s="37">
        <f ca="1">_xlfn.IFNA(VLOOKUP($A185,INDIRECT("'W"&amp;Q$1&amp;"'!$A$2:$T$1000"),4,FALSE),0)</f>
        <v>0</v>
      </c>
      <c r="R185" s="37">
        <f ca="1">_xlfn.IFNA(VLOOKUP($A185,INDIRECT("'W"&amp;R$1&amp;"'!$A$2:$T$1000"),4,FALSE),0)</f>
        <v>0</v>
      </c>
      <c r="S185" s="37">
        <f ca="1">_xlfn.IFNA(VLOOKUP($A185,INDIRECT("'W"&amp;S$1&amp;"'!$A$2:$T$1000"),4,FALSE),0)</f>
        <v>15.5</v>
      </c>
      <c r="T185" s="37">
        <f ca="1">_xlfn.IFNA(VLOOKUP($A185,INDIRECT("'W"&amp;T$1&amp;"'!$A$2:$T$1000"),4,FALSE),0)</f>
        <v>15.5</v>
      </c>
      <c r="U185" s="36">
        <f ca="1">COUNTIF(C185:T185,"&gt; 15")</f>
        <v>3</v>
      </c>
      <c r="V185" s="36">
        <f ca="1">SUM(C185:T185)</f>
        <v>114.5</v>
      </c>
      <c r="W185" s="36"/>
      <c r="X185" s="38"/>
    </row>
    <row r="186" spans="1:24" ht="12.75" x14ac:dyDescent="0.2">
      <c r="A186" s="36" t="s">
        <v>883</v>
      </c>
      <c r="B186" s="36" t="s">
        <v>851</v>
      </c>
      <c r="C186" s="37">
        <v>1</v>
      </c>
      <c r="D186" s="37">
        <v>-2</v>
      </c>
      <c r="E186" s="37">
        <v>-2</v>
      </c>
      <c r="F186" s="37">
        <v>4</v>
      </c>
      <c r="G186" s="37">
        <v>6</v>
      </c>
      <c r="H186" s="37">
        <v>7</v>
      </c>
      <c r="I186" s="37">
        <v>15</v>
      </c>
      <c r="J186" s="37">
        <v>13</v>
      </c>
      <c r="K186" s="37">
        <v>-1</v>
      </c>
      <c r="L186" s="37">
        <v>-8</v>
      </c>
      <c r="M186" s="37">
        <v>19</v>
      </c>
      <c r="N186" s="37">
        <v>13</v>
      </c>
      <c r="O186" s="37">
        <v>0</v>
      </c>
      <c r="P186" s="37">
        <v>8</v>
      </c>
      <c r="Q186" s="37">
        <v>3</v>
      </c>
      <c r="R186" s="37">
        <v>5</v>
      </c>
      <c r="S186" s="37">
        <v>15</v>
      </c>
      <c r="T186" s="37">
        <v>18</v>
      </c>
      <c r="U186" s="36">
        <f>COUNTIF(C186:T186,"&gt; 9")</f>
        <v>6</v>
      </c>
      <c r="V186" s="36">
        <f>SUM(C186:T186)</f>
        <v>114</v>
      </c>
      <c r="W186" s="36"/>
      <c r="X186" s="38"/>
    </row>
    <row r="187" spans="1:24" ht="12.75" x14ac:dyDescent="0.2">
      <c r="A187" s="36" t="s">
        <v>352</v>
      </c>
      <c r="B187" s="36" t="s">
        <v>69</v>
      </c>
      <c r="C187" s="37">
        <f ca="1">_xlfn.IFNA(VLOOKUP($A187,INDIRECT("'W"&amp;C$1&amp;"'!$A$2:$T$1000"),4,FALSE),0)</f>
        <v>0</v>
      </c>
      <c r="D187" s="37">
        <f ca="1">_xlfn.IFNA(VLOOKUP($A187,INDIRECT("'W"&amp;D$1&amp;"'!$A$2:$T$1000"),4,FALSE),0)</f>
        <v>7.5</v>
      </c>
      <c r="E187" s="37">
        <f ca="1">_xlfn.IFNA(VLOOKUP($A187,INDIRECT("'W"&amp;E$1&amp;"'!$A$2:$T$1000"),4,FALSE),0)</f>
        <v>3.7</v>
      </c>
      <c r="F187" s="37">
        <f ca="1">_xlfn.IFNA(VLOOKUP($A187,INDIRECT("'W"&amp;F$1&amp;"'!$A$2:$T$1000"),4,FALSE),0)</f>
        <v>5.9</v>
      </c>
      <c r="G187" s="37">
        <f ca="1">_xlfn.IFNA(VLOOKUP($A187,INDIRECT("'W"&amp;G$1&amp;"'!$A$2:$T$1000"),4,FALSE),0)</f>
        <v>8.3000000000000007</v>
      </c>
      <c r="H187" s="37">
        <f ca="1">_xlfn.IFNA(VLOOKUP($A187,INDIRECT("'W"&amp;H$1&amp;"'!$A$2:$T$1000"),4,FALSE),0)</f>
        <v>3.8</v>
      </c>
      <c r="I187" s="37">
        <f ca="1">_xlfn.IFNA(VLOOKUP($A187,INDIRECT("'W"&amp;I$1&amp;"'!$A$2:$T$1000"),4,FALSE),0)</f>
        <v>0</v>
      </c>
      <c r="J187" s="37">
        <f ca="1">_xlfn.IFNA(VLOOKUP($A187,INDIRECT("'W"&amp;J$1&amp;"'!$A$2:$T$1000"),4,FALSE),0)</f>
        <v>6.7000000000000011</v>
      </c>
      <c r="K187" s="37">
        <f ca="1">_xlfn.IFNA(VLOOKUP($A187,INDIRECT("'W"&amp;K$1&amp;"'!$A$2:$T$1000"),4,FALSE),0)</f>
        <v>5.8000000000000007</v>
      </c>
      <c r="L187" s="37">
        <f ca="1">_xlfn.IFNA(VLOOKUP($A187,INDIRECT("'W"&amp;L$1&amp;"'!$A$2:$T$1000"),4,FALSE),0)</f>
        <v>5.7</v>
      </c>
      <c r="M187" s="37">
        <f ca="1">_xlfn.IFNA(VLOOKUP($A187,INDIRECT("'W"&amp;M$1&amp;"'!$A$2:$T$1000"),4,FALSE),0)</f>
        <v>1.6</v>
      </c>
      <c r="N187" s="37">
        <f ca="1">_xlfn.IFNA(VLOOKUP($A187,INDIRECT("'W"&amp;N$1&amp;"'!$A$2:$T$1000"),4,FALSE),0)</f>
        <v>8.5</v>
      </c>
      <c r="O187" s="37">
        <f ca="1">_xlfn.IFNA(VLOOKUP($A187,INDIRECT("'W"&amp;O$1&amp;"'!$A$2:$T$1000"),4,FALSE),0)</f>
        <v>9.4</v>
      </c>
      <c r="P187" s="37">
        <f ca="1">_xlfn.IFNA(VLOOKUP($A187,INDIRECT("'W"&amp;P$1&amp;"'!$A$2:$T$1000"),4,FALSE),0)</f>
        <v>9.6000000000000014</v>
      </c>
      <c r="Q187" s="37">
        <f ca="1">_xlfn.IFNA(VLOOKUP($A187,INDIRECT("'W"&amp;Q$1&amp;"'!$A$2:$T$1000"),4,FALSE),0)</f>
        <v>6.6</v>
      </c>
      <c r="R187" s="37">
        <f ca="1">_xlfn.IFNA(VLOOKUP($A187,INDIRECT("'W"&amp;R$1&amp;"'!$A$2:$T$1000"),4,FALSE),0)</f>
        <v>18.3</v>
      </c>
      <c r="S187" s="37">
        <f ca="1">_xlfn.IFNA(VLOOKUP($A187,INDIRECT("'W"&amp;S$1&amp;"'!$A$2:$T$1000"),4,FALSE),0)</f>
        <v>6.4</v>
      </c>
      <c r="T187" s="37">
        <f ca="1">_xlfn.IFNA(VLOOKUP($A187,INDIRECT("'W"&amp;T$1&amp;"'!$A$2:$T$1000"),4,FALSE),0)</f>
        <v>5.6</v>
      </c>
      <c r="U187" s="36">
        <f ca="1">COUNTIF(C187:T187,"&gt; 15")</f>
        <v>1</v>
      </c>
      <c r="V187" s="36">
        <f ca="1">SUM(C187:T187)</f>
        <v>113.39999999999999</v>
      </c>
      <c r="W187" s="36"/>
      <c r="X187" s="38"/>
    </row>
    <row r="188" spans="1:24" ht="12.75" x14ac:dyDescent="0.2">
      <c r="A188" s="36" t="s">
        <v>294</v>
      </c>
      <c r="B188" s="36" t="s">
        <v>69</v>
      </c>
      <c r="C188" s="37">
        <f ca="1">_xlfn.IFNA(VLOOKUP($A188,INDIRECT("'W"&amp;C$1&amp;"'!$A$2:$T$1000"),4,FALSE),0)</f>
        <v>6.6</v>
      </c>
      <c r="D188" s="37">
        <f ca="1">_xlfn.IFNA(VLOOKUP($A188,INDIRECT("'W"&amp;D$1&amp;"'!$A$2:$T$1000"),4,FALSE),0)</f>
        <v>13.600000000000001</v>
      </c>
      <c r="E188" s="37">
        <f ca="1">_xlfn.IFNA(VLOOKUP($A188,INDIRECT("'W"&amp;E$1&amp;"'!$A$2:$T$1000"),4,FALSE),0)</f>
        <v>5</v>
      </c>
      <c r="F188" s="37">
        <f ca="1">_xlfn.IFNA(VLOOKUP($A188,INDIRECT("'W"&amp;F$1&amp;"'!$A$2:$T$1000"),4,FALSE),0)</f>
        <v>5.0999999999999996</v>
      </c>
      <c r="G188" s="37">
        <f ca="1">_xlfn.IFNA(VLOOKUP($A188,INDIRECT("'W"&amp;G$1&amp;"'!$A$2:$T$1000"),4,FALSE),0)</f>
        <v>16.600000000000001</v>
      </c>
      <c r="H188" s="37">
        <f ca="1">_xlfn.IFNA(VLOOKUP($A188,INDIRECT("'W"&amp;H$1&amp;"'!$A$2:$T$1000"),4,FALSE),0)</f>
        <v>9.3000000000000007</v>
      </c>
      <c r="I188" s="37">
        <f ca="1">_xlfn.IFNA(VLOOKUP($A188,INDIRECT("'W"&amp;I$1&amp;"'!$A$2:$T$1000"),4,FALSE),0)</f>
        <v>22.8</v>
      </c>
      <c r="J188" s="37">
        <f ca="1">_xlfn.IFNA(VLOOKUP($A188,INDIRECT("'W"&amp;J$1&amp;"'!$A$2:$T$1000"),4,FALSE),0)</f>
        <v>1.4</v>
      </c>
      <c r="K188" s="37">
        <f ca="1">_xlfn.IFNA(VLOOKUP($A188,INDIRECT("'W"&amp;K$1&amp;"'!$A$2:$T$1000"),4,FALSE),0)</f>
        <v>0</v>
      </c>
      <c r="L188" s="37">
        <f ca="1">_xlfn.IFNA(VLOOKUP($A188,INDIRECT("'W"&amp;L$1&amp;"'!$A$2:$T$1000"),4,FALSE),0)</f>
        <v>0</v>
      </c>
      <c r="M188" s="37">
        <f ca="1">_xlfn.IFNA(VLOOKUP($A188,INDIRECT("'W"&amp;M$1&amp;"'!$A$2:$T$1000"),4,FALSE),0)</f>
        <v>0</v>
      </c>
      <c r="N188" s="37">
        <f ca="1">_xlfn.IFNA(VLOOKUP($A188,INDIRECT("'W"&amp;N$1&amp;"'!$A$2:$T$1000"),4,FALSE),0)</f>
        <v>0</v>
      </c>
      <c r="O188" s="37">
        <f ca="1">_xlfn.IFNA(VLOOKUP($A188,INDIRECT("'W"&amp;O$1&amp;"'!$A$2:$T$1000"),4,FALSE),0)</f>
        <v>0</v>
      </c>
      <c r="P188" s="37">
        <f ca="1">_xlfn.IFNA(VLOOKUP($A188,INDIRECT("'W"&amp;P$1&amp;"'!$A$2:$T$1000"),4,FALSE),0)</f>
        <v>0</v>
      </c>
      <c r="Q188" s="37">
        <f ca="1">_xlfn.IFNA(VLOOKUP($A188,INDIRECT("'W"&amp;Q$1&amp;"'!$A$2:$T$1000"),4,FALSE),0)</f>
        <v>8</v>
      </c>
      <c r="R188" s="37">
        <f ca="1">_xlfn.IFNA(VLOOKUP($A188,INDIRECT("'W"&amp;R$1&amp;"'!$A$2:$T$1000"),4,FALSE),0)</f>
        <v>5.2</v>
      </c>
      <c r="S188" s="37">
        <f ca="1">_xlfn.IFNA(VLOOKUP($A188,INDIRECT("'W"&amp;S$1&amp;"'!$A$2:$T$1000"),4,FALSE),0)</f>
        <v>10.100000000000001</v>
      </c>
      <c r="T188" s="37">
        <f ca="1">_xlfn.IFNA(VLOOKUP($A188,INDIRECT("'W"&amp;T$1&amp;"'!$A$2:$T$1000"),4,FALSE),0)</f>
        <v>9.5</v>
      </c>
      <c r="U188" s="36">
        <f ca="1">COUNTIF(C188:T188,"&gt; 15")</f>
        <v>2</v>
      </c>
      <c r="V188" s="36">
        <f ca="1">SUM(C188:T188)</f>
        <v>113.20000000000002</v>
      </c>
      <c r="W188" s="36"/>
      <c r="X188" s="38">
        <v>41</v>
      </c>
    </row>
    <row r="189" spans="1:24" ht="12.75" x14ac:dyDescent="0.2">
      <c r="A189" s="36" t="s">
        <v>350</v>
      </c>
      <c r="B189" s="36" t="s">
        <v>162</v>
      </c>
      <c r="C189" s="37">
        <f ca="1">_xlfn.IFNA(VLOOKUP($A189,INDIRECT("'W"&amp;C$1&amp;"'!$A$2:$T$1000"),4,FALSE),0)</f>
        <v>0</v>
      </c>
      <c r="D189" s="37">
        <f ca="1">_xlfn.IFNA(VLOOKUP($A189,INDIRECT("'W"&amp;D$1&amp;"'!$A$2:$T$1000"),4,FALSE),0)</f>
        <v>8.1</v>
      </c>
      <c r="E189" s="37">
        <f ca="1">_xlfn.IFNA(VLOOKUP($A189,INDIRECT("'W"&amp;E$1&amp;"'!$A$2:$T$1000"),4,FALSE),0)</f>
        <v>1.5</v>
      </c>
      <c r="F189" s="37">
        <f ca="1">_xlfn.IFNA(VLOOKUP($A189,INDIRECT("'W"&amp;F$1&amp;"'!$A$2:$T$1000"),4,FALSE),0)</f>
        <v>0</v>
      </c>
      <c r="G189" s="37">
        <f ca="1">_xlfn.IFNA(VLOOKUP($A189,INDIRECT("'W"&amp;G$1&amp;"'!$A$2:$T$1000"),4,FALSE),0)</f>
        <v>2.1</v>
      </c>
      <c r="H189" s="37">
        <f ca="1">_xlfn.IFNA(VLOOKUP($A189,INDIRECT("'W"&amp;H$1&amp;"'!$A$2:$T$1000"),4,FALSE),0)</f>
        <v>2.2999999999999998</v>
      </c>
      <c r="I189" s="37">
        <f ca="1">_xlfn.IFNA(VLOOKUP($A189,INDIRECT("'W"&amp;I$1&amp;"'!$A$2:$T$1000"),4,FALSE),0)</f>
        <v>7.5</v>
      </c>
      <c r="J189" s="37">
        <f ca="1">_xlfn.IFNA(VLOOKUP($A189,INDIRECT("'W"&amp;J$1&amp;"'!$A$2:$T$1000"),4,FALSE),0)</f>
        <v>15.200000000000001</v>
      </c>
      <c r="K189" s="37">
        <f ca="1">_xlfn.IFNA(VLOOKUP($A189,INDIRECT("'W"&amp;K$1&amp;"'!$A$2:$T$1000"),4,FALSE),0)</f>
        <v>9.6999999999999993</v>
      </c>
      <c r="L189" s="37">
        <f ca="1">_xlfn.IFNA(VLOOKUP($A189,INDIRECT("'W"&amp;L$1&amp;"'!$A$2:$T$1000"),4,FALSE),0)</f>
        <v>3.4000000000000004</v>
      </c>
      <c r="M189" s="37">
        <f ca="1">_xlfn.IFNA(VLOOKUP($A189,INDIRECT("'W"&amp;M$1&amp;"'!$A$2:$T$1000"),4,FALSE),0)</f>
        <v>20.5</v>
      </c>
      <c r="N189" s="37">
        <f ca="1">_xlfn.IFNA(VLOOKUP($A189,INDIRECT("'W"&amp;N$1&amp;"'!$A$2:$T$1000"),4,FALSE),0)</f>
        <v>7.7</v>
      </c>
      <c r="O189" s="37">
        <f ca="1">_xlfn.IFNA(VLOOKUP($A189,INDIRECT("'W"&amp;O$1&amp;"'!$A$2:$T$1000"),4,FALSE),0)</f>
        <v>0</v>
      </c>
      <c r="P189" s="37">
        <f ca="1">_xlfn.IFNA(VLOOKUP($A189,INDIRECT("'W"&amp;P$1&amp;"'!$A$2:$T$1000"),4,FALSE),0)</f>
        <v>2.2000000000000002</v>
      </c>
      <c r="Q189" s="37">
        <f ca="1">_xlfn.IFNA(VLOOKUP($A189,INDIRECT("'W"&amp;Q$1&amp;"'!$A$2:$T$1000"),4,FALSE),0)</f>
        <v>0</v>
      </c>
      <c r="R189" s="37">
        <f ca="1">_xlfn.IFNA(VLOOKUP($A189,INDIRECT("'W"&amp;R$1&amp;"'!$A$2:$T$1000"),4,FALSE),0)</f>
        <v>7.5</v>
      </c>
      <c r="S189" s="37">
        <f ca="1">_xlfn.IFNA(VLOOKUP($A189,INDIRECT("'W"&amp;S$1&amp;"'!$A$2:$T$1000"),4,FALSE),0)</f>
        <v>8.9</v>
      </c>
      <c r="T189" s="37">
        <f ca="1">_xlfn.IFNA(VLOOKUP($A189,INDIRECT("'W"&amp;T$1&amp;"'!$A$2:$T$1000"),4,FALSE),0)</f>
        <v>16.5</v>
      </c>
      <c r="U189" s="36">
        <f ca="1">COUNTIF(C189:T189,"&gt; 15")</f>
        <v>3</v>
      </c>
      <c r="V189" s="36">
        <f ca="1">SUM(C189:T189)</f>
        <v>113.10000000000002</v>
      </c>
      <c r="W189" s="36"/>
      <c r="X189" s="38"/>
    </row>
    <row r="190" spans="1:24" ht="12.75" x14ac:dyDescent="0.2">
      <c r="A190" s="36" t="s">
        <v>99</v>
      </c>
      <c r="B190" s="36" t="s">
        <v>75</v>
      </c>
      <c r="C190" s="37">
        <f ca="1">_xlfn.IFNA(VLOOKUP($A190,INDIRECT("'W"&amp;C$1&amp;"'!$A$2:$T$1000"),4,FALSE),0)</f>
        <v>11.4</v>
      </c>
      <c r="D190" s="37">
        <f ca="1">_xlfn.IFNA(VLOOKUP($A190,INDIRECT("'W"&amp;D$1&amp;"'!$A$2:$T$1000"),4,FALSE),0)</f>
        <v>6.8000000000000007</v>
      </c>
      <c r="E190" s="37">
        <f ca="1">_xlfn.IFNA(VLOOKUP($A190,INDIRECT("'W"&amp;E$1&amp;"'!$A$2:$T$1000"),4,FALSE),0)</f>
        <v>3.5</v>
      </c>
      <c r="F190" s="37">
        <f ca="1">_xlfn.IFNA(VLOOKUP($A190,INDIRECT("'W"&amp;F$1&amp;"'!$A$2:$T$1000"),4,FALSE),0)</f>
        <v>22.2</v>
      </c>
      <c r="G190" s="37">
        <f ca="1">_xlfn.IFNA(VLOOKUP($A190,INDIRECT("'W"&amp;G$1&amp;"'!$A$2:$T$1000"),4,FALSE),0)</f>
        <v>7.6000000000000005</v>
      </c>
      <c r="H190" s="37">
        <f ca="1">_xlfn.IFNA(VLOOKUP($A190,INDIRECT("'W"&amp;H$1&amp;"'!$A$2:$T$1000"),4,FALSE),0)</f>
        <v>0</v>
      </c>
      <c r="I190" s="37">
        <f ca="1">_xlfn.IFNA(VLOOKUP($A190,INDIRECT("'W"&amp;I$1&amp;"'!$A$2:$T$1000"),4,FALSE),0)</f>
        <v>0</v>
      </c>
      <c r="J190" s="37">
        <f ca="1">_xlfn.IFNA(VLOOKUP($A190,INDIRECT("'W"&amp;J$1&amp;"'!$A$2:$T$1000"),4,FALSE),0)</f>
        <v>0</v>
      </c>
      <c r="K190" s="37">
        <f ca="1">_xlfn.IFNA(VLOOKUP($A190,INDIRECT("'W"&amp;K$1&amp;"'!$A$2:$T$1000"),4,FALSE),0)</f>
        <v>0</v>
      </c>
      <c r="L190" s="37">
        <f ca="1">_xlfn.IFNA(VLOOKUP($A190,INDIRECT("'W"&amp;L$1&amp;"'!$A$2:$T$1000"),4,FALSE),0)</f>
        <v>0</v>
      </c>
      <c r="M190" s="37">
        <f ca="1">_xlfn.IFNA(VLOOKUP($A190,INDIRECT("'W"&amp;M$1&amp;"'!$A$2:$T$1000"),4,FALSE),0)</f>
        <v>6.1</v>
      </c>
      <c r="N190" s="37">
        <f ca="1">_xlfn.IFNA(VLOOKUP($A190,INDIRECT("'W"&amp;N$1&amp;"'!$A$2:$T$1000"),4,FALSE),0)</f>
        <v>5.8000000000000007</v>
      </c>
      <c r="O190" s="37">
        <f ca="1">_xlfn.IFNA(VLOOKUP($A190,INDIRECT("'W"&amp;O$1&amp;"'!$A$2:$T$1000"),4,FALSE),0)</f>
        <v>0</v>
      </c>
      <c r="P190" s="37">
        <f ca="1">_xlfn.IFNA(VLOOKUP($A190,INDIRECT("'W"&amp;P$1&amp;"'!$A$2:$T$1000"),4,FALSE),0)</f>
        <v>0.8</v>
      </c>
      <c r="Q190" s="37">
        <f ca="1">_xlfn.IFNA(VLOOKUP($A190,INDIRECT("'W"&amp;Q$1&amp;"'!$A$2:$T$1000"),4,FALSE),0)</f>
        <v>2.2000000000000002</v>
      </c>
      <c r="R190" s="37">
        <f ca="1">_xlfn.IFNA(VLOOKUP($A190,INDIRECT("'W"&amp;R$1&amp;"'!$A$2:$T$1000"),4,FALSE),0)</f>
        <v>19.100000000000001</v>
      </c>
      <c r="S190" s="37">
        <f ca="1">_xlfn.IFNA(VLOOKUP($A190,INDIRECT("'W"&amp;S$1&amp;"'!$A$2:$T$1000"),4,FALSE),0)</f>
        <v>20.9</v>
      </c>
      <c r="T190" s="37">
        <f ca="1">_xlfn.IFNA(VLOOKUP($A190,INDIRECT("'W"&amp;T$1&amp;"'!$A$2:$T$1000"),4,FALSE),0)</f>
        <v>6.1000000000000005</v>
      </c>
      <c r="U190" s="36">
        <f ca="1">COUNTIF(C190:T190,"&gt; 15")</f>
        <v>3</v>
      </c>
      <c r="V190" s="36">
        <f ca="1">SUM(C190:T190)</f>
        <v>112.5</v>
      </c>
      <c r="W190" s="36"/>
      <c r="X190" s="38">
        <v>103</v>
      </c>
    </row>
    <row r="191" spans="1:24" ht="12.75" x14ac:dyDescent="0.2">
      <c r="A191" s="36" t="s">
        <v>176</v>
      </c>
      <c r="B191" s="36" t="s">
        <v>162</v>
      </c>
      <c r="C191" s="37">
        <f ca="1">_xlfn.IFNA(VLOOKUP($A191,INDIRECT("'W"&amp;C$1&amp;"'!$A$2:$T$1000"),4,FALSE),0)</f>
        <v>17.899999999999999</v>
      </c>
      <c r="D191" s="37">
        <f ca="1">_xlfn.IFNA(VLOOKUP($A191,INDIRECT("'W"&amp;D$1&amp;"'!$A$2:$T$1000"),4,FALSE),0)</f>
        <v>15.2</v>
      </c>
      <c r="E191" s="37">
        <f ca="1">_xlfn.IFNA(VLOOKUP($A191,INDIRECT("'W"&amp;E$1&amp;"'!$A$2:$T$1000"),4,FALSE),0)</f>
        <v>17.2</v>
      </c>
      <c r="F191" s="37">
        <f ca="1">_xlfn.IFNA(VLOOKUP($A191,INDIRECT("'W"&amp;F$1&amp;"'!$A$2:$T$1000"),4,FALSE),0)</f>
        <v>7.4</v>
      </c>
      <c r="G191" s="37">
        <f ca="1">_xlfn.IFNA(VLOOKUP($A191,INDIRECT("'W"&amp;G$1&amp;"'!$A$2:$T$1000"),4,FALSE),0)</f>
        <v>8.9</v>
      </c>
      <c r="H191" s="37">
        <f ca="1">_xlfn.IFNA(VLOOKUP($A191,INDIRECT("'W"&amp;H$1&amp;"'!$A$2:$T$1000"),4,FALSE),0)</f>
        <v>4</v>
      </c>
      <c r="I191" s="37">
        <f ca="1">_xlfn.IFNA(VLOOKUP($A191,INDIRECT("'W"&amp;I$1&amp;"'!$A$2:$T$1000"),4,FALSE),0)</f>
        <v>10.1</v>
      </c>
      <c r="J191" s="37">
        <f ca="1">_xlfn.IFNA(VLOOKUP($A191,INDIRECT("'W"&amp;J$1&amp;"'!$A$2:$T$1000"),4,FALSE),0)</f>
        <v>6.9</v>
      </c>
      <c r="K191" s="37">
        <f ca="1">_xlfn.IFNA(VLOOKUP($A191,INDIRECT("'W"&amp;K$1&amp;"'!$A$2:$T$1000"),4,FALSE),0)</f>
        <v>5.3</v>
      </c>
      <c r="L191" s="37">
        <f ca="1">_xlfn.IFNA(VLOOKUP($A191,INDIRECT("'W"&amp;L$1&amp;"'!$A$2:$T$1000"),4,FALSE),0)</f>
        <v>0</v>
      </c>
      <c r="M191" s="37">
        <f ca="1">_xlfn.IFNA(VLOOKUP($A191,INDIRECT("'W"&amp;M$1&amp;"'!$A$2:$T$1000"),4,FALSE),0)</f>
        <v>2.7</v>
      </c>
      <c r="N191" s="37">
        <f ca="1">_xlfn.IFNA(VLOOKUP($A191,INDIRECT("'W"&amp;N$1&amp;"'!$A$2:$T$1000"),4,FALSE),0)</f>
        <v>10.600000000000001</v>
      </c>
      <c r="O191" s="37">
        <f ca="1">_xlfn.IFNA(VLOOKUP($A191,INDIRECT("'W"&amp;O$1&amp;"'!$A$2:$T$1000"),4,FALSE),0)</f>
        <v>1.9</v>
      </c>
      <c r="P191" s="37">
        <f ca="1">_xlfn.IFNA(VLOOKUP($A191,INDIRECT("'W"&amp;P$1&amp;"'!$A$2:$T$1000"),4,FALSE),0)</f>
        <v>0</v>
      </c>
      <c r="Q191" s="37">
        <f ca="1">_xlfn.IFNA(VLOOKUP($A191,INDIRECT("'W"&amp;Q$1&amp;"'!$A$2:$T$1000"),4,FALSE),0)</f>
        <v>0</v>
      </c>
      <c r="R191" s="37">
        <f ca="1">_xlfn.IFNA(VLOOKUP($A191,INDIRECT("'W"&amp;R$1&amp;"'!$A$2:$T$1000"),4,FALSE),0)</f>
        <v>0</v>
      </c>
      <c r="S191" s="37">
        <f ca="1">_xlfn.IFNA(VLOOKUP($A191,INDIRECT("'W"&amp;S$1&amp;"'!$A$2:$T$1000"),4,FALSE),0)</f>
        <v>0</v>
      </c>
      <c r="T191" s="37">
        <f ca="1">_xlfn.IFNA(VLOOKUP($A191,INDIRECT("'W"&amp;T$1&amp;"'!$A$2:$T$1000"),4,FALSE),0)</f>
        <v>4.3000000000000007</v>
      </c>
      <c r="U191" s="36">
        <f ca="1">COUNTIF(C191:T191,"&gt; 15")</f>
        <v>3</v>
      </c>
      <c r="V191" s="36">
        <f ca="1">SUM(C191:T191)</f>
        <v>112.39999999999999</v>
      </c>
      <c r="W191" s="36"/>
      <c r="X191" s="38"/>
    </row>
    <row r="192" spans="1:24" ht="12.75" x14ac:dyDescent="0.2">
      <c r="A192" s="36" t="s">
        <v>297</v>
      </c>
      <c r="B192" s="36" t="s">
        <v>69</v>
      </c>
      <c r="C192" s="37">
        <f ca="1">_xlfn.IFNA(VLOOKUP($A192,INDIRECT("'W"&amp;C$1&amp;"'!$A$2:$T$1000"),4,FALSE),0)</f>
        <v>4.3000000000000007</v>
      </c>
      <c r="D192" s="37">
        <f ca="1">_xlfn.IFNA(VLOOKUP($A192,INDIRECT("'W"&amp;D$1&amp;"'!$A$2:$T$1000"),4,FALSE),0)</f>
        <v>7.7</v>
      </c>
      <c r="E192" s="37">
        <f ca="1">_xlfn.IFNA(VLOOKUP($A192,INDIRECT("'W"&amp;E$1&amp;"'!$A$2:$T$1000"),4,FALSE),0)</f>
        <v>9</v>
      </c>
      <c r="F192" s="37">
        <f ca="1">_xlfn.IFNA(VLOOKUP($A192,INDIRECT("'W"&amp;F$1&amp;"'!$A$2:$T$1000"),4,FALSE),0)</f>
        <v>2.9</v>
      </c>
      <c r="G192" s="37">
        <f ca="1">_xlfn.IFNA(VLOOKUP($A192,INDIRECT("'W"&amp;G$1&amp;"'!$A$2:$T$1000"),4,FALSE),0)</f>
        <v>0</v>
      </c>
      <c r="H192" s="37">
        <f ca="1">_xlfn.IFNA(VLOOKUP($A192,INDIRECT("'W"&amp;H$1&amp;"'!$A$2:$T$1000"),4,FALSE),0)</f>
        <v>10.8</v>
      </c>
      <c r="I192" s="37">
        <f ca="1">_xlfn.IFNA(VLOOKUP($A192,INDIRECT("'W"&amp;I$1&amp;"'!$A$2:$T$1000"),4,FALSE),0)</f>
        <v>11.6</v>
      </c>
      <c r="J192" s="37">
        <f ca="1">_xlfn.IFNA(VLOOKUP($A192,INDIRECT("'W"&amp;J$1&amp;"'!$A$2:$T$1000"),4,FALSE),0)</f>
        <v>0</v>
      </c>
      <c r="K192" s="37">
        <f ca="1">_xlfn.IFNA(VLOOKUP($A192,INDIRECT("'W"&amp;K$1&amp;"'!$A$2:$T$1000"),4,FALSE),0)</f>
        <v>3.8</v>
      </c>
      <c r="L192" s="37">
        <f ca="1">_xlfn.IFNA(VLOOKUP($A192,INDIRECT("'W"&amp;L$1&amp;"'!$A$2:$T$1000"),4,FALSE),0)</f>
        <v>0</v>
      </c>
      <c r="M192" s="37">
        <f ca="1">_xlfn.IFNA(VLOOKUP($A192,INDIRECT("'W"&amp;M$1&amp;"'!$A$2:$T$1000"),4,FALSE),0)</f>
        <v>0</v>
      </c>
      <c r="N192" s="37">
        <f ca="1">_xlfn.IFNA(VLOOKUP($A192,INDIRECT("'W"&amp;N$1&amp;"'!$A$2:$T$1000"),4,FALSE),0)</f>
        <v>14.3</v>
      </c>
      <c r="O192" s="37">
        <f ca="1">_xlfn.IFNA(VLOOKUP($A192,INDIRECT("'W"&amp;O$1&amp;"'!$A$2:$T$1000"),4,FALSE),0)</f>
        <v>8.4</v>
      </c>
      <c r="P192" s="37">
        <f ca="1">_xlfn.IFNA(VLOOKUP($A192,INDIRECT("'W"&amp;P$1&amp;"'!$A$2:$T$1000"),4,FALSE),0)</f>
        <v>8.9</v>
      </c>
      <c r="Q192" s="37">
        <f ca="1">_xlfn.IFNA(VLOOKUP($A192,INDIRECT("'W"&amp;Q$1&amp;"'!$A$2:$T$1000"),4,FALSE),0)</f>
        <v>9.1000000000000014</v>
      </c>
      <c r="R192" s="37">
        <f ca="1">_xlfn.IFNA(VLOOKUP($A192,INDIRECT("'W"&amp;R$1&amp;"'!$A$2:$T$1000"),4,FALSE),0)</f>
        <v>11.2</v>
      </c>
      <c r="S192" s="37">
        <f ca="1">_xlfn.IFNA(VLOOKUP($A192,INDIRECT("'W"&amp;S$1&amp;"'!$A$2:$T$1000"),4,FALSE),0)</f>
        <v>7.6999999999999993</v>
      </c>
      <c r="T192" s="37">
        <f ca="1">_xlfn.IFNA(VLOOKUP($A192,INDIRECT("'W"&amp;T$1&amp;"'!$A$2:$T$1000"),4,FALSE),0)</f>
        <v>1.4</v>
      </c>
      <c r="U192" s="36">
        <f ca="1">COUNTIF(C192:T192,"&gt; 15")</f>
        <v>0</v>
      </c>
      <c r="V192" s="36">
        <f ca="1">SUM(C192:T192)</f>
        <v>111.10000000000002</v>
      </c>
      <c r="W192" s="36"/>
      <c r="X192" s="38"/>
    </row>
    <row r="193" spans="1:24" ht="12.75" x14ac:dyDescent="0.2">
      <c r="A193" s="36" t="s">
        <v>884</v>
      </c>
      <c r="B193" s="36" t="s">
        <v>851</v>
      </c>
      <c r="C193" s="37">
        <v>3</v>
      </c>
      <c r="D193" s="37">
        <v>2</v>
      </c>
      <c r="E193" s="37">
        <v>-3</v>
      </c>
      <c r="F193" s="37">
        <v>18</v>
      </c>
      <c r="G193" s="37">
        <v>2</v>
      </c>
      <c r="H193" s="37">
        <v>22</v>
      </c>
      <c r="I193" s="37">
        <v>8</v>
      </c>
      <c r="J193" s="37">
        <v>11</v>
      </c>
      <c r="K193" s="37">
        <v>4</v>
      </c>
      <c r="L193" s="37">
        <v>9</v>
      </c>
      <c r="M193" s="37">
        <v>4</v>
      </c>
      <c r="N193" s="37">
        <v>10</v>
      </c>
      <c r="O193" s="37">
        <v>0</v>
      </c>
      <c r="P193" s="37">
        <v>17</v>
      </c>
      <c r="Q193" s="37">
        <v>6</v>
      </c>
      <c r="R193" s="37">
        <v>3</v>
      </c>
      <c r="S193" s="37">
        <v>-4</v>
      </c>
      <c r="T193" s="37">
        <v>-1</v>
      </c>
      <c r="U193" s="36">
        <f>COUNTIF(C193:T193,"&gt; 9")</f>
        <v>5</v>
      </c>
      <c r="V193" s="36">
        <f>SUM(C193:T193)</f>
        <v>111</v>
      </c>
      <c r="W193" s="36"/>
      <c r="X193" s="38"/>
    </row>
    <row r="194" spans="1:24" ht="12.75" x14ac:dyDescent="0.2">
      <c r="A194" s="36" t="s">
        <v>50</v>
      </c>
      <c r="B194" s="36" t="s">
        <v>17</v>
      </c>
      <c r="C194" s="37">
        <f ca="1">_xlfn.IFNA(VLOOKUP($A194,INDIRECT("'W"&amp;C$1&amp;"'!$A$2:$T$1000"),4,FALSE),0)</f>
        <v>9.68</v>
      </c>
      <c r="D194" s="37">
        <f ca="1">_xlfn.IFNA(VLOOKUP($A194,INDIRECT("'W"&amp;D$1&amp;"'!$A$2:$T$1000"),4,FALSE),0)</f>
        <v>10.280000000000001</v>
      </c>
      <c r="E194" s="37">
        <f ca="1">_xlfn.IFNA(VLOOKUP($A194,INDIRECT("'W"&amp;E$1&amp;"'!$A$2:$T$1000"),4,FALSE),0)</f>
        <v>18.5</v>
      </c>
      <c r="F194" s="37">
        <f ca="1">_xlfn.IFNA(VLOOKUP($A194,INDIRECT("'W"&amp;F$1&amp;"'!$A$2:$T$1000"),4,FALSE),0)</f>
        <v>3.4600000000000004</v>
      </c>
      <c r="G194" s="37">
        <f ca="1">_xlfn.IFNA(VLOOKUP($A194,INDIRECT("'W"&amp;G$1&amp;"'!$A$2:$T$1000"),4,FALSE),0)</f>
        <v>12.360000000000001</v>
      </c>
      <c r="H194" s="37">
        <f ca="1">_xlfn.IFNA(VLOOKUP($A194,INDIRECT("'W"&amp;H$1&amp;"'!$A$2:$T$1000"),4,FALSE),0)</f>
        <v>0</v>
      </c>
      <c r="I194" s="37">
        <f ca="1">_xlfn.IFNA(VLOOKUP($A194,INDIRECT("'W"&amp;I$1&amp;"'!$A$2:$T$1000"),4,FALSE),0)</f>
        <v>15.200000000000001</v>
      </c>
      <c r="J194" s="37">
        <f ca="1">_xlfn.IFNA(VLOOKUP($A194,INDIRECT("'W"&amp;J$1&amp;"'!$A$2:$T$1000"),4,FALSE),0)</f>
        <v>3.92</v>
      </c>
      <c r="K194" s="37">
        <f ca="1">_xlfn.IFNA(VLOOKUP($A194,INDIRECT("'W"&amp;K$1&amp;"'!$A$2:$T$1000"),4,FALSE),0)</f>
        <v>10.3</v>
      </c>
      <c r="L194" s="37">
        <f ca="1">_xlfn.IFNA(VLOOKUP($A194,INDIRECT("'W"&amp;L$1&amp;"'!$A$2:$T$1000"),4,FALSE),0)</f>
        <v>6.6400000000000006</v>
      </c>
      <c r="M194" s="37">
        <f ca="1">_xlfn.IFNA(VLOOKUP($A194,INDIRECT("'W"&amp;M$1&amp;"'!$A$2:$T$1000"),4,FALSE),0)</f>
        <v>5.1400000000000006</v>
      </c>
      <c r="N194" s="37">
        <f ca="1">_xlfn.IFNA(VLOOKUP($A194,INDIRECT("'W"&amp;N$1&amp;"'!$A$2:$T$1000"),4,FALSE),0)</f>
        <v>11.620000000000001</v>
      </c>
      <c r="O194" s="37">
        <f ca="1">_xlfn.IFNA(VLOOKUP($A194,INDIRECT("'W"&amp;O$1&amp;"'!$A$2:$T$1000"),4,FALSE),0)</f>
        <v>3.1000000000000005</v>
      </c>
      <c r="P194" s="37">
        <f ca="1">_xlfn.IFNA(VLOOKUP($A194,INDIRECT("'W"&amp;P$1&amp;"'!$A$2:$T$1000"),4,FALSE),0)</f>
        <v>0</v>
      </c>
      <c r="Q194" s="37">
        <f ca="1">_xlfn.IFNA(VLOOKUP($A194,INDIRECT("'W"&amp;Q$1&amp;"'!$A$2:$T$1000"),4,FALSE),0)</f>
        <v>0</v>
      </c>
      <c r="R194" s="37">
        <f ca="1">_xlfn.IFNA(VLOOKUP($A194,INDIRECT("'W"&amp;R$1&amp;"'!$A$2:$T$1000"),4,FALSE),0)</f>
        <v>0</v>
      </c>
      <c r="S194" s="37">
        <f ca="1">_xlfn.IFNA(VLOOKUP($A194,INDIRECT("'W"&amp;S$1&amp;"'!$A$2:$T$1000"),4,FALSE),0)</f>
        <v>0</v>
      </c>
      <c r="T194" s="37">
        <f ca="1">_xlfn.IFNA(VLOOKUP($A194,INDIRECT("'W"&amp;T$1&amp;"'!$A$2:$T$1000"),4,FALSE),0)</f>
        <v>0</v>
      </c>
      <c r="U194" s="36">
        <f ca="1">COUNTIF(C194:T194,"&gt; 15")</f>
        <v>2</v>
      </c>
      <c r="V194" s="36">
        <f ca="1">SUM(C194:T194)</f>
        <v>110.2</v>
      </c>
      <c r="W194" s="36"/>
      <c r="X194" s="38"/>
    </row>
    <row r="195" spans="1:24" ht="12.75" x14ac:dyDescent="0.2">
      <c r="A195" s="36" t="s">
        <v>885</v>
      </c>
      <c r="B195" s="36" t="s">
        <v>851</v>
      </c>
      <c r="C195" s="37">
        <v>0</v>
      </c>
      <c r="D195" s="37">
        <v>-1</v>
      </c>
      <c r="E195" s="37">
        <v>-4</v>
      </c>
      <c r="F195" s="37">
        <v>1</v>
      </c>
      <c r="G195" s="37">
        <v>8</v>
      </c>
      <c r="H195" s="37">
        <v>11</v>
      </c>
      <c r="I195" s="37">
        <v>18</v>
      </c>
      <c r="J195" s="37">
        <v>0</v>
      </c>
      <c r="K195" s="37">
        <v>0</v>
      </c>
      <c r="L195" s="37">
        <v>8</v>
      </c>
      <c r="M195" s="37">
        <v>9</v>
      </c>
      <c r="N195" s="37">
        <v>15</v>
      </c>
      <c r="O195" s="37">
        <v>0</v>
      </c>
      <c r="P195" s="37">
        <v>15</v>
      </c>
      <c r="Q195" s="37">
        <v>15</v>
      </c>
      <c r="R195" s="37">
        <v>3</v>
      </c>
      <c r="S195" s="37">
        <v>11</v>
      </c>
      <c r="T195" s="37">
        <v>1</v>
      </c>
      <c r="U195" s="36">
        <f>COUNTIF(C195:T195,"&gt; 9")</f>
        <v>6</v>
      </c>
      <c r="V195" s="36">
        <f>SUM(C195:T195)</f>
        <v>110</v>
      </c>
      <c r="W195" s="36"/>
      <c r="X195" s="38"/>
    </row>
    <row r="196" spans="1:24" ht="12.75" x14ac:dyDescent="0.2">
      <c r="A196" s="36" t="s">
        <v>91</v>
      </c>
      <c r="B196" s="36" t="s">
        <v>75</v>
      </c>
      <c r="C196" s="37">
        <f ca="1">_xlfn.IFNA(VLOOKUP($A196,INDIRECT("'W"&amp;C$1&amp;"'!$A$2:$T$1000"),4,FALSE),0)</f>
        <v>12.9</v>
      </c>
      <c r="D196" s="37">
        <f ca="1">_xlfn.IFNA(VLOOKUP($A196,INDIRECT("'W"&amp;D$1&amp;"'!$A$2:$T$1000"),4,FALSE),0)</f>
        <v>8.3000000000000007</v>
      </c>
      <c r="E196" s="37">
        <f ca="1">_xlfn.IFNA(VLOOKUP($A196,INDIRECT("'W"&amp;E$1&amp;"'!$A$2:$T$1000"),4,FALSE),0)</f>
        <v>0</v>
      </c>
      <c r="F196" s="37">
        <f ca="1">_xlfn.IFNA(VLOOKUP($A196,INDIRECT("'W"&amp;F$1&amp;"'!$A$2:$T$1000"),4,FALSE),0)</f>
        <v>3.3000000000000003</v>
      </c>
      <c r="G196" s="37">
        <f ca="1">_xlfn.IFNA(VLOOKUP($A196,INDIRECT("'W"&amp;G$1&amp;"'!$A$2:$T$1000"),4,FALSE),0)</f>
        <v>12.5</v>
      </c>
      <c r="H196" s="37">
        <f ca="1">_xlfn.IFNA(VLOOKUP($A196,INDIRECT("'W"&amp;H$1&amp;"'!$A$2:$T$1000"),4,FALSE),0)</f>
        <v>6.5</v>
      </c>
      <c r="I196" s="37">
        <f ca="1">_xlfn.IFNA(VLOOKUP($A196,INDIRECT("'W"&amp;I$1&amp;"'!$A$2:$T$1000"),4,FALSE),0)</f>
        <v>5.8000000000000007</v>
      </c>
      <c r="J196" s="37">
        <f ca="1">_xlfn.IFNA(VLOOKUP($A196,INDIRECT("'W"&amp;J$1&amp;"'!$A$2:$T$1000"),4,FALSE),0)</f>
        <v>9.5</v>
      </c>
      <c r="K196" s="37">
        <f ca="1">_xlfn.IFNA(VLOOKUP($A196,INDIRECT("'W"&amp;K$1&amp;"'!$A$2:$T$1000"),4,FALSE),0)</f>
        <v>4</v>
      </c>
      <c r="L196" s="37">
        <f ca="1">_xlfn.IFNA(VLOOKUP($A196,INDIRECT("'W"&amp;L$1&amp;"'!$A$2:$T$1000"),4,FALSE),0)</f>
        <v>0.70000000000000007</v>
      </c>
      <c r="M196" s="37">
        <f ca="1">_xlfn.IFNA(VLOOKUP($A196,INDIRECT("'W"&amp;M$1&amp;"'!$A$2:$T$1000"),4,FALSE),0)</f>
        <v>1.7000000000000002</v>
      </c>
      <c r="N196" s="37">
        <f ca="1">_xlfn.IFNA(VLOOKUP($A196,INDIRECT("'W"&amp;N$1&amp;"'!$A$2:$T$1000"),4,FALSE),0)</f>
        <v>3.1</v>
      </c>
      <c r="O196" s="37">
        <f ca="1">_xlfn.IFNA(VLOOKUP($A196,INDIRECT("'W"&amp;O$1&amp;"'!$A$2:$T$1000"),4,FALSE),0)</f>
        <v>0</v>
      </c>
      <c r="P196" s="37">
        <f ca="1">_xlfn.IFNA(VLOOKUP($A196,INDIRECT("'W"&amp;P$1&amp;"'!$A$2:$T$1000"),4,FALSE),0)</f>
        <v>2.2000000000000002</v>
      </c>
      <c r="Q196" s="37">
        <f ca="1">_xlfn.IFNA(VLOOKUP($A196,INDIRECT("'W"&amp;Q$1&amp;"'!$A$2:$T$1000"),4,FALSE),0)</f>
        <v>2.3000000000000003</v>
      </c>
      <c r="R196" s="37">
        <f ca="1">_xlfn.IFNA(VLOOKUP($A196,INDIRECT("'W"&amp;R$1&amp;"'!$A$2:$T$1000"),4,FALSE),0)</f>
        <v>8.6999999999999993</v>
      </c>
      <c r="S196" s="37">
        <f ca="1">_xlfn.IFNA(VLOOKUP($A196,INDIRECT("'W"&amp;S$1&amp;"'!$A$2:$T$1000"),4,FALSE),0)</f>
        <v>22.200000000000003</v>
      </c>
      <c r="T196" s="37">
        <f ca="1">_xlfn.IFNA(VLOOKUP($A196,INDIRECT("'W"&amp;T$1&amp;"'!$A$2:$T$1000"),4,FALSE),0)</f>
        <v>5.6</v>
      </c>
      <c r="U196" s="36">
        <f ca="1">COUNTIF(C196:T196,"&gt; 15")</f>
        <v>1</v>
      </c>
      <c r="V196" s="36">
        <f ca="1">SUM(C196:T196)</f>
        <v>109.3</v>
      </c>
      <c r="W196" s="36"/>
      <c r="X196" s="38"/>
    </row>
    <row r="197" spans="1:24" ht="12.75" x14ac:dyDescent="0.2">
      <c r="A197" s="36" t="s">
        <v>886</v>
      </c>
      <c r="B197" s="36" t="s">
        <v>851</v>
      </c>
      <c r="C197" s="37">
        <v>7</v>
      </c>
      <c r="D197" s="37">
        <v>4</v>
      </c>
      <c r="E197" s="37">
        <v>11</v>
      </c>
      <c r="F197" s="37">
        <v>2</v>
      </c>
      <c r="G197" s="37">
        <v>1</v>
      </c>
      <c r="H197" s="37">
        <v>2</v>
      </c>
      <c r="I197" s="37">
        <v>5</v>
      </c>
      <c r="J197" s="37">
        <v>3</v>
      </c>
      <c r="K197" s="37">
        <v>3</v>
      </c>
      <c r="L197" s="37">
        <v>7</v>
      </c>
      <c r="M197" s="37">
        <v>0</v>
      </c>
      <c r="N197" s="37">
        <v>13</v>
      </c>
      <c r="O197" s="37">
        <v>6</v>
      </c>
      <c r="P197" s="37">
        <v>6</v>
      </c>
      <c r="Q197" s="37">
        <v>7</v>
      </c>
      <c r="R197" s="37">
        <v>17</v>
      </c>
      <c r="S197" s="37">
        <v>11</v>
      </c>
      <c r="T197" s="37">
        <v>4</v>
      </c>
      <c r="U197" s="36">
        <f>COUNTIF(C197:T197,"&gt; 9")</f>
        <v>4</v>
      </c>
      <c r="V197" s="36">
        <f>SUM(C197:T197)</f>
        <v>109</v>
      </c>
      <c r="W197" s="36"/>
      <c r="X197" s="38"/>
    </row>
    <row r="198" spans="1:24" ht="12.75" x14ac:dyDescent="0.2">
      <c r="A198" s="36" t="s">
        <v>286</v>
      </c>
      <c r="B198" s="36" t="s">
        <v>69</v>
      </c>
      <c r="C198" s="37">
        <f ca="1">_xlfn.IFNA(VLOOKUP($A198,INDIRECT("'W"&amp;C$1&amp;"'!$A$2:$T$1000"),4,FALSE),0)</f>
        <v>7.9</v>
      </c>
      <c r="D198" s="37">
        <f ca="1">_xlfn.IFNA(VLOOKUP($A198,INDIRECT("'W"&amp;D$1&amp;"'!$A$2:$T$1000"),4,FALSE),0)</f>
        <v>4.2</v>
      </c>
      <c r="E198" s="37">
        <f ca="1">_xlfn.IFNA(VLOOKUP($A198,INDIRECT("'W"&amp;E$1&amp;"'!$A$2:$T$1000"),4,FALSE),0)</f>
        <v>12.100000000000001</v>
      </c>
      <c r="F198" s="37">
        <f ca="1">_xlfn.IFNA(VLOOKUP($A198,INDIRECT("'W"&amp;F$1&amp;"'!$A$2:$T$1000"),4,FALSE),0)</f>
        <v>11.4</v>
      </c>
      <c r="G198" s="37">
        <f ca="1">_xlfn.IFNA(VLOOKUP($A198,INDIRECT("'W"&amp;G$1&amp;"'!$A$2:$T$1000"),4,FALSE),0)</f>
        <v>4</v>
      </c>
      <c r="H198" s="37">
        <f ca="1">_xlfn.IFNA(VLOOKUP($A198,INDIRECT("'W"&amp;H$1&amp;"'!$A$2:$T$1000"),4,FALSE),0)</f>
        <v>3.8</v>
      </c>
      <c r="I198" s="37">
        <f ca="1">_xlfn.IFNA(VLOOKUP($A198,INDIRECT("'W"&amp;I$1&amp;"'!$A$2:$T$1000"),4,FALSE),0)</f>
        <v>1.7000000000000002</v>
      </c>
      <c r="J198" s="37">
        <f ca="1">_xlfn.IFNA(VLOOKUP($A198,INDIRECT("'W"&amp;J$1&amp;"'!$A$2:$T$1000"),4,FALSE),0)</f>
        <v>9.5</v>
      </c>
      <c r="K198" s="37">
        <f ca="1">_xlfn.IFNA(VLOOKUP($A198,INDIRECT("'W"&amp;K$1&amp;"'!$A$2:$T$1000"),4,FALSE),0)</f>
        <v>0</v>
      </c>
      <c r="L198" s="37">
        <f ca="1">_xlfn.IFNA(VLOOKUP($A198,INDIRECT("'W"&amp;L$1&amp;"'!$A$2:$T$1000"),4,FALSE),0)</f>
        <v>0</v>
      </c>
      <c r="M198" s="37">
        <f ca="1">_xlfn.IFNA(VLOOKUP($A198,INDIRECT("'W"&amp;M$1&amp;"'!$A$2:$T$1000"),4,FALSE),0)</f>
        <v>2.7</v>
      </c>
      <c r="N198" s="37">
        <f ca="1">_xlfn.IFNA(VLOOKUP($A198,INDIRECT("'W"&amp;N$1&amp;"'!$A$2:$T$1000"),4,FALSE),0)</f>
        <v>19.899999999999999</v>
      </c>
      <c r="O198" s="37">
        <f ca="1">_xlfn.IFNA(VLOOKUP($A198,INDIRECT("'W"&amp;O$1&amp;"'!$A$2:$T$1000"),4,FALSE),0)</f>
        <v>5.5</v>
      </c>
      <c r="P198" s="37">
        <f ca="1">_xlfn.IFNA(VLOOKUP($A198,INDIRECT("'W"&amp;P$1&amp;"'!$A$2:$T$1000"),4,FALSE),0)</f>
        <v>0</v>
      </c>
      <c r="Q198" s="37">
        <f ca="1">_xlfn.IFNA(VLOOKUP($A198,INDIRECT("'W"&amp;Q$1&amp;"'!$A$2:$T$1000"),4,FALSE),0)</f>
        <v>7.6</v>
      </c>
      <c r="R198" s="37">
        <f ca="1">_xlfn.IFNA(VLOOKUP($A198,INDIRECT("'W"&amp;R$1&amp;"'!$A$2:$T$1000"),4,FALSE),0)</f>
        <v>6</v>
      </c>
      <c r="S198" s="37">
        <f ca="1">_xlfn.IFNA(VLOOKUP($A198,INDIRECT("'W"&amp;S$1&amp;"'!$A$2:$T$1000"),4,FALSE),0)</f>
        <v>12.2</v>
      </c>
      <c r="T198" s="37">
        <f ca="1">_xlfn.IFNA(VLOOKUP($A198,INDIRECT("'W"&amp;T$1&amp;"'!$A$2:$T$1000"),4,FALSE),0)</f>
        <v>0</v>
      </c>
      <c r="U198" s="36">
        <f ca="1">COUNTIF(C198:T198,"&gt; 15")</f>
        <v>1</v>
      </c>
      <c r="V198" s="36">
        <f ca="1">SUM(C198:T198)</f>
        <v>108.5</v>
      </c>
      <c r="W198" s="36"/>
      <c r="X198" s="38">
        <v>82</v>
      </c>
    </row>
    <row r="199" spans="1:24" ht="12.75" x14ac:dyDescent="0.2">
      <c r="A199" s="36" t="s">
        <v>887</v>
      </c>
      <c r="B199" s="36" t="s">
        <v>851</v>
      </c>
      <c r="C199" s="37">
        <v>8</v>
      </c>
      <c r="D199" s="37">
        <v>19</v>
      </c>
      <c r="E199" s="37">
        <v>0</v>
      </c>
      <c r="F199" s="37">
        <v>15</v>
      </c>
      <c r="G199" s="37">
        <v>0</v>
      </c>
      <c r="H199" s="37">
        <v>2</v>
      </c>
      <c r="I199" s="37">
        <v>3</v>
      </c>
      <c r="J199" s="37">
        <v>1</v>
      </c>
      <c r="K199" s="37">
        <v>-3</v>
      </c>
      <c r="L199" s="37">
        <v>12</v>
      </c>
      <c r="M199" s="37">
        <v>1</v>
      </c>
      <c r="N199" s="37">
        <v>3</v>
      </c>
      <c r="O199" s="37">
        <v>8</v>
      </c>
      <c r="P199" s="37">
        <v>4</v>
      </c>
      <c r="Q199" s="37">
        <v>4</v>
      </c>
      <c r="R199" s="37">
        <v>15</v>
      </c>
      <c r="S199" s="37">
        <v>1</v>
      </c>
      <c r="T199" s="37">
        <v>15</v>
      </c>
      <c r="U199" s="36">
        <f>COUNTIF(C199:T199,"&gt; 9")</f>
        <v>5</v>
      </c>
      <c r="V199" s="36">
        <f>SUM(C199:T199)</f>
        <v>108</v>
      </c>
      <c r="W199" s="36"/>
      <c r="X199" s="38"/>
    </row>
    <row r="200" spans="1:24" ht="12.75" x14ac:dyDescent="0.2">
      <c r="A200" s="36" t="s">
        <v>228</v>
      </c>
      <c r="B200" s="36" t="s">
        <v>162</v>
      </c>
      <c r="C200" s="37">
        <f ca="1">_xlfn.IFNA(VLOOKUP($A200,INDIRECT("'W"&amp;C$1&amp;"'!$A$2:$T$1000"),4,FALSE),0)</f>
        <v>5.7</v>
      </c>
      <c r="D200" s="37">
        <f ca="1">_xlfn.IFNA(VLOOKUP($A200,INDIRECT("'W"&amp;D$1&amp;"'!$A$2:$T$1000"),4,FALSE),0)</f>
        <v>5.9</v>
      </c>
      <c r="E200" s="37">
        <f ca="1">_xlfn.IFNA(VLOOKUP($A200,INDIRECT("'W"&amp;E$1&amp;"'!$A$2:$T$1000"),4,FALSE),0)</f>
        <v>0</v>
      </c>
      <c r="F200" s="37">
        <f ca="1">_xlfn.IFNA(VLOOKUP($A200,INDIRECT("'W"&amp;F$1&amp;"'!$A$2:$T$1000"),4,FALSE),0)</f>
        <v>0</v>
      </c>
      <c r="G200" s="37">
        <f ca="1">_xlfn.IFNA(VLOOKUP($A200,INDIRECT("'W"&amp;G$1&amp;"'!$A$2:$T$1000"),4,FALSE),0)</f>
        <v>3.3</v>
      </c>
      <c r="H200" s="37">
        <f ca="1">_xlfn.IFNA(VLOOKUP($A200,INDIRECT("'W"&amp;H$1&amp;"'!$A$2:$T$1000"),4,FALSE),0)</f>
        <v>5.4</v>
      </c>
      <c r="I200" s="37">
        <f ca="1">_xlfn.IFNA(VLOOKUP($A200,INDIRECT("'W"&amp;I$1&amp;"'!$A$2:$T$1000"),4,FALSE),0)</f>
        <v>9.9</v>
      </c>
      <c r="J200" s="37">
        <f ca="1">_xlfn.IFNA(VLOOKUP($A200,INDIRECT("'W"&amp;J$1&amp;"'!$A$2:$T$1000"),4,FALSE),0)</f>
        <v>0</v>
      </c>
      <c r="K200" s="37">
        <f ca="1">_xlfn.IFNA(VLOOKUP($A200,INDIRECT("'W"&amp;K$1&amp;"'!$A$2:$T$1000"),4,FALSE),0)</f>
        <v>14.600000000000001</v>
      </c>
      <c r="L200" s="37">
        <f ca="1">_xlfn.IFNA(VLOOKUP($A200,INDIRECT("'W"&amp;L$1&amp;"'!$A$2:$T$1000"),4,FALSE),0)</f>
        <v>11</v>
      </c>
      <c r="M200" s="37">
        <f ca="1">_xlfn.IFNA(VLOOKUP($A200,INDIRECT("'W"&amp;M$1&amp;"'!$A$2:$T$1000"),4,FALSE),0)</f>
        <v>15.600000000000001</v>
      </c>
      <c r="N200" s="37">
        <f ca="1">_xlfn.IFNA(VLOOKUP($A200,INDIRECT("'W"&amp;N$1&amp;"'!$A$2:$T$1000"),4,FALSE),0)</f>
        <v>6.4</v>
      </c>
      <c r="O200" s="37">
        <f ca="1">_xlfn.IFNA(VLOOKUP($A200,INDIRECT("'W"&amp;O$1&amp;"'!$A$2:$T$1000"),4,FALSE),0)</f>
        <v>0</v>
      </c>
      <c r="P200" s="37">
        <f ca="1">_xlfn.IFNA(VLOOKUP($A200,INDIRECT("'W"&amp;P$1&amp;"'!$A$2:$T$1000"),4,FALSE),0)</f>
        <v>19.700000000000003</v>
      </c>
      <c r="Q200" s="37">
        <f ca="1">_xlfn.IFNA(VLOOKUP($A200,INDIRECT("'W"&amp;Q$1&amp;"'!$A$2:$T$1000"),4,FALSE),0)</f>
        <v>2.4000000000000004</v>
      </c>
      <c r="R200" s="37">
        <f ca="1">_xlfn.IFNA(VLOOKUP($A200,INDIRECT("'W"&amp;R$1&amp;"'!$A$2:$T$1000"),4,FALSE),0)</f>
        <v>3.3</v>
      </c>
      <c r="S200" s="37">
        <f ca="1">_xlfn.IFNA(VLOOKUP($A200,INDIRECT("'W"&amp;S$1&amp;"'!$A$2:$T$1000"),4,FALSE),0)</f>
        <v>4.3000000000000007</v>
      </c>
      <c r="T200" s="37">
        <f ca="1">_xlfn.IFNA(VLOOKUP($A200,INDIRECT("'W"&amp;T$1&amp;"'!$A$2:$T$1000"),4,FALSE),0)</f>
        <v>0</v>
      </c>
      <c r="U200" s="36">
        <f ca="1">COUNTIF(C200:T200,"&gt; 15")</f>
        <v>2</v>
      </c>
      <c r="V200" s="36">
        <f ca="1">SUM(C200:T200)</f>
        <v>107.50000000000001</v>
      </c>
      <c r="W200" s="36"/>
      <c r="X200" s="38"/>
    </row>
    <row r="201" spans="1:24" ht="12.75" x14ac:dyDescent="0.2">
      <c r="A201" s="36" t="s">
        <v>207</v>
      </c>
      <c r="B201" s="36" t="s">
        <v>162</v>
      </c>
      <c r="C201" s="37">
        <f ca="1">_xlfn.IFNA(VLOOKUP($A201,INDIRECT("'W"&amp;C$1&amp;"'!$A$2:$T$1000"),4,FALSE),0)</f>
        <v>8</v>
      </c>
      <c r="D201" s="37">
        <f ca="1">_xlfn.IFNA(VLOOKUP($A201,INDIRECT("'W"&amp;D$1&amp;"'!$A$2:$T$1000"),4,FALSE),0)</f>
        <v>1.9000000000000004</v>
      </c>
      <c r="E201" s="37">
        <f ca="1">_xlfn.IFNA(VLOOKUP($A201,INDIRECT("'W"&amp;E$1&amp;"'!$A$2:$T$1000"),4,FALSE),0)</f>
        <v>3</v>
      </c>
      <c r="F201" s="37">
        <f ca="1">_xlfn.IFNA(VLOOKUP($A201,INDIRECT("'W"&amp;F$1&amp;"'!$A$2:$T$1000"),4,FALSE),0)</f>
        <v>6.5</v>
      </c>
      <c r="G201" s="37">
        <f ca="1">_xlfn.IFNA(VLOOKUP($A201,INDIRECT("'W"&amp;G$1&amp;"'!$A$2:$T$1000"),4,FALSE),0)</f>
        <v>3.4000000000000004</v>
      </c>
      <c r="H201" s="37">
        <f ca="1">_xlfn.IFNA(VLOOKUP($A201,INDIRECT("'W"&amp;H$1&amp;"'!$A$2:$T$1000"),4,FALSE),0)</f>
        <v>0</v>
      </c>
      <c r="I201" s="37">
        <f ca="1">_xlfn.IFNA(VLOOKUP($A201,INDIRECT("'W"&amp;I$1&amp;"'!$A$2:$T$1000"),4,FALSE),0)</f>
        <v>11.4</v>
      </c>
      <c r="J201" s="37">
        <f ca="1">_xlfn.IFNA(VLOOKUP($A201,INDIRECT("'W"&amp;J$1&amp;"'!$A$2:$T$1000"),4,FALSE),0)</f>
        <v>7.9</v>
      </c>
      <c r="K201" s="37">
        <f ca="1">_xlfn.IFNA(VLOOKUP($A201,INDIRECT("'W"&amp;K$1&amp;"'!$A$2:$T$1000"),4,FALSE),0)</f>
        <v>10.5</v>
      </c>
      <c r="L201" s="37">
        <f ca="1">_xlfn.IFNA(VLOOKUP($A201,INDIRECT("'W"&amp;L$1&amp;"'!$A$2:$T$1000"),4,FALSE),0)</f>
        <v>14.4</v>
      </c>
      <c r="M201" s="37">
        <f ca="1">_xlfn.IFNA(VLOOKUP($A201,INDIRECT("'W"&amp;M$1&amp;"'!$A$2:$T$1000"),4,FALSE),0)</f>
        <v>0</v>
      </c>
      <c r="N201" s="37">
        <f ca="1">_xlfn.IFNA(VLOOKUP($A201,INDIRECT("'W"&amp;N$1&amp;"'!$A$2:$T$1000"),4,FALSE),0)</f>
        <v>10.9</v>
      </c>
      <c r="O201" s="37">
        <f ca="1">_xlfn.IFNA(VLOOKUP($A201,INDIRECT("'W"&amp;O$1&amp;"'!$A$2:$T$1000"),4,FALSE),0)</f>
        <v>0</v>
      </c>
      <c r="P201" s="37">
        <f ca="1">_xlfn.IFNA(VLOOKUP($A201,INDIRECT("'W"&amp;P$1&amp;"'!$A$2:$T$1000"),4,FALSE),0)</f>
        <v>0</v>
      </c>
      <c r="Q201" s="37">
        <f ca="1">_xlfn.IFNA(VLOOKUP($A201,INDIRECT("'W"&amp;Q$1&amp;"'!$A$2:$T$1000"),4,FALSE),0)</f>
        <v>6.3000000000000007</v>
      </c>
      <c r="R201" s="37">
        <f ca="1">_xlfn.IFNA(VLOOKUP($A201,INDIRECT("'W"&amp;R$1&amp;"'!$A$2:$T$1000"),4,FALSE),0)</f>
        <v>12.4</v>
      </c>
      <c r="S201" s="37">
        <f ca="1">_xlfn.IFNA(VLOOKUP($A201,INDIRECT("'W"&amp;S$1&amp;"'!$A$2:$T$1000"),4,FALSE),0)</f>
        <v>7.3000000000000007</v>
      </c>
      <c r="T201" s="37">
        <f ca="1">_xlfn.IFNA(VLOOKUP($A201,INDIRECT("'W"&amp;T$1&amp;"'!$A$2:$T$1000"),4,FALSE),0)</f>
        <v>3.3</v>
      </c>
      <c r="U201" s="36">
        <f ca="1">COUNTIF(C201:T201,"&gt; 15")</f>
        <v>0</v>
      </c>
      <c r="V201" s="36">
        <f ca="1">SUM(C201:T201)</f>
        <v>107.2</v>
      </c>
      <c r="W201" s="36"/>
      <c r="X201" s="38"/>
    </row>
    <row r="202" spans="1:24" ht="12.75" x14ac:dyDescent="0.2">
      <c r="A202" s="36" t="s">
        <v>264</v>
      </c>
      <c r="B202" s="36" t="s">
        <v>162</v>
      </c>
      <c r="C202" s="37">
        <f ca="1">_xlfn.IFNA(VLOOKUP($A202,INDIRECT("'W"&amp;C$1&amp;"'!$A$2:$T$1000"),4,FALSE),0)</f>
        <v>1.4</v>
      </c>
      <c r="D202" s="37">
        <f ca="1">_xlfn.IFNA(VLOOKUP($A202,INDIRECT("'W"&amp;D$1&amp;"'!$A$2:$T$1000"),4,FALSE),0)</f>
        <v>4.3</v>
      </c>
      <c r="E202" s="37">
        <f ca="1">_xlfn.IFNA(VLOOKUP($A202,INDIRECT("'W"&amp;E$1&amp;"'!$A$2:$T$1000"),4,FALSE),0)</f>
        <v>14.600000000000001</v>
      </c>
      <c r="F202" s="37">
        <f ca="1">_xlfn.IFNA(VLOOKUP($A202,INDIRECT("'W"&amp;F$1&amp;"'!$A$2:$T$1000"),4,FALSE),0)</f>
        <v>10.7</v>
      </c>
      <c r="G202" s="37">
        <f ca="1">_xlfn.IFNA(VLOOKUP($A202,INDIRECT("'W"&amp;G$1&amp;"'!$A$2:$T$1000"),4,FALSE),0)</f>
        <v>0</v>
      </c>
      <c r="H202" s="37">
        <f ca="1">_xlfn.IFNA(VLOOKUP($A202,INDIRECT("'W"&amp;H$1&amp;"'!$A$2:$T$1000"),4,FALSE),0)</f>
        <v>10</v>
      </c>
      <c r="I202" s="37">
        <f ca="1">_xlfn.IFNA(VLOOKUP($A202,INDIRECT("'W"&amp;I$1&amp;"'!$A$2:$T$1000"),4,FALSE),0)</f>
        <v>18.3</v>
      </c>
      <c r="J202" s="37">
        <f ca="1">_xlfn.IFNA(VLOOKUP($A202,INDIRECT("'W"&amp;J$1&amp;"'!$A$2:$T$1000"),4,FALSE),0)</f>
        <v>5.4</v>
      </c>
      <c r="K202" s="37">
        <f ca="1">_xlfn.IFNA(VLOOKUP($A202,INDIRECT("'W"&amp;K$1&amp;"'!$A$2:$T$1000"),4,FALSE),0)</f>
        <v>0</v>
      </c>
      <c r="L202" s="37">
        <f ca="1">_xlfn.IFNA(VLOOKUP($A202,INDIRECT("'W"&amp;L$1&amp;"'!$A$2:$T$1000"),4,FALSE),0)</f>
        <v>0</v>
      </c>
      <c r="M202" s="37">
        <f ca="1">_xlfn.IFNA(VLOOKUP($A202,INDIRECT("'W"&amp;M$1&amp;"'!$A$2:$T$1000"),4,FALSE),0)</f>
        <v>0</v>
      </c>
      <c r="N202" s="37">
        <f ca="1">_xlfn.IFNA(VLOOKUP($A202,INDIRECT("'W"&amp;N$1&amp;"'!$A$2:$T$1000"),4,FALSE),0)</f>
        <v>0</v>
      </c>
      <c r="O202" s="37">
        <f ca="1">_xlfn.IFNA(VLOOKUP($A202,INDIRECT("'W"&amp;O$1&amp;"'!$A$2:$T$1000"),4,FALSE),0)</f>
        <v>0</v>
      </c>
      <c r="P202" s="37">
        <f ca="1">_xlfn.IFNA(VLOOKUP($A202,INDIRECT("'W"&amp;P$1&amp;"'!$A$2:$T$1000"),4,FALSE),0)</f>
        <v>0</v>
      </c>
      <c r="Q202" s="37">
        <f ca="1">_xlfn.IFNA(VLOOKUP($A202,INDIRECT("'W"&amp;Q$1&amp;"'!$A$2:$T$1000"),4,FALSE),0)</f>
        <v>21.3</v>
      </c>
      <c r="R202" s="37">
        <f ca="1">_xlfn.IFNA(VLOOKUP($A202,INDIRECT("'W"&amp;R$1&amp;"'!$A$2:$T$1000"),4,FALSE),0)</f>
        <v>9.6999999999999993</v>
      </c>
      <c r="S202" s="37">
        <f ca="1">_xlfn.IFNA(VLOOKUP($A202,INDIRECT("'W"&amp;S$1&amp;"'!$A$2:$T$1000"),4,FALSE),0)</f>
        <v>0</v>
      </c>
      <c r="T202" s="37">
        <f ca="1">_xlfn.IFNA(VLOOKUP($A202,INDIRECT("'W"&amp;T$1&amp;"'!$A$2:$T$1000"),4,FALSE),0)</f>
        <v>11</v>
      </c>
      <c r="U202" s="36">
        <f ca="1">COUNTIF(C202:T202,"&gt; 15")</f>
        <v>2</v>
      </c>
      <c r="V202" s="36">
        <f ca="1">SUM(C202:T202)</f>
        <v>106.7</v>
      </c>
      <c r="W202" s="36"/>
      <c r="X202" s="38"/>
    </row>
    <row r="203" spans="1:24" ht="12.75" x14ac:dyDescent="0.2">
      <c r="A203" s="36" t="s">
        <v>19</v>
      </c>
      <c r="B203" s="36" t="s">
        <v>17</v>
      </c>
      <c r="C203" s="37">
        <f ca="1">_xlfn.IFNA(VLOOKUP($A203,INDIRECT("'W"&amp;C$1&amp;"'!$A$2:$T$1000"),4,FALSE),0)</f>
        <v>24.14</v>
      </c>
      <c r="D203" s="37">
        <f ca="1">_xlfn.IFNA(VLOOKUP($A203,INDIRECT("'W"&amp;D$1&amp;"'!$A$2:$T$1000"),4,FALSE),0)</f>
        <v>13.74</v>
      </c>
      <c r="E203" s="37">
        <f ca="1">_xlfn.IFNA(VLOOKUP($A203,INDIRECT("'W"&amp;E$1&amp;"'!$A$2:$T$1000"),4,FALSE),0)</f>
        <v>13.340000000000002</v>
      </c>
      <c r="F203" s="37">
        <f ca="1">_xlfn.IFNA(VLOOKUP($A203,INDIRECT("'W"&amp;F$1&amp;"'!$A$2:$T$1000"),4,FALSE),0)</f>
        <v>0.70000000000000018</v>
      </c>
      <c r="G203" s="37">
        <f ca="1">_xlfn.IFNA(VLOOKUP($A203,INDIRECT("'W"&amp;G$1&amp;"'!$A$2:$T$1000"),4,FALSE),0)</f>
        <v>-1.5999999999999996</v>
      </c>
      <c r="H203" s="37">
        <f ca="1">_xlfn.IFNA(VLOOKUP($A203,INDIRECT("'W"&amp;H$1&amp;"'!$A$2:$T$1000"),4,FALSE),0)</f>
        <v>5.9</v>
      </c>
      <c r="I203" s="37">
        <f ca="1">_xlfn.IFNA(VLOOKUP($A203,INDIRECT("'W"&amp;I$1&amp;"'!$A$2:$T$1000"),4,FALSE),0)</f>
        <v>19.980000000000004</v>
      </c>
      <c r="J203" s="37">
        <f ca="1">_xlfn.IFNA(VLOOKUP($A203,INDIRECT("'W"&amp;J$1&amp;"'!$A$2:$T$1000"),4,FALSE),0)</f>
        <v>12.240000000000002</v>
      </c>
      <c r="K203" s="37">
        <f ca="1">_xlfn.IFNA(VLOOKUP($A203,INDIRECT("'W"&amp;K$1&amp;"'!$A$2:$T$1000"),4,FALSE),0)</f>
        <v>11.100000000000001</v>
      </c>
      <c r="L203" s="37">
        <f ca="1">_xlfn.IFNA(VLOOKUP($A203,INDIRECT("'W"&amp;L$1&amp;"'!$A$2:$T$1000"),4,FALSE),0)</f>
        <v>7.3</v>
      </c>
      <c r="M203" s="37">
        <f ca="1">_xlfn.IFNA(VLOOKUP($A203,INDIRECT("'W"&amp;M$1&amp;"'!$A$2:$T$1000"),4,FALSE),0)</f>
        <v>0</v>
      </c>
      <c r="N203" s="37">
        <f ca="1">_xlfn.IFNA(VLOOKUP($A203,INDIRECT("'W"&amp;N$1&amp;"'!$A$2:$T$1000"),4,FALSE),0)</f>
        <v>-0.43999999999999995</v>
      </c>
      <c r="O203" s="37">
        <f ca="1">_xlfn.IFNA(VLOOKUP($A203,INDIRECT("'W"&amp;O$1&amp;"'!$A$2:$T$1000"),4,FALSE),0)</f>
        <v>0</v>
      </c>
      <c r="P203" s="37">
        <f ca="1">_xlfn.IFNA(VLOOKUP($A203,INDIRECT("'W"&amp;P$1&amp;"'!$A$2:$T$1000"),4,FALSE),0)</f>
        <v>0</v>
      </c>
      <c r="Q203" s="37">
        <f ca="1">_xlfn.IFNA(VLOOKUP($A203,INDIRECT("'W"&amp;Q$1&amp;"'!$A$2:$T$1000"),4,FALSE),0)</f>
        <v>0</v>
      </c>
      <c r="R203" s="37">
        <f ca="1">_xlfn.IFNA(VLOOKUP($A203,INDIRECT("'W"&amp;R$1&amp;"'!$A$2:$T$1000"),4,FALSE),0)</f>
        <v>0</v>
      </c>
      <c r="S203" s="37">
        <f ca="1">_xlfn.IFNA(VLOOKUP($A203,INDIRECT("'W"&amp;S$1&amp;"'!$A$2:$T$1000"),4,FALSE),0)</f>
        <v>0</v>
      </c>
      <c r="T203" s="37">
        <f ca="1">_xlfn.IFNA(VLOOKUP($A203,INDIRECT("'W"&amp;T$1&amp;"'!$A$2:$T$1000"),4,FALSE),0)</f>
        <v>0</v>
      </c>
      <c r="U203" s="36">
        <f ca="1">COUNTIF(C203:T203,"&gt; 15")</f>
        <v>2</v>
      </c>
      <c r="V203" s="36">
        <f ca="1">SUM(C203:T203)</f>
        <v>106.40000000000002</v>
      </c>
      <c r="W203" s="36"/>
      <c r="X203" s="38"/>
    </row>
    <row r="204" spans="1:24" ht="12.75" x14ac:dyDescent="0.2">
      <c r="A204" s="36" t="s">
        <v>144</v>
      </c>
      <c r="B204" s="36" t="s">
        <v>75</v>
      </c>
      <c r="C204" s="37">
        <f ca="1">_xlfn.IFNA(VLOOKUP($A204,INDIRECT("'W"&amp;C$1&amp;"'!$A$2:$T$1000"),4,FALSE),0)</f>
        <v>1.1000000000000001</v>
      </c>
      <c r="D204" s="37">
        <f ca="1">_xlfn.IFNA(VLOOKUP($A204,INDIRECT("'W"&amp;D$1&amp;"'!$A$2:$T$1000"),4,FALSE),0)</f>
        <v>5</v>
      </c>
      <c r="E204" s="37">
        <f ca="1">_xlfn.IFNA(VLOOKUP($A204,INDIRECT("'W"&amp;E$1&amp;"'!$A$2:$T$1000"),4,FALSE),0)</f>
        <v>5.5000000000000009</v>
      </c>
      <c r="F204" s="37">
        <f ca="1">_xlfn.IFNA(VLOOKUP($A204,INDIRECT("'W"&amp;F$1&amp;"'!$A$2:$T$1000"),4,FALSE),0)</f>
        <v>5</v>
      </c>
      <c r="G204" s="37">
        <f ca="1">_xlfn.IFNA(VLOOKUP($A204,INDIRECT("'W"&amp;G$1&amp;"'!$A$2:$T$1000"),4,FALSE),0)</f>
        <v>0</v>
      </c>
      <c r="H204" s="37">
        <f ca="1">_xlfn.IFNA(VLOOKUP($A204,INDIRECT("'W"&amp;H$1&amp;"'!$A$2:$T$1000"),4,FALSE),0)</f>
        <v>3.9000000000000004</v>
      </c>
      <c r="I204" s="37">
        <f ca="1">_xlfn.IFNA(VLOOKUP($A204,INDIRECT("'W"&amp;I$1&amp;"'!$A$2:$T$1000"),4,FALSE),0)</f>
        <v>0</v>
      </c>
      <c r="J204" s="37">
        <f ca="1">_xlfn.IFNA(VLOOKUP($A204,INDIRECT("'W"&amp;J$1&amp;"'!$A$2:$T$1000"),4,FALSE),0)</f>
        <v>8.4</v>
      </c>
      <c r="K204" s="37">
        <f ca="1">_xlfn.IFNA(VLOOKUP($A204,INDIRECT("'W"&amp;K$1&amp;"'!$A$2:$T$1000"),4,FALSE),0)</f>
        <v>2.2999999999999998</v>
      </c>
      <c r="L204" s="37">
        <f ca="1">_xlfn.IFNA(VLOOKUP($A204,INDIRECT("'W"&amp;L$1&amp;"'!$A$2:$T$1000"),4,FALSE),0)</f>
        <v>10.200000000000001</v>
      </c>
      <c r="M204" s="37">
        <f ca="1">_xlfn.IFNA(VLOOKUP($A204,INDIRECT("'W"&amp;M$1&amp;"'!$A$2:$T$1000"),4,FALSE),0)</f>
        <v>12.899999999999999</v>
      </c>
      <c r="N204" s="37">
        <f ca="1">_xlfn.IFNA(VLOOKUP($A204,INDIRECT("'W"&amp;N$1&amp;"'!$A$2:$T$1000"),4,FALSE),0)</f>
        <v>9.7999999999999989</v>
      </c>
      <c r="O204" s="37">
        <f ca="1">_xlfn.IFNA(VLOOKUP($A204,INDIRECT("'W"&amp;O$1&amp;"'!$A$2:$T$1000"),4,FALSE),0)</f>
        <v>16.899999999999999</v>
      </c>
      <c r="P204" s="37">
        <f ca="1">_xlfn.IFNA(VLOOKUP($A204,INDIRECT("'W"&amp;P$1&amp;"'!$A$2:$T$1000"),4,FALSE),0)</f>
        <v>5.8000000000000007</v>
      </c>
      <c r="Q204" s="37">
        <f ca="1">_xlfn.IFNA(VLOOKUP($A204,INDIRECT("'W"&amp;Q$1&amp;"'!$A$2:$T$1000"),4,FALSE),0)</f>
        <v>1.6</v>
      </c>
      <c r="R204" s="37">
        <f ca="1">_xlfn.IFNA(VLOOKUP($A204,INDIRECT("'W"&amp;R$1&amp;"'!$A$2:$T$1000"),4,FALSE),0)</f>
        <v>0.6</v>
      </c>
      <c r="S204" s="37">
        <f ca="1">_xlfn.IFNA(VLOOKUP($A204,INDIRECT("'W"&amp;S$1&amp;"'!$A$2:$T$1000"),4,FALSE),0)</f>
        <v>9.1000000000000014</v>
      </c>
      <c r="T204" s="37">
        <f ca="1">_xlfn.IFNA(VLOOKUP($A204,INDIRECT("'W"&amp;T$1&amp;"'!$A$2:$T$1000"),4,FALSE),0)</f>
        <v>8</v>
      </c>
      <c r="U204" s="36">
        <f ca="1">COUNTIF(C204:T204,"&gt; 15")</f>
        <v>1</v>
      </c>
      <c r="V204" s="36">
        <f ca="1">SUM(C204:T204)</f>
        <v>106.1</v>
      </c>
      <c r="W204" s="36"/>
      <c r="X204" s="38"/>
    </row>
    <row r="205" spans="1:24" ht="12.75" x14ac:dyDescent="0.2">
      <c r="A205" s="36" t="s">
        <v>147</v>
      </c>
      <c r="B205" s="36" t="s">
        <v>75</v>
      </c>
      <c r="C205" s="37">
        <f ca="1">_xlfn.IFNA(VLOOKUP($A205,INDIRECT("'W"&amp;C$1&amp;"'!$A$2:$T$1000"),4,FALSE),0)</f>
        <v>0.29999999999999993</v>
      </c>
      <c r="D205" s="37">
        <f ca="1">_xlfn.IFNA(VLOOKUP($A205,INDIRECT("'W"&amp;D$1&amp;"'!$A$2:$T$1000"),4,FALSE),0)</f>
        <v>6.5</v>
      </c>
      <c r="E205" s="37">
        <f ca="1">_xlfn.IFNA(VLOOKUP($A205,INDIRECT("'W"&amp;E$1&amp;"'!$A$2:$T$1000"),4,FALSE),0)</f>
        <v>1.5</v>
      </c>
      <c r="F205" s="37">
        <f ca="1">_xlfn.IFNA(VLOOKUP($A205,INDIRECT("'W"&amp;F$1&amp;"'!$A$2:$T$1000"),4,FALSE),0)</f>
        <v>19.399999999999999</v>
      </c>
      <c r="G205" s="37">
        <f ca="1">_xlfn.IFNA(VLOOKUP($A205,INDIRECT("'W"&amp;G$1&amp;"'!$A$2:$T$1000"),4,FALSE),0)</f>
        <v>17.899999999999999</v>
      </c>
      <c r="H205" s="37">
        <f ca="1">_xlfn.IFNA(VLOOKUP($A205,INDIRECT("'W"&amp;H$1&amp;"'!$A$2:$T$1000"),4,FALSE),0)</f>
        <v>6.2</v>
      </c>
      <c r="I205" s="37">
        <f ca="1">_xlfn.IFNA(VLOOKUP($A205,INDIRECT("'W"&amp;I$1&amp;"'!$A$2:$T$1000"),4,FALSE),0)</f>
        <v>5.6</v>
      </c>
      <c r="J205" s="37">
        <f ca="1">_xlfn.IFNA(VLOOKUP($A205,INDIRECT("'W"&amp;J$1&amp;"'!$A$2:$T$1000"),4,FALSE),0)</f>
        <v>5.9</v>
      </c>
      <c r="K205" s="37">
        <f ca="1">_xlfn.IFNA(VLOOKUP($A205,INDIRECT("'W"&amp;K$1&amp;"'!$A$2:$T$1000"),4,FALSE),0)</f>
        <v>0</v>
      </c>
      <c r="L205" s="37">
        <f ca="1">_xlfn.IFNA(VLOOKUP($A205,INDIRECT("'W"&amp;L$1&amp;"'!$A$2:$T$1000"),4,FALSE),0)</f>
        <v>3.1999999999999997</v>
      </c>
      <c r="M205" s="37">
        <f ca="1">_xlfn.IFNA(VLOOKUP($A205,INDIRECT("'W"&amp;M$1&amp;"'!$A$2:$T$1000"),4,FALSE),0)</f>
        <v>6.5</v>
      </c>
      <c r="N205" s="37">
        <f ca="1">_xlfn.IFNA(VLOOKUP($A205,INDIRECT("'W"&amp;N$1&amp;"'!$A$2:$T$1000"),4,FALSE),0)</f>
        <v>0.4</v>
      </c>
      <c r="O205" s="37">
        <f ca="1">_xlfn.IFNA(VLOOKUP($A205,INDIRECT("'W"&amp;O$1&amp;"'!$A$2:$T$1000"),4,FALSE),0)</f>
        <v>4.0999999999999996</v>
      </c>
      <c r="P205" s="37">
        <f ca="1">_xlfn.IFNA(VLOOKUP($A205,INDIRECT("'W"&amp;P$1&amp;"'!$A$2:$T$1000"),4,FALSE),0)</f>
        <v>4.2</v>
      </c>
      <c r="Q205" s="37">
        <f ca="1">_xlfn.IFNA(VLOOKUP($A205,INDIRECT("'W"&amp;Q$1&amp;"'!$A$2:$T$1000"),4,FALSE),0)</f>
        <v>3.8000000000000003</v>
      </c>
      <c r="R205" s="37">
        <f ca="1">_xlfn.IFNA(VLOOKUP($A205,INDIRECT("'W"&amp;R$1&amp;"'!$A$2:$T$1000"),4,FALSE),0)</f>
        <v>10.7</v>
      </c>
      <c r="S205" s="37">
        <f ca="1">_xlfn.IFNA(VLOOKUP($A205,INDIRECT("'W"&amp;S$1&amp;"'!$A$2:$T$1000"),4,FALSE),0)</f>
        <v>9.2000000000000011</v>
      </c>
      <c r="T205" s="37">
        <f ca="1">_xlfn.IFNA(VLOOKUP($A205,INDIRECT("'W"&amp;T$1&amp;"'!$A$2:$T$1000"),4,FALSE),0)</f>
        <v>0.60000000000000009</v>
      </c>
      <c r="U205" s="36">
        <f ca="1">COUNTIF(C205:T205,"&gt; 15")</f>
        <v>2</v>
      </c>
      <c r="V205" s="36">
        <f ca="1">SUM(C205:T205)</f>
        <v>106</v>
      </c>
      <c r="W205" s="36"/>
      <c r="X205" s="38"/>
    </row>
    <row r="206" spans="1:24" ht="12.75" x14ac:dyDescent="0.2">
      <c r="A206" s="36" t="s">
        <v>888</v>
      </c>
      <c r="B206" s="36" t="s">
        <v>851</v>
      </c>
      <c r="C206" s="37">
        <v>13</v>
      </c>
      <c r="D206" s="37">
        <v>7</v>
      </c>
      <c r="E206" s="37">
        <v>-4</v>
      </c>
      <c r="F206" s="37">
        <v>21</v>
      </c>
      <c r="G206" s="37">
        <v>3</v>
      </c>
      <c r="H206" s="37">
        <v>10</v>
      </c>
      <c r="I206" s="37">
        <v>6</v>
      </c>
      <c r="J206" s="37">
        <v>12</v>
      </c>
      <c r="K206" s="37">
        <v>0</v>
      </c>
      <c r="L206" s="37">
        <v>-2</v>
      </c>
      <c r="M206" s="37">
        <v>9</v>
      </c>
      <c r="N206" s="37">
        <v>3</v>
      </c>
      <c r="O206" s="37">
        <v>-2</v>
      </c>
      <c r="P206" s="37">
        <v>5</v>
      </c>
      <c r="Q206" s="37">
        <v>4</v>
      </c>
      <c r="R206" s="37">
        <v>1</v>
      </c>
      <c r="S206" s="37">
        <v>16</v>
      </c>
      <c r="T206" s="37">
        <v>3</v>
      </c>
      <c r="U206" s="36">
        <f>COUNTIF(C206:T206,"&gt; 9")</f>
        <v>5</v>
      </c>
      <c r="V206" s="36">
        <f>SUM(C206:T206)</f>
        <v>105</v>
      </c>
      <c r="W206" s="36"/>
      <c r="X206" s="38"/>
    </row>
    <row r="207" spans="1:24" ht="12.75" x14ac:dyDescent="0.2">
      <c r="A207" s="36" t="s">
        <v>215</v>
      </c>
      <c r="B207" s="36" t="s">
        <v>162</v>
      </c>
      <c r="C207" s="37">
        <f ca="1">_xlfn.IFNA(VLOOKUP($A207,INDIRECT("'W"&amp;C$1&amp;"'!$A$2:$T$1000"),4,FALSE),0)</f>
        <v>7.5</v>
      </c>
      <c r="D207" s="37">
        <f ca="1">_xlfn.IFNA(VLOOKUP($A207,INDIRECT("'W"&amp;D$1&amp;"'!$A$2:$T$1000"),4,FALSE),0)</f>
        <v>2.4000000000000004</v>
      </c>
      <c r="E207" s="37">
        <f ca="1">_xlfn.IFNA(VLOOKUP($A207,INDIRECT("'W"&amp;E$1&amp;"'!$A$2:$T$1000"),4,FALSE),0)</f>
        <v>16.2</v>
      </c>
      <c r="F207" s="37">
        <f ca="1">_xlfn.IFNA(VLOOKUP($A207,INDIRECT("'W"&amp;F$1&amp;"'!$A$2:$T$1000"),4,FALSE),0)</f>
        <v>0</v>
      </c>
      <c r="G207" s="37">
        <f ca="1">_xlfn.IFNA(VLOOKUP($A207,INDIRECT("'W"&amp;G$1&amp;"'!$A$2:$T$1000"),4,FALSE),0)</f>
        <v>10.6</v>
      </c>
      <c r="H207" s="37">
        <f ca="1">_xlfn.IFNA(VLOOKUP($A207,INDIRECT("'W"&amp;H$1&amp;"'!$A$2:$T$1000"),4,FALSE),0)</f>
        <v>6.6</v>
      </c>
      <c r="I207" s="37">
        <f ca="1">_xlfn.IFNA(VLOOKUP($A207,INDIRECT("'W"&amp;I$1&amp;"'!$A$2:$T$1000"),4,FALSE),0)</f>
        <v>4.6000000000000005</v>
      </c>
      <c r="J207" s="37">
        <f ca="1">_xlfn.IFNA(VLOOKUP($A207,INDIRECT("'W"&amp;J$1&amp;"'!$A$2:$T$1000"),4,FALSE),0)</f>
        <v>4.0999999999999996</v>
      </c>
      <c r="K207" s="37">
        <f ca="1">_xlfn.IFNA(VLOOKUP($A207,INDIRECT("'W"&amp;K$1&amp;"'!$A$2:$T$1000"),4,FALSE),0)</f>
        <v>1.8</v>
      </c>
      <c r="L207" s="37">
        <f ca="1">_xlfn.IFNA(VLOOKUP($A207,INDIRECT("'W"&amp;L$1&amp;"'!$A$2:$T$1000"),4,FALSE),0)</f>
        <v>9.3000000000000007</v>
      </c>
      <c r="M207" s="37">
        <f ca="1">_xlfn.IFNA(VLOOKUP($A207,INDIRECT("'W"&amp;M$1&amp;"'!$A$2:$T$1000"),4,FALSE),0)</f>
        <v>12.4</v>
      </c>
      <c r="N207" s="37">
        <f ca="1">_xlfn.IFNA(VLOOKUP($A207,INDIRECT("'W"&amp;N$1&amp;"'!$A$2:$T$1000"),4,FALSE),0)</f>
        <v>5.5</v>
      </c>
      <c r="O207" s="37">
        <f ca="1">_xlfn.IFNA(VLOOKUP($A207,INDIRECT("'W"&amp;O$1&amp;"'!$A$2:$T$1000"),4,FALSE),0)</f>
        <v>1.6</v>
      </c>
      <c r="P207" s="37">
        <f ca="1">_xlfn.IFNA(VLOOKUP($A207,INDIRECT("'W"&amp;P$1&amp;"'!$A$2:$T$1000"),4,FALSE),0)</f>
        <v>0</v>
      </c>
      <c r="Q207" s="37">
        <f ca="1">_xlfn.IFNA(VLOOKUP($A207,INDIRECT("'W"&amp;Q$1&amp;"'!$A$2:$T$1000"),4,FALSE),0)</f>
        <v>2.8</v>
      </c>
      <c r="R207" s="37">
        <f ca="1">_xlfn.IFNA(VLOOKUP($A207,INDIRECT("'W"&amp;R$1&amp;"'!$A$2:$T$1000"),4,FALSE),0)</f>
        <v>5.6</v>
      </c>
      <c r="S207" s="37">
        <f ca="1">_xlfn.IFNA(VLOOKUP($A207,INDIRECT("'W"&amp;S$1&amp;"'!$A$2:$T$1000"),4,FALSE),0)</f>
        <v>6.4</v>
      </c>
      <c r="T207" s="37">
        <f ca="1">_xlfn.IFNA(VLOOKUP($A207,INDIRECT("'W"&amp;T$1&amp;"'!$A$2:$T$1000"),4,FALSE),0)</f>
        <v>7.6</v>
      </c>
      <c r="U207" s="36">
        <f ca="1">COUNTIF(C207:T207,"&gt; 15")</f>
        <v>1</v>
      </c>
      <c r="V207" s="36">
        <f ca="1">SUM(C207:T207)</f>
        <v>105</v>
      </c>
      <c r="W207" s="36"/>
      <c r="X207" s="38"/>
    </row>
    <row r="208" spans="1:24" ht="12.75" x14ac:dyDescent="0.2">
      <c r="A208" s="36" t="s">
        <v>82</v>
      </c>
      <c r="B208" s="36" t="s">
        <v>75</v>
      </c>
      <c r="C208" s="37">
        <f ca="1">_xlfn.IFNA(VLOOKUP($A208,INDIRECT("'W"&amp;C$1&amp;"'!$A$2:$T$1000"),4,FALSE),0)</f>
        <v>17.5</v>
      </c>
      <c r="D208" s="37">
        <f ca="1">_xlfn.IFNA(VLOOKUP($A208,INDIRECT("'W"&amp;D$1&amp;"'!$A$2:$T$1000"),4,FALSE),0)</f>
        <v>6.2</v>
      </c>
      <c r="E208" s="37">
        <f ca="1">_xlfn.IFNA(VLOOKUP($A208,INDIRECT("'W"&amp;E$1&amp;"'!$A$2:$T$1000"),4,FALSE),0)</f>
        <v>6.9</v>
      </c>
      <c r="F208" s="37">
        <f ca="1">_xlfn.IFNA(VLOOKUP($A208,INDIRECT("'W"&amp;F$1&amp;"'!$A$2:$T$1000"),4,FALSE),0)</f>
        <v>2.5</v>
      </c>
      <c r="G208" s="37">
        <f ca="1">_xlfn.IFNA(VLOOKUP($A208,INDIRECT("'W"&amp;G$1&amp;"'!$A$2:$T$1000"),4,FALSE),0)</f>
        <v>1.9000000000000001</v>
      </c>
      <c r="H208" s="37">
        <f ca="1">_xlfn.IFNA(VLOOKUP($A208,INDIRECT("'W"&amp;H$1&amp;"'!$A$2:$T$1000"),4,FALSE),0)</f>
        <v>0</v>
      </c>
      <c r="I208" s="37">
        <f ca="1">_xlfn.IFNA(VLOOKUP($A208,INDIRECT("'W"&amp;I$1&amp;"'!$A$2:$T$1000"),4,FALSE),0)</f>
        <v>0</v>
      </c>
      <c r="J208" s="37">
        <f ca="1">_xlfn.IFNA(VLOOKUP($A208,INDIRECT("'W"&amp;J$1&amp;"'!$A$2:$T$1000"),4,FALSE),0)</f>
        <v>6.1</v>
      </c>
      <c r="K208" s="37">
        <f ca="1">_xlfn.IFNA(VLOOKUP($A208,INDIRECT("'W"&amp;K$1&amp;"'!$A$2:$T$1000"),4,FALSE),0)</f>
        <v>2.5</v>
      </c>
      <c r="L208" s="37">
        <f ca="1">_xlfn.IFNA(VLOOKUP($A208,INDIRECT("'W"&amp;L$1&amp;"'!$A$2:$T$1000"),4,FALSE),0)</f>
        <v>7.2</v>
      </c>
      <c r="M208" s="37">
        <f ca="1">_xlfn.IFNA(VLOOKUP($A208,INDIRECT("'W"&amp;M$1&amp;"'!$A$2:$T$1000"),4,FALSE),0)</f>
        <v>3</v>
      </c>
      <c r="N208" s="37">
        <f ca="1">_xlfn.IFNA(VLOOKUP($A208,INDIRECT("'W"&amp;N$1&amp;"'!$A$2:$T$1000"),4,FALSE),0)</f>
        <v>12.5</v>
      </c>
      <c r="O208" s="37">
        <f ca="1">_xlfn.IFNA(VLOOKUP($A208,INDIRECT("'W"&amp;O$1&amp;"'!$A$2:$T$1000"),4,FALSE),0)</f>
        <v>0</v>
      </c>
      <c r="P208" s="37">
        <f ca="1">_xlfn.IFNA(VLOOKUP($A208,INDIRECT("'W"&amp;P$1&amp;"'!$A$2:$T$1000"),4,FALSE),0)</f>
        <v>0.60000000000000009</v>
      </c>
      <c r="Q208" s="37">
        <f ca="1">_xlfn.IFNA(VLOOKUP($A208,INDIRECT("'W"&amp;Q$1&amp;"'!$A$2:$T$1000"),4,FALSE),0)</f>
        <v>10</v>
      </c>
      <c r="R208" s="37">
        <f ca="1">_xlfn.IFNA(VLOOKUP($A208,INDIRECT("'W"&amp;R$1&amp;"'!$A$2:$T$1000"),4,FALSE),0)</f>
        <v>8.3000000000000007</v>
      </c>
      <c r="S208" s="37">
        <f ca="1">_xlfn.IFNA(VLOOKUP($A208,INDIRECT("'W"&amp;S$1&amp;"'!$A$2:$T$1000"),4,FALSE),0)</f>
        <v>14.9</v>
      </c>
      <c r="T208" s="37">
        <f ca="1">_xlfn.IFNA(VLOOKUP($A208,INDIRECT("'W"&amp;T$1&amp;"'!$A$2:$T$1000"),4,FALSE),0)</f>
        <v>2</v>
      </c>
      <c r="U208" s="36">
        <f ca="1">COUNTIF(C208:T208,"&gt; 15")</f>
        <v>1</v>
      </c>
      <c r="V208" s="36">
        <f ca="1">SUM(C208:T208)</f>
        <v>102.10000000000001</v>
      </c>
      <c r="W208" s="36"/>
      <c r="X208" s="38"/>
    </row>
    <row r="209" spans="1:24" ht="12.75" x14ac:dyDescent="0.2">
      <c r="A209" s="36" t="s">
        <v>594</v>
      </c>
      <c r="B209" s="36" t="s">
        <v>17</v>
      </c>
      <c r="C209" s="37">
        <f ca="1">_xlfn.IFNA(VLOOKUP($A209,INDIRECT("'W"&amp;C$1&amp;"'!$A$2:$T$1000"),4,FALSE),0)</f>
        <v>0</v>
      </c>
      <c r="D209" s="37">
        <f ca="1">_xlfn.IFNA(VLOOKUP($A209,INDIRECT("'W"&amp;D$1&amp;"'!$A$2:$T$1000"),4,FALSE),0)</f>
        <v>0</v>
      </c>
      <c r="E209" s="37">
        <f ca="1">_xlfn.IFNA(VLOOKUP($A209,INDIRECT("'W"&amp;E$1&amp;"'!$A$2:$T$1000"),4,FALSE),0)</f>
        <v>0</v>
      </c>
      <c r="F209" s="37">
        <f ca="1">_xlfn.IFNA(VLOOKUP($A209,INDIRECT("'W"&amp;F$1&amp;"'!$A$2:$T$1000"),4,FALSE),0)</f>
        <v>0</v>
      </c>
      <c r="G209" s="37">
        <f ca="1">_xlfn.IFNA(VLOOKUP($A209,INDIRECT("'W"&amp;G$1&amp;"'!$A$2:$T$1000"),4,FALSE),0)</f>
        <v>0</v>
      </c>
      <c r="H209" s="37">
        <f ca="1">_xlfn.IFNA(VLOOKUP($A209,INDIRECT("'W"&amp;H$1&amp;"'!$A$2:$T$1000"),4,FALSE),0)</f>
        <v>0</v>
      </c>
      <c r="I209" s="37">
        <f ca="1">_xlfn.IFNA(VLOOKUP($A209,INDIRECT("'W"&amp;I$1&amp;"'!$A$2:$T$1000"),4,FALSE),0)</f>
        <v>0</v>
      </c>
      <c r="J209" s="37">
        <f ca="1">_xlfn.IFNA(VLOOKUP($A209,INDIRECT("'W"&amp;J$1&amp;"'!$A$2:$T$1000"),4,FALSE),0)</f>
        <v>26.62</v>
      </c>
      <c r="K209" s="37">
        <f ca="1">_xlfn.IFNA(VLOOKUP($A209,INDIRECT("'W"&amp;K$1&amp;"'!$A$2:$T$1000"),4,FALSE),0)</f>
        <v>8.68</v>
      </c>
      <c r="L209" s="37">
        <f ca="1">_xlfn.IFNA(VLOOKUP($A209,INDIRECT("'W"&amp;L$1&amp;"'!$A$2:$T$1000"),4,FALSE),0)</f>
        <v>5.96</v>
      </c>
      <c r="M209" s="37">
        <f ca="1">_xlfn.IFNA(VLOOKUP($A209,INDIRECT("'W"&amp;M$1&amp;"'!$A$2:$T$1000"),4,FALSE),0)</f>
        <v>12.52</v>
      </c>
      <c r="N209" s="37">
        <f ca="1">_xlfn.IFNA(VLOOKUP($A209,INDIRECT("'W"&amp;N$1&amp;"'!$A$2:$T$1000"),4,FALSE),0)</f>
        <v>7.1000000000000005</v>
      </c>
      <c r="O209" s="37">
        <f ca="1">_xlfn.IFNA(VLOOKUP($A209,INDIRECT("'W"&amp;O$1&amp;"'!$A$2:$T$1000"),4,FALSE),0)</f>
        <v>11.46</v>
      </c>
      <c r="P209" s="37">
        <f ca="1">_xlfn.IFNA(VLOOKUP($A209,INDIRECT("'W"&amp;P$1&amp;"'!$A$2:$T$1000"),4,FALSE),0)</f>
        <v>16.579999999999998</v>
      </c>
      <c r="Q209" s="37">
        <f ca="1">_xlfn.IFNA(VLOOKUP($A209,INDIRECT("'W"&amp;Q$1&amp;"'!$A$2:$T$1000"),4,FALSE),0)</f>
        <v>14.46</v>
      </c>
      <c r="R209" s="37">
        <f ca="1">_xlfn.IFNA(VLOOKUP($A209,INDIRECT("'W"&amp;R$1&amp;"'!$A$2:$T$1000"),4,FALSE),0)</f>
        <v>0</v>
      </c>
      <c r="S209" s="37">
        <f ca="1">_xlfn.IFNA(VLOOKUP($A209,INDIRECT("'W"&amp;S$1&amp;"'!$A$2:$T$1000"),4,FALSE),0)</f>
        <v>-1.3599999999999999</v>
      </c>
      <c r="T209" s="37">
        <f ca="1">_xlfn.IFNA(VLOOKUP($A209,INDIRECT("'W"&amp;T$1&amp;"'!$A$2:$T$1000"),4,FALSE),0)</f>
        <v>0</v>
      </c>
      <c r="U209" s="36">
        <f ca="1">COUNTIF(C209:T209,"&gt; 15")</f>
        <v>2</v>
      </c>
      <c r="V209" s="36">
        <f ca="1">SUM(C209:T209)</f>
        <v>102.02</v>
      </c>
      <c r="W209" s="36"/>
      <c r="X209" s="38"/>
    </row>
    <row r="210" spans="1:24" ht="12.75" x14ac:dyDescent="0.2">
      <c r="A210" s="36" t="s">
        <v>229</v>
      </c>
      <c r="B210" s="36" t="s">
        <v>162</v>
      </c>
      <c r="C210" s="37">
        <f ca="1">_xlfn.IFNA(VLOOKUP($A210,INDIRECT("'W"&amp;C$1&amp;"'!$A$2:$T$1000"),4,FALSE),0)</f>
        <v>4.9000000000000004</v>
      </c>
      <c r="D210" s="37">
        <f ca="1">_xlfn.IFNA(VLOOKUP($A210,INDIRECT("'W"&amp;D$1&amp;"'!$A$2:$T$1000"),4,FALSE),0)</f>
        <v>0</v>
      </c>
      <c r="E210" s="37">
        <f ca="1">_xlfn.IFNA(VLOOKUP($A210,INDIRECT("'W"&amp;E$1&amp;"'!$A$2:$T$1000"),4,FALSE),0)</f>
        <v>0</v>
      </c>
      <c r="F210" s="37">
        <f ca="1">_xlfn.IFNA(VLOOKUP($A210,INDIRECT("'W"&amp;F$1&amp;"'!$A$2:$T$1000"),4,FALSE),0)</f>
        <v>0</v>
      </c>
      <c r="G210" s="37">
        <f ca="1">_xlfn.IFNA(VLOOKUP($A210,INDIRECT("'W"&amp;G$1&amp;"'!$A$2:$T$1000"),4,FALSE),0)</f>
        <v>0</v>
      </c>
      <c r="H210" s="37">
        <f ca="1">_xlfn.IFNA(VLOOKUP($A210,INDIRECT("'W"&amp;H$1&amp;"'!$A$2:$T$1000"),4,FALSE),0)</f>
        <v>5.7</v>
      </c>
      <c r="I210" s="37">
        <f ca="1">_xlfn.IFNA(VLOOKUP($A210,INDIRECT("'W"&amp;I$1&amp;"'!$A$2:$T$1000"),4,FALSE),0)</f>
        <v>0</v>
      </c>
      <c r="J210" s="37">
        <f ca="1">_xlfn.IFNA(VLOOKUP($A210,INDIRECT("'W"&amp;J$1&amp;"'!$A$2:$T$1000"),4,FALSE),0)</f>
        <v>8.6999999999999993</v>
      </c>
      <c r="K210" s="37">
        <f ca="1">_xlfn.IFNA(VLOOKUP($A210,INDIRECT("'W"&amp;K$1&amp;"'!$A$2:$T$1000"),4,FALSE),0)</f>
        <v>27.3</v>
      </c>
      <c r="L210" s="37">
        <f ca="1">_xlfn.IFNA(VLOOKUP($A210,INDIRECT("'W"&amp;L$1&amp;"'!$A$2:$T$1000"),4,FALSE),0)</f>
        <v>24.2</v>
      </c>
      <c r="M210" s="37">
        <f ca="1">_xlfn.IFNA(VLOOKUP($A210,INDIRECT("'W"&amp;M$1&amp;"'!$A$2:$T$1000"),4,FALSE),0)</f>
        <v>0</v>
      </c>
      <c r="N210" s="37">
        <f ca="1">_xlfn.IFNA(VLOOKUP($A210,INDIRECT("'W"&amp;N$1&amp;"'!$A$2:$T$1000"),4,FALSE),0)</f>
        <v>0</v>
      </c>
      <c r="O210" s="37">
        <f ca="1">_xlfn.IFNA(VLOOKUP($A210,INDIRECT("'W"&amp;O$1&amp;"'!$A$2:$T$1000"),4,FALSE),0)</f>
        <v>0</v>
      </c>
      <c r="P210" s="37">
        <f ca="1">_xlfn.IFNA(VLOOKUP($A210,INDIRECT("'W"&amp;P$1&amp;"'!$A$2:$T$1000"),4,FALSE),0)</f>
        <v>0</v>
      </c>
      <c r="Q210" s="37">
        <f ca="1">_xlfn.IFNA(VLOOKUP($A210,INDIRECT("'W"&amp;Q$1&amp;"'!$A$2:$T$1000"),4,FALSE),0)</f>
        <v>22.200000000000003</v>
      </c>
      <c r="R210" s="37">
        <f ca="1">_xlfn.IFNA(VLOOKUP($A210,INDIRECT("'W"&amp;R$1&amp;"'!$A$2:$T$1000"),4,FALSE),0)</f>
        <v>6.8000000000000007</v>
      </c>
      <c r="S210" s="37">
        <f ca="1">_xlfn.IFNA(VLOOKUP($A210,INDIRECT("'W"&amp;S$1&amp;"'!$A$2:$T$1000"),4,FALSE),0)</f>
        <v>1.8</v>
      </c>
      <c r="T210" s="37">
        <f ca="1">_xlfn.IFNA(VLOOKUP($A210,INDIRECT("'W"&amp;T$1&amp;"'!$A$2:$T$1000"),4,FALSE),0)</f>
        <v>0</v>
      </c>
      <c r="U210" s="36">
        <f ca="1">COUNTIF(C210:T210,"&gt; 15")</f>
        <v>3</v>
      </c>
      <c r="V210" s="36">
        <f ca="1">SUM(C210:T210)</f>
        <v>101.6</v>
      </c>
      <c r="W210" s="36"/>
      <c r="X210" s="38"/>
    </row>
    <row r="211" spans="1:24" ht="12.75" x14ac:dyDescent="0.2">
      <c r="A211" s="36" t="s">
        <v>475</v>
      </c>
      <c r="B211" s="36" t="s">
        <v>162</v>
      </c>
      <c r="C211" s="37">
        <f ca="1">_xlfn.IFNA(VLOOKUP($A211,INDIRECT("'W"&amp;C$1&amp;"'!$A$2:$T$1000"),4,FALSE),0)</f>
        <v>0</v>
      </c>
      <c r="D211" s="37">
        <f ca="1">_xlfn.IFNA(VLOOKUP($A211,INDIRECT("'W"&amp;D$1&amp;"'!$A$2:$T$1000"),4,FALSE),0)</f>
        <v>0</v>
      </c>
      <c r="E211" s="37">
        <f ca="1">_xlfn.IFNA(VLOOKUP($A211,INDIRECT("'W"&amp;E$1&amp;"'!$A$2:$T$1000"),4,FALSE),0)</f>
        <v>0</v>
      </c>
      <c r="F211" s="37">
        <f ca="1">_xlfn.IFNA(VLOOKUP($A211,INDIRECT("'W"&amp;F$1&amp;"'!$A$2:$T$1000"),4,FALSE),0)</f>
        <v>10.5</v>
      </c>
      <c r="G211" s="37">
        <f ca="1">_xlfn.IFNA(VLOOKUP($A211,INDIRECT("'W"&amp;G$1&amp;"'!$A$2:$T$1000"),4,FALSE),0)</f>
        <v>11.6</v>
      </c>
      <c r="H211" s="37">
        <f ca="1">_xlfn.IFNA(VLOOKUP($A211,INDIRECT("'W"&amp;H$1&amp;"'!$A$2:$T$1000"),4,FALSE),0)</f>
        <v>0</v>
      </c>
      <c r="I211" s="37">
        <f ca="1">_xlfn.IFNA(VLOOKUP($A211,INDIRECT("'W"&amp;I$1&amp;"'!$A$2:$T$1000"),4,FALSE),0)</f>
        <v>5.7</v>
      </c>
      <c r="J211" s="37">
        <f ca="1">_xlfn.IFNA(VLOOKUP($A211,INDIRECT("'W"&amp;J$1&amp;"'!$A$2:$T$1000"),4,FALSE),0)</f>
        <v>6.3000000000000007</v>
      </c>
      <c r="K211" s="37">
        <f ca="1">_xlfn.IFNA(VLOOKUP($A211,INDIRECT("'W"&amp;K$1&amp;"'!$A$2:$T$1000"),4,FALSE),0)</f>
        <v>4.7</v>
      </c>
      <c r="L211" s="37">
        <f ca="1">_xlfn.IFNA(VLOOKUP($A211,INDIRECT("'W"&amp;L$1&amp;"'!$A$2:$T$1000"),4,FALSE),0)</f>
        <v>4.3000000000000007</v>
      </c>
      <c r="M211" s="37">
        <f ca="1">_xlfn.IFNA(VLOOKUP($A211,INDIRECT("'W"&amp;M$1&amp;"'!$A$2:$T$1000"),4,FALSE),0)</f>
        <v>10.199999999999999</v>
      </c>
      <c r="N211" s="37">
        <f ca="1">_xlfn.IFNA(VLOOKUP($A211,INDIRECT("'W"&amp;N$1&amp;"'!$A$2:$T$1000"),4,FALSE),0)</f>
        <v>20.399999999999999</v>
      </c>
      <c r="O211" s="37">
        <f ca="1">_xlfn.IFNA(VLOOKUP($A211,INDIRECT("'W"&amp;O$1&amp;"'!$A$2:$T$1000"),4,FALSE),0)</f>
        <v>27.6</v>
      </c>
      <c r="P211" s="37">
        <f ca="1">_xlfn.IFNA(VLOOKUP($A211,INDIRECT("'W"&amp;P$1&amp;"'!$A$2:$T$1000"),4,FALSE),0)</f>
        <v>0</v>
      </c>
      <c r="Q211" s="37">
        <f ca="1">_xlfn.IFNA(VLOOKUP($A211,INDIRECT("'W"&amp;Q$1&amp;"'!$A$2:$T$1000"),4,FALSE),0)</f>
        <v>0</v>
      </c>
      <c r="R211" s="37">
        <f ca="1">_xlfn.IFNA(VLOOKUP($A211,INDIRECT("'W"&amp;R$1&amp;"'!$A$2:$T$1000"),4,FALSE),0)</f>
        <v>0</v>
      </c>
      <c r="S211" s="37">
        <f ca="1">_xlfn.IFNA(VLOOKUP($A211,INDIRECT("'W"&amp;S$1&amp;"'!$A$2:$T$1000"),4,FALSE),0)</f>
        <v>0</v>
      </c>
      <c r="T211" s="37">
        <f ca="1">_xlfn.IFNA(VLOOKUP($A211,INDIRECT("'W"&amp;T$1&amp;"'!$A$2:$T$1000"),4,FALSE),0)</f>
        <v>0</v>
      </c>
      <c r="U211" s="36">
        <f ca="1">COUNTIF(C211:T211,"&gt; 15")</f>
        <v>2</v>
      </c>
      <c r="V211" s="36">
        <f ca="1">SUM(C211:T211)</f>
        <v>101.30000000000001</v>
      </c>
      <c r="W211" s="36"/>
      <c r="X211" s="38">
        <v>66</v>
      </c>
    </row>
    <row r="212" spans="1:24" ht="12.75" x14ac:dyDescent="0.2">
      <c r="A212" s="36" t="s">
        <v>317</v>
      </c>
      <c r="B212" s="36" t="s">
        <v>69</v>
      </c>
      <c r="C212" s="37">
        <f ca="1">_xlfn.IFNA(VLOOKUP($A212,INDIRECT("'W"&amp;C$1&amp;"'!$A$2:$T$1000"),4,FALSE),0)</f>
        <v>1.4</v>
      </c>
      <c r="D212" s="37">
        <f ca="1">_xlfn.IFNA(VLOOKUP($A212,INDIRECT("'W"&amp;D$1&amp;"'!$A$2:$T$1000"),4,FALSE),0)</f>
        <v>1.8</v>
      </c>
      <c r="E212" s="37">
        <f ca="1">_xlfn.IFNA(VLOOKUP($A212,INDIRECT("'W"&amp;E$1&amp;"'!$A$2:$T$1000"),4,FALSE),0)</f>
        <v>3</v>
      </c>
      <c r="F212" s="37">
        <f ca="1">_xlfn.IFNA(VLOOKUP($A212,INDIRECT("'W"&amp;F$1&amp;"'!$A$2:$T$1000"),4,FALSE),0)</f>
        <v>0</v>
      </c>
      <c r="G212" s="37">
        <f ca="1">_xlfn.IFNA(VLOOKUP($A212,INDIRECT("'W"&amp;G$1&amp;"'!$A$2:$T$1000"),4,FALSE),0)</f>
        <v>0</v>
      </c>
      <c r="H212" s="37">
        <f ca="1">_xlfn.IFNA(VLOOKUP($A212,INDIRECT("'W"&amp;H$1&amp;"'!$A$2:$T$1000"),4,FALSE),0)</f>
        <v>0</v>
      </c>
      <c r="I212" s="37">
        <f ca="1">_xlfn.IFNA(VLOOKUP($A212,INDIRECT("'W"&amp;I$1&amp;"'!$A$2:$T$1000"),4,FALSE),0)</f>
        <v>0</v>
      </c>
      <c r="J212" s="37">
        <f ca="1">_xlfn.IFNA(VLOOKUP($A212,INDIRECT("'W"&amp;J$1&amp;"'!$A$2:$T$1000"),4,FALSE),0)</f>
        <v>2</v>
      </c>
      <c r="K212" s="37">
        <f ca="1">_xlfn.IFNA(VLOOKUP($A212,INDIRECT("'W"&amp;K$1&amp;"'!$A$2:$T$1000"),4,FALSE),0)</f>
        <v>8.1999999999999993</v>
      </c>
      <c r="L212" s="37">
        <f ca="1">_xlfn.IFNA(VLOOKUP($A212,INDIRECT("'W"&amp;L$1&amp;"'!$A$2:$T$1000"),4,FALSE),0)</f>
        <v>1.5</v>
      </c>
      <c r="M212" s="37">
        <f ca="1">_xlfn.IFNA(VLOOKUP($A212,INDIRECT("'W"&amp;M$1&amp;"'!$A$2:$T$1000"),4,FALSE),0)</f>
        <v>0</v>
      </c>
      <c r="N212" s="37">
        <f ca="1">_xlfn.IFNA(VLOOKUP($A212,INDIRECT("'W"&amp;N$1&amp;"'!$A$2:$T$1000"),4,FALSE),0)</f>
        <v>8</v>
      </c>
      <c r="O212" s="37">
        <f ca="1">_xlfn.IFNA(VLOOKUP($A212,INDIRECT("'W"&amp;O$1&amp;"'!$A$2:$T$1000"),4,FALSE),0)</f>
        <v>0</v>
      </c>
      <c r="P212" s="37">
        <f ca="1">_xlfn.IFNA(VLOOKUP($A212,INDIRECT("'W"&amp;P$1&amp;"'!$A$2:$T$1000"),4,FALSE),0)</f>
        <v>19.3</v>
      </c>
      <c r="Q212" s="37">
        <f ca="1">_xlfn.IFNA(VLOOKUP($A212,INDIRECT("'W"&amp;Q$1&amp;"'!$A$2:$T$1000"),4,FALSE),0)</f>
        <v>18</v>
      </c>
      <c r="R212" s="37">
        <f ca="1">_xlfn.IFNA(VLOOKUP($A212,INDIRECT("'W"&amp;R$1&amp;"'!$A$2:$T$1000"),4,FALSE),0)</f>
        <v>8.6000000000000014</v>
      </c>
      <c r="S212" s="37">
        <f ca="1">_xlfn.IFNA(VLOOKUP($A212,INDIRECT("'W"&amp;S$1&amp;"'!$A$2:$T$1000"),4,FALSE),0)</f>
        <v>18.2</v>
      </c>
      <c r="T212" s="37">
        <f ca="1">_xlfn.IFNA(VLOOKUP($A212,INDIRECT("'W"&amp;T$1&amp;"'!$A$2:$T$1000"),4,FALSE),0)</f>
        <v>11.1</v>
      </c>
      <c r="U212" s="36">
        <f ca="1">COUNTIF(C212:T212,"&gt; 15")</f>
        <v>3</v>
      </c>
      <c r="V212" s="36">
        <f ca="1">SUM(C212:T212)</f>
        <v>101.10000000000001</v>
      </c>
      <c r="W212" s="36"/>
      <c r="X212" s="38"/>
    </row>
    <row r="213" spans="1:24" ht="12.75" x14ac:dyDescent="0.2">
      <c r="A213" s="36" t="s">
        <v>132</v>
      </c>
      <c r="B213" s="36" t="s">
        <v>75</v>
      </c>
      <c r="C213" s="37">
        <f ca="1">_xlfn.IFNA(VLOOKUP($A213,INDIRECT("'W"&amp;C$1&amp;"'!$A$2:$T$1000"),4,FALSE),0)</f>
        <v>2.8</v>
      </c>
      <c r="D213" s="37">
        <f ca="1">_xlfn.IFNA(VLOOKUP($A213,INDIRECT("'W"&amp;D$1&amp;"'!$A$2:$T$1000"),4,FALSE),0)</f>
        <v>2.9</v>
      </c>
      <c r="E213" s="37">
        <f ca="1">_xlfn.IFNA(VLOOKUP($A213,INDIRECT("'W"&amp;E$1&amp;"'!$A$2:$T$1000"),4,FALSE),0)</f>
        <v>4.1000000000000005</v>
      </c>
      <c r="F213" s="37">
        <f ca="1">_xlfn.IFNA(VLOOKUP($A213,INDIRECT("'W"&amp;F$1&amp;"'!$A$2:$T$1000"),4,FALSE),0)</f>
        <v>0</v>
      </c>
      <c r="G213" s="37">
        <f ca="1">_xlfn.IFNA(VLOOKUP($A213,INDIRECT("'W"&amp;G$1&amp;"'!$A$2:$T$1000"),4,FALSE),0)</f>
        <v>1.5</v>
      </c>
      <c r="H213" s="37">
        <f ca="1">_xlfn.IFNA(VLOOKUP($A213,INDIRECT("'W"&amp;H$1&amp;"'!$A$2:$T$1000"),4,FALSE),0)</f>
        <v>0</v>
      </c>
      <c r="I213" s="37">
        <f ca="1">_xlfn.IFNA(VLOOKUP($A213,INDIRECT("'W"&amp;I$1&amp;"'!$A$2:$T$1000"),4,FALSE),0)</f>
        <v>2.2000000000000002</v>
      </c>
      <c r="J213" s="37">
        <f ca="1">_xlfn.IFNA(VLOOKUP($A213,INDIRECT("'W"&amp;J$1&amp;"'!$A$2:$T$1000"),4,FALSE),0)</f>
        <v>0</v>
      </c>
      <c r="K213" s="37">
        <f ca="1">_xlfn.IFNA(VLOOKUP($A213,INDIRECT("'W"&amp;K$1&amp;"'!$A$2:$T$1000"),4,FALSE),0)</f>
        <v>0</v>
      </c>
      <c r="L213" s="37">
        <f ca="1">_xlfn.IFNA(VLOOKUP($A213,INDIRECT("'W"&amp;L$1&amp;"'!$A$2:$T$1000"),4,FALSE),0)</f>
        <v>10.5</v>
      </c>
      <c r="M213" s="37">
        <f ca="1">_xlfn.IFNA(VLOOKUP($A213,INDIRECT("'W"&amp;M$1&amp;"'!$A$2:$T$1000"),4,FALSE),0)</f>
        <v>15</v>
      </c>
      <c r="N213" s="37">
        <f ca="1">_xlfn.IFNA(VLOOKUP($A213,INDIRECT("'W"&amp;N$1&amp;"'!$A$2:$T$1000"),4,FALSE),0)</f>
        <v>2.1</v>
      </c>
      <c r="O213" s="37">
        <f ca="1">_xlfn.IFNA(VLOOKUP($A213,INDIRECT("'W"&amp;O$1&amp;"'!$A$2:$T$1000"),4,FALSE),0)</f>
        <v>0</v>
      </c>
      <c r="P213" s="37">
        <f ca="1">_xlfn.IFNA(VLOOKUP($A213,INDIRECT("'W"&amp;P$1&amp;"'!$A$2:$T$1000"),4,FALSE),0)</f>
        <v>7.2</v>
      </c>
      <c r="Q213" s="37">
        <f ca="1">_xlfn.IFNA(VLOOKUP($A213,INDIRECT("'W"&amp;Q$1&amp;"'!$A$2:$T$1000"),4,FALSE),0)</f>
        <v>24.700000000000003</v>
      </c>
      <c r="R213" s="37">
        <f ca="1">_xlfn.IFNA(VLOOKUP($A213,INDIRECT("'W"&amp;R$1&amp;"'!$A$2:$T$1000"),4,FALSE),0)</f>
        <v>7.7</v>
      </c>
      <c r="S213" s="37">
        <f ca="1">_xlfn.IFNA(VLOOKUP($A213,INDIRECT("'W"&amp;S$1&amp;"'!$A$2:$T$1000"),4,FALSE),0)</f>
        <v>9.4</v>
      </c>
      <c r="T213" s="37">
        <f ca="1">_xlfn.IFNA(VLOOKUP($A213,INDIRECT("'W"&amp;T$1&amp;"'!$A$2:$T$1000"),4,FALSE),0)</f>
        <v>10.9</v>
      </c>
      <c r="U213" s="36">
        <f ca="1">COUNTIF(C213:T213,"&gt; 15")</f>
        <v>1</v>
      </c>
      <c r="V213" s="36">
        <f ca="1">SUM(C213:T213)</f>
        <v>101.00000000000001</v>
      </c>
      <c r="W213" s="36"/>
      <c r="X213" s="38"/>
    </row>
    <row r="214" spans="1:24" ht="12.75" x14ac:dyDescent="0.2">
      <c r="A214" s="36" t="s">
        <v>713</v>
      </c>
      <c r="B214" s="36" t="s">
        <v>17</v>
      </c>
      <c r="C214" s="37">
        <f ca="1">_xlfn.IFNA(VLOOKUP($A214,INDIRECT("'W"&amp;C$1&amp;"'!$A$2:$T$1000"),4,FALSE),0)</f>
        <v>0</v>
      </c>
      <c r="D214" s="37">
        <f ca="1">_xlfn.IFNA(VLOOKUP($A214,INDIRECT("'W"&amp;D$1&amp;"'!$A$2:$T$1000"),4,FALSE),0)</f>
        <v>0</v>
      </c>
      <c r="E214" s="37">
        <f ca="1">_xlfn.IFNA(VLOOKUP($A214,INDIRECT("'W"&amp;E$1&amp;"'!$A$2:$T$1000"),4,FALSE),0)</f>
        <v>0</v>
      </c>
      <c r="F214" s="37">
        <f ca="1">_xlfn.IFNA(VLOOKUP($A214,INDIRECT("'W"&amp;F$1&amp;"'!$A$2:$T$1000"),4,FALSE),0)</f>
        <v>0</v>
      </c>
      <c r="G214" s="37">
        <f ca="1">_xlfn.IFNA(VLOOKUP($A214,INDIRECT("'W"&amp;G$1&amp;"'!$A$2:$T$1000"),4,FALSE),0)</f>
        <v>0</v>
      </c>
      <c r="H214" s="37">
        <f ca="1">_xlfn.IFNA(VLOOKUP($A214,INDIRECT("'W"&amp;H$1&amp;"'!$A$2:$T$1000"),4,FALSE),0)</f>
        <v>0</v>
      </c>
      <c r="I214" s="37">
        <f ca="1">_xlfn.IFNA(VLOOKUP($A214,INDIRECT("'W"&amp;I$1&amp;"'!$A$2:$T$1000"),4,FALSE),0)</f>
        <v>0</v>
      </c>
      <c r="J214" s="37">
        <f ca="1">_xlfn.IFNA(VLOOKUP($A214,INDIRECT("'W"&amp;J$1&amp;"'!$A$2:$T$1000"),4,FALSE),0)</f>
        <v>0</v>
      </c>
      <c r="K214" s="37">
        <f ca="1">_xlfn.IFNA(VLOOKUP($A214,INDIRECT("'W"&amp;K$1&amp;"'!$A$2:$T$1000"),4,FALSE),0)</f>
        <v>0</v>
      </c>
      <c r="L214" s="37">
        <f ca="1">_xlfn.IFNA(VLOOKUP($A214,INDIRECT("'W"&amp;L$1&amp;"'!$A$2:$T$1000"),4,FALSE),0)</f>
        <v>0</v>
      </c>
      <c r="M214" s="37">
        <f ca="1">_xlfn.IFNA(VLOOKUP($A214,INDIRECT("'W"&amp;M$1&amp;"'!$A$2:$T$1000"),4,FALSE),0)</f>
        <v>0</v>
      </c>
      <c r="N214" s="37">
        <f ca="1">_xlfn.IFNA(VLOOKUP($A214,INDIRECT("'W"&amp;N$1&amp;"'!$A$2:$T$1000"),4,FALSE),0)</f>
        <v>0</v>
      </c>
      <c r="O214" s="37">
        <f ca="1">_xlfn.IFNA(VLOOKUP($A214,INDIRECT("'W"&amp;O$1&amp;"'!$A$2:$T$1000"),4,FALSE),0)</f>
        <v>16.16</v>
      </c>
      <c r="P214" s="37">
        <f ca="1">_xlfn.IFNA(VLOOKUP($A214,INDIRECT("'W"&amp;P$1&amp;"'!$A$2:$T$1000"),4,FALSE),0)</f>
        <v>20.339999999999996</v>
      </c>
      <c r="Q214" s="37">
        <f ca="1">_xlfn.IFNA(VLOOKUP($A214,INDIRECT("'W"&amp;Q$1&amp;"'!$A$2:$T$1000"),4,FALSE),0)</f>
        <v>16.86</v>
      </c>
      <c r="R214" s="37">
        <f ca="1">_xlfn.IFNA(VLOOKUP($A214,INDIRECT("'W"&amp;R$1&amp;"'!$A$2:$T$1000"),4,FALSE),0)</f>
        <v>24.82</v>
      </c>
      <c r="S214" s="37">
        <f ca="1">_xlfn.IFNA(VLOOKUP($A214,INDIRECT("'W"&amp;S$1&amp;"'!$A$2:$T$1000"),4,FALSE),0)</f>
        <v>22.66</v>
      </c>
      <c r="T214" s="37">
        <f ca="1">_xlfn.IFNA(VLOOKUP($A214,INDIRECT("'W"&amp;T$1&amp;"'!$A$2:$T$1000"),4,FALSE),0)</f>
        <v>0</v>
      </c>
      <c r="U214" s="36">
        <f ca="1">COUNTIF(C214:T214,"&gt; 15")</f>
        <v>5</v>
      </c>
      <c r="V214" s="36">
        <f ca="1">SUM(C214:T214)</f>
        <v>100.84</v>
      </c>
      <c r="W214" s="36">
        <v>1</v>
      </c>
      <c r="X214" s="38"/>
    </row>
    <row r="215" spans="1:24" ht="12.75" x14ac:dyDescent="0.2">
      <c r="A215" s="36" t="s">
        <v>166</v>
      </c>
      <c r="B215" s="36" t="s">
        <v>162</v>
      </c>
      <c r="C215" s="37">
        <f ca="1">_xlfn.IFNA(VLOOKUP($A215,INDIRECT("'W"&amp;C$1&amp;"'!$A$2:$T$1000"),4,FALSE),0)</f>
        <v>24.4</v>
      </c>
      <c r="D215" s="37">
        <f ca="1">_xlfn.IFNA(VLOOKUP($A215,INDIRECT("'W"&amp;D$1&amp;"'!$A$2:$T$1000"),4,FALSE),0)</f>
        <v>6.9</v>
      </c>
      <c r="E215" s="37">
        <f ca="1">_xlfn.IFNA(VLOOKUP($A215,INDIRECT("'W"&amp;E$1&amp;"'!$A$2:$T$1000"),4,FALSE),0)</f>
        <v>8.6000000000000014</v>
      </c>
      <c r="F215" s="37">
        <f ca="1">_xlfn.IFNA(VLOOKUP($A215,INDIRECT("'W"&amp;F$1&amp;"'!$A$2:$T$1000"),4,FALSE),0)</f>
        <v>5.6</v>
      </c>
      <c r="G215" s="37">
        <f ca="1">_xlfn.IFNA(VLOOKUP($A215,INDIRECT("'W"&amp;G$1&amp;"'!$A$2:$T$1000"),4,FALSE),0)</f>
        <v>6.3</v>
      </c>
      <c r="H215" s="37">
        <f ca="1">_xlfn.IFNA(VLOOKUP($A215,INDIRECT("'W"&amp;H$1&amp;"'!$A$2:$T$1000"),4,FALSE),0)</f>
        <v>19.3</v>
      </c>
      <c r="I215" s="37">
        <f ca="1">_xlfn.IFNA(VLOOKUP($A215,INDIRECT("'W"&amp;I$1&amp;"'!$A$2:$T$1000"),4,FALSE),0)</f>
        <v>16.3</v>
      </c>
      <c r="J215" s="37">
        <f ca="1">_xlfn.IFNA(VLOOKUP($A215,INDIRECT("'W"&amp;J$1&amp;"'!$A$2:$T$1000"),4,FALSE),0)</f>
        <v>12.6</v>
      </c>
      <c r="K215" s="37">
        <f ca="1">_xlfn.IFNA(VLOOKUP($A215,INDIRECT("'W"&amp;K$1&amp;"'!$A$2:$T$1000"),4,FALSE),0)</f>
        <v>0</v>
      </c>
      <c r="L215" s="37">
        <f ca="1">_xlfn.IFNA(VLOOKUP($A215,INDIRECT("'W"&amp;L$1&amp;"'!$A$2:$T$1000"),4,FALSE),0)</f>
        <v>0</v>
      </c>
      <c r="M215" s="37">
        <f ca="1">_xlfn.IFNA(VLOOKUP($A215,INDIRECT("'W"&amp;M$1&amp;"'!$A$2:$T$1000"),4,FALSE),0)</f>
        <v>0</v>
      </c>
      <c r="N215" s="37">
        <f ca="1">_xlfn.IFNA(VLOOKUP($A215,INDIRECT("'W"&amp;N$1&amp;"'!$A$2:$T$1000"),4,FALSE),0)</f>
        <v>0</v>
      </c>
      <c r="O215" s="37">
        <f ca="1">_xlfn.IFNA(VLOOKUP($A215,INDIRECT("'W"&amp;O$1&amp;"'!$A$2:$T$1000"),4,FALSE),0)</f>
        <v>0</v>
      </c>
      <c r="P215" s="37">
        <f ca="1">_xlfn.IFNA(VLOOKUP($A215,INDIRECT("'W"&amp;P$1&amp;"'!$A$2:$T$1000"),4,FALSE),0)</f>
        <v>0</v>
      </c>
      <c r="Q215" s="37">
        <f ca="1">_xlfn.IFNA(VLOOKUP($A215,INDIRECT("'W"&amp;Q$1&amp;"'!$A$2:$T$1000"),4,FALSE),0)</f>
        <v>0</v>
      </c>
      <c r="R215" s="37">
        <f ca="1">_xlfn.IFNA(VLOOKUP($A215,INDIRECT("'W"&amp;R$1&amp;"'!$A$2:$T$1000"),4,FALSE),0)</f>
        <v>0</v>
      </c>
      <c r="S215" s="37">
        <f ca="1">_xlfn.IFNA(VLOOKUP($A215,INDIRECT("'W"&amp;S$1&amp;"'!$A$2:$T$1000"),4,FALSE),0)</f>
        <v>0</v>
      </c>
      <c r="T215" s="37">
        <f ca="1">_xlfn.IFNA(VLOOKUP($A215,INDIRECT("'W"&amp;T$1&amp;"'!$A$2:$T$1000"),4,FALSE),0)</f>
        <v>0</v>
      </c>
      <c r="U215" s="36">
        <f ca="1">COUNTIF(C215:T215,"&gt; 15")</f>
        <v>3</v>
      </c>
      <c r="V215" s="36">
        <f ca="1">SUM(C215:T215)</f>
        <v>99.999999999999986</v>
      </c>
      <c r="W215" s="36"/>
      <c r="X215" s="38"/>
    </row>
    <row r="216" spans="1:24" ht="12.75" x14ac:dyDescent="0.2">
      <c r="A216" s="36" t="s">
        <v>889</v>
      </c>
      <c r="B216" s="36" t="s">
        <v>851</v>
      </c>
      <c r="C216" s="37">
        <v>14</v>
      </c>
      <c r="D216" s="37">
        <v>0</v>
      </c>
      <c r="E216" s="37">
        <v>7</v>
      </c>
      <c r="F216" s="37">
        <v>0</v>
      </c>
      <c r="G216" s="37">
        <v>11</v>
      </c>
      <c r="H216" s="37">
        <v>0</v>
      </c>
      <c r="I216" s="37">
        <v>1</v>
      </c>
      <c r="J216" s="37">
        <v>7</v>
      </c>
      <c r="K216" s="37">
        <v>12</v>
      </c>
      <c r="L216" s="37">
        <v>1</v>
      </c>
      <c r="M216" s="37">
        <v>3</v>
      </c>
      <c r="N216" s="37">
        <v>10</v>
      </c>
      <c r="O216" s="37">
        <v>5</v>
      </c>
      <c r="P216" s="37">
        <v>3</v>
      </c>
      <c r="Q216" s="37">
        <v>1</v>
      </c>
      <c r="R216" s="37">
        <v>0</v>
      </c>
      <c r="S216" s="37">
        <v>13</v>
      </c>
      <c r="T216" s="37">
        <v>11</v>
      </c>
      <c r="U216" s="36">
        <f>COUNTIF(C216:T216,"&gt; 9")</f>
        <v>6</v>
      </c>
      <c r="V216" s="36">
        <f>SUM(C216:T216)</f>
        <v>99</v>
      </c>
      <c r="W216" s="36"/>
      <c r="X216" s="38">
        <v>174</v>
      </c>
    </row>
    <row r="217" spans="1:24" ht="12.75" x14ac:dyDescent="0.2">
      <c r="A217" s="36" t="s">
        <v>890</v>
      </c>
      <c r="B217" s="36" t="s">
        <v>851</v>
      </c>
      <c r="C217" s="37">
        <v>5</v>
      </c>
      <c r="D217" s="37">
        <v>0</v>
      </c>
      <c r="E217" s="37">
        <v>-6</v>
      </c>
      <c r="F217" s="37">
        <v>8</v>
      </c>
      <c r="G217" s="37">
        <v>5</v>
      </c>
      <c r="H217" s="37">
        <v>3</v>
      </c>
      <c r="I217" s="37">
        <v>3</v>
      </c>
      <c r="J217" s="37">
        <v>18</v>
      </c>
      <c r="K217" s="37">
        <v>0</v>
      </c>
      <c r="L217" s="37">
        <v>7</v>
      </c>
      <c r="M217" s="37">
        <v>7</v>
      </c>
      <c r="N217" s="37">
        <v>17</v>
      </c>
      <c r="O217" s="37">
        <v>4</v>
      </c>
      <c r="P217" s="37">
        <v>15</v>
      </c>
      <c r="Q217" s="37">
        <v>-4</v>
      </c>
      <c r="R217" s="37">
        <v>6</v>
      </c>
      <c r="S217" s="37">
        <v>8</v>
      </c>
      <c r="T217" s="37">
        <v>2</v>
      </c>
      <c r="U217" s="36">
        <f>COUNTIF(C217:T217,"&gt; 9")</f>
        <v>3</v>
      </c>
      <c r="V217" s="36">
        <f>SUM(C217:T217)</f>
        <v>98</v>
      </c>
      <c r="W217" s="36"/>
      <c r="X217" s="38"/>
    </row>
    <row r="218" spans="1:24" ht="12.75" x14ac:dyDescent="0.2">
      <c r="A218" s="36" t="s">
        <v>290</v>
      </c>
      <c r="B218" s="36" t="s">
        <v>69</v>
      </c>
      <c r="C218" s="37">
        <f ca="1">_xlfn.IFNA(VLOOKUP($A218,INDIRECT("'W"&amp;C$1&amp;"'!$A$2:$T$1000"),4,FALSE),0)</f>
        <v>6.6</v>
      </c>
      <c r="D218" s="37">
        <f ca="1">_xlfn.IFNA(VLOOKUP($A218,INDIRECT("'W"&amp;D$1&amp;"'!$A$2:$T$1000"),4,FALSE),0)</f>
        <v>3.3</v>
      </c>
      <c r="E218" s="37">
        <f ca="1">_xlfn.IFNA(VLOOKUP($A218,INDIRECT("'W"&amp;E$1&amp;"'!$A$2:$T$1000"),4,FALSE),0)</f>
        <v>3.2</v>
      </c>
      <c r="F218" s="37">
        <f ca="1">_xlfn.IFNA(VLOOKUP($A218,INDIRECT("'W"&amp;F$1&amp;"'!$A$2:$T$1000"),4,FALSE),0)</f>
        <v>0</v>
      </c>
      <c r="G218" s="37">
        <f ca="1">_xlfn.IFNA(VLOOKUP($A218,INDIRECT("'W"&amp;G$1&amp;"'!$A$2:$T$1000"),4,FALSE),0)</f>
        <v>0</v>
      </c>
      <c r="H218" s="37">
        <f ca="1">_xlfn.IFNA(VLOOKUP($A218,INDIRECT("'W"&amp;H$1&amp;"'!$A$2:$T$1000"),4,FALSE),0)</f>
        <v>0</v>
      </c>
      <c r="I218" s="37">
        <f ca="1">_xlfn.IFNA(VLOOKUP($A218,INDIRECT("'W"&amp;I$1&amp;"'!$A$2:$T$1000"),4,FALSE),0)</f>
        <v>0</v>
      </c>
      <c r="J218" s="37">
        <f ca="1">_xlfn.IFNA(VLOOKUP($A218,INDIRECT("'W"&amp;J$1&amp;"'!$A$2:$T$1000"),4,FALSE),0)</f>
        <v>1.5</v>
      </c>
      <c r="K218" s="37">
        <f ca="1">_xlfn.IFNA(VLOOKUP($A218,INDIRECT("'W"&amp;K$1&amp;"'!$A$2:$T$1000"),4,FALSE),0)</f>
        <v>13.9</v>
      </c>
      <c r="L218" s="37">
        <f ca="1">_xlfn.IFNA(VLOOKUP($A218,INDIRECT("'W"&amp;L$1&amp;"'!$A$2:$T$1000"),4,FALSE),0)</f>
        <v>1.2</v>
      </c>
      <c r="M218" s="37">
        <f ca="1">_xlfn.IFNA(VLOOKUP($A218,INDIRECT("'W"&amp;M$1&amp;"'!$A$2:$T$1000"),4,FALSE),0)</f>
        <v>0</v>
      </c>
      <c r="N218" s="37">
        <f ca="1">_xlfn.IFNA(VLOOKUP($A218,INDIRECT("'W"&amp;N$1&amp;"'!$A$2:$T$1000"),4,FALSE),0)</f>
        <v>8.5</v>
      </c>
      <c r="O218" s="37">
        <f ca="1">_xlfn.IFNA(VLOOKUP($A218,INDIRECT("'W"&amp;O$1&amp;"'!$A$2:$T$1000"),4,FALSE),0)</f>
        <v>0</v>
      </c>
      <c r="P218" s="37">
        <f ca="1">_xlfn.IFNA(VLOOKUP($A218,INDIRECT("'W"&amp;P$1&amp;"'!$A$2:$T$1000"),4,FALSE),0)</f>
        <v>3</v>
      </c>
      <c r="Q218" s="37">
        <f ca="1">_xlfn.IFNA(VLOOKUP($A218,INDIRECT("'W"&amp;Q$1&amp;"'!$A$2:$T$1000"),4,FALSE),0)</f>
        <v>11.8</v>
      </c>
      <c r="R218" s="37">
        <f ca="1">_xlfn.IFNA(VLOOKUP($A218,INDIRECT("'W"&amp;R$1&amp;"'!$A$2:$T$1000"),4,FALSE),0)</f>
        <v>14.8</v>
      </c>
      <c r="S218" s="37">
        <f ca="1">_xlfn.IFNA(VLOOKUP($A218,INDIRECT("'W"&amp;S$1&amp;"'!$A$2:$T$1000"),4,FALSE),0)</f>
        <v>23</v>
      </c>
      <c r="T218" s="37">
        <f ca="1">_xlfn.IFNA(VLOOKUP($A218,INDIRECT("'W"&amp;T$1&amp;"'!$A$2:$T$1000"),4,FALSE),0)</f>
        <v>7</v>
      </c>
      <c r="U218" s="36">
        <f ca="1">COUNTIF(C218:T218,"&gt; 15")</f>
        <v>1</v>
      </c>
      <c r="V218" s="36">
        <f ca="1">SUM(C218:T218)</f>
        <v>97.8</v>
      </c>
      <c r="W218" s="36"/>
      <c r="X218" s="38"/>
    </row>
    <row r="219" spans="1:24" ht="12.75" x14ac:dyDescent="0.2">
      <c r="A219" s="36" t="s">
        <v>243</v>
      </c>
      <c r="B219" s="36" t="s">
        <v>162</v>
      </c>
      <c r="C219" s="37">
        <f ca="1">_xlfn.IFNA(VLOOKUP($A219,INDIRECT("'W"&amp;C$1&amp;"'!$A$2:$T$1000"),4,FALSE),0)</f>
        <v>3</v>
      </c>
      <c r="D219" s="37">
        <f ca="1">_xlfn.IFNA(VLOOKUP($A219,INDIRECT("'W"&amp;D$1&amp;"'!$A$2:$T$1000"),4,FALSE),0)</f>
        <v>13.700000000000001</v>
      </c>
      <c r="E219" s="37">
        <f ca="1">_xlfn.IFNA(VLOOKUP($A219,INDIRECT("'W"&amp;E$1&amp;"'!$A$2:$T$1000"),4,FALSE),0)</f>
        <v>9.5</v>
      </c>
      <c r="F219" s="37">
        <f ca="1">_xlfn.IFNA(VLOOKUP($A219,INDIRECT("'W"&amp;F$1&amp;"'!$A$2:$T$1000"),4,FALSE),0)</f>
        <v>4.8</v>
      </c>
      <c r="G219" s="37">
        <f ca="1">_xlfn.IFNA(VLOOKUP($A219,INDIRECT("'W"&amp;G$1&amp;"'!$A$2:$T$1000"),4,FALSE),0)</f>
        <v>7.5</v>
      </c>
      <c r="H219" s="37">
        <f ca="1">_xlfn.IFNA(VLOOKUP($A219,INDIRECT("'W"&amp;H$1&amp;"'!$A$2:$T$1000"),4,FALSE),0)</f>
        <v>5.6</v>
      </c>
      <c r="I219" s="37">
        <f ca="1">_xlfn.IFNA(VLOOKUP($A219,INDIRECT("'W"&amp;I$1&amp;"'!$A$2:$T$1000"),4,FALSE),0)</f>
        <v>4</v>
      </c>
      <c r="J219" s="37">
        <f ca="1">_xlfn.IFNA(VLOOKUP($A219,INDIRECT("'W"&amp;J$1&amp;"'!$A$2:$T$1000"),4,FALSE),0)</f>
        <v>4.2</v>
      </c>
      <c r="K219" s="37">
        <f ca="1">_xlfn.IFNA(VLOOKUP($A219,INDIRECT("'W"&amp;K$1&amp;"'!$A$2:$T$1000"),4,FALSE),0)</f>
        <v>0</v>
      </c>
      <c r="L219" s="37">
        <f ca="1">_xlfn.IFNA(VLOOKUP($A219,INDIRECT("'W"&amp;L$1&amp;"'!$A$2:$T$1000"),4,FALSE),0)</f>
        <v>6.6000000000000005</v>
      </c>
      <c r="M219" s="37">
        <f ca="1">_xlfn.IFNA(VLOOKUP($A219,INDIRECT("'W"&amp;M$1&amp;"'!$A$2:$T$1000"),4,FALSE),0)</f>
        <v>1.5</v>
      </c>
      <c r="N219" s="37">
        <f ca="1">_xlfn.IFNA(VLOOKUP($A219,INDIRECT("'W"&amp;N$1&amp;"'!$A$2:$T$1000"),4,FALSE),0)</f>
        <v>14.6</v>
      </c>
      <c r="O219" s="37">
        <f ca="1">_xlfn.IFNA(VLOOKUP($A219,INDIRECT("'W"&amp;O$1&amp;"'!$A$2:$T$1000"),4,FALSE),0)</f>
        <v>0.9</v>
      </c>
      <c r="P219" s="37">
        <f ca="1">_xlfn.IFNA(VLOOKUP($A219,INDIRECT("'W"&amp;P$1&amp;"'!$A$2:$T$1000"),4,FALSE),0)</f>
        <v>4.5</v>
      </c>
      <c r="Q219" s="37">
        <f ca="1">_xlfn.IFNA(VLOOKUP($A219,INDIRECT("'W"&amp;Q$1&amp;"'!$A$2:$T$1000"),4,FALSE),0)</f>
        <v>2.2000000000000002</v>
      </c>
      <c r="R219" s="37">
        <f ca="1">_xlfn.IFNA(VLOOKUP($A219,INDIRECT("'W"&amp;R$1&amp;"'!$A$2:$T$1000"),4,FALSE),0)</f>
        <v>5.7</v>
      </c>
      <c r="S219" s="37">
        <f ca="1">_xlfn.IFNA(VLOOKUP($A219,INDIRECT("'W"&amp;S$1&amp;"'!$A$2:$T$1000"),4,FALSE),0)</f>
        <v>2.1</v>
      </c>
      <c r="T219" s="37">
        <f ca="1">_xlfn.IFNA(VLOOKUP($A219,INDIRECT("'W"&amp;T$1&amp;"'!$A$2:$T$1000"),4,FALSE),0)</f>
        <v>7</v>
      </c>
      <c r="U219" s="36">
        <f ca="1">COUNTIF(C219:T219,"&gt; 15")</f>
        <v>0</v>
      </c>
      <c r="V219" s="36">
        <f ca="1">SUM(C219:T219)</f>
        <v>97.4</v>
      </c>
      <c r="W219" s="36"/>
      <c r="X219" s="38"/>
    </row>
    <row r="220" spans="1:24" ht="12.75" x14ac:dyDescent="0.2">
      <c r="A220" s="36" t="s">
        <v>97</v>
      </c>
      <c r="B220" s="36" t="s">
        <v>75</v>
      </c>
      <c r="C220" s="37">
        <f ca="1">_xlfn.IFNA(VLOOKUP($A220,INDIRECT("'W"&amp;C$1&amp;"'!$A$2:$T$1000"),4,FALSE),0)</f>
        <v>11.4</v>
      </c>
      <c r="D220" s="37">
        <f ca="1">_xlfn.IFNA(VLOOKUP($A220,INDIRECT("'W"&amp;D$1&amp;"'!$A$2:$T$1000"),4,FALSE),0)</f>
        <v>0</v>
      </c>
      <c r="E220" s="37">
        <f ca="1">_xlfn.IFNA(VLOOKUP($A220,INDIRECT("'W"&amp;E$1&amp;"'!$A$2:$T$1000"),4,FALSE),0)</f>
        <v>5.8</v>
      </c>
      <c r="F220" s="37">
        <f ca="1">_xlfn.IFNA(VLOOKUP($A220,INDIRECT("'W"&amp;F$1&amp;"'!$A$2:$T$1000"),4,FALSE),0)</f>
        <v>6.1000000000000005</v>
      </c>
      <c r="G220" s="37">
        <f ca="1">_xlfn.IFNA(VLOOKUP($A220,INDIRECT("'W"&amp;G$1&amp;"'!$A$2:$T$1000"),4,FALSE),0)</f>
        <v>3.4000000000000004</v>
      </c>
      <c r="H220" s="37">
        <f ca="1">_xlfn.IFNA(VLOOKUP($A220,INDIRECT("'W"&amp;H$1&amp;"'!$A$2:$T$1000"),4,FALSE),0)</f>
        <v>2.6999999999999997</v>
      </c>
      <c r="I220" s="37">
        <f ca="1">_xlfn.IFNA(VLOOKUP($A220,INDIRECT("'W"&amp;I$1&amp;"'!$A$2:$T$1000"),4,FALSE),0)</f>
        <v>7.6</v>
      </c>
      <c r="J220" s="37">
        <f ca="1">_xlfn.IFNA(VLOOKUP($A220,INDIRECT("'W"&amp;J$1&amp;"'!$A$2:$T$1000"),4,FALSE),0)</f>
        <v>5.6</v>
      </c>
      <c r="K220" s="37">
        <f ca="1">_xlfn.IFNA(VLOOKUP($A220,INDIRECT("'W"&amp;K$1&amp;"'!$A$2:$T$1000"),4,FALSE),0)</f>
        <v>9.2999999999999989</v>
      </c>
      <c r="L220" s="37">
        <f ca="1">_xlfn.IFNA(VLOOKUP($A220,INDIRECT("'W"&amp;L$1&amp;"'!$A$2:$T$1000"),4,FALSE),0)</f>
        <v>0</v>
      </c>
      <c r="M220" s="37">
        <f ca="1">_xlfn.IFNA(VLOOKUP($A220,INDIRECT("'W"&amp;M$1&amp;"'!$A$2:$T$1000"),4,FALSE),0)</f>
        <v>1.5</v>
      </c>
      <c r="N220" s="37">
        <f ca="1">_xlfn.IFNA(VLOOKUP($A220,INDIRECT("'W"&amp;N$1&amp;"'!$A$2:$T$1000"),4,FALSE),0)</f>
        <v>5.6</v>
      </c>
      <c r="O220" s="37">
        <f ca="1">_xlfn.IFNA(VLOOKUP($A220,INDIRECT("'W"&amp;O$1&amp;"'!$A$2:$T$1000"),4,FALSE),0)</f>
        <v>9.6999999999999993</v>
      </c>
      <c r="P220" s="37">
        <f ca="1">_xlfn.IFNA(VLOOKUP($A220,INDIRECT("'W"&amp;P$1&amp;"'!$A$2:$T$1000"),4,FALSE),0)</f>
        <v>2.8000000000000003</v>
      </c>
      <c r="Q220" s="37">
        <f ca="1">_xlfn.IFNA(VLOOKUP($A220,INDIRECT("'W"&amp;Q$1&amp;"'!$A$2:$T$1000"),4,FALSE),0)</f>
        <v>2.1</v>
      </c>
      <c r="R220" s="37">
        <f ca="1">_xlfn.IFNA(VLOOKUP($A220,INDIRECT("'W"&amp;R$1&amp;"'!$A$2:$T$1000"),4,FALSE),0)</f>
        <v>10.9</v>
      </c>
      <c r="S220" s="37">
        <f ca="1">_xlfn.IFNA(VLOOKUP($A220,INDIRECT("'W"&amp;S$1&amp;"'!$A$2:$T$1000"),4,FALSE),0)</f>
        <v>6.68</v>
      </c>
      <c r="T220" s="37">
        <f ca="1">_xlfn.IFNA(VLOOKUP($A220,INDIRECT("'W"&amp;T$1&amp;"'!$A$2:$T$1000"),4,FALSE),0)</f>
        <v>6.2</v>
      </c>
      <c r="U220" s="36">
        <f ca="1">COUNTIF(C220:T220,"&gt; 15")</f>
        <v>0</v>
      </c>
      <c r="V220" s="36">
        <f ca="1">SUM(C220:T220)</f>
        <v>97.38000000000001</v>
      </c>
      <c r="W220" s="36"/>
      <c r="X220" s="38"/>
    </row>
    <row r="221" spans="1:24" ht="12.75" x14ac:dyDescent="0.2">
      <c r="A221" s="36" t="s">
        <v>340</v>
      </c>
      <c r="B221" s="36" t="s">
        <v>162</v>
      </c>
      <c r="C221" s="37">
        <f ca="1">_xlfn.IFNA(VLOOKUP($A221,INDIRECT("'W"&amp;C$1&amp;"'!$A$2:$T$1000"),4,FALSE),0)</f>
        <v>0</v>
      </c>
      <c r="D221" s="37">
        <f ca="1">_xlfn.IFNA(VLOOKUP($A221,INDIRECT("'W"&amp;D$1&amp;"'!$A$2:$T$1000"),4,FALSE),0)</f>
        <v>17.3</v>
      </c>
      <c r="E221" s="37">
        <f ca="1">_xlfn.IFNA(VLOOKUP($A221,INDIRECT("'W"&amp;E$1&amp;"'!$A$2:$T$1000"),4,FALSE),0)</f>
        <v>7.9</v>
      </c>
      <c r="F221" s="37">
        <f ca="1">_xlfn.IFNA(VLOOKUP($A221,INDIRECT("'W"&amp;F$1&amp;"'!$A$2:$T$1000"),4,FALSE),0)</f>
        <v>1.4</v>
      </c>
      <c r="G221" s="37">
        <f ca="1">_xlfn.IFNA(VLOOKUP($A221,INDIRECT("'W"&amp;G$1&amp;"'!$A$2:$T$1000"),4,FALSE),0)</f>
        <v>10.4</v>
      </c>
      <c r="H221" s="37">
        <f ca="1">_xlfn.IFNA(VLOOKUP($A221,INDIRECT("'W"&amp;H$1&amp;"'!$A$2:$T$1000"),4,FALSE),0)</f>
        <v>6</v>
      </c>
      <c r="I221" s="37">
        <f ca="1">_xlfn.IFNA(VLOOKUP($A221,INDIRECT("'W"&amp;I$1&amp;"'!$A$2:$T$1000"),4,FALSE),0)</f>
        <v>8.1999999999999993</v>
      </c>
      <c r="J221" s="37">
        <f ca="1">_xlfn.IFNA(VLOOKUP($A221,INDIRECT("'W"&amp;J$1&amp;"'!$A$2:$T$1000"),4,FALSE),0)</f>
        <v>0</v>
      </c>
      <c r="K221" s="37">
        <f ca="1">_xlfn.IFNA(VLOOKUP($A221,INDIRECT("'W"&amp;K$1&amp;"'!$A$2:$T$1000"),4,FALSE),0)</f>
        <v>1.2</v>
      </c>
      <c r="L221" s="37">
        <f ca="1">_xlfn.IFNA(VLOOKUP($A221,INDIRECT("'W"&amp;L$1&amp;"'!$A$2:$T$1000"),4,FALSE),0)</f>
        <v>0</v>
      </c>
      <c r="M221" s="37">
        <f ca="1">_xlfn.IFNA(VLOOKUP($A221,INDIRECT("'W"&amp;M$1&amp;"'!$A$2:$T$1000"),4,FALSE),0)</f>
        <v>10.7</v>
      </c>
      <c r="N221" s="37">
        <f ca="1">_xlfn.IFNA(VLOOKUP($A221,INDIRECT("'W"&amp;N$1&amp;"'!$A$2:$T$1000"),4,FALSE),0)</f>
        <v>3.1</v>
      </c>
      <c r="O221" s="37">
        <f ca="1">_xlfn.IFNA(VLOOKUP($A221,INDIRECT("'W"&amp;O$1&amp;"'!$A$2:$T$1000"),4,FALSE),0)</f>
        <v>0</v>
      </c>
      <c r="P221" s="37">
        <f ca="1">_xlfn.IFNA(VLOOKUP($A221,INDIRECT("'W"&amp;P$1&amp;"'!$A$2:$T$1000"),4,FALSE),0)</f>
        <v>8.1999999999999993</v>
      </c>
      <c r="Q221" s="37">
        <f ca="1">_xlfn.IFNA(VLOOKUP($A221,INDIRECT("'W"&amp;Q$1&amp;"'!$A$2:$T$1000"),4,FALSE),0)</f>
        <v>0</v>
      </c>
      <c r="R221" s="37">
        <f ca="1">_xlfn.IFNA(VLOOKUP($A221,INDIRECT("'W"&amp;R$1&amp;"'!$A$2:$T$1000"),4,FALSE),0)</f>
        <v>10</v>
      </c>
      <c r="S221" s="37">
        <f ca="1">_xlfn.IFNA(VLOOKUP($A221,INDIRECT("'W"&amp;S$1&amp;"'!$A$2:$T$1000"),4,FALSE),0)</f>
        <v>3.8</v>
      </c>
      <c r="T221" s="37">
        <f ca="1">_xlfn.IFNA(VLOOKUP($A221,INDIRECT("'W"&amp;T$1&amp;"'!$A$2:$T$1000"),4,FALSE),0)</f>
        <v>8.9</v>
      </c>
      <c r="U221" s="36">
        <f ca="1">COUNTIF(C221:T221,"&gt; 15")</f>
        <v>1</v>
      </c>
      <c r="V221" s="36">
        <f ca="1">SUM(C221:T221)</f>
        <v>97.100000000000009</v>
      </c>
      <c r="W221" s="36"/>
      <c r="X221" s="38"/>
    </row>
    <row r="222" spans="1:24" ht="12.75" x14ac:dyDescent="0.2">
      <c r="A222" s="36" t="s">
        <v>209</v>
      </c>
      <c r="B222" s="36" t="s">
        <v>162</v>
      </c>
      <c r="C222" s="37">
        <f ca="1">_xlfn.IFNA(VLOOKUP($A222,INDIRECT("'W"&amp;C$1&amp;"'!$A$2:$T$1000"),4,FALSE),0)</f>
        <v>8.8000000000000007</v>
      </c>
      <c r="D222" s="37">
        <f ca="1">_xlfn.IFNA(VLOOKUP($A222,INDIRECT("'W"&amp;D$1&amp;"'!$A$2:$T$1000"),4,FALSE),0)</f>
        <v>3</v>
      </c>
      <c r="E222" s="37">
        <f ca="1">_xlfn.IFNA(VLOOKUP($A222,INDIRECT("'W"&amp;E$1&amp;"'!$A$2:$T$1000"),4,FALSE),0)</f>
        <v>1.8</v>
      </c>
      <c r="F222" s="37">
        <f ca="1">_xlfn.IFNA(VLOOKUP($A222,INDIRECT("'W"&amp;F$1&amp;"'!$A$2:$T$1000"),4,FALSE),0)</f>
        <v>8.6</v>
      </c>
      <c r="G222" s="37">
        <f ca="1">_xlfn.IFNA(VLOOKUP($A222,INDIRECT("'W"&amp;G$1&amp;"'!$A$2:$T$1000"),4,FALSE),0)</f>
        <v>0</v>
      </c>
      <c r="H222" s="37">
        <f ca="1">_xlfn.IFNA(VLOOKUP($A222,INDIRECT("'W"&amp;H$1&amp;"'!$A$2:$T$1000"),4,FALSE),0)</f>
        <v>6.7</v>
      </c>
      <c r="I222" s="37">
        <f ca="1">_xlfn.IFNA(VLOOKUP($A222,INDIRECT("'W"&amp;I$1&amp;"'!$A$2:$T$1000"),4,FALSE),0)</f>
        <v>1.5</v>
      </c>
      <c r="J222" s="37">
        <f ca="1">_xlfn.IFNA(VLOOKUP($A222,INDIRECT("'W"&amp;J$1&amp;"'!$A$2:$T$1000"),4,FALSE),0)</f>
        <v>5.2</v>
      </c>
      <c r="K222" s="37">
        <f ca="1">_xlfn.IFNA(VLOOKUP($A222,INDIRECT("'W"&amp;K$1&amp;"'!$A$2:$T$1000"),4,FALSE),0)</f>
        <v>8.1000000000000014</v>
      </c>
      <c r="L222" s="37">
        <f ca="1">_xlfn.IFNA(VLOOKUP($A222,INDIRECT("'W"&amp;L$1&amp;"'!$A$2:$T$1000"),4,FALSE),0)</f>
        <v>4.0999999999999996</v>
      </c>
      <c r="M222" s="37">
        <f ca="1">_xlfn.IFNA(VLOOKUP($A222,INDIRECT("'W"&amp;M$1&amp;"'!$A$2:$T$1000"),4,FALSE),0)</f>
        <v>6.8</v>
      </c>
      <c r="N222" s="37">
        <f ca="1">_xlfn.IFNA(VLOOKUP($A222,INDIRECT("'W"&amp;N$1&amp;"'!$A$2:$T$1000"),4,FALSE),0)</f>
        <v>5.7</v>
      </c>
      <c r="O222" s="37">
        <f ca="1">_xlfn.IFNA(VLOOKUP($A222,INDIRECT("'W"&amp;O$1&amp;"'!$A$2:$T$1000"),4,FALSE),0)</f>
        <v>4.5</v>
      </c>
      <c r="P222" s="37">
        <f ca="1">_xlfn.IFNA(VLOOKUP($A222,INDIRECT("'W"&amp;P$1&amp;"'!$A$2:$T$1000"),4,FALSE),0)</f>
        <v>1.8</v>
      </c>
      <c r="Q222" s="37">
        <f ca="1">_xlfn.IFNA(VLOOKUP($A222,INDIRECT("'W"&amp;Q$1&amp;"'!$A$2:$T$1000"),4,FALSE),0)</f>
        <v>1.5</v>
      </c>
      <c r="R222" s="37">
        <f ca="1">_xlfn.IFNA(VLOOKUP($A222,INDIRECT("'W"&amp;R$1&amp;"'!$A$2:$T$1000"),4,FALSE),0)</f>
        <v>8.1999999999999993</v>
      </c>
      <c r="S222" s="37">
        <f ca="1">_xlfn.IFNA(VLOOKUP($A222,INDIRECT("'W"&amp;S$1&amp;"'!$A$2:$T$1000"),4,FALSE),0)</f>
        <v>16.399999999999999</v>
      </c>
      <c r="T222" s="37">
        <f ca="1">_xlfn.IFNA(VLOOKUP($A222,INDIRECT("'W"&amp;T$1&amp;"'!$A$2:$T$1000"),4,FALSE),0)</f>
        <v>3</v>
      </c>
      <c r="U222" s="36">
        <f ca="1">COUNTIF(C222:T222,"&gt; 15")</f>
        <v>1</v>
      </c>
      <c r="V222" s="36">
        <f ca="1">SUM(C222:T222)</f>
        <v>95.700000000000017</v>
      </c>
      <c r="W222" s="36"/>
      <c r="X222" s="38"/>
    </row>
    <row r="223" spans="1:24" ht="12.75" x14ac:dyDescent="0.2">
      <c r="A223" s="36" t="s">
        <v>265</v>
      </c>
      <c r="B223" s="36" t="s">
        <v>162</v>
      </c>
      <c r="C223" s="37">
        <f ca="1">_xlfn.IFNA(VLOOKUP($A223,INDIRECT("'W"&amp;C$1&amp;"'!$A$2:$T$1000"),4,FALSE),0)</f>
        <v>1.5</v>
      </c>
      <c r="D223" s="37">
        <f ca="1">_xlfn.IFNA(VLOOKUP($A223,INDIRECT("'W"&amp;D$1&amp;"'!$A$2:$T$1000"),4,FALSE),0)</f>
        <v>4.8000000000000007</v>
      </c>
      <c r="E223" s="37">
        <f ca="1">_xlfn.IFNA(VLOOKUP($A223,INDIRECT("'W"&amp;E$1&amp;"'!$A$2:$T$1000"),4,FALSE),0)</f>
        <v>7.3</v>
      </c>
      <c r="F223" s="37">
        <f ca="1">_xlfn.IFNA(VLOOKUP($A223,INDIRECT("'W"&amp;F$1&amp;"'!$A$2:$T$1000"),4,FALSE),0)</f>
        <v>4.8000000000000007</v>
      </c>
      <c r="G223" s="37">
        <f ca="1">_xlfn.IFNA(VLOOKUP($A223,INDIRECT("'W"&amp;G$1&amp;"'!$A$2:$T$1000"),4,FALSE),0)</f>
        <v>2</v>
      </c>
      <c r="H223" s="37">
        <f ca="1">_xlfn.IFNA(VLOOKUP($A223,INDIRECT("'W"&amp;H$1&amp;"'!$A$2:$T$1000"),4,FALSE),0)</f>
        <v>5.5</v>
      </c>
      <c r="I223" s="37">
        <f ca="1">_xlfn.IFNA(VLOOKUP($A223,INDIRECT("'W"&amp;I$1&amp;"'!$A$2:$T$1000"),4,FALSE),0)</f>
        <v>8.3000000000000007</v>
      </c>
      <c r="J223" s="37">
        <f ca="1">_xlfn.IFNA(VLOOKUP($A223,INDIRECT("'W"&amp;J$1&amp;"'!$A$2:$T$1000"),4,FALSE),0)</f>
        <v>7.1000000000000005</v>
      </c>
      <c r="K223" s="37">
        <f ca="1">_xlfn.IFNA(VLOOKUP($A223,INDIRECT("'W"&amp;K$1&amp;"'!$A$2:$T$1000"),4,FALSE),0)</f>
        <v>0</v>
      </c>
      <c r="L223" s="37">
        <f ca="1">_xlfn.IFNA(VLOOKUP($A223,INDIRECT("'W"&amp;L$1&amp;"'!$A$2:$T$1000"),4,FALSE),0)</f>
        <v>3.1</v>
      </c>
      <c r="M223" s="37">
        <f ca="1">_xlfn.IFNA(VLOOKUP($A223,INDIRECT("'W"&amp;M$1&amp;"'!$A$2:$T$1000"),4,FALSE),0)</f>
        <v>0</v>
      </c>
      <c r="N223" s="37">
        <f ca="1">_xlfn.IFNA(VLOOKUP($A223,INDIRECT("'W"&amp;N$1&amp;"'!$A$2:$T$1000"),4,FALSE),0)</f>
        <v>6.7</v>
      </c>
      <c r="O223" s="37">
        <f ca="1">_xlfn.IFNA(VLOOKUP($A223,INDIRECT("'W"&amp;O$1&amp;"'!$A$2:$T$1000"),4,FALSE),0)</f>
        <v>19</v>
      </c>
      <c r="P223" s="37">
        <f ca="1">_xlfn.IFNA(VLOOKUP($A223,INDIRECT("'W"&amp;P$1&amp;"'!$A$2:$T$1000"),4,FALSE),0)</f>
        <v>4.2</v>
      </c>
      <c r="Q223" s="37">
        <f ca="1">_xlfn.IFNA(VLOOKUP($A223,INDIRECT("'W"&amp;Q$1&amp;"'!$A$2:$T$1000"),4,FALSE),0)</f>
        <v>2.2999999999999998</v>
      </c>
      <c r="R223" s="37">
        <f ca="1">_xlfn.IFNA(VLOOKUP($A223,INDIRECT("'W"&amp;R$1&amp;"'!$A$2:$T$1000"),4,FALSE),0)</f>
        <v>6</v>
      </c>
      <c r="S223" s="37">
        <f ca="1">_xlfn.IFNA(VLOOKUP($A223,INDIRECT("'W"&amp;S$1&amp;"'!$A$2:$T$1000"),4,FALSE),0)</f>
        <v>12.8</v>
      </c>
      <c r="T223" s="37">
        <f ca="1">_xlfn.IFNA(VLOOKUP($A223,INDIRECT("'W"&amp;T$1&amp;"'!$A$2:$T$1000"),4,FALSE),0)</f>
        <v>0</v>
      </c>
      <c r="U223" s="36">
        <f ca="1">COUNTIF(C223:T223,"&gt; 15")</f>
        <v>1</v>
      </c>
      <c r="V223" s="36">
        <f ca="1">SUM(C223:T223)</f>
        <v>95.4</v>
      </c>
      <c r="W223" s="36"/>
      <c r="X223" s="38"/>
    </row>
    <row r="224" spans="1:24" ht="12.75" x14ac:dyDescent="0.2">
      <c r="A224" s="36" t="s">
        <v>253</v>
      </c>
      <c r="B224" s="36" t="s">
        <v>162</v>
      </c>
      <c r="C224" s="37">
        <f ca="1">_xlfn.IFNA(VLOOKUP($A224,INDIRECT("'W"&amp;C$1&amp;"'!$A$2:$T$1000"),4,FALSE),0)</f>
        <v>2.9</v>
      </c>
      <c r="D224" s="37">
        <f ca="1">_xlfn.IFNA(VLOOKUP($A224,INDIRECT("'W"&amp;D$1&amp;"'!$A$2:$T$1000"),4,FALSE),0)</f>
        <v>1.7000000000000002</v>
      </c>
      <c r="E224" s="37">
        <f ca="1">_xlfn.IFNA(VLOOKUP($A224,INDIRECT("'W"&amp;E$1&amp;"'!$A$2:$T$1000"),4,FALSE),0)</f>
        <v>3</v>
      </c>
      <c r="F224" s="37">
        <f ca="1">_xlfn.IFNA(VLOOKUP($A224,INDIRECT("'W"&amp;F$1&amp;"'!$A$2:$T$1000"),4,FALSE),0)</f>
        <v>2.8</v>
      </c>
      <c r="G224" s="37">
        <f ca="1">_xlfn.IFNA(VLOOKUP($A224,INDIRECT("'W"&amp;G$1&amp;"'!$A$2:$T$1000"),4,FALSE),0)</f>
        <v>0</v>
      </c>
      <c r="H224" s="37">
        <f ca="1">_xlfn.IFNA(VLOOKUP($A224,INDIRECT("'W"&amp;H$1&amp;"'!$A$2:$T$1000"),4,FALSE),0)</f>
        <v>0</v>
      </c>
      <c r="I224" s="37">
        <f ca="1">_xlfn.IFNA(VLOOKUP($A224,INDIRECT("'W"&amp;I$1&amp;"'!$A$2:$T$1000"),4,FALSE),0)</f>
        <v>3</v>
      </c>
      <c r="J224" s="37">
        <f ca="1">_xlfn.IFNA(VLOOKUP($A224,INDIRECT("'W"&amp;J$1&amp;"'!$A$2:$T$1000"),4,FALSE),0)</f>
        <v>10</v>
      </c>
      <c r="K224" s="37">
        <f ca="1">_xlfn.IFNA(VLOOKUP($A224,INDIRECT("'W"&amp;K$1&amp;"'!$A$2:$T$1000"),4,FALSE),0)</f>
        <v>3.6000000000000005</v>
      </c>
      <c r="L224" s="37">
        <f ca="1">_xlfn.IFNA(VLOOKUP($A224,INDIRECT("'W"&amp;L$1&amp;"'!$A$2:$T$1000"),4,FALSE),0)</f>
        <v>13.4</v>
      </c>
      <c r="M224" s="37">
        <f ca="1">_xlfn.IFNA(VLOOKUP($A224,INDIRECT("'W"&amp;M$1&amp;"'!$A$2:$T$1000"),4,FALSE),0)</f>
        <v>4.0999999999999996</v>
      </c>
      <c r="N224" s="37">
        <f ca="1">_xlfn.IFNA(VLOOKUP($A224,INDIRECT("'W"&amp;N$1&amp;"'!$A$2:$T$1000"),4,FALSE),0)</f>
        <v>1.7000000000000002</v>
      </c>
      <c r="O224" s="37">
        <f ca="1">_xlfn.IFNA(VLOOKUP($A224,INDIRECT("'W"&amp;O$1&amp;"'!$A$2:$T$1000"),4,FALSE),0)</f>
        <v>10.199999999999999</v>
      </c>
      <c r="P224" s="37">
        <f ca="1">_xlfn.IFNA(VLOOKUP($A224,INDIRECT("'W"&amp;P$1&amp;"'!$A$2:$T$1000"),4,FALSE),0)</f>
        <v>12.1</v>
      </c>
      <c r="Q224" s="37">
        <f ca="1">_xlfn.IFNA(VLOOKUP($A224,INDIRECT("'W"&amp;Q$1&amp;"'!$A$2:$T$1000"),4,FALSE),0)</f>
        <v>10.3</v>
      </c>
      <c r="R224" s="37">
        <f ca="1">_xlfn.IFNA(VLOOKUP($A224,INDIRECT("'W"&amp;R$1&amp;"'!$A$2:$T$1000"),4,FALSE),0)</f>
        <v>5</v>
      </c>
      <c r="S224" s="37">
        <f ca="1">_xlfn.IFNA(VLOOKUP($A224,INDIRECT("'W"&amp;S$1&amp;"'!$A$2:$T$1000"),4,FALSE),0)</f>
        <v>5.9</v>
      </c>
      <c r="T224" s="37">
        <f ca="1">_xlfn.IFNA(VLOOKUP($A224,INDIRECT("'W"&amp;T$1&amp;"'!$A$2:$T$1000"),4,FALSE),0)</f>
        <v>4.3000000000000007</v>
      </c>
      <c r="U224" s="36">
        <f ca="1">COUNTIF(C224:T224,"&gt; 15")</f>
        <v>0</v>
      </c>
      <c r="V224" s="36">
        <f ca="1">SUM(C224:T224)</f>
        <v>94</v>
      </c>
      <c r="W224" s="36"/>
      <c r="X224" s="38"/>
    </row>
    <row r="225" spans="1:24" ht="12.75" x14ac:dyDescent="0.2">
      <c r="A225" s="36" t="s">
        <v>605</v>
      </c>
      <c r="B225" s="36" t="s">
        <v>17</v>
      </c>
      <c r="C225" s="37">
        <f ca="1">_xlfn.IFNA(VLOOKUP($A225,INDIRECT("'W"&amp;C$1&amp;"'!$A$2:$T$1000"),4,FALSE),0)</f>
        <v>0</v>
      </c>
      <c r="D225" s="37">
        <f ca="1">_xlfn.IFNA(VLOOKUP($A225,INDIRECT("'W"&amp;D$1&amp;"'!$A$2:$T$1000"),4,FALSE),0)</f>
        <v>0</v>
      </c>
      <c r="E225" s="37">
        <f ca="1">_xlfn.IFNA(VLOOKUP($A225,INDIRECT("'W"&amp;E$1&amp;"'!$A$2:$T$1000"),4,FALSE),0)</f>
        <v>0</v>
      </c>
      <c r="F225" s="37">
        <f ca="1">_xlfn.IFNA(VLOOKUP($A225,INDIRECT("'W"&amp;F$1&amp;"'!$A$2:$T$1000"),4,FALSE),0)</f>
        <v>0</v>
      </c>
      <c r="G225" s="37">
        <f ca="1">_xlfn.IFNA(VLOOKUP($A225,INDIRECT("'W"&amp;G$1&amp;"'!$A$2:$T$1000"),4,FALSE),0)</f>
        <v>0</v>
      </c>
      <c r="H225" s="37">
        <f ca="1">_xlfn.IFNA(VLOOKUP($A225,INDIRECT("'W"&amp;H$1&amp;"'!$A$2:$T$1000"),4,FALSE),0)</f>
        <v>0</v>
      </c>
      <c r="I225" s="37">
        <f ca="1">_xlfn.IFNA(VLOOKUP($A225,INDIRECT("'W"&amp;I$1&amp;"'!$A$2:$T$1000"),4,FALSE),0)</f>
        <v>0</v>
      </c>
      <c r="J225" s="37">
        <f ca="1">_xlfn.IFNA(VLOOKUP($A225,INDIRECT("'W"&amp;J$1&amp;"'!$A$2:$T$1000"),4,FALSE),0)</f>
        <v>7.16</v>
      </c>
      <c r="K225" s="37">
        <f ca="1">_xlfn.IFNA(VLOOKUP($A225,INDIRECT("'W"&amp;K$1&amp;"'!$A$2:$T$1000"),4,FALSE),0)</f>
        <v>8.6999999999999993</v>
      </c>
      <c r="L225" s="37">
        <f ca="1">_xlfn.IFNA(VLOOKUP($A225,INDIRECT("'W"&amp;L$1&amp;"'!$A$2:$T$1000"),4,FALSE),0)</f>
        <v>13.54</v>
      </c>
      <c r="M225" s="37">
        <f ca="1">_xlfn.IFNA(VLOOKUP($A225,INDIRECT("'W"&amp;M$1&amp;"'!$A$2:$T$1000"),4,FALSE),0)</f>
        <v>22.54</v>
      </c>
      <c r="N225" s="37">
        <f ca="1">_xlfn.IFNA(VLOOKUP($A225,INDIRECT("'W"&amp;N$1&amp;"'!$A$2:$T$1000"),4,FALSE),0)</f>
        <v>10.24</v>
      </c>
      <c r="O225" s="37">
        <f ca="1">_xlfn.IFNA(VLOOKUP($A225,INDIRECT("'W"&amp;O$1&amp;"'!$A$2:$T$1000"),4,FALSE),0)</f>
        <v>0</v>
      </c>
      <c r="P225" s="37">
        <f ca="1">_xlfn.IFNA(VLOOKUP($A225,INDIRECT("'W"&amp;P$1&amp;"'!$A$2:$T$1000"),4,FALSE),0)</f>
        <v>17.420000000000002</v>
      </c>
      <c r="Q225" s="37">
        <f ca="1">_xlfn.IFNA(VLOOKUP($A225,INDIRECT("'W"&amp;Q$1&amp;"'!$A$2:$T$1000"),4,FALSE),0)</f>
        <v>10.68</v>
      </c>
      <c r="R225" s="37">
        <f ca="1">_xlfn.IFNA(VLOOKUP($A225,INDIRECT("'W"&amp;R$1&amp;"'!$A$2:$T$1000"),4,FALSE),0)</f>
        <v>2.7</v>
      </c>
      <c r="S225" s="37">
        <f ca="1">_xlfn.IFNA(VLOOKUP($A225,INDIRECT("'W"&amp;S$1&amp;"'!$A$2:$T$1000"),4,FALSE),0)</f>
        <v>0</v>
      </c>
      <c r="T225" s="37">
        <f ca="1">_xlfn.IFNA(VLOOKUP($A225,INDIRECT("'W"&amp;T$1&amp;"'!$A$2:$T$1000"),4,FALSE),0)</f>
        <v>0.56000000000000005</v>
      </c>
      <c r="U225" s="36">
        <f ca="1">COUNTIF(C225:T225,"&gt; 15")</f>
        <v>2</v>
      </c>
      <c r="V225" s="36">
        <f ca="1">SUM(C225:T225)</f>
        <v>93.54</v>
      </c>
      <c r="W225" s="36"/>
      <c r="X225" s="38"/>
    </row>
    <row r="226" spans="1:24" ht="12.75" x14ac:dyDescent="0.2">
      <c r="A226" s="36" t="s">
        <v>891</v>
      </c>
      <c r="B226" s="36" t="s">
        <v>851</v>
      </c>
      <c r="C226" s="37">
        <v>8</v>
      </c>
      <c r="D226" s="37">
        <v>-1</v>
      </c>
      <c r="E226" s="37">
        <v>16</v>
      </c>
      <c r="F226" s="37">
        <v>11</v>
      </c>
      <c r="G226" s="37">
        <v>7</v>
      </c>
      <c r="H226" s="37">
        <v>9</v>
      </c>
      <c r="I226" s="37">
        <v>-7</v>
      </c>
      <c r="J226" s="37">
        <v>14</v>
      </c>
      <c r="K226" s="37">
        <v>0</v>
      </c>
      <c r="L226" s="37">
        <v>-4</v>
      </c>
      <c r="M226" s="37">
        <v>6</v>
      </c>
      <c r="N226" s="37">
        <v>-1</v>
      </c>
      <c r="O226" s="37">
        <v>4</v>
      </c>
      <c r="P226" s="37">
        <v>4</v>
      </c>
      <c r="Q226" s="37">
        <v>7</v>
      </c>
      <c r="R226" s="37">
        <v>11</v>
      </c>
      <c r="S226" s="37">
        <v>4</v>
      </c>
      <c r="T226" s="37">
        <v>5</v>
      </c>
      <c r="U226" s="36">
        <f>COUNTIF(C226:T226,"&gt; 9")</f>
        <v>4</v>
      </c>
      <c r="V226" s="36">
        <f>SUM(C226:T226)</f>
        <v>93</v>
      </c>
      <c r="W226" s="36"/>
      <c r="X226" s="38"/>
    </row>
    <row r="227" spans="1:24" ht="12.75" x14ac:dyDescent="0.2">
      <c r="A227" s="36" t="s">
        <v>892</v>
      </c>
      <c r="B227" s="36" t="s">
        <v>851</v>
      </c>
      <c r="C227" s="37">
        <v>13</v>
      </c>
      <c r="D227" s="37">
        <v>3</v>
      </c>
      <c r="E227" s="37">
        <v>1</v>
      </c>
      <c r="F227" s="37">
        <v>3</v>
      </c>
      <c r="G227" s="37">
        <v>0</v>
      </c>
      <c r="H227" s="37">
        <v>8</v>
      </c>
      <c r="I227" s="37">
        <v>10</v>
      </c>
      <c r="J227" s="37">
        <v>2</v>
      </c>
      <c r="K227" s="37">
        <v>8</v>
      </c>
      <c r="L227" s="37">
        <v>3</v>
      </c>
      <c r="M227" s="37">
        <v>0</v>
      </c>
      <c r="N227" s="37">
        <v>9</v>
      </c>
      <c r="O227" s="37">
        <v>16</v>
      </c>
      <c r="P227" s="37">
        <v>3</v>
      </c>
      <c r="Q227" s="37">
        <v>8</v>
      </c>
      <c r="R227" s="37">
        <v>13</v>
      </c>
      <c r="S227" s="37">
        <v>-3</v>
      </c>
      <c r="T227" s="37">
        <v>-5</v>
      </c>
      <c r="U227" s="36">
        <f>COUNTIF(C227:T227,"&gt; 9")</f>
        <v>4</v>
      </c>
      <c r="V227" s="36">
        <f>SUM(C227:T227)</f>
        <v>92</v>
      </c>
      <c r="W227" s="36"/>
      <c r="X227" s="38"/>
    </row>
    <row r="228" spans="1:24" ht="12.75" x14ac:dyDescent="0.2">
      <c r="A228" s="36" t="s">
        <v>134</v>
      </c>
      <c r="B228" s="36" t="s">
        <v>75</v>
      </c>
      <c r="C228" s="37">
        <f ca="1">_xlfn.IFNA(VLOOKUP($A228,INDIRECT("'W"&amp;C$1&amp;"'!$A$2:$T$1000"),4,FALSE),0)</f>
        <v>2.4000000000000004</v>
      </c>
      <c r="D228" s="37">
        <f ca="1">_xlfn.IFNA(VLOOKUP($A228,INDIRECT("'W"&amp;D$1&amp;"'!$A$2:$T$1000"),4,FALSE),0)</f>
        <v>5.3000000000000007</v>
      </c>
      <c r="E228" s="37">
        <f ca="1">_xlfn.IFNA(VLOOKUP($A228,INDIRECT("'W"&amp;E$1&amp;"'!$A$2:$T$1000"),4,FALSE),0)</f>
        <v>13.6</v>
      </c>
      <c r="F228" s="37">
        <f ca="1">_xlfn.IFNA(VLOOKUP($A228,INDIRECT("'W"&amp;F$1&amp;"'!$A$2:$T$1000"),4,FALSE),0)</f>
        <v>2.7</v>
      </c>
      <c r="G228" s="37">
        <f ca="1">_xlfn.IFNA(VLOOKUP($A228,INDIRECT("'W"&amp;G$1&amp;"'!$A$2:$T$1000"),4,FALSE),0)</f>
        <v>1.5</v>
      </c>
      <c r="H228" s="37">
        <f ca="1">_xlfn.IFNA(VLOOKUP($A228,INDIRECT("'W"&amp;H$1&amp;"'!$A$2:$T$1000"),4,FALSE),0)</f>
        <v>1.2000000000000002</v>
      </c>
      <c r="I228" s="37">
        <f ca="1">_xlfn.IFNA(VLOOKUP($A228,INDIRECT("'W"&amp;I$1&amp;"'!$A$2:$T$1000"),4,FALSE),0)</f>
        <v>0</v>
      </c>
      <c r="J228" s="37">
        <f ca="1">_xlfn.IFNA(VLOOKUP($A228,INDIRECT("'W"&amp;J$1&amp;"'!$A$2:$T$1000"),4,FALSE),0)</f>
        <v>4.5</v>
      </c>
      <c r="K228" s="37">
        <f ca="1">_xlfn.IFNA(VLOOKUP($A228,INDIRECT("'W"&amp;K$1&amp;"'!$A$2:$T$1000"),4,FALSE),0)</f>
        <v>0.8</v>
      </c>
      <c r="L228" s="37">
        <f ca="1">_xlfn.IFNA(VLOOKUP($A228,INDIRECT("'W"&amp;L$1&amp;"'!$A$2:$T$1000"),4,FALSE),0)</f>
        <v>13.9</v>
      </c>
      <c r="M228" s="37">
        <f ca="1">_xlfn.IFNA(VLOOKUP($A228,INDIRECT("'W"&amp;M$1&amp;"'!$A$2:$T$1000"),4,FALSE),0)</f>
        <v>4.0000000000000009</v>
      </c>
      <c r="N228" s="37">
        <f ca="1">_xlfn.IFNA(VLOOKUP($A228,INDIRECT("'W"&amp;N$1&amp;"'!$A$2:$T$1000"),4,FALSE),0)</f>
        <v>9.6</v>
      </c>
      <c r="O228" s="37">
        <f ca="1">_xlfn.IFNA(VLOOKUP($A228,INDIRECT("'W"&amp;O$1&amp;"'!$A$2:$T$1000"),4,FALSE),0)</f>
        <v>3.2</v>
      </c>
      <c r="P228" s="37">
        <f ca="1">_xlfn.IFNA(VLOOKUP($A228,INDIRECT("'W"&amp;P$1&amp;"'!$A$2:$T$1000"),4,FALSE),0)</f>
        <v>12.200000000000001</v>
      </c>
      <c r="Q228" s="37">
        <f ca="1">_xlfn.IFNA(VLOOKUP($A228,INDIRECT("'W"&amp;Q$1&amp;"'!$A$2:$T$1000"),4,FALSE),0)</f>
        <v>3.2</v>
      </c>
      <c r="R228" s="37">
        <f ca="1">_xlfn.IFNA(VLOOKUP($A228,INDIRECT("'W"&amp;R$1&amp;"'!$A$2:$T$1000"),4,FALSE),0)</f>
        <v>0.4</v>
      </c>
      <c r="S228" s="37">
        <f ca="1">_xlfn.IFNA(VLOOKUP($A228,INDIRECT("'W"&amp;S$1&amp;"'!$A$2:$T$1000"),4,FALSE),0)</f>
        <v>0</v>
      </c>
      <c r="T228" s="37">
        <f ca="1">_xlfn.IFNA(VLOOKUP($A228,INDIRECT("'W"&amp;T$1&amp;"'!$A$2:$T$1000"),4,FALSE),0)</f>
        <v>13</v>
      </c>
      <c r="U228" s="36">
        <f ca="1">COUNTIF(C228:T228,"&gt; 15")</f>
        <v>0</v>
      </c>
      <c r="V228" s="36">
        <f ca="1">SUM(C228:T228)</f>
        <v>91.500000000000014</v>
      </c>
      <c r="W228" s="36"/>
      <c r="X228" s="38"/>
    </row>
    <row r="229" spans="1:24" ht="12.75" x14ac:dyDescent="0.2">
      <c r="A229" s="36" t="s">
        <v>125</v>
      </c>
      <c r="B229" s="36" t="s">
        <v>75</v>
      </c>
      <c r="C229" s="37">
        <f ca="1">_xlfn.IFNA(VLOOKUP($A229,INDIRECT("'W"&amp;C$1&amp;"'!$A$2:$T$1000"),4,FALSE),0)</f>
        <v>4.4000000000000004</v>
      </c>
      <c r="D229" s="37">
        <f ca="1">_xlfn.IFNA(VLOOKUP($A229,INDIRECT("'W"&amp;D$1&amp;"'!$A$2:$T$1000"),4,FALSE),0)</f>
        <v>0</v>
      </c>
      <c r="E229" s="37">
        <f ca="1">_xlfn.IFNA(VLOOKUP($A229,INDIRECT("'W"&amp;E$1&amp;"'!$A$2:$T$1000"),4,FALSE),0)</f>
        <v>0</v>
      </c>
      <c r="F229" s="37">
        <f ca="1">_xlfn.IFNA(VLOOKUP($A229,INDIRECT("'W"&amp;F$1&amp;"'!$A$2:$T$1000"),4,FALSE),0)</f>
        <v>0</v>
      </c>
      <c r="G229" s="37">
        <f ca="1">_xlfn.IFNA(VLOOKUP($A229,INDIRECT("'W"&amp;G$1&amp;"'!$A$2:$T$1000"),4,FALSE),0)</f>
        <v>0</v>
      </c>
      <c r="H229" s="37">
        <f ca="1">_xlfn.IFNA(VLOOKUP($A229,INDIRECT("'W"&amp;H$1&amp;"'!$A$2:$T$1000"),4,FALSE),0)</f>
        <v>7.7</v>
      </c>
      <c r="I229" s="37">
        <f ca="1">_xlfn.IFNA(VLOOKUP($A229,INDIRECT("'W"&amp;I$1&amp;"'!$A$2:$T$1000"),4,FALSE),0)</f>
        <v>33</v>
      </c>
      <c r="J229" s="37">
        <f ca="1">_xlfn.IFNA(VLOOKUP($A229,INDIRECT("'W"&amp;J$1&amp;"'!$A$2:$T$1000"),4,FALSE),0)</f>
        <v>4.6000000000000005</v>
      </c>
      <c r="K229" s="37">
        <f ca="1">_xlfn.IFNA(VLOOKUP($A229,INDIRECT("'W"&amp;K$1&amp;"'!$A$2:$T$1000"),4,FALSE),0)</f>
        <v>8.3000000000000007</v>
      </c>
      <c r="L229" s="37">
        <f ca="1">_xlfn.IFNA(VLOOKUP($A229,INDIRECT("'W"&amp;L$1&amp;"'!$A$2:$T$1000"),4,FALSE),0)</f>
        <v>17.2</v>
      </c>
      <c r="M229" s="37">
        <f ca="1">_xlfn.IFNA(VLOOKUP($A229,INDIRECT("'W"&amp;M$1&amp;"'!$A$2:$T$1000"),4,FALSE),0)</f>
        <v>7.4</v>
      </c>
      <c r="N229" s="37">
        <f ca="1">_xlfn.IFNA(VLOOKUP($A229,INDIRECT("'W"&amp;N$1&amp;"'!$A$2:$T$1000"),4,FALSE),0)</f>
        <v>0</v>
      </c>
      <c r="O229" s="37">
        <f ca="1">_xlfn.IFNA(VLOOKUP($A229,INDIRECT("'W"&amp;O$1&amp;"'!$A$2:$T$1000"),4,FALSE),0)</f>
        <v>0</v>
      </c>
      <c r="P229" s="37">
        <f ca="1">_xlfn.IFNA(VLOOKUP($A229,INDIRECT("'W"&amp;P$1&amp;"'!$A$2:$T$1000"),4,FALSE),0)</f>
        <v>9.1999999999999993</v>
      </c>
      <c r="Q229" s="37">
        <f ca="1">_xlfn.IFNA(VLOOKUP($A229,INDIRECT("'W"&amp;Q$1&amp;"'!$A$2:$T$1000"),4,FALSE),0)</f>
        <v>-0.60000000000000009</v>
      </c>
      <c r="R229" s="37">
        <f ca="1">_xlfn.IFNA(VLOOKUP($A229,INDIRECT("'W"&amp;R$1&amp;"'!$A$2:$T$1000"),4,FALSE),0)</f>
        <v>0</v>
      </c>
      <c r="S229" s="37">
        <f ca="1">_xlfn.IFNA(VLOOKUP($A229,INDIRECT("'W"&amp;S$1&amp;"'!$A$2:$T$1000"),4,FALSE),0)</f>
        <v>0</v>
      </c>
      <c r="T229" s="37">
        <f ca="1">_xlfn.IFNA(VLOOKUP($A229,INDIRECT("'W"&amp;T$1&amp;"'!$A$2:$T$1000"),4,FALSE),0)</f>
        <v>0</v>
      </c>
      <c r="U229" s="36">
        <f ca="1">COUNTIF(C229:T229,"&gt; 15")</f>
        <v>2</v>
      </c>
      <c r="V229" s="36">
        <f ca="1">SUM(C229:T229)</f>
        <v>91.200000000000017</v>
      </c>
      <c r="W229" s="36"/>
      <c r="X229" s="38"/>
    </row>
    <row r="230" spans="1:24" ht="12.75" x14ac:dyDescent="0.2">
      <c r="A230" s="36" t="s">
        <v>893</v>
      </c>
      <c r="B230" s="36" t="s">
        <v>851</v>
      </c>
      <c r="C230" s="37">
        <v>6</v>
      </c>
      <c r="D230" s="37">
        <v>3</v>
      </c>
      <c r="E230" s="37">
        <v>13</v>
      </c>
      <c r="F230" s="37">
        <v>2</v>
      </c>
      <c r="G230" s="37">
        <v>17</v>
      </c>
      <c r="H230" s="37">
        <v>10</v>
      </c>
      <c r="I230" s="37">
        <v>0</v>
      </c>
      <c r="J230" s="37">
        <v>4</v>
      </c>
      <c r="K230" s="37">
        <v>5</v>
      </c>
      <c r="L230" s="37">
        <v>0</v>
      </c>
      <c r="M230" s="37">
        <v>-1</v>
      </c>
      <c r="N230" s="37">
        <v>2</v>
      </c>
      <c r="O230" s="37">
        <v>2</v>
      </c>
      <c r="P230" s="37">
        <v>12</v>
      </c>
      <c r="Q230" s="37">
        <v>4</v>
      </c>
      <c r="R230" s="37">
        <v>-1</v>
      </c>
      <c r="S230" s="37">
        <v>3</v>
      </c>
      <c r="T230" s="37">
        <v>10</v>
      </c>
      <c r="U230" s="36">
        <f>COUNTIF(C230:T230,"&gt; 9")</f>
        <v>5</v>
      </c>
      <c r="V230" s="36">
        <f>SUM(C230:T230)</f>
        <v>91</v>
      </c>
      <c r="W230" s="36"/>
      <c r="X230" s="38">
        <v>178</v>
      </c>
    </row>
    <row r="231" spans="1:24" ht="12.75" x14ac:dyDescent="0.2">
      <c r="A231" s="36" t="s">
        <v>195</v>
      </c>
      <c r="B231" s="36" t="s">
        <v>162</v>
      </c>
      <c r="C231" s="37">
        <f ca="1">_xlfn.IFNA(VLOOKUP($A231,INDIRECT("'W"&amp;C$1&amp;"'!$A$2:$T$1000"),4,FALSE),0)</f>
        <v>11.100000000000001</v>
      </c>
      <c r="D231" s="37">
        <f ca="1">_xlfn.IFNA(VLOOKUP($A231,INDIRECT("'W"&amp;D$1&amp;"'!$A$2:$T$1000"),4,FALSE),0)</f>
        <v>12.5</v>
      </c>
      <c r="E231" s="37">
        <f ca="1">_xlfn.IFNA(VLOOKUP($A231,INDIRECT("'W"&amp;E$1&amp;"'!$A$2:$T$1000"),4,FALSE),0)</f>
        <v>11</v>
      </c>
      <c r="F231" s="37">
        <f ca="1">_xlfn.IFNA(VLOOKUP($A231,INDIRECT("'W"&amp;F$1&amp;"'!$A$2:$T$1000"),4,FALSE),0)</f>
        <v>9.3000000000000007</v>
      </c>
      <c r="G231" s="37">
        <f ca="1">_xlfn.IFNA(VLOOKUP($A231,INDIRECT("'W"&amp;G$1&amp;"'!$A$2:$T$1000"),4,FALSE),0)</f>
        <v>10.5</v>
      </c>
      <c r="H231" s="37">
        <f ca="1">_xlfn.IFNA(VLOOKUP($A231,INDIRECT("'W"&amp;H$1&amp;"'!$A$2:$T$1000"),4,FALSE),0)</f>
        <v>9.5</v>
      </c>
      <c r="I231" s="37">
        <f ca="1">_xlfn.IFNA(VLOOKUP($A231,INDIRECT("'W"&amp;I$1&amp;"'!$A$2:$T$1000"),4,FALSE),0)</f>
        <v>13.2</v>
      </c>
      <c r="J231" s="37">
        <f ca="1">_xlfn.IFNA(VLOOKUP($A231,INDIRECT("'W"&amp;J$1&amp;"'!$A$2:$T$1000"),4,FALSE),0)</f>
        <v>10.8</v>
      </c>
      <c r="K231" s="37">
        <f ca="1">_xlfn.IFNA(VLOOKUP($A231,INDIRECT("'W"&amp;K$1&amp;"'!$A$2:$T$1000"),4,FALSE),0)</f>
        <v>0</v>
      </c>
      <c r="L231" s="37">
        <f ca="1">_xlfn.IFNA(VLOOKUP($A231,INDIRECT("'W"&amp;L$1&amp;"'!$A$2:$T$1000"),4,FALSE),0)</f>
        <v>1.9</v>
      </c>
      <c r="M231" s="37">
        <f ca="1">_xlfn.IFNA(VLOOKUP($A231,INDIRECT("'W"&amp;M$1&amp;"'!$A$2:$T$1000"),4,FALSE),0)</f>
        <v>0</v>
      </c>
      <c r="N231" s="37">
        <f ca="1">_xlfn.IFNA(VLOOKUP($A231,INDIRECT("'W"&amp;N$1&amp;"'!$A$2:$T$1000"),4,FALSE),0)</f>
        <v>0</v>
      </c>
      <c r="O231" s="37">
        <f ca="1">_xlfn.IFNA(VLOOKUP($A231,INDIRECT("'W"&amp;O$1&amp;"'!$A$2:$T$1000"),4,FALSE),0)</f>
        <v>0</v>
      </c>
      <c r="P231" s="37">
        <f ca="1">_xlfn.IFNA(VLOOKUP($A231,INDIRECT("'W"&amp;P$1&amp;"'!$A$2:$T$1000"),4,FALSE),0)</f>
        <v>0</v>
      </c>
      <c r="Q231" s="37">
        <f ca="1">_xlfn.IFNA(VLOOKUP($A231,INDIRECT("'W"&amp;Q$1&amp;"'!$A$2:$T$1000"),4,FALSE),0)</f>
        <v>0</v>
      </c>
      <c r="R231" s="37">
        <f ca="1">_xlfn.IFNA(VLOOKUP($A231,INDIRECT("'W"&amp;R$1&amp;"'!$A$2:$T$1000"),4,FALSE),0)</f>
        <v>0</v>
      </c>
      <c r="S231" s="37">
        <f ca="1">_xlfn.IFNA(VLOOKUP($A231,INDIRECT("'W"&amp;S$1&amp;"'!$A$2:$T$1000"),4,FALSE),0)</f>
        <v>0</v>
      </c>
      <c r="T231" s="37">
        <f ca="1">_xlfn.IFNA(VLOOKUP($A231,INDIRECT("'W"&amp;T$1&amp;"'!$A$2:$T$1000"),4,FALSE),0)</f>
        <v>0</v>
      </c>
      <c r="U231" s="36">
        <f ca="1">COUNTIF(C231:T231,"&gt; 15")</f>
        <v>0</v>
      </c>
      <c r="V231" s="36">
        <f ca="1">SUM(C231:T231)</f>
        <v>89.800000000000011</v>
      </c>
      <c r="W231" s="36"/>
      <c r="X231" s="38"/>
    </row>
    <row r="232" spans="1:24" ht="12.75" x14ac:dyDescent="0.2">
      <c r="A232" s="36" t="s">
        <v>197</v>
      </c>
      <c r="B232" s="36" t="s">
        <v>162</v>
      </c>
      <c r="C232" s="37">
        <f ca="1">_xlfn.IFNA(VLOOKUP($A232,INDIRECT("'W"&amp;C$1&amp;"'!$A$2:$T$1000"),4,FALSE),0)</f>
        <v>11.7</v>
      </c>
      <c r="D232" s="37">
        <f ca="1">_xlfn.IFNA(VLOOKUP($A232,INDIRECT("'W"&amp;D$1&amp;"'!$A$2:$T$1000"),4,FALSE),0)</f>
        <v>13.4</v>
      </c>
      <c r="E232" s="37">
        <f ca="1">_xlfn.IFNA(VLOOKUP($A232,INDIRECT("'W"&amp;E$1&amp;"'!$A$2:$T$1000"),4,FALSE),0)</f>
        <v>6.4</v>
      </c>
      <c r="F232" s="37">
        <f ca="1">_xlfn.IFNA(VLOOKUP($A232,INDIRECT("'W"&amp;F$1&amp;"'!$A$2:$T$1000"),4,FALSE),0)</f>
        <v>5.6</v>
      </c>
      <c r="G232" s="37">
        <f ca="1">_xlfn.IFNA(VLOOKUP($A232,INDIRECT("'W"&amp;G$1&amp;"'!$A$2:$T$1000"),4,FALSE),0)</f>
        <v>6</v>
      </c>
      <c r="H232" s="37">
        <f ca="1">_xlfn.IFNA(VLOOKUP($A232,INDIRECT("'W"&amp;H$1&amp;"'!$A$2:$T$1000"),4,FALSE),0)</f>
        <v>7.6</v>
      </c>
      <c r="I232" s="37">
        <f ca="1">_xlfn.IFNA(VLOOKUP($A232,INDIRECT("'W"&amp;I$1&amp;"'!$A$2:$T$1000"),4,FALSE),0)</f>
        <v>0</v>
      </c>
      <c r="J232" s="37">
        <f ca="1">_xlfn.IFNA(VLOOKUP($A232,INDIRECT("'W"&amp;J$1&amp;"'!$A$2:$T$1000"),4,FALSE),0)</f>
        <v>0</v>
      </c>
      <c r="K232" s="37">
        <f ca="1">_xlfn.IFNA(VLOOKUP($A232,INDIRECT("'W"&amp;K$1&amp;"'!$A$2:$T$1000"),4,FALSE),0)</f>
        <v>0</v>
      </c>
      <c r="L232" s="37">
        <f ca="1">_xlfn.IFNA(VLOOKUP($A232,INDIRECT("'W"&amp;L$1&amp;"'!$A$2:$T$1000"),4,FALSE),0)</f>
        <v>2.5</v>
      </c>
      <c r="M232" s="37">
        <f ca="1">_xlfn.IFNA(VLOOKUP($A232,INDIRECT("'W"&amp;M$1&amp;"'!$A$2:$T$1000"),4,FALSE),0)</f>
        <v>9.4</v>
      </c>
      <c r="N232" s="37">
        <f ca="1">_xlfn.IFNA(VLOOKUP($A232,INDIRECT("'W"&amp;N$1&amp;"'!$A$2:$T$1000"),4,FALSE),0)</f>
        <v>6</v>
      </c>
      <c r="O232" s="37">
        <f ca="1">_xlfn.IFNA(VLOOKUP($A232,INDIRECT("'W"&amp;O$1&amp;"'!$A$2:$T$1000"),4,FALSE),0)</f>
        <v>0</v>
      </c>
      <c r="P232" s="37">
        <f ca="1">_xlfn.IFNA(VLOOKUP($A232,INDIRECT("'W"&amp;P$1&amp;"'!$A$2:$T$1000"),4,FALSE),0)</f>
        <v>0.8</v>
      </c>
      <c r="Q232" s="37">
        <f ca="1">_xlfn.IFNA(VLOOKUP($A232,INDIRECT("'W"&amp;Q$1&amp;"'!$A$2:$T$1000"),4,FALSE),0)</f>
        <v>6</v>
      </c>
      <c r="R232" s="37">
        <f ca="1">_xlfn.IFNA(VLOOKUP($A232,INDIRECT("'W"&amp;R$1&amp;"'!$A$2:$T$1000"),4,FALSE),0)</f>
        <v>4.1000000000000005</v>
      </c>
      <c r="S232" s="37">
        <f ca="1">_xlfn.IFNA(VLOOKUP($A232,INDIRECT("'W"&amp;S$1&amp;"'!$A$2:$T$1000"),4,FALSE),0)</f>
        <v>9.8000000000000007</v>
      </c>
      <c r="T232" s="37">
        <f ca="1">_xlfn.IFNA(VLOOKUP($A232,INDIRECT("'W"&amp;T$1&amp;"'!$A$2:$T$1000"),4,FALSE),0)</f>
        <v>0</v>
      </c>
      <c r="U232" s="36">
        <f ca="1">COUNTIF(C232:T232,"&gt; 15")</f>
        <v>0</v>
      </c>
      <c r="V232" s="36">
        <f ca="1">SUM(C232:T232)</f>
        <v>89.299999999999983</v>
      </c>
      <c r="W232" s="36"/>
      <c r="X232" s="38"/>
    </row>
    <row r="233" spans="1:24" ht="12.75" x14ac:dyDescent="0.2">
      <c r="A233" s="36" t="s">
        <v>227</v>
      </c>
      <c r="B233" s="36" t="s">
        <v>162</v>
      </c>
      <c r="C233" s="37">
        <f ca="1">_xlfn.IFNA(VLOOKUP($A233,INDIRECT("'W"&amp;C$1&amp;"'!$A$2:$T$1000"),4,FALSE),0)</f>
        <v>6.5</v>
      </c>
      <c r="D233" s="37">
        <f ca="1">_xlfn.IFNA(VLOOKUP($A233,INDIRECT("'W"&amp;D$1&amp;"'!$A$2:$T$1000"),4,FALSE),0)</f>
        <v>7.1999999999999993</v>
      </c>
      <c r="E233" s="37">
        <f ca="1">_xlfn.IFNA(VLOOKUP($A233,INDIRECT("'W"&amp;E$1&amp;"'!$A$2:$T$1000"),4,FALSE),0)</f>
        <v>7.1000000000000005</v>
      </c>
      <c r="F233" s="37">
        <f ca="1">_xlfn.IFNA(VLOOKUP($A233,INDIRECT("'W"&amp;F$1&amp;"'!$A$2:$T$1000"),4,FALSE),0)</f>
        <v>1.5</v>
      </c>
      <c r="G233" s="37">
        <f ca="1">_xlfn.IFNA(VLOOKUP($A233,INDIRECT("'W"&amp;G$1&amp;"'!$A$2:$T$1000"),4,FALSE),0)</f>
        <v>7.6000000000000005</v>
      </c>
      <c r="H233" s="37">
        <f ca="1">_xlfn.IFNA(VLOOKUP($A233,INDIRECT("'W"&amp;H$1&amp;"'!$A$2:$T$1000"),4,FALSE),0)</f>
        <v>0</v>
      </c>
      <c r="I233" s="37">
        <f ca="1">_xlfn.IFNA(VLOOKUP($A233,INDIRECT("'W"&amp;I$1&amp;"'!$A$2:$T$1000"),4,FALSE),0)</f>
        <v>0</v>
      </c>
      <c r="J233" s="37">
        <f ca="1">_xlfn.IFNA(VLOOKUP($A233,INDIRECT("'W"&amp;J$1&amp;"'!$A$2:$T$1000"),4,FALSE),0)</f>
        <v>6.2</v>
      </c>
      <c r="K233" s="37">
        <f ca="1">_xlfn.IFNA(VLOOKUP($A233,INDIRECT("'W"&amp;K$1&amp;"'!$A$2:$T$1000"),4,FALSE),0)</f>
        <v>3.5</v>
      </c>
      <c r="L233" s="37">
        <f ca="1">_xlfn.IFNA(VLOOKUP($A233,INDIRECT("'W"&amp;L$1&amp;"'!$A$2:$T$1000"),4,FALSE),0)</f>
        <v>0</v>
      </c>
      <c r="M233" s="37">
        <f ca="1">_xlfn.IFNA(VLOOKUP($A233,INDIRECT("'W"&amp;M$1&amp;"'!$A$2:$T$1000"),4,FALSE),0)</f>
        <v>16.3</v>
      </c>
      <c r="N233" s="37">
        <f ca="1">_xlfn.IFNA(VLOOKUP($A233,INDIRECT("'W"&amp;N$1&amp;"'!$A$2:$T$1000"),4,FALSE),0)</f>
        <v>7.3</v>
      </c>
      <c r="O233" s="37">
        <f ca="1">_xlfn.IFNA(VLOOKUP($A233,INDIRECT("'W"&amp;O$1&amp;"'!$A$2:$T$1000"),4,FALSE),0)</f>
        <v>0</v>
      </c>
      <c r="P233" s="37">
        <f ca="1">_xlfn.IFNA(VLOOKUP($A233,INDIRECT("'W"&amp;P$1&amp;"'!$A$2:$T$1000"),4,FALSE),0)</f>
        <v>2.8</v>
      </c>
      <c r="Q233" s="37">
        <f ca="1">_xlfn.IFNA(VLOOKUP($A233,INDIRECT("'W"&amp;Q$1&amp;"'!$A$2:$T$1000"),4,FALSE),0)</f>
        <v>4.0999999999999996</v>
      </c>
      <c r="R233" s="37">
        <f ca="1">_xlfn.IFNA(VLOOKUP($A233,INDIRECT("'W"&amp;R$1&amp;"'!$A$2:$T$1000"),4,FALSE),0)</f>
        <v>13.8</v>
      </c>
      <c r="S233" s="37">
        <f ca="1">_xlfn.IFNA(VLOOKUP($A233,INDIRECT("'W"&amp;S$1&amp;"'!$A$2:$T$1000"),4,FALSE),0)</f>
        <v>5.1000000000000005</v>
      </c>
      <c r="T233" s="37">
        <f ca="1">_xlfn.IFNA(VLOOKUP($A233,INDIRECT("'W"&amp;T$1&amp;"'!$A$2:$T$1000"),4,FALSE),0)</f>
        <v>0</v>
      </c>
      <c r="U233" s="36">
        <f ca="1">COUNTIF(C233:T233,"&gt; 15")</f>
        <v>1</v>
      </c>
      <c r="V233" s="36">
        <f ca="1">SUM(C233:T233)</f>
        <v>88.999999999999986</v>
      </c>
      <c r="W233" s="36"/>
      <c r="X233" s="38"/>
    </row>
    <row r="234" spans="1:24" ht="12.75" x14ac:dyDescent="0.2">
      <c r="A234" s="36" t="s">
        <v>894</v>
      </c>
      <c r="B234" s="36" t="s">
        <v>851</v>
      </c>
      <c r="C234" s="37">
        <v>8</v>
      </c>
      <c r="D234" s="37">
        <v>3</v>
      </c>
      <c r="E234" s="37">
        <v>5</v>
      </c>
      <c r="F234" s="37">
        <v>11</v>
      </c>
      <c r="G234" s="37">
        <v>-2</v>
      </c>
      <c r="H234" s="37">
        <v>4</v>
      </c>
      <c r="I234" s="37">
        <v>0</v>
      </c>
      <c r="J234" s="37">
        <v>8</v>
      </c>
      <c r="K234" s="37">
        <v>0</v>
      </c>
      <c r="L234" s="37">
        <v>5</v>
      </c>
      <c r="M234" s="37">
        <v>-1</v>
      </c>
      <c r="N234" s="37">
        <v>11</v>
      </c>
      <c r="O234" s="37">
        <v>7</v>
      </c>
      <c r="P234" s="37">
        <v>8</v>
      </c>
      <c r="Q234" s="37">
        <v>12</v>
      </c>
      <c r="R234" s="37">
        <v>5</v>
      </c>
      <c r="S234" s="37">
        <v>1</v>
      </c>
      <c r="T234" s="37">
        <v>3</v>
      </c>
      <c r="U234" s="36">
        <f>COUNTIF(C234:T234,"&gt; 9")</f>
        <v>3</v>
      </c>
      <c r="V234" s="36">
        <f>SUM(C234:T234)</f>
        <v>88</v>
      </c>
      <c r="W234" s="36"/>
      <c r="X234" s="38"/>
    </row>
    <row r="235" spans="1:24" ht="12.75" x14ac:dyDescent="0.2">
      <c r="A235" s="36" t="s">
        <v>251</v>
      </c>
      <c r="B235" s="36" t="s">
        <v>162</v>
      </c>
      <c r="C235" s="37">
        <f ca="1">_xlfn.IFNA(VLOOKUP($A235,INDIRECT("'W"&amp;C$1&amp;"'!$A$2:$T$1000"),4,FALSE),0)</f>
        <v>2</v>
      </c>
      <c r="D235" s="37">
        <f ca="1">_xlfn.IFNA(VLOOKUP($A235,INDIRECT("'W"&amp;D$1&amp;"'!$A$2:$T$1000"),4,FALSE),0)</f>
        <v>1.3</v>
      </c>
      <c r="E235" s="37">
        <f ca="1">_xlfn.IFNA(VLOOKUP($A235,INDIRECT("'W"&amp;E$1&amp;"'!$A$2:$T$1000"),4,FALSE),0)</f>
        <v>15.200000000000001</v>
      </c>
      <c r="F235" s="37">
        <f ca="1">_xlfn.IFNA(VLOOKUP($A235,INDIRECT("'W"&amp;F$1&amp;"'!$A$2:$T$1000"),4,FALSE),0)</f>
        <v>11</v>
      </c>
      <c r="G235" s="37">
        <f ca="1">_xlfn.IFNA(VLOOKUP($A235,INDIRECT("'W"&amp;G$1&amp;"'!$A$2:$T$1000"),4,FALSE),0)</f>
        <v>3.5</v>
      </c>
      <c r="H235" s="37">
        <f ca="1">_xlfn.IFNA(VLOOKUP($A235,INDIRECT("'W"&amp;H$1&amp;"'!$A$2:$T$1000"),4,FALSE),0)</f>
        <v>5.4</v>
      </c>
      <c r="I235" s="37">
        <f ca="1">_xlfn.IFNA(VLOOKUP($A235,INDIRECT("'W"&amp;I$1&amp;"'!$A$2:$T$1000"),4,FALSE),0)</f>
        <v>0</v>
      </c>
      <c r="J235" s="37">
        <f ca="1">_xlfn.IFNA(VLOOKUP($A235,INDIRECT("'W"&amp;J$1&amp;"'!$A$2:$T$1000"),4,FALSE),0)</f>
        <v>4</v>
      </c>
      <c r="K235" s="37">
        <f ca="1">_xlfn.IFNA(VLOOKUP($A235,INDIRECT("'W"&amp;K$1&amp;"'!$A$2:$T$1000"),4,FALSE),0)</f>
        <v>3.9000000000000004</v>
      </c>
      <c r="L235" s="37">
        <f ca="1">_xlfn.IFNA(VLOOKUP($A235,INDIRECT("'W"&amp;L$1&amp;"'!$A$2:$T$1000"),4,FALSE),0)</f>
        <v>15</v>
      </c>
      <c r="M235" s="37">
        <f ca="1">_xlfn.IFNA(VLOOKUP($A235,INDIRECT("'W"&amp;M$1&amp;"'!$A$2:$T$1000"),4,FALSE),0)</f>
        <v>6.1</v>
      </c>
      <c r="N235" s="37">
        <f ca="1">_xlfn.IFNA(VLOOKUP($A235,INDIRECT("'W"&amp;N$1&amp;"'!$A$2:$T$1000"),4,FALSE),0)</f>
        <v>2.2999999999999998</v>
      </c>
      <c r="O235" s="37">
        <f ca="1">_xlfn.IFNA(VLOOKUP($A235,INDIRECT("'W"&amp;O$1&amp;"'!$A$2:$T$1000"),4,FALSE),0)</f>
        <v>0</v>
      </c>
      <c r="P235" s="37">
        <f ca="1">_xlfn.IFNA(VLOOKUP($A235,INDIRECT("'W"&amp;P$1&amp;"'!$A$2:$T$1000"),4,FALSE),0)</f>
        <v>13.8</v>
      </c>
      <c r="Q235" s="37">
        <f ca="1">_xlfn.IFNA(VLOOKUP($A235,INDIRECT("'W"&amp;Q$1&amp;"'!$A$2:$T$1000"),4,FALSE),0)</f>
        <v>1.9</v>
      </c>
      <c r="R235" s="37">
        <f ca="1">_xlfn.IFNA(VLOOKUP($A235,INDIRECT("'W"&amp;R$1&amp;"'!$A$2:$T$1000"),4,FALSE),0)</f>
        <v>2.4</v>
      </c>
      <c r="S235" s="37">
        <f ca="1">_xlfn.IFNA(VLOOKUP($A235,INDIRECT("'W"&amp;S$1&amp;"'!$A$2:$T$1000"),4,FALSE),0)</f>
        <v>0</v>
      </c>
      <c r="T235" s="37">
        <f ca="1">_xlfn.IFNA(VLOOKUP($A235,INDIRECT("'W"&amp;T$1&amp;"'!$A$2:$T$1000"),4,FALSE),0)</f>
        <v>0</v>
      </c>
      <c r="U235" s="36">
        <f ca="1">COUNTIF(C235:T235,"&gt; 15")</f>
        <v>1</v>
      </c>
      <c r="V235" s="36">
        <f ca="1">SUM(C235:T235)</f>
        <v>87.8</v>
      </c>
      <c r="W235" s="36"/>
      <c r="X235" s="38"/>
    </row>
    <row r="236" spans="1:24" ht="12.75" x14ac:dyDescent="0.2">
      <c r="A236" s="36" t="s">
        <v>94</v>
      </c>
      <c r="B236" s="36" t="s">
        <v>75</v>
      </c>
      <c r="C236" s="37">
        <f ca="1">_xlfn.IFNA(VLOOKUP($A236,INDIRECT("'W"&amp;C$1&amp;"'!$A$2:$T$1000"),4,FALSE),0)</f>
        <v>11.799999999999999</v>
      </c>
      <c r="D236" s="37">
        <f ca="1">_xlfn.IFNA(VLOOKUP($A236,INDIRECT("'W"&amp;D$1&amp;"'!$A$2:$T$1000"),4,FALSE),0)</f>
        <v>7.7</v>
      </c>
      <c r="E236" s="37">
        <f ca="1">_xlfn.IFNA(VLOOKUP($A236,INDIRECT("'W"&amp;E$1&amp;"'!$A$2:$T$1000"),4,FALSE),0)</f>
        <v>17.2</v>
      </c>
      <c r="F236" s="37">
        <f ca="1">_xlfn.IFNA(VLOOKUP($A236,INDIRECT("'W"&amp;F$1&amp;"'!$A$2:$T$1000"),4,FALSE),0)</f>
        <v>6.2</v>
      </c>
      <c r="G236" s="37">
        <f ca="1">_xlfn.IFNA(VLOOKUP($A236,INDIRECT("'W"&amp;G$1&amp;"'!$A$2:$T$1000"),4,FALSE),0)</f>
        <v>1.2000000000000002</v>
      </c>
      <c r="H236" s="37">
        <f ca="1">_xlfn.IFNA(VLOOKUP($A236,INDIRECT("'W"&amp;H$1&amp;"'!$A$2:$T$1000"),4,FALSE),0)</f>
        <v>0</v>
      </c>
      <c r="I236" s="37">
        <f ca="1">_xlfn.IFNA(VLOOKUP($A236,INDIRECT("'W"&amp;I$1&amp;"'!$A$2:$T$1000"),4,FALSE),0)</f>
        <v>0</v>
      </c>
      <c r="J236" s="37">
        <f ca="1">_xlfn.IFNA(VLOOKUP($A236,INDIRECT("'W"&amp;J$1&amp;"'!$A$2:$T$1000"),4,FALSE),0)</f>
        <v>0</v>
      </c>
      <c r="K236" s="37">
        <f ca="1">_xlfn.IFNA(VLOOKUP($A236,INDIRECT("'W"&amp;K$1&amp;"'!$A$2:$T$1000"),4,FALSE),0)</f>
        <v>9.1000000000000014</v>
      </c>
      <c r="L236" s="37">
        <f ca="1">_xlfn.IFNA(VLOOKUP($A236,INDIRECT("'W"&amp;L$1&amp;"'!$A$2:$T$1000"),4,FALSE),0)</f>
        <v>3</v>
      </c>
      <c r="M236" s="37">
        <f ca="1">_xlfn.IFNA(VLOOKUP($A236,INDIRECT("'W"&amp;M$1&amp;"'!$A$2:$T$1000"),4,FALSE),0)</f>
        <v>6.2</v>
      </c>
      <c r="N236" s="37">
        <f ca="1">_xlfn.IFNA(VLOOKUP($A236,INDIRECT("'W"&amp;N$1&amp;"'!$A$2:$T$1000"),4,FALSE),0)</f>
        <v>2.8000000000000003</v>
      </c>
      <c r="O236" s="37">
        <f ca="1">_xlfn.IFNA(VLOOKUP($A236,INDIRECT("'W"&amp;O$1&amp;"'!$A$2:$T$1000"),4,FALSE),0)</f>
        <v>3.9000000000000004</v>
      </c>
      <c r="P236" s="37">
        <f ca="1">_xlfn.IFNA(VLOOKUP($A236,INDIRECT("'W"&amp;P$1&amp;"'!$A$2:$T$1000"),4,FALSE),0)</f>
        <v>7.4</v>
      </c>
      <c r="Q236" s="37">
        <f ca="1">_xlfn.IFNA(VLOOKUP($A236,INDIRECT("'W"&amp;Q$1&amp;"'!$A$2:$T$1000"),4,FALSE),0)</f>
        <v>3.3000000000000003</v>
      </c>
      <c r="R236" s="37">
        <f ca="1">_xlfn.IFNA(VLOOKUP($A236,INDIRECT("'W"&amp;R$1&amp;"'!$A$2:$T$1000"),4,FALSE),0)</f>
        <v>1.8</v>
      </c>
      <c r="S236" s="37">
        <f ca="1">_xlfn.IFNA(VLOOKUP($A236,INDIRECT("'W"&amp;S$1&amp;"'!$A$2:$T$1000"),4,FALSE),0)</f>
        <v>4.2</v>
      </c>
      <c r="T236" s="37">
        <f ca="1">_xlfn.IFNA(VLOOKUP($A236,INDIRECT("'W"&amp;T$1&amp;"'!$A$2:$T$1000"),4,FALSE),0)</f>
        <v>1.8</v>
      </c>
      <c r="U236" s="36">
        <f ca="1">COUNTIF(C236:T236,"&gt; 15")</f>
        <v>1</v>
      </c>
      <c r="V236" s="36">
        <f ca="1">SUM(C236:T236)</f>
        <v>87.600000000000023</v>
      </c>
      <c r="W236" s="36"/>
      <c r="X236" s="38">
        <v>52</v>
      </c>
    </row>
    <row r="237" spans="1:24" ht="12.75" x14ac:dyDescent="0.2">
      <c r="A237" s="36" t="s">
        <v>627</v>
      </c>
      <c r="B237" s="36" t="s">
        <v>162</v>
      </c>
      <c r="C237" s="37">
        <f ca="1">_xlfn.IFNA(VLOOKUP($A237,INDIRECT("'W"&amp;C$1&amp;"'!$A$2:$T$1000"),4,FALSE),0)</f>
        <v>0</v>
      </c>
      <c r="D237" s="37">
        <f ca="1">_xlfn.IFNA(VLOOKUP($A237,INDIRECT("'W"&amp;D$1&amp;"'!$A$2:$T$1000"),4,FALSE),0)</f>
        <v>0</v>
      </c>
      <c r="E237" s="37">
        <f ca="1">_xlfn.IFNA(VLOOKUP($A237,INDIRECT("'W"&amp;E$1&amp;"'!$A$2:$T$1000"),4,FALSE),0)</f>
        <v>0</v>
      </c>
      <c r="F237" s="37">
        <f ca="1">_xlfn.IFNA(VLOOKUP($A237,INDIRECT("'W"&amp;F$1&amp;"'!$A$2:$T$1000"),4,FALSE),0)</f>
        <v>0</v>
      </c>
      <c r="G237" s="37">
        <f ca="1">_xlfn.IFNA(VLOOKUP($A237,INDIRECT("'W"&amp;G$1&amp;"'!$A$2:$T$1000"),4,FALSE),0)</f>
        <v>0</v>
      </c>
      <c r="H237" s="37">
        <f ca="1">_xlfn.IFNA(VLOOKUP($A237,INDIRECT("'W"&amp;H$1&amp;"'!$A$2:$T$1000"),4,FALSE),0)</f>
        <v>0</v>
      </c>
      <c r="I237" s="37">
        <f ca="1">_xlfn.IFNA(VLOOKUP($A237,INDIRECT("'W"&amp;I$1&amp;"'!$A$2:$T$1000"),4,FALSE),0)</f>
        <v>0</v>
      </c>
      <c r="J237" s="37">
        <f ca="1">_xlfn.IFNA(VLOOKUP($A237,INDIRECT("'W"&amp;J$1&amp;"'!$A$2:$T$1000"),4,FALSE),0)</f>
        <v>0</v>
      </c>
      <c r="K237" s="37">
        <f ca="1">_xlfn.IFNA(VLOOKUP($A237,INDIRECT("'W"&amp;K$1&amp;"'!$A$2:$T$1000"),4,FALSE),0)</f>
        <v>2.5</v>
      </c>
      <c r="L237" s="37">
        <f ca="1">_xlfn.IFNA(VLOOKUP($A237,INDIRECT("'W"&amp;L$1&amp;"'!$A$2:$T$1000"),4,FALSE),0)</f>
        <v>0</v>
      </c>
      <c r="M237" s="37">
        <f ca="1">_xlfn.IFNA(VLOOKUP($A237,INDIRECT("'W"&amp;M$1&amp;"'!$A$2:$T$1000"),4,FALSE),0)</f>
        <v>4.4000000000000004</v>
      </c>
      <c r="N237" s="37">
        <f ca="1">_xlfn.IFNA(VLOOKUP($A237,INDIRECT("'W"&amp;N$1&amp;"'!$A$2:$T$1000"),4,FALSE),0)</f>
        <v>3.3</v>
      </c>
      <c r="O237" s="37">
        <f ca="1">_xlfn.IFNA(VLOOKUP($A237,INDIRECT("'W"&amp;O$1&amp;"'!$A$2:$T$1000"),4,FALSE),0)</f>
        <v>15.5</v>
      </c>
      <c r="P237" s="37">
        <f ca="1">_xlfn.IFNA(VLOOKUP($A237,INDIRECT("'W"&amp;P$1&amp;"'!$A$2:$T$1000"),4,FALSE),0)</f>
        <v>13.600000000000001</v>
      </c>
      <c r="Q237" s="37">
        <f ca="1">_xlfn.IFNA(VLOOKUP($A237,INDIRECT("'W"&amp;Q$1&amp;"'!$A$2:$T$1000"),4,FALSE),0)</f>
        <v>14.700000000000001</v>
      </c>
      <c r="R237" s="37">
        <f ca="1">_xlfn.IFNA(VLOOKUP($A237,INDIRECT("'W"&amp;R$1&amp;"'!$A$2:$T$1000"),4,FALSE),0)</f>
        <v>20.200000000000003</v>
      </c>
      <c r="S237" s="37">
        <f ca="1">_xlfn.IFNA(VLOOKUP($A237,INDIRECT("'W"&amp;S$1&amp;"'!$A$2:$T$1000"),4,FALSE),0)</f>
        <v>13.200000000000001</v>
      </c>
      <c r="T237" s="37">
        <f ca="1">_xlfn.IFNA(VLOOKUP($A237,INDIRECT("'W"&amp;T$1&amp;"'!$A$2:$T$1000"),4,FALSE),0)</f>
        <v>0</v>
      </c>
      <c r="U237" s="36">
        <f ca="1">COUNTIF(C237:T237,"&gt; 15")</f>
        <v>2</v>
      </c>
      <c r="V237" s="36">
        <f ca="1">SUM(C237:T237)</f>
        <v>87.4</v>
      </c>
      <c r="W237" s="36"/>
      <c r="X237" s="38"/>
    </row>
    <row r="238" spans="1:24" ht="12.75" x14ac:dyDescent="0.2">
      <c r="A238" s="36" t="s">
        <v>73</v>
      </c>
      <c r="B238" s="36" t="s">
        <v>17</v>
      </c>
      <c r="C238" s="37">
        <f ca="1">_xlfn.IFNA(VLOOKUP($A238,INDIRECT("'W"&amp;C$1&amp;"'!$A$2:$T$1000"),4,FALSE),0)</f>
        <v>0.24</v>
      </c>
      <c r="D238" s="37">
        <f ca="1">_xlfn.IFNA(VLOOKUP($A238,INDIRECT("'W"&amp;D$1&amp;"'!$A$2:$T$1000"),4,FALSE),0)</f>
        <v>0</v>
      </c>
      <c r="E238" s="37">
        <f ca="1">_xlfn.IFNA(VLOOKUP($A238,INDIRECT("'W"&amp;E$1&amp;"'!$A$2:$T$1000"),4,FALSE),0)</f>
        <v>0.2</v>
      </c>
      <c r="F238" s="37">
        <f ca="1">_xlfn.IFNA(VLOOKUP($A238,INDIRECT("'W"&amp;F$1&amp;"'!$A$2:$T$1000"),4,FALSE),0)</f>
        <v>0</v>
      </c>
      <c r="G238" s="37">
        <f ca="1">_xlfn.IFNA(VLOOKUP($A238,INDIRECT("'W"&amp;G$1&amp;"'!$A$2:$T$1000"),4,FALSE),0)</f>
        <v>4.84</v>
      </c>
      <c r="H238" s="37">
        <f ca="1">_xlfn.IFNA(VLOOKUP($A238,INDIRECT("'W"&amp;H$1&amp;"'!$A$2:$T$1000"),4,FALSE),0)</f>
        <v>10.4</v>
      </c>
      <c r="I238" s="37">
        <f ca="1">_xlfn.IFNA(VLOOKUP($A238,INDIRECT("'W"&amp;I$1&amp;"'!$A$2:$T$1000"),4,FALSE),0)</f>
        <v>21.66</v>
      </c>
      <c r="J238" s="37">
        <f ca="1">_xlfn.IFNA(VLOOKUP($A238,INDIRECT("'W"&amp;J$1&amp;"'!$A$2:$T$1000"),4,FALSE),0)</f>
        <v>3.62</v>
      </c>
      <c r="K238" s="37">
        <f ca="1">_xlfn.IFNA(VLOOKUP($A238,INDIRECT("'W"&amp;K$1&amp;"'!$A$2:$T$1000"),4,FALSE),0)</f>
        <v>0</v>
      </c>
      <c r="L238" s="37">
        <f ca="1">_xlfn.IFNA(VLOOKUP($A238,INDIRECT("'W"&amp;L$1&amp;"'!$A$2:$T$1000"),4,FALSE),0)</f>
        <v>0</v>
      </c>
      <c r="M238" s="37">
        <f ca="1">_xlfn.IFNA(VLOOKUP($A238,INDIRECT("'W"&amp;M$1&amp;"'!$A$2:$T$1000"),4,FALSE),0)</f>
        <v>0</v>
      </c>
      <c r="N238" s="37">
        <f ca="1">_xlfn.IFNA(VLOOKUP($A238,INDIRECT("'W"&amp;N$1&amp;"'!$A$2:$T$1000"),4,FALSE),0)</f>
        <v>0</v>
      </c>
      <c r="O238" s="37">
        <f ca="1">_xlfn.IFNA(VLOOKUP($A238,INDIRECT("'W"&amp;O$1&amp;"'!$A$2:$T$1000"),4,FALSE),0)</f>
        <v>0</v>
      </c>
      <c r="P238" s="37">
        <f ca="1">_xlfn.IFNA(VLOOKUP($A238,INDIRECT("'W"&amp;P$1&amp;"'!$A$2:$T$1000"),4,FALSE),0)</f>
        <v>0</v>
      </c>
      <c r="Q238" s="37">
        <f ca="1">_xlfn.IFNA(VLOOKUP($A238,INDIRECT("'W"&amp;Q$1&amp;"'!$A$2:$T$1000"),4,FALSE),0)</f>
        <v>0.52</v>
      </c>
      <c r="R238" s="37">
        <f ca="1">_xlfn.IFNA(VLOOKUP($A238,INDIRECT("'W"&amp;R$1&amp;"'!$A$2:$T$1000"),4,FALSE),0)</f>
        <v>9.42</v>
      </c>
      <c r="S238" s="37">
        <f ca="1">_xlfn.IFNA(VLOOKUP($A238,INDIRECT("'W"&amp;S$1&amp;"'!$A$2:$T$1000"),4,FALSE),0)</f>
        <v>18.759999999999998</v>
      </c>
      <c r="T238" s="37">
        <f ca="1">_xlfn.IFNA(VLOOKUP($A238,INDIRECT("'W"&amp;T$1&amp;"'!$A$2:$T$1000"),4,FALSE),0)</f>
        <v>17.68</v>
      </c>
      <c r="U238" s="36">
        <f ca="1">COUNTIF(C238:T238,"&gt; 15")</f>
        <v>3</v>
      </c>
      <c r="V238" s="36">
        <f ca="1">SUM(C238:T238)</f>
        <v>87.34</v>
      </c>
      <c r="W238" s="36"/>
      <c r="X238" s="38"/>
    </row>
    <row r="239" spans="1:24" ht="12.75" x14ac:dyDescent="0.2">
      <c r="A239" s="36" t="s">
        <v>28</v>
      </c>
      <c r="B239" s="36" t="s">
        <v>17</v>
      </c>
      <c r="C239" s="37">
        <f ca="1">_xlfn.IFNA(VLOOKUP($A239,INDIRECT("'W"&amp;C$1&amp;"'!$A$2:$T$1000"),4,FALSE),0)</f>
        <v>20.66</v>
      </c>
      <c r="D239" s="37">
        <f ca="1">_xlfn.IFNA(VLOOKUP($A239,INDIRECT("'W"&amp;D$1&amp;"'!$A$2:$T$1000"),4,FALSE),0)</f>
        <v>11.600000000000001</v>
      </c>
      <c r="E239" s="37">
        <f ca="1">_xlfn.IFNA(VLOOKUP($A239,INDIRECT("'W"&amp;E$1&amp;"'!$A$2:$T$1000"),4,FALSE),0)</f>
        <v>21.160000000000004</v>
      </c>
      <c r="F239" s="37">
        <f ca="1">_xlfn.IFNA(VLOOKUP($A239,INDIRECT("'W"&amp;F$1&amp;"'!$A$2:$T$1000"),4,FALSE),0)</f>
        <v>0</v>
      </c>
      <c r="G239" s="37">
        <f ca="1">_xlfn.IFNA(VLOOKUP($A239,INDIRECT("'W"&amp;G$1&amp;"'!$A$2:$T$1000"),4,FALSE),0)</f>
        <v>0</v>
      </c>
      <c r="H239" s="37">
        <f ca="1">_xlfn.IFNA(VLOOKUP($A239,INDIRECT("'W"&amp;H$1&amp;"'!$A$2:$T$1000"),4,FALSE),0)</f>
        <v>0</v>
      </c>
      <c r="I239" s="37">
        <f ca="1">_xlfn.IFNA(VLOOKUP($A239,INDIRECT("'W"&amp;I$1&amp;"'!$A$2:$T$1000"),4,FALSE),0)</f>
        <v>-1.8</v>
      </c>
      <c r="J239" s="37">
        <f ca="1">_xlfn.IFNA(VLOOKUP($A239,INDIRECT("'W"&amp;J$1&amp;"'!$A$2:$T$1000"),4,FALSE),0)</f>
        <v>0</v>
      </c>
      <c r="K239" s="37">
        <f ca="1">_xlfn.IFNA(VLOOKUP($A239,INDIRECT("'W"&amp;K$1&amp;"'!$A$2:$T$1000"),4,FALSE),0)</f>
        <v>18.959999999999997</v>
      </c>
      <c r="L239" s="37">
        <f ca="1">_xlfn.IFNA(VLOOKUP($A239,INDIRECT("'W"&amp;L$1&amp;"'!$A$2:$T$1000"),4,FALSE),0)</f>
        <v>16.22</v>
      </c>
      <c r="M239" s="37">
        <f ca="1">_xlfn.IFNA(VLOOKUP($A239,INDIRECT("'W"&amp;M$1&amp;"'!$A$2:$T$1000"),4,FALSE),0)</f>
        <v>0</v>
      </c>
      <c r="N239" s="37">
        <f ca="1">_xlfn.IFNA(VLOOKUP($A239,INDIRECT("'W"&amp;N$1&amp;"'!$A$2:$T$1000"),4,FALSE),0)</f>
        <v>0</v>
      </c>
      <c r="O239" s="37">
        <f ca="1">_xlfn.IFNA(VLOOKUP($A239,INDIRECT("'W"&amp;O$1&amp;"'!$A$2:$T$1000"),4,FALSE),0)</f>
        <v>0</v>
      </c>
      <c r="P239" s="37">
        <f ca="1">_xlfn.IFNA(VLOOKUP($A239,INDIRECT("'W"&amp;P$1&amp;"'!$A$2:$T$1000"),4,FALSE),0)</f>
        <v>0</v>
      </c>
      <c r="Q239" s="37">
        <f ca="1">_xlfn.IFNA(VLOOKUP($A239,INDIRECT("'W"&amp;Q$1&amp;"'!$A$2:$T$1000"),4,FALSE),0)</f>
        <v>0</v>
      </c>
      <c r="R239" s="37">
        <f ca="1">_xlfn.IFNA(VLOOKUP($A239,INDIRECT("'W"&amp;R$1&amp;"'!$A$2:$T$1000"),4,FALSE),0)</f>
        <v>0</v>
      </c>
      <c r="S239" s="37">
        <f ca="1">_xlfn.IFNA(VLOOKUP($A239,INDIRECT("'W"&amp;S$1&amp;"'!$A$2:$T$1000"),4,FALSE),0)</f>
        <v>0</v>
      </c>
      <c r="T239" s="37">
        <f ca="1">_xlfn.IFNA(VLOOKUP($A239,INDIRECT("'W"&amp;T$1&amp;"'!$A$2:$T$1000"),4,FALSE),0)</f>
        <v>0</v>
      </c>
      <c r="U239" s="36">
        <f ca="1">COUNTIF(C239:T239,"&gt; 15")</f>
        <v>4</v>
      </c>
      <c r="V239" s="36">
        <f ca="1">SUM(C239:T239)</f>
        <v>86.800000000000011</v>
      </c>
      <c r="W239" s="36"/>
      <c r="X239" s="38">
        <v>60</v>
      </c>
    </row>
    <row r="240" spans="1:24" ht="12.75" x14ac:dyDescent="0.2">
      <c r="A240" s="36" t="s">
        <v>895</v>
      </c>
      <c r="B240" s="36" t="s">
        <v>851</v>
      </c>
      <c r="C240" s="37">
        <v>-5</v>
      </c>
      <c r="D240" s="37">
        <v>5</v>
      </c>
      <c r="E240" s="37">
        <v>3</v>
      </c>
      <c r="F240" s="37">
        <v>16</v>
      </c>
      <c r="G240" s="37">
        <v>0</v>
      </c>
      <c r="H240" s="37">
        <v>7</v>
      </c>
      <c r="I240" s="37">
        <v>-1</v>
      </c>
      <c r="J240" s="37">
        <v>10</v>
      </c>
      <c r="K240" s="37">
        <v>26</v>
      </c>
      <c r="L240" s="37">
        <v>-9</v>
      </c>
      <c r="M240" s="37">
        <v>2</v>
      </c>
      <c r="N240" s="37">
        <v>1</v>
      </c>
      <c r="O240" s="37">
        <v>14</v>
      </c>
      <c r="P240" s="37">
        <v>4</v>
      </c>
      <c r="Q240" s="37">
        <v>-5</v>
      </c>
      <c r="R240" s="37">
        <v>7</v>
      </c>
      <c r="S240" s="37">
        <v>3</v>
      </c>
      <c r="T240" s="37">
        <v>8</v>
      </c>
      <c r="U240" s="36">
        <f>COUNTIF(C240:T240,"&gt; 9")</f>
        <v>4</v>
      </c>
      <c r="V240" s="36">
        <f>SUM(C240:T240)</f>
        <v>86</v>
      </c>
      <c r="W240" s="36"/>
      <c r="X240" s="38"/>
    </row>
    <row r="241" spans="1:24" ht="12.75" x14ac:dyDescent="0.2">
      <c r="A241" s="36" t="s">
        <v>205</v>
      </c>
      <c r="B241" s="36" t="s">
        <v>162</v>
      </c>
      <c r="C241" s="37">
        <f ca="1">_xlfn.IFNA(VLOOKUP($A241,INDIRECT("'W"&amp;C$1&amp;"'!$A$2:$T$1000"),4,FALSE),0)</f>
        <v>9.8000000000000007</v>
      </c>
      <c r="D241" s="37">
        <f ca="1">_xlfn.IFNA(VLOOKUP($A241,INDIRECT("'W"&amp;D$1&amp;"'!$A$2:$T$1000"),4,FALSE),0)</f>
        <v>11.5</v>
      </c>
      <c r="E241" s="37">
        <f ca="1">_xlfn.IFNA(VLOOKUP($A241,INDIRECT("'W"&amp;E$1&amp;"'!$A$2:$T$1000"),4,FALSE),0)</f>
        <v>0</v>
      </c>
      <c r="F241" s="37">
        <f ca="1">_xlfn.IFNA(VLOOKUP($A241,INDIRECT("'W"&amp;F$1&amp;"'!$A$2:$T$1000"),4,FALSE),0)</f>
        <v>16.100000000000001</v>
      </c>
      <c r="G241" s="37">
        <f ca="1">_xlfn.IFNA(VLOOKUP($A241,INDIRECT("'W"&amp;G$1&amp;"'!$A$2:$T$1000"),4,FALSE),0)</f>
        <v>1.9</v>
      </c>
      <c r="H241" s="37">
        <f ca="1">_xlfn.IFNA(VLOOKUP($A241,INDIRECT("'W"&amp;H$1&amp;"'!$A$2:$T$1000"),4,FALSE),0)</f>
        <v>5.5</v>
      </c>
      <c r="I241" s="37">
        <f ca="1">_xlfn.IFNA(VLOOKUP($A241,INDIRECT("'W"&amp;I$1&amp;"'!$A$2:$T$1000"),4,FALSE),0)</f>
        <v>0</v>
      </c>
      <c r="J241" s="37">
        <f ca="1">_xlfn.IFNA(VLOOKUP($A241,INDIRECT("'W"&amp;J$1&amp;"'!$A$2:$T$1000"),4,FALSE),0)</f>
        <v>10.3</v>
      </c>
      <c r="K241" s="37">
        <f ca="1">_xlfn.IFNA(VLOOKUP($A241,INDIRECT("'W"&amp;K$1&amp;"'!$A$2:$T$1000"),4,FALSE),0)</f>
        <v>3.3000000000000003</v>
      </c>
      <c r="L241" s="37">
        <f ca="1">_xlfn.IFNA(VLOOKUP($A241,INDIRECT("'W"&amp;L$1&amp;"'!$A$2:$T$1000"),4,FALSE),0)</f>
        <v>1.9</v>
      </c>
      <c r="M241" s="37">
        <f ca="1">_xlfn.IFNA(VLOOKUP($A241,INDIRECT("'W"&amp;M$1&amp;"'!$A$2:$T$1000"),4,FALSE),0)</f>
        <v>1.7000000000000002</v>
      </c>
      <c r="N241" s="37">
        <f ca="1">_xlfn.IFNA(VLOOKUP($A241,INDIRECT("'W"&amp;N$1&amp;"'!$A$2:$T$1000"),4,FALSE),0)</f>
        <v>8.1000000000000014</v>
      </c>
      <c r="O241" s="37">
        <f ca="1">_xlfn.IFNA(VLOOKUP($A241,INDIRECT("'W"&amp;O$1&amp;"'!$A$2:$T$1000"),4,FALSE),0)</f>
        <v>3.8000000000000003</v>
      </c>
      <c r="P241" s="37">
        <f ca="1">_xlfn.IFNA(VLOOKUP($A241,INDIRECT("'W"&amp;P$1&amp;"'!$A$2:$T$1000"),4,FALSE),0)</f>
        <v>6.8000000000000007</v>
      </c>
      <c r="Q241" s="37">
        <f ca="1">_xlfn.IFNA(VLOOKUP($A241,INDIRECT("'W"&amp;Q$1&amp;"'!$A$2:$T$1000"),4,FALSE),0)</f>
        <v>4.3000000000000007</v>
      </c>
      <c r="R241" s="37">
        <f ca="1">_xlfn.IFNA(VLOOKUP($A241,INDIRECT("'W"&amp;R$1&amp;"'!$A$2:$T$1000"),4,FALSE),0)</f>
        <v>0</v>
      </c>
      <c r="S241" s="37">
        <f ca="1">_xlfn.IFNA(VLOOKUP($A241,INDIRECT("'W"&amp;S$1&amp;"'!$A$2:$T$1000"),4,FALSE),0)</f>
        <v>0</v>
      </c>
      <c r="T241" s="37">
        <f ca="1">_xlfn.IFNA(VLOOKUP($A241,INDIRECT("'W"&amp;T$1&amp;"'!$A$2:$T$1000"),4,FALSE),0)</f>
        <v>0</v>
      </c>
      <c r="U241" s="36">
        <f ca="1">COUNTIF(C241:T241,"&gt; 15")</f>
        <v>1</v>
      </c>
      <c r="V241" s="36">
        <f ca="1">SUM(C241:T241)</f>
        <v>85</v>
      </c>
      <c r="W241" s="36"/>
      <c r="X241" s="38"/>
    </row>
    <row r="242" spans="1:24" ht="12.75" x14ac:dyDescent="0.2">
      <c r="A242" s="36" t="s">
        <v>242</v>
      </c>
      <c r="B242" s="36" t="s">
        <v>162</v>
      </c>
      <c r="C242" s="37">
        <f ca="1">_xlfn.IFNA(VLOOKUP($A242,INDIRECT("'W"&amp;C$1&amp;"'!$A$2:$T$1000"),4,FALSE),0)</f>
        <v>3.7</v>
      </c>
      <c r="D242" s="37">
        <f ca="1">_xlfn.IFNA(VLOOKUP($A242,INDIRECT("'W"&amp;D$1&amp;"'!$A$2:$T$1000"),4,FALSE),0)</f>
        <v>5.6</v>
      </c>
      <c r="E242" s="37">
        <f ca="1">_xlfn.IFNA(VLOOKUP($A242,INDIRECT("'W"&amp;E$1&amp;"'!$A$2:$T$1000"),4,FALSE),0)</f>
        <v>5.0999999999999996</v>
      </c>
      <c r="F242" s="37">
        <f ca="1">_xlfn.IFNA(VLOOKUP($A242,INDIRECT("'W"&amp;F$1&amp;"'!$A$2:$T$1000"),4,FALSE),0)</f>
        <v>0</v>
      </c>
      <c r="G242" s="37">
        <f ca="1">_xlfn.IFNA(VLOOKUP($A242,INDIRECT("'W"&amp;G$1&amp;"'!$A$2:$T$1000"),4,FALSE),0)</f>
        <v>9.8000000000000007</v>
      </c>
      <c r="H242" s="37">
        <f ca="1">_xlfn.IFNA(VLOOKUP($A242,INDIRECT("'W"&amp;H$1&amp;"'!$A$2:$T$1000"),4,FALSE),0)</f>
        <v>4.0999999999999996</v>
      </c>
      <c r="I242" s="37">
        <f ca="1">_xlfn.IFNA(VLOOKUP($A242,INDIRECT("'W"&amp;I$1&amp;"'!$A$2:$T$1000"),4,FALSE),0)</f>
        <v>0</v>
      </c>
      <c r="J242" s="37">
        <f ca="1">_xlfn.IFNA(VLOOKUP($A242,INDIRECT("'W"&amp;J$1&amp;"'!$A$2:$T$1000"),4,FALSE),0)</f>
        <v>10.199999999999999</v>
      </c>
      <c r="K242" s="37">
        <f ca="1">_xlfn.IFNA(VLOOKUP($A242,INDIRECT("'W"&amp;K$1&amp;"'!$A$2:$T$1000"),4,FALSE),0)</f>
        <v>1.5</v>
      </c>
      <c r="L242" s="37">
        <f ca="1">_xlfn.IFNA(VLOOKUP($A242,INDIRECT("'W"&amp;L$1&amp;"'!$A$2:$T$1000"),4,FALSE),0)</f>
        <v>5</v>
      </c>
      <c r="M242" s="37">
        <f ca="1">_xlfn.IFNA(VLOOKUP($A242,INDIRECT("'W"&amp;M$1&amp;"'!$A$2:$T$1000"),4,FALSE),0)</f>
        <v>1.6</v>
      </c>
      <c r="N242" s="37">
        <f ca="1">_xlfn.IFNA(VLOOKUP($A242,INDIRECT("'W"&amp;N$1&amp;"'!$A$2:$T$1000"),4,FALSE),0)</f>
        <v>10</v>
      </c>
      <c r="O242" s="37">
        <f ca="1">_xlfn.IFNA(VLOOKUP($A242,INDIRECT("'W"&amp;O$1&amp;"'!$A$2:$T$1000"),4,FALSE),0)</f>
        <v>12.9</v>
      </c>
      <c r="P242" s="37">
        <f ca="1">_xlfn.IFNA(VLOOKUP($A242,INDIRECT("'W"&amp;P$1&amp;"'!$A$2:$T$1000"),4,FALSE),0)</f>
        <v>4.2</v>
      </c>
      <c r="Q242" s="37">
        <f ca="1">_xlfn.IFNA(VLOOKUP($A242,INDIRECT("'W"&amp;Q$1&amp;"'!$A$2:$T$1000"),4,FALSE),0)</f>
        <v>7.2</v>
      </c>
      <c r="R242" s="37">
        <f ca="1">_xlfn.IFNA(VLOOKUP($A242,INDIRECT("'W"&amp;R$1&amp;"'!$A$2:$T$1000"),4,FALSE),0)</f>
        <v>1.9</v>
      </c>
      <c r="S242" s="37">
        <f ca="1">_xlfn.IFNA(VLOOKUP($A242,INDIRECT("'W"&amp;S$1&amp;"'!$A$2:$T$1000"),4,FALSE),0)</f>
        <v>2</v>
      </c>
      <c r="T242" s="37">
        <f ca="1">_xlfn.IFNA(VLOOKUP($A242,INDIRECT("'W"&amp;T$1&amp;"'!$A$2:$T$1000"),4,FALSE),0)</f>
        <v>0</v>
      </c>
      <c r="U242" s="36">
        <f ca="1">COUNTIF(C242:T242,"&gt; 15")</f>
        <v>0</v>
      </c>
      <c r="V242" s="36">
        <f ca="1">SUM(C242:T242)</f>
        <v>84.800000000000011</v>
      </c>
      <c r="W242" s="36"/>
      <c r="X242" s="38"/>
    </row>
    <row r="243" spans="1:24" ht="12.75" x14ac:dyDescent="0.2">
      <c r="A243" s="36" t="s">
        <v>138</v>
      </c>
      <c r="B243" s="36" t="s">
        <v>75</v>
      </c>
      <c r="C243" s="37">
        <f ca="1">_xlfn.IFNA(VLOOKUP($A243,INDIRECT("'W"&amp;C$1&amp;"'!$A$2:$T$1000"),4,FALSE),0)</f>
        <v>2</v>
      </c>
      <c r="D243" s="37">
        <f ca="1">_xlfn.IFNA(VLOOKUP($A243,INDIRECT("'W"&amp;D$1&amp;"'!$A$2:$T$1000"),4,FALSE),0)</f>
        <v>5.2</v>
      </c>
      <c r="E243" s="37">
        <f ca="1">_xlfn.IFNA(VLOOKUP($A243,INDIRECT("'W"&amp;E$1&amp;"'!$A$2:$T$1000"),4,FALSE),0)</f>
        <v>17.8</v>
      </c>
      <c r="F243" s="37">
        <f ca="1">_xlfn.IFNA(VLOOKUP($A243,INDIRECT("'W"&amp;F$1&amp;"'!$A$2:$T$1000"),4,FALSE),0)</f>
        <v>0.70000000000000007</v>
      </c>
      <c r="G243" s="37">
        <f ca="1">_xlfn.IFNA(VLOOKUP($A243,INDIRECT("'W"&amp;G$1&amp;"'!$A$2:$T$1000"),4,FALSE),0)</f>
        <v>4.5</v>
      </c>
      <c r="H243" s="37">
        <f ca="1">_xlfn.IFNA(VLOOKUP($A243,INDIRECT("'W"&amp;H$1&amp;"'!$A$2:$T$1000"),4,FALSE),0)</f>
        <v>5</v>
      </c>
      <c r="I243" s="37">
        <f ca="1">_xlfn.IFNA(VLOOKUP($A243,INDIRECT("'W"&amp;I$1&amp;"'!$A$2:$T$1000"),4,FALSE),0)</f>
        <v>4.6000000000000005</v>
      </c>
      <c r="J243" s="37">
        <f ca="1">_xlfn.IFNA(VLOOKUP($A243,INDIRECT("'W"&amp;J$1&amp;"'!$A$2:$T$1000"),4,FALSE),0)</f>
        <v>1.8</v>
      </c>
      <c r="K243" s="37">
        <f ca="1">_xlfn.IFNA(VLOOKUP($A243,INDIRECT("'W"&amp;K$1&amp;"'!$A$2:$T$1000"),4,FALSE),0)</f>
        <v>10.4</v>
      </c>
      <c r="L243" s="37">
        <f ca="1">_xlfn.IFNA(VLOOKUP($A243,INDIRECT("'W"&amp;L$1&amp;"'!$A$2:$T$1000"),4,FALSE),0)</f>
        <v>0</v>
      </c>
      <c r="M243" s="37">
        <f ca="1">_xlfn.IFNA(VLOOKUP($A243,INDIRECT("'W"&amp;M$1&amp;"'!$A$2:$T$1000"),4,FALSE),0)</f>
        <v>3.5</v>
      </c>
      <c r="N243" s="37">
        <f ca="1">_xlfn.IFNA(VLOOKUP($A243,INDIRECT("'W"&amp;N$1&amp;"'!$A$2:$T$1000"),4,FALSE),0)</f>
        <v>0</v>
      </c>
      <c r="O243" s="37">
        <f ca="1">_xlfn.IFNA(VLOOKUP($A243,INDIRECT("'W"&amp;O$1&amp;"'!$A$2:$T$1000"),4,FALSE),0)</f>
        <v>0</v>
      </c>
      <c r="P243" s="37">
        <f ca="1">_xlfn.IFNA(VLOOKUP($A243,INDIRECT("'W"&amp;P$1&amp;"'!$A$2:$T$1000"),4,FALSE),0)</f>
        <v>12.700000000000001</v>
      </c>
      <c r="Q243" s="37">
        <f ca="1">_xlfn.IFNA(VLOOKUP($A243,INDIRECT("'W"&amp;Q$1&amp;"'!$A$2:$T$1000"),4,FALSE),0)</f>
        <v>16.16</v>
      </c>
      <c r="R243" s="37">
        <f ca="1">_xlfn.IFNA(VLOOKUP($A243,INDIRECT("'W"&amp;R$1&amp;"'!$A$2:$T$1000"),4,FALSE),0)</f>
        <v>0</v>
      </c>
      <c r="S243" s="37">
        <f ca="1">_xlfn.IFNA(VLOOKUP($A243,INDIRECT("'W"&amp;S$1&amp;"'!$A$2:$T$1000"),4,FALSE),0)</f>
        <v>0</v>
      </c>
      <c r="T243" s="37">
        <f ca="1">_xlfn.IFNA(VLOOKUP($A243,INDIRECT("'W"&amp;T$1&amp;"'!$A$2:$T$1000"),4,FALSE),0)</f>
        <v>0</v>
      </c>
      <c r="U243" s="36">
        <f ca="1">COUNTIF(C243:T243,"&gt; 15")</f>
        <v>2</v>
      </c>
      <c r="V243" s="36">
        <f ca="1">SUM(C243:T243)</f>
        <v>84.36</v>
      </c>
      <c r="W243" s="36"/>
      <c r="X243" s="38"/>
    </row>
    <row r="244" spans="1:24" ht="12.75" x14ac:dyDescent="0.2">
      <c r="A244" s="36" t="s">
        <v>149</v>
      </c>
      <c r="B244" s="36" t="s">
        <v>75</v>
      </c>
      <c r="C244" s="37">
        <f ca="1">_xlfn.IFNA(VLOOKUP($A244,INDIRECT("'W"&amp;C$1&amp;"'!$A$2:$T$1000"),4,FALSE),0)</f>
        <v>2.7</v>
      </c>
      <c r="D244" s="37">
        <f ca="1">_xlfn.IFNA(VLOOKUP($A244,INDIRECT("'W"&amp;D$1&amp;"'!$A$2:$T$1000"),4,FALSE),0)</f>
        <v>11.1</v>
      </c>
      <c r="E244" s="37">
        <f ca="1">_xlfn.IFNA(VLOOKUP($A244,INDIRECT("'W"&amp;E$1&amp;"'!$A$2:$T$1000"),4,FALSE),0)</f>
        <v>9.1</v>
      </c>
      <c r="F244" s="37">
        <f ca="1">_xlfn.IFNA(VLOOKUP($A244,INDIRECT("'W"&amp;F$1&amp;"'!$A$2:$T$1000"),4,FALSE),0)</f>
        <v>7.6000000000000005</v>
      </c>
      <c r="G244" s="37">
        <f ca="1">_xlfn.IFNA(VLOOKUP($A244,INDIRECT("'W"&amp;G$1&amp;"'!$A$2:$T$1000"),4,FALSE),0)</f>
        <v>1.7000000000000002</v>
      </c>
      <c r="H244" s="37">
        <f ca="1">_xlfn.IFNA(VLOOKUP($A244,INDIRECT("'W"&amp;H$1&amp;"'!$A$2:$T$1000"),4,FALSE),0)</f>
        <v>4.5</v>
      </c>
      <c r="I244" s="37">
        <f ca="1">_xlfn.IFNA(VLOOKUP($A244,INDIRECT("'W"&amp;I$1&amp;"'!$A$2:$T$1000"),4,FALSE),0)</f>
        <v>4.8</v>
      </c>
      <c r="J244" s="37">
        <f ca="1">_xlfn.IFNA(VLOOKUP($A244,INDIRECT("'W"&amp;J$1&amp;"'!$A$2:$T$1000"),4,FALSE),0)</f>
        <v>2.1</v>
      </c>
      <c r="K244" s="37">
        <f ca="1">_xlfn.IFNA(VLOOKUP($A244,INDIRECT("'W"&amp;K$1&amp;"'!$A$2:$T$1000"),4,FALSE),0)</f>
        <v>2</v>
      </c>
      <c r="L244" s="37">
        <f ca="1">_xlfn.IFNA(VLOOKUP($A244,INDIRECT("'W"&amp;L$1&amp;"'!$A$2:$T$1000"),4,FALSE),0)</f>
        <v>14.9</v>
      </c>
      <c r="M244" s="37">
        <f ca="1">_xlfn.IFNA(VLOOKUP($A244,INDIRECT("'W"&amp;M$1&amp;"'!$A$2:$T$1000"),4,FALSE),0)</f>
        <v>3.5</v>
      </c>
      <c r="N244" s="37">
        <f ca="1">_xlfn.IFNA(VLOOKUP($A244,INDIRECT("'W"&amp;N$1&amp;"'!$A$2:$T$1000"),4,FALSE),0)</f>
        <v>7.8</v>
      </c>
      <c r="O244" s="37">
        <f ca="1">_xlfn.IFNA(VLOOKUP($A244,INDIRECT("'W"&amp;O$1&amp;"'!$A$2:$T$1000"),4,FALSE),0)</f>
        <v>0</v>
      </c>
      <c r="P244" s="37">
        <f ca="1">_xlfn.IFNA(VLOOKUP($A244,INDIRECT("'W"&amp;P$1&amp;"'!$A$2:$T$1000"),4,FALSE),0)</f>
        <v>4</v>
      </c>
      <c r="Q244" s="37">
        <f ca="1">_xlfn.IFNA(VLOOKUP($A244,INDIRECT("'W"&amp;Q$1&amp;"'!$A$2:$T$1000"),4,FALSE),0)</f>
        <v>7.1</v>
      </c>
      <c r="R244" s="37">
        <f ca="1">_xlfn.IFNA(VLOOKUP($A244,INDIRECT("'W"&amp;R$1&amp;"'!$A$2:$T$1000"),4,FALSE),0)</f>
        <v>0</v>
      </c>
      <c r="S244" s="37">
        <f ca="1">_xlfn.IFNA(VLOOKUP($A244,INDIRECT("'W"&amp;S$1&amp;"'!$A$2:$T$1000"),4,FALSE),0)</f>
        <v>0</v>
      </c>
      <c r="T244" s="37">
        <f ca="1">_xlfn.IFNA(VLOOKUP($A244,INDIRECT("'W"&amp;T$1&amp;"'!$A$2:$T$1000"),4,FALSE),0)</f>
        <v>0</v>
      </c>
      <c r="U244" s="36">
        <f ca="1">COUNTIF(C244:T244,"&gt; 15")</f>
        <v>0</v>
      </c>
      <c r="V244" s="36">
        <f ca="1">SUM(C244:T244)</f>
        <v>82.899999999999991</v>
      </c>
      <c r="W244" s="36"/>
      <c r="X244" s="38"/>
    </row>
    <row r="245" spans="1:24" ht="12.75" x14ac:dyDescent="0.2">
      <c r="A245" s="36" t="s">
        <v>896</v>
      </c>
      <c r="B245" s="36" t="s">
        <v>851</v>
      </c>
      <c r="C245" s="37">
        <v>6</v>
      </c>
      <c r="D245" s="37">
        <v>6</v>
      </c>
      <c r="E245" s="37">
        <v>-2</v>
      </c>
      <c r="F245" s="37">
        <v>15</v>
      </c>
      <c r="G245" s="37">
        <v>-2</v>
      </c>
      <c r="H245" s="37">
        <v>2</v>
      </c>
      <c r="I245" s="37">
        <v>0</v>
      </c>
      <c r="J245" s="37">
        <v>9</v>
      </c>
      <c r="K245" s="37">
        <v>7</v>
      </c>
      <c r="L245" s="37">
        <v>9</v>
      </c>
      <c r="M245" s="37">
        <v>0</v>
      </c>
      <c r="N245" s="37">
        <v>4</v>
      </c>
      <c r="O245" s="37">
        <v>3</v>
      </c>
      <c r="P245" s="37">
        <v>5</v>
      </c>
      <c r="Q245" s="37">
        <v>9</v>
      </c>
      <c r="R245" s="37">
        <v>-1</v>
      </c>
      <c r="S245" s="37">
        <v>3</v>
      </c>
      <c r="T245" s="37">
        <v>8</v>
      </c>
      <c r="U245" s="36">
        <f>COUNTIF(C245:T245,"&gt; 9")</f>
        <v>1</v>
      </c>
      <c r="V245" s="36">
        <f>SUM(C245:T245)</f>
        <v>81</v>
      </c>
      <c r="W245" s="36"/>
      <c r="X245" s="38">
        <v>192</v>
      </c>
    </row>
    <row r="246" spans="1:24" ht="12.75" x14ac:dyDescent="0.2">
      <c r="A246" s="36" t="s">
        <v>523</v>
      </c>
      <c r="B246" s="36" t="s">
        <v>162</v>
      </c>
      <c r="C246" s="37">
        <f ca="1">_xlfn.IFNA(VLOOKUP($A246,INDIRECT("'W"&amp;C$1&amp;"'!$A$2:$T$1000"),4,FALSE),0)</f>
        <v>0</v>
      </c>
      <c r="D246" s="37">
        <f ca="1">_xlfn.IFNA(VLOOKUP($A246,INDIRECT("'W"&amp;D$1&amp;"'!$A$2:$T$1000"),4,FALSE),0)</f>
        <v>0</v>
      </c>
      <c r="E246" s="37">
        <f ca="1">_xlfn.IFNA(VLOOKUP($A246,INDIRECT("'W"&amp;E$1&amp;"'!$A$2:$T$1000"),4,FALSE),0)</f>
        <v>0</v>
      </c>
      <c r="F246" s="37">
        <f ca="1">_xlfn.IFNA(VLOOKUP($A246,INDIRECT("'W"&amp;F$1&amp;"'!$A$2:$T$1000"),4,FALSE),0)</f>
        <v>0</v>
      </c>
      <c r="G246" s="37">
        <f ca="1">_xlfn.IFNA(VLOOKUP($A246,INDIRECT("'W"&amp;G$1&amp;"'!$A$2:$T$1000"),4,FALSE),0)</f>
        <v>2.2000000000000002</v>
      </c>
      <c r="H246" s="37">
        <f ca="1">_xlfn.IFNA(VLOOKUP($A246,INDIRECT("'W"&amp;H$1&amp;"'!$A$2:$T$1000"),4,FALSE),0)</f>
        <v>13.3</v>
      </c>
      <c r="I246" s="37">
        <f ca="1">_xlfn.IFNA(VLOOKUP($A246,INDIRECT("'W"&amp;I$1&amp;"'!$A$2:$T$1000"),4,FALSE),0)</f>
        <v>0</v>
      </c>
      <c r="J246" s="37">
        <f ca="1">_xlfn.IFNA(VLOOKUP($A246,INDIRECT("'W"&amp;J$1&amp;"'!$A$2:$T$1000"),4,FALSE),0)</f>
        <v>3.6</v>
      </c>
      <c r="K246" s="37">
        <f ca="1">_xlfn.IFNA(VLOOKUP($A246,INDIRECT("'W"&amp;K$1&amp;"'!$A$2:$T$1000"),4,FALSE),0)</f>
        <v>0</v>
      </c>
      <c r="L246" s="37">
        <f ca="1">_xlfn.IFNA(VLOOKUP($A246,INDIRECT("'W"&amp;L$1&amp;"'!$A$2:$T$1000"),4,FALSE),0)</f>
        <v>3.8</v>
      </c>
      <c r="M246" s="37">
        <f ca="1">_xlfn.IFNA(VLOOKUP($A246,INDIRECT("'W"&amp;M$1&amp;"'!$A$2:$T$1000"),4,FALSE),0)</f>
        <v>12.4</v>
      </c>
      <c r="N246" s="37">
        <f ca="1">_xlfn.IFNA(VLOOKUP($A246,INDIRECT("'W"&amp;N$1&amp;"'!$A$2:$T$1000"),4,FALSE),0)</f>
        <v>7.1000000000000005</v>
      </c>
      <c r="O246" s="37">
        <f ca="1">_xlfn.IFNA(VLOOKUP($A246,INDIRECT("'W"&amp;O$1&amp;"'!$A$2:$T$1000"),4,FALSE),0)</f>
        <v>10</v>
      </c>
      <c r="P246" s="37">
        <f ca="1">_xlfn.IFNA(VLOOKUP($A246,INDIRECT("'W"&amp;P$1&amp;"'!$A$2:$T$1000"),4,FALSE),0)</f>
        <v>0.4</v>
      </c>
      <c r="Q246" s="37">
        <f ca="1">_xlfn.IFNA(VLOOKUP($A246,INDIRECT("'W"&amp;Q$1&amp;"'!$A$2:$T$1000"),4,FALSE),0)</f>
        <v>8.6999999999999993</v>
      </c>
      <c r="R246" s="37">
        <f ca="1">_xlfn.IFNA(VLOOKUP($A246,INDIRECT("'W"&amp;R$1&amp;"'!$A$2:$T$1000"),4,FALSE),0)</f>
        <v>9.3000000000000007</v>
      </c>
      <c r="S246" s="37">
        <f ca="1">_xlfn.IFNA(VLOOKUP($A246,INDIRECT("'W"&amp;S$1&amp;"'!$A$2:$T$1000"),4,FALSE),0)</f>
        <v>9.5</v>
      </c>
      <c r="T246" s="37">
        <f ca="1">_xlfn.IFNA(VLOOKUP($A246,INDIRECT("'W"&amp;T$1&amp;"'!$A$2:$T$1000"),4,FALSE),0)</f>
        <v>0</v>
      </c>
      <c r="U246" s="36">
        <f ca="1">COUNTIF(C246:T246,"&gt; 15")</f>
        <v>0</v>
      </c>
      <c r="V246" s="36">
        <f ca="1">SUM(C246:T246)</f>
        <v>80.3</v>
      </c>
      <c r="W246" s="36"/>
      <c r="X246" s="38"/>
    </row>
    <row r="247" spans="1:24" ht="12.75" x14ac:dyDescent="0.2">
      <c r="A247" s="36" t="s">
        <v>429</v>
      </c>
      <c r="B247" s="36" t="s">
        <v>69</v>
      </c>
      <c r="C247" s="37">
        <f ca="1">_xlfn.IFNA(VLOOKUP($A247,INDIRECT("'W"&amp;C$1&amp;"'!$A$2:$T$1000"),4,FALSE),0)</f>
        <v>0</v>
      </c>
      <c r="D247" s="37">
        <f ca="1">_xlfn.IFNA(VLOOKUP($A247,INDIRECT("'W"&amp;D$1&amp;"'!$A$2:$T$1000"),4,FALSE),0)</f>
        <v>0</v>
      </c>
      <c r="E247" s="37">
        <f ca="1">_xlfn.IFNA(VLOOKUP($A247,INDIRECT("'W"&amp;E$1&amp;"'!$A$2:$T$1000"),4,FALSE),0)</f>
        <v>5</v>
      </c>
      <c r="F247" s="37">
        <f ca="1">_xlfn.IFNA(VLOOKUP($A247,INDIRECT("'W"&amp;F$1&amp;"'!$A$2:$T$1000"),4,FALSE),0)</f>
        <v>3.8</v>
      </c>
      <c r="G247" s="37">
        <f ca="1">_xlfn.IFNA(VLOOKUP($A247,INDIRECT("'W"&amp;G$1&amp;"'!$A$2:$T$1000"),4,FALSE),0)</f>
        <v>0</v>
      </c>
      <c r="H247" s="37">
        <f ca="1">_xlfn.IFNA(VLOOKUP($A247,INDIRECT("'W"&amp;H$1&amp;"'!$A$2:$T$1000"),4,FALSE),0)</f>
        <v>0</v>
      </c>
      <c r="I247" s="37">
        <f ca="1">_xlfn.IFNA(VLOOKUP($A247,INDIRECT("'W"&amp;I$1&amp;"'!$A$2:$T$1000"),4,FALSE),0)</f>
        <v>0</v>
      </c>
      <c r="J247" s="37">
        <f ca="1">_xlfn.IFNA(VLOOKUP($A247,INDIRECT("'W"&amp;J$1&amp;"'!$A$2:$T$1000"),4,FALSE),0)</f>
        <v>0</v>
      </c>
      <c r="K247" s="37">
        <f ca="1">_xlfn.IFNA(VLOOKUP($A247,INDIRECT("'W"&amp;K$1&amp;"'!$A$2:$T$1000"),4,FALSE),0)</f>
        <v>8.5</v>
      </c>
      <c r="L247" s="37">
        <f ca="1">_xlfn.IFNA(VLOOKUP($A247,INDIRECT("'W"&amp;L$1&amp;"'!$A$2:$T$1000"),4,FALSE),0)</f>
        <v>9.3000000000000007</v>
      </c>
      <c r="M247" s="37">
        <f ca="1">_xlfn.IFNA(VLOOKUP($A247,INDIRECT("'W"&amp;M$1&amp;"'!$A$2:$T$1000"),4,FALSE),0)</f>
        <v>8.9</v>
      </c>
      <c r="N247" s="37">
        <f ca="1">_xlfn.IFNA(VLOOKUP($A247,INDIRECT("'W"&amp;N$1&amp;"'!$A$2:$T$1000"),4,FALSE),0)</f>
        <v>5.8</v>
      </c>
      <c r="O247" s="37">
        <f ca="1">_xlfn.IFNA(VLOOKUP($A247,INDIRECT("'W"&amp;O$1&amp;"'!$A$2:$T$1000"),4,FALSE),0)</f>
        <v>7.5</v>
      </c>
      <c r="P247" s="37">
        <f ca="1">_xlfn.IFNA(VLOOKUP($A247,INDIRECT("'W"&amp;P$1&amp;"'!$A$2:$T$1000"),4,FALSE),0)</f>
        <v>10.1</v>
      </c>
      <c r="Q247" s="37">
        <f ca="1">_xlfn.IFNA(VLOOKUP($A247,INDIRECT("'W"&amp;Q$1&amp;"'!$A$2:$T$1000"),4,FALSE),0)</f>
        <v>9.9</v>
      </c>
      <c r="R247" s="37">
        <f ca="1">_xlfn.IFNA(VLOOKUP($A247,INDIRECT("'W"&amp;R$1&amp;"'!$A$2:$T$1000"),4,FALSE),0)</f>
        <v>1.5</v>
      </c>
      <c r="S247" s="37">
        <f ca="1">_xlfn.IFNA(VLOOKUP($A247,INDIRECT("'W"&amp;S$1&amp;"'!$A$2:$T$1000"),4,FALSE),0)</f>
        <v>6.8000000000000007</v>
      </c>
      <c r="T247" s="37">
        <f ca="1">_xlfn.IFNA(VLOOKUP($A247,INDIRECT("'W"&amp;T$1&amp;"'!$A$2:$T$1000"),4,FALSE),0)</f>
        <v>3.1</v>
      </c>
      <c r="U247" s="36">
        <f ca="1">COUNTIF(C247:T247,"&gt; 15")</f>
        <v>0</v>
      </c>
      <c r="V247" s="36">
        <f ca="1">SUM(C247:T247)</f>
        <v>80.199999999999989</v>
      </c>
      <c r="W247" s="36"/>
      <c r="X247" s="38"/>
    </row>
    <row r="248" spans="1:24" ht="12.75" x14ac:dyDescent="0.2">
      <c r="A248" s="36" t="s">
        <v>64</v>
      </c>
      <c r="B248" s="36" t="s">
        <v>17</v>
      </c>
      <c r="C248" s="37">
        <f ca="1">_xlfn.IFNA(VLOOKUP($A248,INDIRECT("'W"&amp;C$1&amp;"'!$A$2:$T$1000"),4,FALSE),0)</f>
        <v>2.42</v>
      </c>
      <c r="D248" s="37">
        <f ca="1">_xlfn.IFNA(VLOOKUP($A248,INDIRECT("'W"&amp;D$1&amp;"'!$A$2:$T$1000"),4,FALSE),0)</f>
        <v>21.04</v>
      </c>
      <c r="E248" s="37">
        <f ca="1">_xlfn.IFNA(VLOOKUP($A248,INDIRECT("'W"&amp;E$1&amp;"'!$A$2:$T$1000"),4,FALSE),0)</f>
        <v>4.16</v>
      </c>
      <c r="F248" s="37">
        <f ca="1">_xlfn.IFNA(VLOOKUP($A248,INDIRECT("'W"&amp;F$1&amp;"'!$A$2:$T$1000"),4,FALSE),0)</f>
        <v>12.7</v>
      </c>
      <c r="G248" s="37">
        <f ca="1">_xlfn.IFNA(VLOOKUP($A248,INDIRECT("'W"&amp;G$1&amp;"'!$A$2:$T$1000"),4,FALSE),0)</f>
        <v>9.7600000000000016</v>
      </c>
      <c r="H248" s="37">
        <f ca="1">_xlfn.IFNA(VLOOKUP($A248,INDIRECT("'W"&amp;H$1&amp;"'!$A$2:$T$1000"),4,FALSE),0)</f>
        <v>1.04</v>
      </c>
      <c r="I248" s="37">
        <f ca="1">_xlfn.IFNA(VLOOKUP($A248,INDIRECT("'W"&amp;I$1&amp;"'!$A$2:$T$1000"),4,FALSE),0)</f>
        <v>0</v>
      </c>
      <c r="J248" s="37">
        <f ca="1">_xlfn.IFNA(VLOOKUP($A248,INDIRECT("'W"&amp;J$1&amp;"'!$A$2:$T$1000"),4,FALSE),0)</f>
        <v>0</v>
      </c>
      <c r="K248" s="37">
        <f ca="1">_xlfn.IFNA(VLOOKUP($A248,INDIRECT("'W"&amp;K$1&amp;"'!$A$2:$T$1000"),4,FALSE),0)</f>
        <v>0</v>
      </c>
      <c r="L248" s="37">
        <f ca="1">_xlfn.IFNA(VLOOKUP($A248,INDIRECT("'W"&amp;L$1&amp;"'!$A$2:$T$1000"),4,FALSE),0)</f>
        <v>0</v>
      </c>
      <c r="M248" s="37">
        <f ca="1">_xlfn.IFNA(VLOOKUP($A248,INDIRECT("'W"&amp;M$1&amp;"'!$A$2:$T$1000"),4,FALSE),0)</f>
        <v>0</v>
      </c>
      <c r="N248" s="37">
        <f ca="1">_xlfn.IFNA(VLOOKUP($A248,INDIRECT("'W"&amp;N$1&amp;"'!$A$2:$T$1000"),4,FALSE),0)</f>
        <v>0</v>
      </c>
      <c r="O248" s="37">
        <f ca="1">_xlfn.IFNA(VLOOKUP($A248,INDIRECT("'W"&amp;O$1&amp;"'!$A$2:$T$1000"),4,FALSE),0)</f>
        <v>0</v>
      </c>
      <c r="P248" s="37">
        <f ca="1">_xlfn.IFNA(VLOOKUP($A248,INDIRECT("'W"&amp;P$1&amp;"'!$A$2:$T$1000"),4,FALSE),0)</f>
        <v>0</v>
      </c>
      <c r="Q248" s="37">
        <f ca="1">_xlfn.IFNA(VLOOKUP($A248,INDIRECT("'W"&amp;Q$1&amp;"'!$A$2:$T$1000"),4,FALSE),0)</f>
        <v>0</v>
      </c>
      <c r="R248" s="37">
        <f ca="1">_xlfn.IFNA(VLOOKUP($A248,INDIRECT("'W"&amp;R$1&amp;"'!$A$2:$T$1000"),4,FALSE),0)</f>
        <v>9.7800000000000011</v>
      </c>
      <c r="S248" s="37">
        <f ca="1">_xlfn.IFNA(VLOOKUP($A248,INDIRECT("'W"&amp;S$1&amp;"'!$A$2:$T$1000"),4,FALSE),0)</f>
        <v>6.72</v>
      </c>
      <c r="T248" s="37">
        <f ca="1">_xlfn.IFNA(VLOOKUP($A248,INDIRECT("'W"&amp;T$1&amp;"'!$A$2:$T$1000"),4,FALSE),0)</f>
        <v>12.419999999999998</v>
      </c>
      <c r="U248" s="36">
        <f ca="1">COUNTIF(C248:T248,"&gt; 15")</f>
        <v>1</v>
      </c>
      <c r="V248" s="36">
        <f ca="1">SUM(C248:T248)</f>
        <v>80.040000000000006</v>
      </c>
      <c r="W248" s="36"/>
      <c r="X248" s="38"/>
    </row>
    <row r="249" spans="1:24" ht="12.75" x14ac:dyDescent="0.2">
      <c r="A249" s="36" t="s">
        <v>897</v>
      </c>
      <c r="B249" s="36" t="s">
        <v>851</v>
      </c>
      <c r="C249" s="37">
        <v>11</v>
      </c>
      <c r="D249" s="37">
        <v>6</v>
      </c>
      <c r="E249" s="37">
        <v>14</v>
      </c>
      <c r="F249" s="37">
        <v>3</v>
      </c>
      <c r="G249" s="37">
        <v>7</v>
      </c>
      <c r="H249" s="37">
        <v>7</v>
      </c>
      <c r="I249" s="37">
        <v>11</v>
      </c>
      <c r="J249" s="37">
        <v>-3</v>
      </c>
      <c r="K249" s="37">
        <v>4</v>
      </c>
      <c r="L249" s="37">
        <v>0</v>
      </c>
      <c r="M249" s="37">
        <v>6</v>
      </c>
      <c r="N249" s="37">
        <v>-2</v>
      </c>
      <c r="O249" s="37">
        <v>-6</v>
      </c>
      <c r="P249" s="37">
        <v>9</v>
      </c>
      <c r="Q249" s="37">
        <v>4</v>
      </c>
      <c r="R249" s="37">
        <v>5</v>
      </c>
      <c r="S249" s="37">
        <v>3</v>
      </c>
      <c r="T249" s="37">
        <v>1</v>
      </c>
      <c r="U249" s="36">
        <f>COUNTIF(C249:T249,"&gt; 9")</f>
        <v>3</v>
      </c>
      <c r="V249" s="36">
        <f>SUM(C249:T249)</f>
        <v>80</v>
      </c>
      <c r="W249" s="36"/>
      <c r="X249" s="38">
        <v>101</v>
      </c>
    </row>
    <row r="250" spans="1:24" ht="12.75" x14ac:dyDescent="0.2">
      <c r="A250" s="36" t="s">
        <v>898</v>
      </c>
      <c r="B250" s="36" t="s">
        <v>851</v>
      </c>
      <c r="C250" s="37">
        <v>-2</v>
      </c>
      <c r="D250" s="37">
        <v>10</v>
      </c>
      <c r="E250" s="37">
        <v>2</v>
      </c>
      <c r="F250" s="37">
        <v>29</v>
      </c>
      <c r="G250" s="37">
        <v>0</v>
      </c>
      <c r="H250" s="37">
        <v>8</v>
      </c>
      <c r="I250" s="37">
        <v>9</v>
      </c>
      <c r="J250" s="37">
        <v>8</v>
      </c>
      <c r="K250" s="37">
        <v>-4</v>
      </c>
      <c r="L250" s="37">
        <v>4</v>
      </c>
      <c r="M250" s="37">
        <v>6</v>
      </c>
      <c r="N250" s="37">
        <v>7</v>
      </c>
      <c r="O250" s="37">
        <v>-2</v>
      </c>
      <c r="P250" s="37">
        <v>0</v>
      </c>
      <c r="Q250" s="37">
        <v>5</v>
      </c>
      <c r="R250" s="37">
        <v>9</v>
      </c>
      <c r="S250" s="37">
        <v>-5</v>
      </c>
      <c r="T250" s="37">
        <v>-4</v>
      </c>
      <c r="U250" s="36">
        <f>COUNTIF(C250:T250,"&gt; 9")</f>
        <v>2</v>
      </c>
      <c r="V250" s="36">
        <f>SUM(C250:T250)</f>
        <v>80</v>
      </c>
      <c r="W250" s="36"/>
      <c r="X250" s="38"/>
    </row>
    <row r="251" spans="1:24" ht="12.75" x14ac:dyDescent="0.2">
      <c r="A251" s="36" t="s">
        <v>274</v>
      </c>
      <c r="B251" s="36" t="s">
        <v>69</v>
      </c>
      <c r="C251" s="37">
        <f ca="1">_xlfn.IFNA(VLOOKUP($A251,INDIRECT("'W"&amp;C$1&amp;"'!$A$2:$T$1000"),4,FALSE),0)</f>
        <v>11.2</v>
      </c>
      <c r="D251" s="37">
        <f ca="1">_xlfn.IFNA(VLOOKUP($A251,INDIRECT("'W"&amp;D$1&amp;"'!$A$2:$T$1000"),4,FALSE),0)</f>
        <v>1.7000000000000002</v>
      </c>
      <c r="E251" s="37">
        <f ca="1">_xlfn.IFNA(VLOOKUP($A251,INDIRECT("'W"&amp;E$1&amp;"'!$A$2:$T$1000"),4,FALSE),0)</f>
        <v>14.4</v>
      </c>
      <c r="F251" s="37">
        <f ca="1">_xlfn.IFNA(VLOOKUP($A251,INDIRECT("'W"&amp;F$1&amp;"'!$A$2:$T$1000"),4,FALSE),0)</f>
        <v>0</v>
      </c>
      <c r="G251" s="37">
        <f ca="1">_xlfn.IFNA(VLOOKUP($A251,INDIRECT("'W"&amp;G$1&amp;"'!$A$2:$T$1000"),4,FALSE),0)</f>
        <v>0</v>
      </c>
      <c r="H251" s="37">
        <f ca="1">_xlfn.IFNA(VLOOKUP($A251,INDIRECT("'W"&amp;H$1&amp;"'!$A$2:$T$1000"),4,FALSE),0)</f>
        <v>3.9000000000000004</v>
      </c>
      <c r="I251" s="37">
        <f ca="1">_xlfn.IFNA(VLOOKUP($A251,INDIRECT("'W"&amp;I$1&amp;"'!$A$2:$T$1000"),4,FALSE),0)</f>
        <v>1.9</v>
      </c>
      <c r="J251" s="37">
        <f ca="1">_xlfn.IFNA(VLOOKUP($A251,INDIRECT("'W"&amp;J$1&amp;"'!$A$2:$T$1000"),4,FALSE),0)</f>
        <v>14.3</v>
      </c>
      <c r="K251" s="37">
        <f ca="1">_xlfn.IFNA(VLOOKUP($A251,INDIRECT("'W"&amp;K$1&amp;"'!$A$2:$T$1000"),4,FALSE),0)</f>
        <v>0</v>
      </c>
      <c r="L251" s="37">
        <f ca="1">_xlfn.IFNA(VLOOKUP($A251,INDIRECT("'W"&amp;L$1&amp;"'!$A$2:$T$1000"),4,FALSE),0)</f>
        <v>3.8</v>
      </c>
      <c r="M251" s="37">
        <f ca="1">_xlfn.IFNA(VLOOKUP($A251,INDIRECT("'W"&amp;M$1&amp;"'!$A$2:$T$1000"),4,FALSE),0)</f>
        <v>9.6999999999999993</v>
      </c>
      <c r="N251" s="37">
        <f ca="1">_xlfn.IFNA(VLOOKUP($A251,INDIRECT("'W"&amp;N$1&amp;"'!$A$2:$T$1000"),4,FALSE),0)</f>
        <v>0</v>
      </c>
      <c r="O251" s="37">
        <f ca="1">_xlfn.IFNA(VLOOKUP($A251,INDIRECT("'W"&amp;O$1&amp;"'!$A$2:$T$1000"),4,FALSE),0)</f>
        <v>3.2</v>
      </c>
      <c r="P251" s="37">
        <f ca="1">_xlfn.IFNA(VLOOKUP($A251,INDIRECT("'W"&amp;P$1&amp;"'!$A$2:$T$1000"),4,FALSE),0)</f>
        <v>2.1</v>
      </c>
      <c r="Q251" s="37">
        <f ca="1">_xlfn.IFNA(VLOOKUP($A251,INDIRECT("'W"&amp;Q$1&amp;"'!$A$2:$T$1000"),4,FALSE),0)</f>
        <v>0</v>
      </c>
      <c r="R251" s="37">
        <f ca="1">_xlfn.IFNA(VLOOKUP($A251,INDIRECT("'W"&amp;R$1&amp;"'!$A$2:$T$1000"),4,FALSE),0)</f>
        <v>0</v>
      </c>
      <c r="S251" s="37">
        <f ca="1">_xlfn.IFNA(VLOOKUP($A251,INDIRECT("'W"&amp;S$1&amp;"'!$A$2:$T$1000"),4,FALSE),0)</f>
        <v>0</v>
      </c>
      <c r="T251" s="37">
        <f ca="1">_xlfn.IFNA(VLOOKUP($A251,INDIRECT("'W"&amp;T$1&amp;"'!$A$2:$T$1000"),4,FALSE),0)</f>
        <v>13.3</v>
      </c>
      <c r="U251" s="36">
        <f ca="1">COUNTIF(C251:T251,"&gt; 15")</f>
        <v>0</v>
      </c>
      <c r="V251" s="36">
        <f ca="1">SUM(C251:T251)</f>
        <v>79.499999999999986</v>
      </c>
      <c r="W251" s="36"/>
      <c r="X251" s="38"/>
    </row>
    <row r="252" spans="1:24" ht="12.75" x14ac:dyDescent="0.2">
      <c r="A252" s="36" t="s">
        <v>181</v>
      </c>
      <c r="B252" s="36" t="s">
        <v>162</v>
      </c>
      <c r="C252" s="37">
        <f ca="1">_xlfn.IFNA(VLOOKUP($A252,INDIRECT("'W"&amp;C$1&amp;"'!$A$2:$T$1000"),4,FALSE),0)</f>
        <v>15.3</v>
      </c>
      <c r="D252" s="37">
        <f ca="1">_xlfn.IFNA(VLOOKUP($A252,INDIRECT("'W"&amp;D$1&amp;"'!$A$2:$T$1000"),4,FALSE),0)</f>
        <v>0</v>
      </c>
      <c r="E252" s="37">
        <f ca="1">_xlfn.IFNA(VLOOKUP($A252,INDIRECT("'W"&amp;E$1&amp;"'!$A$2:$T$1000"),4,FALSE),0)</f>
        <v>0</v>
      </c>
      <c r="F252" s="37">
        <f ca="1">_xlfn.IFNA(VLOOKUP($A252,INDIRECT("'W"&amp;F$1&amp;"'!$A$2:$T$1000"),4,FALSE),0)</f>
        <v>9.1000000000000014</v>
      </c>
      <c r="G252" s="37">
        <f ca="1">_xlfn.IFNA(VLOOKUP($A252,INDIRECT("'W"&amp;G$1&amp;"'!$A$2:$T$1000"),4,FALSE),0)</f>
        <v>0</v>
      </c>
      <c r="H252" s="37">
        <f ca="1">_xlfn.IFNA(VLOOKUP($A252,INDIRECT("'W"&amp;H$1&amp;"'!$A$2:$T$1000"),4,FALSE),0)</f>
        <v>6.8000000000000007</v>
      </c>
      <c r="I252" s="37">
        <f ca="1">_xlfn.IFNA(VLOOKUP($A252,INDIRECT("'W"&amp;I$1&amp;"'!$A$2:$T$1000"),4,FALSE),0)</f>
        <v>7.4</v>
      </c>
      <c r="J252" s="37">
        <f ca="1">_xlfn.IFNA(VLOOKUP($A252,INDIRECT("'W"&amp;J$1&amp;"'!$A$2:$T$1000"),4,FALSE),0)</f>
        <v>5.4</v>
      </c>
      <c r="K252" s="37">
        <f ca="1">_xlfn.IFNA(VLOOKUP($A252,INDIRECT("'W"&amp;K$1&amp;"'!$A$2:$T$1000"),4,FALSE),0)</f>
        <v>13.200000000000001</v>
      </c>
      <c r="L252" s="37">
        <f ca="1">_xlfn.IFNA(VLOOKUP($A252,INDIRECT("'W"&amp;L$1&amp;"'!$A$2:$T$1000"),4,FALSE),0)</f>
        <v>3.4000000000000004</v>
      </c>
      <c r="M252" s="37">
        <f ca="1">_xlfn.IFNA(VLOOKUP($A252,INDIRECT("'W"&amp;M$1&amp;"'!$A$2:$T$1000"),4,FALSE),0)</f>
        <v>3.4000000000000004</v>
      </c>
      <c r="N252" s="37">
        <f ca="1">_xlfn.IFNA(VLOOKUP($A252,INDIRECT("'W"&amp;N$1&amp;"'!$A$2:$T$1000"),4,FALSE),0)</f>
        <v>2.6</v>
      </c>
      <c r="O252" s="37">
        <f ca="1">_xlfn.IFNA(VLOOKUP($A252,INDIRECT("'W"&amp;O$1&amp;"'!$A$2:$T$1000"),4,FALSE),0)</f>
        <v>0</v>
      </c>
      <c r="P252" s="37">
        <f ca="1">_xlfn.IFNA(VLOOKUP($A252,INDIRECT("'W"&amp;P$1&amp;"'!$A$2:$T$1000"),4,FALSE),0)</f>
        <v>6.4</v>
      </c>
      <c r="Q252" s="37">
        <f ca="1">_xlfn.IFNA(VLOOKUP($A252,INDIRECT("'W"&amp;Q$1&amp;"'!$A$2:$T$1000"),4,FALSE),0)</f>
        <v>3.4000000000000004</v>
      </c>
      <c r="R252" s="37">
        <f ca="1">_xlfn.IFNA(VLOOKUP($A252,INDIRECT("'W"&amp;R$1&amp;"'!$A$2:$T$1000"),4,FALSE),0)</f>
        <v>2.5</v>
      </c>
      <c r="S252" s="37">
        <f ca="1">_xlfn.IFNA(VLOOKUP($A252,INDIRECT("'W"&amp;S$1&amp;"'!$A$2:$T$1000"),4,FALSE),0)</f>
        <v>0</v>
      </c>
      <c r="T252" s="37">
        <f ca="1">_xlfn.IFNA(VLOOKUP($A252,INDIRECT("'W"&amp;T$1&amp;"'!$A$2:$T$1000"),4,FALSE),0)</f>
        <v>0</v>
      </c>
      <c r="U252" s="36">
        <f ca="1">COUNTIF(C252:T252,"&gt; 15")</f>
        <v>1</v>
      </c>
      <c r="V252" s="36">
        <f ca="1">SUM(C252:T252)</f>
        <v>78.900000000000006</v>
      </c>
      <c r="W252" s="36"/>
      <c r="X252" s="38"/>
    </row>
    <row r="253" spans="1:24" ht="12.75" x14ac:dyDescent="0.2">
      <c r="A253" s="36" t="s">
        <v>486</v>
      </c>
      <c r="B253" s="36" t="s">
        <v>69</v>
      </c>
      <c r="C253" s="37">
        <f ca="1">_xlfn.IFNA(VLOOKUP($A253,INDIRECT("'W"&amp;C$1&amp;"'!$A$2:$T$1000"),4,FALSE),0)</f>
        <v>0</v>
      </c>
      <c r="D253" s="37">
        <f ca="1">_xlfn.IFNA(VLOOKUP($A253,INDIRECT("'W"&amp;D$1&amp;"'!$A$2:$T$1000"),4,FALSE),0)</f>
        <v>0</v>
      </c>
      <c r="E253" s="37">
        <f ca="1">_xlfn.IFNA(VLOOKUP($A253,INDIRECT("'W"&amp;E$1&amp;"'!$A$2:$T$1000"),4,FALSE),0)</f>
        <v>0</v>
      </c>
      <c r="F253" s="37">
        <f ca="1">_xlfn.IFNA(VLOOKUP($A253,INDIRECT("'W"&amp;F$1&amp;"'!$A$2:$T$1000"),4,FALSE),0)</f>
        <v>2.5</v>
      </c>
      <c r="G253" s="37">
        <f ca="1">_xlfn.IFNA(VLOOKUP($A253,INDIRECT("'W"&amp;G$1&amp;"'!$A$2:$T$1000"),4,FALSE),0)</f>
        <v>0</v>
      </c>
      <c r="H253" s="37">
        <f ca="1">_xlfn.IFNA(VLOOKUP($A253,INDIRECT("'W"&amp;H$1&amp;"'!$A$2:$T$1000"),4,FALSE),0)</f>
        <v>0</v>
      </c>
      <c r="I253" s="37">
        <f ca="1">_xlfn.IFNA(VLOOKUP($A253,INDIRECT("'W"&amp;I$1&amp;"'!$A$2:$T$1000"),4,FALSE),0)</f>
        <v>0</v>
      </c>
      <c r="J253" s="37">
        <f ca="1">_xlfn.IFNA(VLOOKUP($A253,INDIRECT("'W"&amp;J$1&amp;"'!$A$2:$T$1000"),4,FALSE),0)</f>
        <v>0</v>
      </c>
      <c r="K253" s="37">
        <f ca="1">_xlfn.IFNA(VLOOKUP($A253,INDIRECT("'W"&amp;K$1&amp;"'!$A$2:$T$1000"),4,FALSE),0)</f>
        <v>0</v>
      </c>
      <c r="L253" s="37">
        <f ca="1">_xlfn.IFNA(VLOOKUP($A253,INDIRECT("'W"&amp;L$1&amp;"'!$A$2:$T$1000"),4,FALSE),0)</f>
        <v>1.6</v>
      </c>
      <c r="M253" s="37">
        <f ca="1">_xlfn.IFNA(VLOOKUP($A253,INDIRECT("'W"&amp;M$1&amp;"'!$A$2:$T$1000"),4,FALSE),0)</f>
        <v>5.2</v>
      </c>
      <c r="N253" s="37">
        <f ca="1">_xlfn.IFNA(VLOOKUP($A253,INDIRECT("'W"&amp;N$1&amp;"'!$A$2:$T$1000"),4,FALSE),0)</f>
        <v>9.5</v>
      </c>
      <c r="O253" s="37">
        <f ca="1">_xlfn.IFNA(VLOOKUP($A253,INDIRECT("'W"&amp;O$1&amp;"'!$A$2:$T$1000"),4,FALSE),0)</f>
        <v>6.7</v>
      </c>
      <c r="P253" s="37">
        <f ca="1">_xlfn.IFNA(VLOOKUP($A253,INDIRECT("'W"&amp;P$1&amp;"'!$A$2:$T$1000"),4,FALSE),0)</f>
        <v>10.4</v>
      </c>
      <c r="Q253" s="37">
        <f ca="1">_xlfn.IFNA(VLOOKUP($A253,INDIRECT("'W"&amp;Q$1&amp;"'!$A$2:$T$1000"),4,FALSE),0)</f>
        <v>15.7</v>
      </c>
      <c r="R253" s="37">
        <f ca="1">_xlfn.IFNA(VLOOKUP($A253,INDIRECT("'W"&amp;R$1&amp;"'!$A$2:$T$1000"),4,FALSE),0)</f>
        <v>10</v>
      </c>
      <c r="S253" s="37">
        <f ca="1">_xlfn.IFNA(VLOOKUP($A253,INDIRECT("'W"&amp;S$1&amp;"'!$A$2:$T$1000"),4,FALSE),0)</f>
        <v>10.8</v>
      </c>
      <c r="T253" s="37">
        <f ca="1">_xlfn.IFNA(VLOOKUP($A253,INDIRECT("'W"&amp;T$1&amp;"'!$A$2:$T$1000"),4,FALSE),0)</f>
        <v>6.1</v>
      </c>
      <c r="U253" s="36">
        <f ca="1">COUNTIF(C253:T253,"&gt; 15")</f>
        <v>1</v>
      </c>
      <c r="V253" s="36">
        <f ca="1">SUM(C253:T253)</f>
        <v>78.499999999999986</v>
      </c>
      <c r="W253" s="36"/>
      <c r="X253" s="38"/>
    </row>
    <row r="254" spans="1:24" ht="12.75" x14ac:dyDescent="0.2">
      <c r="A254" s="36" t="s">
        <v>180</v>
      </c>
      <c r="B254" s="36" t="s">
        <v>162</v>
      </c>
      <c r="C254" s="37">
        <f ca="1">_xlfn.IFNA(VLOOKUP($A254,INDIRECT("'W"&amp;C$1&amp;"'!$A$2:$T$1000"),4,FALSE),0)</f>
        <v>16.5</v>
      </c>
      <c r="D254" s="37">
        <f ca="1">_xlfn.IFNA(VLOOKUP($A254,INDIRECT("'W"&amp;D$1&amp;"'!$A$2:$T$1000"),4,FALSE),0)</f>
        <v>0</v>
      </c>
      <c r="E254" s="37">
        <f ca="1">_xlfn.IFNA(VLOOKUP($A254,INDIRECT("'W"&amp;E$1&amp;"'!$A$2:$T$1000"),4,FALSE),0)</f>
        <v>0</v>
      </c>
      <c r="F254" s="37">
        <f ca="1">_xlfn.IFNA(VLOOKUP($A254,INDIRECT("'W"&amp;F$1&amp;"'!$A$2:$T$1000"),4,FALSE),0)</f>
        <v>0</v>
      </c>
      <c r="G254" s="37">
        <f ca="1">_xlfn.IFNA(VLOOKUP($A254,INDIRECT("'W"&amp;G$1&amp;"'!$A$2:$T$1000"),4,FALSE),0)</f>
        <v>11.3</v>
      </c>
      <c r="H254" s="37">
        <f ca="1">_xlfn.IFNA(VLOOKUP($A254,INDIRECT("'W"&amp;H$1&amp;"'!$A$2:$T$1000"),4,FALSE),0)</f>
        <v>0</v>
      </c>
      <c r="I254" s="37">
        <f ca="1">_xlfn.IFNA(VLOOKUP($A254,INDIRECT("'W"&amp;I$1&amp;"'!$A$2:$T$1000"),4,FALSE),0)</f>
        <v>0</v>
      </c>
      <c r="J254" s="37">
        <f ca="1">_xlfn.IFNA(VLOOKUP($A254,INDIRECT("'W"&amp;J$1&amp;"'!$A$2:$T$1000"),4,FALSE),0)</f>
        <v>0</v>
      </c>
      <c r="K254" s="37">
        <f ca="1">_xlfn.IFNA(VLOOKUP($A254,INDIRECT("'W"&amp;K$1&amp;"'!$A$2:$T$1000"),4,FALSE),0)</f>
        <v>0</v>
      </c>
      <c r="L254" s="37">
        <f ca="1">_xlfn.IFNA(VLOOKUP($A254,INDIRECT("'W"&amp;L$1&amp;"'!$A$2:$T$1000"),4,FALSE),0)</f>
        <v>0</v>
      </c>
      <c r="M254" s="37">
        <f ca="1">_xlfn.IFNA(VLOOKUP($A254,INDIRECT("'W"&amp;M$1&amp;"'!$A$2:$T$1000"),4,FALSE),0)</f>
        <v>6</v>
      </c>
      <c r="N254" s="37">
        <f ca="1">_xlfn.IFNA(VLOOKUP($A254,INDIRECT("'W"&amp;N$1&amp;"'!$A$2:$T$1000"),4,FALSE),0)</f>
        <v>2</v>
      </c>
      <c r="O254" s="37">
        <f ca="1">_xlfn.IFNA(VLOOKUP($A254,INDIRECT("'W"&amp;O$1&amp;"'!$A$2:$T$1000"),4,FALSE),0)</f>
        <v>12.8</v>
      </c>
      <c r="P254" s="37">
        <f ca="1">_xlfn.IFNA(VLOOKUP($A254,INDIRECT("'W"&amp;P$1&amp;"'!$A$2:$T$1000"),4,FALSE),0)</f>
        <v>7.9</v>
      </c>
      <c r="Q254" s="37">
        <f ca="1">_xlfn.IFNA(VLOOKUP($A254,INDIRECT("'W"&amp;Q$1&amp;"'!$A$2:$T$1000"),4,FALSE),0)</f>
        <v>10.9</v>
      </c>
      <c r="R254" s="37">
        <f ca="1">_xlfn.IFNA(VLOOKUP($A254,INDIRECT("'W"&amp;R$1&amp;"'!$A$2:$T$1000"),4,FALSE),0)</f>
        <v>0</v>
      </c>
      <c r="S254" s="37">
        <f ca="1">_xlfn.IFNA(VLOOKUP($A254,INDIRECT("'W"&amp;S$1&amp;"'!$A$2:$T$1000"),4,FALSE),0)</f>
        <v>0</v>
      </c>
      <c r="T254" s="37">
        <f ca="1">_xlfn.IFNA(VLOOKUP($A254,INDIRECT("'W"&amp;T$1&amp;"'!$A$2:$T$1000"),4,FALSE),0)</f>
        <v>10.7</v>
      </c>
      <c r="U254" s="36">
        <f ca="1">COUNTIF(C254:T254,"&gt; 15")</f>
        <v>1</v>
      </c>
      <c r="V254" s="36">
        <f ca="1">SUM(C254:T254)</f>
        <v>78.099999999999994</v>
      </c>
      <c r="W254" s="36"/>
      <c r="X254" s="38"/>
    </row>
    <row r="255" spans="1:24" ht="12.75" x14ac:dyDescent="0.2">
      <c r="A255" s="36" t="s">
        <v>284</v>
      </c>
      <c r="B255" s="36" t="s">
        <v>69</v>
      </c>
      <c r="C255" s="37">
        <f ca="1">_xlfn.IFNA(VLOOKUP($A255,INDIRECT("'W"&amp;C$1&amp;"'!$A$2:$T$1000"),4,FALSE),0)</f>
        <v>7.3</v>
      </c>
      <c r="D255" s="37">
        <f ca="1">_xlfn.IFNA(VLOOKUP($A255,INDIRECT("'W"&amp;D$1&amp;"'!$A$2:$T$1000"),4,FALSE),0)</f>
        <v>1.2</v>
      </c>
      <c r="E255" s="37">
        <f ca="1">_xlfn.IFNA(VLOOKUP($A255,INDIRECT("'W"&amp;E$1&amp;"'!$A$2:$T$1000"),4,FALSE),0)</f>
        <v>13.100000000000001</v>
      </c>
      <c r="F255" s="37">
        <f ca="1">_xlfn.IFNA(VLOOKUP($A255,INDIRECT("'W"&amp;F$1&amp;"'!$A$2:$T$1000"),4,FALSE),0)</f>
        <v>3.7</v>
      </c>
      <c r="G255" s="37">
        <f ca="1">_xlfn.IFNA(VLOOKUP($A255,INDIRECT("'W"&amp;G$1&amp;"'!$A$2:$T$1000"),4,FALSE),0)</f>
        <v>0</v>
      </c>
      <c r="H255" s="37">
        <f ca="1">_xlfn.IFNA(VLOOKUP($A255,INDIRECT("'W"&amp;H$1&amp;"'!$A$2:$T$1000"),4,FALSE),0)</f>
        <v>0</v>
      </c>
      <c r="I255" s="37">
        <f ca="1">_xlfn.IFNA(VLOOKUP($A255,INDIRECT("'W"&amp;I$1&amp;"'!$A$2:$T$1000"),4,FALSE),0)</f>
        <v>0</v>
      </c>
      <c r="J255" s="37">
        <f ca="1">_xlfn.IFNA(VLOOKUP($A255,INDIRECT("'W"&amp;J$1&amp;"'!$A$2:$T$1000"),4,FALSE),0)</f>
        <v>0</v>
      </c>
      <c r="K255" s="37">
        <f ca="1">_xlfn.IFNA(VLOOKUP($A255,INDIRECT("'W"&amp;K$1&amp;"'!$A$2:$T$1000"),4,FALSE),0)</f>
        <v>0</v>
      </c>
      <c r="L255" s="37">
        <f ca="1">_xlfn.IFNA(VLOOKUP($A255,INDIRECT("'W"&amp;L$1&amp;"'!$A$2:$T$1000"),4,FALSE),0)</f>
        <v>0</v>
      </c>
      <c r="M255" s="37">
        <f ca="1">_xlfn.IFNA(VLOOKUP($A255,INDIRECT("'W"&amp;M$1&amp;"'!$A$2:$T$1000"),4,FALSE),0)</f>
        <v>1.7000000000000002</v>
      </c>
      <c r="N255" s="37">
        <f ca="1">_xlfn.IFNA(VLOOKUP($A255,INDIRECT("'W"&amp;N$1&amp;"'!$A$2:$T$1000"),4,FALSE),0)</f>
        <v>21</v>
      </c>
      <c r="O255" s="37">
        <f ca="1">_xlfn.IFNA(VLOOKUP($A255,INDIRECT("'W"&amp;O$1&amp;"'!$A$2:$T$1000"),4,FALSE),0)</f>
        <v>5.9</v>
      </c>
      <c r="P255" s="37">
        <f ca="1">_xlfn.IFNA(VLOOKUP($A255,INDIRECT("'W"&amp;P$1&amp;"'!$A$2:$T$1000"),4,FALSE),0)</f>
        <v>6.8</v>
      </c>
      <c r="Q255" s="37">
        <f ca="1">_xlfn.IFNA(VLOOKUP($A255,INDIRECT("'W"&amp;Q$1&amp;"'!$A$2:$T$1000"),4,FALSE),0)</f>
        <v>4.5999999999999996</v>
      </c>
      <c r="R255" s="37">
        <f ca="1">_xlfn.IFNA(VLOOKUP($A255,INDIRECT("'W"&amp;R$1&amp;"'!$A$2:$T$1000"),4,FALSE),0)</f>
        <v>0</v>
      </c>
      <c r="S255" s="37">
        <f ca="1">_xlfn.IFNA(VLOOKUP($A255,INDIRECT("'W"&amp;S$1&amp;"'!$A$2:$T$1000"),4,FALSE),0)</f>
        <v>7.4</v>
      </c>
      <c r="T255" s="37">
        <f ca="1">_xlfn.IFNA(VLOOKUP($A255,INDIRECT("'W"&amp;T$1&amp;"'!$A$2:$T$1000"),4,FALSE),0)</f>
        <v>4.0999999999999996</v>
      </c>
      <c r="U255" s="36">
        <f ca="1">COUNTIF(C255:T255,"&gt; 15")</f>
        <v>1</v>
      </c>
      <c r="V255" s="36">
        <f ca="1">SUM(C255:T255)</f>
        <v>76.8</v>
      </c>
      <c r="W255" s="36"/>
      <c r="X255" s="38">
        <v>73</v>
      </c>
    </row>
    <row r="256" spans="1:24" ht="12.75" x14ac:dyDescent="0.2">
      <c r="A256" s="36" t="s">
        <v>120</v>
      </c>
      <c r="B256" s="36" t="s">
        <v>75</v>
      </c>
      <c r="C256" s="37">
        <f ca="1">_xlfn.IFNA(VLOOKUP($A256,INDIRECT("'W"&amp;C$1&amp;"'!$A$2:$T$1000"),4,FALSE),0)</f>
        <v>6.7000000000000011</v>
      </c>
      <c r="D256" s="37">
        <f ca="1">_xlfn.IFNA(VLOOKUP($A256,INDIRECT("'W"&amp;D$1&amp;"'!$A$2:$T$1000"),4,FALSE),0)</f>
        <v>5.5</v>
      </c>
      <c r="E256" s="37">
        <f ca="1">_xlfn.IFNA(VLOOKUP($A256,INDIRECT("'W"&amp;E$1&amp;"'!$A$2:$T$1000"),4,FALSE),0)</f>
        <v>14.9</v>
      </c>
      <c r="F256" s="37">
        <f ca="1">_xlfn.IFNA(VLOOKUP($A256,INDIRECT("'W"&amp;F$1&amp;"'!$A$2:$T$1000"),4,FALSE),0)</f>
        <v>11.8</v>
      </c>
      <c r="G256" s="37">
        <f ca="1">_xlfn.IFNA(VLOOKUP($A256,INDIRECT("'W"&amp;G$1&amp;"'!$A$2:$T$1000"),4,FALSE),0)</f>
        <v>9.2000000000000011</v>
      </c>
      <c r="H256" s="37">
        <f ca="1">_xlfn.IFNA(VLOOKUP($A256,INDIRECT("'W"&amp;H$1&amp;"'!$A$2:$T$1000"),4,FALSE),0)</f>
        <v>3.4000000000000004</v>
      </c>
      <c r="I256" s="37">
        <f ca="1">_xlfn.IFNA(VLOOKUP($A256,INDIRECT("'W"&amp;I$1&amp;"'!$A$2:$T$1000"),4,FALSE),0)</f>
        <v>0</v>
      </c>
      <c r="J256" s="37">
        <f ca="1">_xlfn.IFNA(VLOOKUP($A256,INDIRECT("'W"&amp;J$1&amp;"'!$A$2:$T$1000"),4,FALSE),0)</f>
        <v>4.6000000000000005</v>
      </c>
      <c r="K256" s="37">
        <f ca="1">_xlfn.IFNA(VLOOKUP($A256,INDIRECT("'W"&amp;K$1&amp;"'!$A$2:$T$1000"),4,FALSE),0)</f>
        <v>0</v>
      </c>
      <c r="L256" s="37">
        <f ca="1">_xlfn.IFNA(VLOOKUP($A256,INDIRECT("'W"&amp;L$1&amp;"'!$A$2:$T$1000"),4,FALSE),0)</f>
        <v>0</v>
      </c>
      <c r="M256" s="37">
        <f ca="1">_xlfn.IFNA(VLOOKUP($A256,INDIRECT("'W"&amp;M$1&amp;"'!$A$2:$T$1000"),4,FALSE),0)</f>
        <v>0</v>
      </c>
      <c r="N256" s="37">
        <f ca="1">_xlfn.IFNA(VLOOKUP($A256,INDIRECT("'W"&amp;N$1&amp;"'!$A$2:$T$1000"),4,FALSE),0)</f>
        <v>2.8000000000000003</v>
      </c>
      <c r="O256" s="37">
        <f ca="1">_xlfn.IFNA(VLOOKUP($A256,INDIRECT("'W"&amp;O$1&amp;"'!$A$2:$T$1000"),4,FALSE),0)</f>
        <v>10.100000000000001</v>
      </c>
      <c r="P256" s="37">
        <f ca="1">_xlfn.IFNA(VLOOKUP($A256,INDIRECT("'W"&amp;P$1&amp;"'!$A$2:$T$1000"),4,FALSE),0)</f>
        <v>1.7</v>
      </c>
      <c r="Q256" s="37">
        <f ca="1">_xlfn.IFNA(VLOOKUP($A256,INDIRECT("'W"&amp;Q$1&amp;"'!$A$2:$T$1000"),4,FALSE),0)</f>
        <v>0.30000000000000004</v>
      </c>
      <c r="R256" s="37">
        <f ca="1">_xlfn.IFNA(VLOOKUP($A256,INDIRECT("'W"&amp;R$1&amp;"'!$A$2:$T$1000"),4,FALSE),0)</f>
        <v>2.6</v>
      </c>
      <c r="S256" s="37">
        <f ca="1">_xlfn.IFNA(VLOOKUP($A256,INDIRECT("'W"&amp;S$1&amp;"'!$A$2:$T$1000"),4,FALSE),0)</f>
        <v>3.1</v>
      </c>
      <c r="T256" s="37">
        <f ca="1">_xlfn.IFNA(VLOOKUP($A256,INDIRECT("'W"&amp;T$1&amp;"'!$A$2:$T$1000"),4,FALSE),0)</f>
        <v>0</v>
      </c>
      <c r="U256" s="36">
        <f ca="1">COUNTIF(C256:T256,"&gt; 15")</f>
        <v>0</v>
      </c>
      <c r="V256" s="36">
        <f ca="1">SUM(C256:T256)</f>
        <v>76.699999999999989</v>
      </c>
      <c r="W256" s="36"/>
      <c r="X256" s="38">
        <v>45</v>
      </c>
    </row>
    <row r="257" spans="1:24" ht="12.75" x14ac:dyDescent="0.2">
      <c r="A257" s="36" t="s">
        <v>217</v>
      </c>
      <c r="B257" s="36" t="s">
        <v>162</v>
      </c>
      <c r="C257" s="37">
        <f ca="1">_xlfn.IFNA(VLOOKUP($A257,INDIRECT("'W"&amp;C$1&amp;"'!$A$2:$T$1000"),4,FALSE),0)</f>
        <v>6.5</v>
      </c>
      <c r="D257" s="37">
        <f ca="1">_xlfn.IFNA(VLOOKUP($A257,INDIRECT("'W"&amp;D$1&amp;"'!$A$2:$T$1000"),4,FALSE),0)</f>
        <v>4.8</v>
      </c>
      <c r="E257" s="37">
        <f ca="1">_xlfn.IFNA(VLOOKUP($A257,INDIRECT("'W"&amp;E$1&amp;"'!$A$2:$T$1000"),4,FALSE),0)</f>
        <v>1.6</v>
      </c>
      <c r="F257" s="37">
        <f ca="1">_xlfn.IFNA(VLOOKUP($A257,INDIRECT("'W"&amp;F$1&amp;"'!$A$2:$T$1000"),4,FALSE),0)</f>
        <v>0</v>
      </c>
      <c r="G257" s="37">
        <f ca="1">_xlfn.IFNA(VLOOKUP($A257,INDIRECT("'W"&amp;G$1&amp;"'!$A$2:$T$1000"),4,FALSE),0)</f>
        <v>1.8</v>
      </c>
      <c r="H257" s="37">
        <f ca="1">_xlfn.IFNA(VLOOKUP($A257,INDIRECT("'W"&amp;H$1&amp;"'!$A$2:$T$1000"),4,FALSE),0)</f>
        <v>3.5</v>
      </c>
      <c r="I257" s="37">
        <f ca="1">_xlfn.IFNA(VLOOKUP($A257,INDIRECT("'W"&amp;I$1&amp;"'!$A$2:$T$1000"),4,FALSE),0)</f>
        <v>5.6</v>
      </c>
      <c r="J257" s="37">
        <f ca="1">_xlfn.IFNA(VLOOKUP($A257,INDIRECT("'W"&amp;J$1&amp;"'!$A$2:$T$1000"),4,FALSE),0)</f>
        <v>7.2</v>
      </c>
      <c r="K257" s="37">
        <f ca="1">_xlfn.IFNA(VLOOKUP($A257,INDIRECT("'W"&amp;K$1&amp;"'!$A$2:$T$1000"),4,FALSE),0)</f>
        <v>5.8000000000000007</v>
      </c>
      <c r="L257" s="37">
        <f ca="1">_xlfn.IFNA(VLOOKUP($A257,INDIRECT("'W"&amp;L$1&amp;"'!$A$2:$T$1000"),4,FALSE),0)</f>
        <v>4.5</v>
      </c>
      <c r="M257" s="37">
        <f ca="1">_xlfn.IFNA(VLOOKUP($A257,INDIRECT("'W"&amp;M$1&amp;"'!$A$2:$T$1000"),4,FALSE),0)</f>
        <v>8</v>
      </c>
      <c r="N257" s="37">
        <f ca="1">_xlfn.IFNA(VLOOKUP($A257,INDIRECT("'W"&amp;N$1&amp;"'!$A$2:$T$1000"),4,FALSE),0)</f>
        <v>4.0999999999999996</v>
      </c>
      <c r="O257" s="37">
        <f ca="1">_xlfn.IFNA(VLOOKUP($A257,INDIRECT("'W"&amp;O$1&amp;"'!$A$2:$T$1000"),4,FALSE),0)</f>
        <v>0</v>
      </c>
      <c r="P257" s="37">
        <f ca="1">_xlfn.IFNA(VLOOKUP($A257,INDIRECT("'W"&amp;P$1&amp;"'!$A$2:$T$1000"),4,FALSE),0)</f>
        <v>4.4000000000000004</v>
      </c>
      <c r="Q257" s="37">
        <f ca="1">_xlfn.IFNA(VLOOKUP($A257,INDIRECT("'W"&amp;Q$1&amp;"'!$A$2:$T$1000"),4,FALSE),0)</f>
        <v>6.9</v>
      </c>
      <c r="R257" s="37">
        <f ca="1">_xlfn.IFNA(VLOOKUP($A257,INDIRECT("'W"&amp;R$1&amp;"'!$A$2:$T$1000"),4,FALSE),0)</f>
        <v>2.4000000000000004</v>
      </c>
      <c r="S257" s="37">
        <f ca="1">_xlfn.IFNA(VLOOKUP($A257,INDIRECT("'W"&amp;S$1&amp;"'!$A$2:$T$1000"),4,FALSE),0)</f>
        <v>9.4</v>
      </c>
      <c r="T257" s="37">
        <f ca="1">_xlfn.IFNA(VLOOKUP($A257,INDIRECT("'W"&amp;T$1&amp;"'!$A$2:$T$1000"),4,FALSE),0)</f>
        <v>0</v>
      </c>
      <c r="U257" s="36">
        <f ca="1">COUNTIF(C257:T257,"&gt; 15")</f>
        <v>0</v>
      </c>
      <c r="V257" s="36">
        <f ca="1">SUM(C257:T257)</f>
        <v>76.500000000000014</v>
      </c>
      <c r="W257" s="36"/>
      <c r="X257" s="38"/>
    </row>
    <row r="258" spans="1:24" ht="12.75" x14ac:dyDescent="0.2">
      <c r="A258" s="36" t="s">
        <v>281</v>
      </c>
      <c r="B258" s="36" t="s">
        <v>69</v>
      </c>
      <c r="C258" s="37">
        <f ca="1">_xlfn.IFNA(VLOOKUP($A258,INDIRECT("'W"&amp;C$1&amp;"'!$A$2:$T$1000"),4,FALSE),0)</f>
        <v>8</v>
      </c>
      <c r="D258" s="37">
        <f ca="1">_xlfn.IFNA(VLOOKUP($A258,INDIRECT("'W"&amp;D$1&amp;"'!$A$2:$T$1000"),4,FALSE),0)</f>
        <v>4.5</v>
      </c>
      <c r="E258" s="37">
        <f ca="1">_xlfn.IFNA(VLOOKUP($A258,INDIRECT("'W"&amp;E$1&amp;"'!$A$2:$T$1000"),4,FALSE),0)</f>
        <v>10.9</v>
      </c>
      <c r="F258" s="37">
        <f ca="1">_xlfn.IFNA(VLOOKUP($A258,INDIRECT("'W"&amp;F$1&amp;"'!$A$2:$T$1000"),4,FALSE),0)</f>
        <v>1.1000000000000001</v>
      </c>
      <c r="G258" s="37">
        <f ca="1">_xlfn.IFNA(VLOOKUP($A258,INDIRECT("'W"&amp;G$1&amp;"'!$A$2:$T$1000"),4,FALSE),0)</f>
        <v>9.4</v>
      </c>
      <c r="H258" s="37">
        <f ca="1">_xlfn.IFNA(VLOOKUP($A258,INDIRECT("'W"&amp;H$1&amp;"'!$A$2:$T$1000"),4,FALSE),0)</f>
        <v>0</v>
      </c>
      <c r="I258" s="37">
        <f ca="1">_xlfn.IFNA(VLOOKUP($A258,INDIRECT("'W"&amp;I$1&amp;"'!$A$2:$T$1000"),4,FALSE),0)</f>
        <v>7</v>
      </c>
      <c r="J258" s="37">
        <f ca="1">_xlfn.IFNA(VLOOKUP($A258,INDIRECT("'W"&amp;J$1&amp;"'!$A$2:$T$1000"),4,FALSE),0)</f>
        <v>2.9</v>
      </c>
      <c r="K258" s="37">
        <f ca="1">_xlfn.IFNA(VLOOKUP($A258,INDIRECT("'W"&amp;K$1&amp;"'!$A$2:$T$1000"),4,FALSE),0)</f>
        <v>14.100000000000001</v>
      </c>
      <c r="L258" s="37">
        <f ca="1">_xlfn.IFNA(VLOOKUP($A258,INDIRECT("'W"&amp;L$1&amp;"'!$A$2:$T$1000"),4,FALSE),0)</f>
        <v>8.4</v>
      </c>
      <c r="M258" s="37">
        <f ca="1">_xlfn.IFNA(VLOOKUP($A258,INDIRECT("'W"&amp;M$1&amp;"'!$A$2:$T$1000"),4,FALSE),0)</f>
        <v>6.8000000000000007</v>
      </c>
      <c r="N258" s="37">
        <f ca="1">_xlfn.IFNA(VLOOKUP($A258,INDIRECT("'W"&amp;N$1&amp;"'!$A$2:$T$1000"),4,FALSE),0)</f>
        <v>0</v>
      </c>
      <c r="O258" s="37">
        <f ca="1">_xlfn.IFNA(VLOOKUP($A258,INDIRECT("'W"&amp;O$1&amp;"'!$A$2:$T$1000"),4,FALSE),0)</f>
        <v>0</v>
      </c>
      <c r="P258" s="37">
        <f ca="1">_xlfn.IFNA(VLOOKUP($A258,INDIRECT("'W"&amp;P$1&amp;"'!$A$2:$T$1000"),4,FALSE),0)</f>
        <v>0</v>
      </c>
      <c r="Q258" s="37">
        <f ca="1">_xlfn.IFNA(VLOOKUP($A258,INDIRECT("'W"&amp;Q$1&amp;"'!$A$2:$T$1000"),4,FALSE),0)</f>
        <v>0</v>
      </c>
      <c r="R258" s="37">
        <f ca="1">_xlfn.IFNA(VLOOKUP($A258,INDIRECT("'W"&amp;R$1&amp;"'!$A$2:$T$1000"),4,FALSE),0)</f>
        <v>0</v>
      </c>
      <c r="S258" s="37">
        <f ca="1">_xlfn.IFNA(VLOOKUP($A258,INDIRECT("'W"&amp;S$1&amp;"'!$A$2:$T$1000"),4,FALSE),0)</f>
        <v>0</v>
      </c>
      <c r="T258" s="37">
        <f ca="1">_xlfn.IFNA(VLOOKUP($A258,INDIRECT("'W"&amp;T$1&amp;"'!$A$2:$T$1000"),4,FALSE),0)</f>
        <v>2.1</v>
      </c>
      <c r="U258" s="36">
        <f ca="1">COUNTIF(C258:T258,"&gt; 15")</f>
        <v>0</v>
      </c>
      <c r="V258" s="36">
        <f ca="1">SUM(C258:T258)</f>
        <v>75.199999999999989</v>
      </c>
      <c r="W258" s="36"/>
      <c r="X258" s="38"/>
    </row>
    <row r="259" spans="1:24" ht="12.75" x14ac:dyDescent="0.2">
      <c r="A259" s="36" t="s">
        <v>899</v>
      </c>
      <c r="B259" s="36" t="s">
        <v>851</v>
      </c>
      <c r="C259" s="37">
        <v>8</v>
      </c>
      <c r="D259" s="37">
        <v>-1</v>
      </c>
      <c r="E259" s="37">
        <v>4</v>
      </c>
      <c r="F259" s="37">
        <v>4</v>
      </c>
      <c r="G259" s="37">
        <v>-2</v>
      </c>
      <c r="H259" s="37">
        <v>9</v>
      </c>
      <c r="I259" s="37">
        <v>2</v>
      </c>
      <c r="J259" s="37">
        <v>1</v>
      </c>
      <c r="K259" s="37">
        <v>7</v>
      </c>
      <c r="L259" s="37">
        <v>0</v>
      </c>
      <c r="M259" s="37">
        <v>7</v>
      </c>
      <c r="N259" s="37">
        <v>7</v>
      </c>
      <c r="O259" s="37">
        <v>6</v>
      </c>
      <c r="P259" s="37">
        <v>0</v>
      </c>
      <c r="Q259" s="37">
        <v>7</v>
      </c>
      <c r="R259" s="37">
        <v>4</v>
      </c>
      <c r="S259" s="37">
        <v>7</v>
      </c>
      <c r="T259" s="37">
        <v>5</v>
      </c>
      <c r="U259" s="36">
        <f>COUNTIF(C259:T259,"&gt; 9")</f>
        <v>0</v>
      </c>
      <c r="V259" s="36">
        <f>SUM(C259:T259)</f>
        <v>75</v>
      </c>
      <c r="W259" s="36"/>
      <c r="X259" s="38"/>
    </row>
    <row r="260" spans="1:24" ht="12.75" x14ac:dyDescent="0.2">
      <c r="A260" s="36" t="s">
        <v>153</v>
      </c>
      <c r="B260" s="36" t="s">
        <v>75</v>
      </c>
      <c r="C260" s="37">
        <f ca="1">_xlfn.IFNA(VLOOKUP($A260,INDIRECT("'W"&amp;C$1&amp;"'!$A$2:$T$1000"),4,FALSE),0)</f>
        <v>1.7</v>
      </c>
      <c r="D260" s="37">
        <f ca="1">_xlfn.IFNA(VLOOKUP($A260,INDIRECT("'W"&amp;D$1&amp;"'!$A$2:$T$1000"),4,FALSE),0)</f>
        <v>0.20000000000000018</v>
      </c>
      <c r="E260" s="37">
        <f ca="1">_xlfn.IFNA(VLOOKUP($A260,INDIRECT("'W"&amp;E$1&amp;"'!$A$2:$T$1000"),4,FALSE),0)</f>
        <v>0</v>
      </c>
      <c r="F260" s="37">
        <f ca="1">_xlfn.IFNA(VLOOKUP($A260,INDIRECT("'W"&amp;F$1&amp;"'!$A$2:$T$1000"),4,FALSE),0)</f>
        <v>1.5</v>
      </c>
      <c r="G260" s="37">
        <f ca="1">_xlfn.IFNA(VLOOKUP($A260,INDIRECT("'W"&amp;G$1&amp;"'!$A$2:$T$1000"),4,FALSE),0)</f>
        <v>0</v>
      </c>
      <c r="H260" s="37">
        <f ca="1">_xlfn.IFNA(VLOOKUP($A260,INDIRECT("'W"&amp;H$1&amp;"'!$A$2:$T$1000"),4,FALSE),0)</f>
        <v>2.9000000000000004</v>
      </c>
      <c r="I260" s="37">
        <f ca="1">_xlfn.IFNA(VLOOKUP($A260,INDIRECT("'W"&amp;I$1&amp;"'!$A$2:$T$1000"),4,FALSE),0)</f>
        <v>5.8000000000000007</v>
      </c>
      <c r="J260" s="37">
        <f ca="1">_xlfn.IFNA(VLOOKUP($A260,INDIRECT("'W"&amp;J$1&amp;"'!$A$2:$T$1000"),4,FALSE),0)</f>
        <v>0</v>
      </c>
      <c r="K260" s="37">
        <f ca="1">_xlfn.IFNA(VLOOKUP($A260,INDIRECT("'W"&amp;K$1&amp;"'!$A$2:$T$1000"),4,FALSE),0)</f>
        <v>-0.2</v>
      </c>
      <c r="L260" s="37">
        <f ca="1">_xlfn.IFNA(VLOOKUP($A260,INDIRECT("'W"&amp;L$1&amp;"'!$A$2:$T$1000"),4,FALSE),0)</f>
        <v>0.5</v>
      </c>
      <c r="M260" s="37">
        <f ca="1">_xlfn.IFNA(VLOOKUP($A260,INDIRECT("'W"&amp;M$1&amp;"'!$A$2:$T$1000"),4,FALSE),0)</f>
        <v>0</v>
      </c>
      <c r="N260" s="37">
        <f ca="1">_xlfn.IFNA(VLOOKUP($A260,INDIRECT("'W"&amp;N$1&amp;"'!$A$2:$T$1000"),4,FALSE),0)</f>
        <v>0</v>
      </c>
      <c r="O260" s="37">
        <f ca="1">_xlfn.IFNA(VLOOKUP($A260,INDIRECT("'W"&amp;O$1&amp;"'!$A$2:$T$1000"),4,FALSE),0)</f>
        <v>0</v>
      </c>
      <c r="P260" s="37">
        <f ca="1">_xlfn.IFNA(VLOOKUP($A260,INDIRECT("'W"&amp;P$1&amp;"'!$A$2:$T$1000"),4,FALSE),0)</f>
        <v>0.8</v>
      </c>
      <c r="Q260" s="37">
        <f ca="1">_xlfn.IFNA(VLOOKUP($A260,INDIRECT("'W"&amp;Q$1&amp;"'!$A$2:$T$1000"),4,FALSE),0)</f>
        <v>17.5</v>
      </c>
      <c r="R260" s="37">
        <f ca="1">_xlfn.IFNA(VLOOKUP($A260,INDIRECT("'W"&amp;R$1&amp;"'!$A$2:$T$1000"),4,FALSE),0)</f>
        <v>14.5</v>
      </c>
      <c r="S260" s="37">
        <f ca="1">_xlfn.IFNA(VLOOKUP($A260,INDIRECT("'W"&amp;S$1&amp;"'!$A$2:$T$1000"),4,FALSE),0)</f>
        <v>15.600000000000001</v>
      </c>
      <c r="T260" s="37">
        <f ca="1">_xlfn.IFNA(VLOOKUP($A260,INDIRECT("'W"&amp;T$1&amp;"'!$A$2:$T$1000"),4,FALSE),0)</f>
        <v>13.100000000000001</v>
      </c>
      <c r="U260" s="36">
        <f ca="1">COUNTIF(C260:T260,"&gt; 15")</f>
        <v>2</v>
      </c>
      <c r="V260" s="36">
        <f ca="1">SUM(C260:T260)</f>
        <v>73.900000000000006</v>
      </c>
      <c r="W260" s="36"/>
      <c r="X260" s="38"/>
    </row>
    <row r="261" spans="1:24" ht="12.75" x14ac:dyDescent="0.2">
      <c r="A261" s="36" t="s">
        <v>347</v>
      </c>
      <c r="B261" s="36" t="s">
        <v>69</v>
      </c>
      <c r="C261" s="37">
        <f ca="1">_xlfn.IFNA(VLOOKUP($A261,INDIRECT("'W"&amp;C$1&amp;"'!$A$2:$T$1000"),4,FALSE),0)</f>
        <v>0</v>
      </c>
      <c r="D261" s="37">
        <f ca="1">_xlfn.IFNA(VLOOKUP($A261,INDIRECT("'W"&amp;D$1&amp;"'!$A$2:$T$1000"),4,FALSE),0)</f>
        <v>9.6000000000000014</v>
      </c>
      <c r="E261" s="37">
        <f ca="1">_xlfn.IFNA(VLOOKUP($A261,INDIRECT("'W"&amp;E$1&amp;"'!$A$2:$T$1000"),4,FALSE),0)</f>
        <v>8.1000000000000014</v>
      </c>
      <c r="F261" s="37">
        <f ca="1">_xlfn.IFNA(VLOOKUP($A261,INDIRECT("'W"&amp;F$1&amp;"'!$A$2:$T$1000"),4,FALSE),0)</f>
        <v>8.3000000000000007</v>
      </c>
      <c r="G261" s="37">
        <f ca="1">_xlfn.IFNA(VLOOKUP($A261,INDIRECT("'W"&amp;G$1&amp;"'!$A$2:$T$1000"),4,FALSE),0)</f>
        <v>0</v>
      </c>
      <c r="H261" s="37">
        <f ca="1">_xlfn.IFNA(VLOOKUP($A261,INDIRECT("'W"&amp;H$1&amp;"'!$A$2:$T$1000"),4,FALSE),0)</f>
        <v>1.9</v>
      </c>
      <c r="I261" s="37">
        <f ca="1">_xlfn.IFNA(VLOOKUP($A261,INDIRECT("'W"&amp;I$1&amp;"'!$A$2:$T$1000"),4,FALSE),0)</f>
        <v>3.5</v>
      </c>
      <c r="J261" s="37">
        <f ca="1">_xlfn.IFNA(VLOOKUP($A261,INDIRECT("'W"&amp;J$1&amp;"'!$A$2:$T$1000"),4,FALSE),0)</f>
        <v>5.2</v>
      </c>
      <c r="K261" s="37">
        <f ca="1">_xlfn.IFNA(VLOOKUP($A261,INDIRECT("'W"&amp;K$1&amp;"'!$A$2:$T$1000"),4,FALSE),0)</f>
        <v>0</v>
      </c>
      <c r="L261" s="37">
        <f ca="1">_xlfn.IFNA(VLOOKUP($A261,INDIRECT("'W"&amp;L$1&amp;"'!$A$2:$T$1000"),4,FALSE),0)</f>
        <v>2.6</v>
      </c>
      <c r="M261" s="37">
        <f ca="1">_xlfn.IFNA(VLOOKUP($A261,INDIRECT("'W"&amp;M$1&amp;"'!$A$2:$T$1000"),4,FALSE),0)</f>
        <v>1.4</v>
      </c>
      <c r="N261" s="37">
        <f ca="1">_xlfn.IFNA(VLOOKUP($A261,INDIRECT("'W"&amp;N$1&amp;"'!$A$2:$T$1000"),4,FALSE),0)</f>
        <v>4.5</v>
      </c>
      <c r="O261" s="37">
        <f ca="1">_xlfn.IFNA(VLOOKUP($A261,INDIRECT("'W"&amp;O$1&amp;"'!$A$2:$T$1000"),4,FALSE),0)</f>
        <v>7.3</v>
      </c>
      <c r="P261" s="37">
        <f ca="1">_xlfn.IFNA(VLOOKUP($A261,INDIRECT("'W"&amp;P$1&amp;"'!$A$2:$T$1000"),4,FALSE),0)</f>
        <v>5.5</v>
      </c>
      <c r="Q261" s="37">
        <f ca="1">_xlfn.IFNA(VLOOKUP($A261,INDIRECT("'W"&amp;Q$1&amp;"'!$A$2:$T$1000"),4,FALSE),0)</f>
        <v>4.5999999999999996</v>
      </c>
      <c r="R261" s="37">
        <f ca="1">_xlfn.IFNA(VLOOKUP($A261,INDIRECT("'W"&amp;R$1&amp;"'!$A$2:$T$1000"),4,FALSE),0)</f>
        <v>0</v>
      </c>
      <c r="S261" s="37">
        <f ca="1">_xlfn.IFNA(VLOOKUP($A261,INDIRECT("'W"&amp;S$1&amp;"'!$A$2:$T$1000"),4,FALSE),0)</f>
        <v>10.9</v>
      </c>
      <c r="T261" s="37">
        <f ca="1">_xlfn.IFNA(VLOOKUP($A261,INDIRECT("'W"&amp;T$1&amp;"'!$A$2:$T$1000"),4,FALSE),0)</f>
        <v>0</v>
      </c>
      <c r="U261" s="36">
        <f ca="1">COUNTIF(C261:T261,"&gt; 15")</f>
        <v>0</v>
      </c>
      <c r="V261" s="36">
        <f ca="1">SUM(C261:T261)</f>
        <v>73.400000000000006</v>
      </c>
      <c r="W261" s="36"/>
      <c r="X261" s="38"/>
    </row>
    <row r="262" spans="1:24" ht="12.75" x14ac:dyDescent="0.2">
      <c r="A262" s="36" t="s">
        <v>231</v>
      </c>
      <c r="B262" s="36" t="s">
        <v>162</v>
      </c>
      <c r="C262" s="37">
        <f ca="1">_xlfn.IFNA(VLOOKUP($A262,INDIRECT("'W"&amp;C$1&amp;"'!$A$2:$T$1000"),4,FALSE),0)</f>
        <v>5.0999999999999996</v>
      </c>
      <c r="D262" s="37">
        <f ca="1">_xlfn.IFNA(VLOOKUP($A262,INDIRECT("'W"&amp;D$1&amp;"'!$A$2:$T$1000"),4,FALSE),0)</f>
        <v>20.6</v>
      </c>
      <c r="E262" s="37">
        <f ca="1">_xlfn.IFNA(VLOOKUP($A262,INDIRECT("'W"&amp;E$1&amp;"'!$A$2:$T$1000"),4,FALSE),0)</f>
        <v>3.2</v>
      </c>
      <c r="F262" s="37">
        <f ca="1">_xlfn.IFNA(VLOOKUP($A262,INDIRECT("'W"&amp;F$1&amp;"'!$A$2:$T$1000"),4,FALSE),0)</f>
        <v>7.4</v>
      </c>
      <c r="G262" s="37">
        <f ca="1">_xlfn.IFNA(VLOOKUP($A262,INDIRECT("'W"&amp;G$1&amp;"'!$A$2:$T$1000"),4,FALSE),0)</f>
        <v>1.9</v>
      </c>
      <c r="H262" s="37">
        <f ca="1">_xlfn.IFNA(VLOOKUP($A262,INDIRECT("'W"&amp;H$1&amp;"'!$A$2:$T$1000"),4,FALSE),0)</f>
        <v>0</v>
      </c>
      <c r="I262" s="37">
        <f ca="1">_xlfn.IFNA(VLOOKUP($A262,INDIRECT("'W"&amp;I$1&amp;"'!$A$2:$T$1000"),4,FALSE),0)</f>
        <v>0</v>
      </c>
      <c r="J262" s="37">
        <f ca="1">_xlfn.IFNA(VLOOKUP($A262,INDIRECT("'W"&amp;J$1&amp;"'!$A$2:$T$1000"),4,FALSE),0)</f>
        <v>0</v>
      </c>
      <c r="K262" s="37">
        <f ca="1">_xlfn.IFNA(VLOOKUP($A262,INDIRECT("'W"&amp;K$1&amp;"'!$A$2:$T$1000"),4,FALSE),0)</f>
        <v>0</v>
      </c>
      <c r="L262" s="37">
        <f ca="1">_xlfn.IFNA(VLOOKUP($A262,INDIRECT("'W"&amp;L$1&amp;"'!$A$2:$T$1000"),4,FALSE),0)</f>
        <v>0</v>
      </c>
      <c r="M262" s="37">
        <f ca="1">_xlfn.IFNA(VLOOKUP($A262,INDIRECT("'W"&amp;M$1&amp;"'!$A$2:$T$1000"),4,FALSE),0)</f>
        <v>0</v>
      </c>
      <c r="N262" s="37">
        <f ca="1">_xlfn.IFNA(VLOOKUP($A262,INDIRECT("'W"&amp;N$1&amp;"'!$A$2:$T$1000"),4,FALSE),0)</f>
        <v>0</v>
      </c>
      <c r="O262" s="37">
        <f ca="1">_xlfn.IFNA(VLOOKUP($A262,INDIRECT("'W"&amp;O$1&amp;"'!$A$2:$T$1000"),4,FALSE),0)</f>
        <v>0</v>
      </c>
      <c r="P262" s="37">
        <f ca="1">_xlfn.IFNA(VLOOKUP($A262,INDIRECT("'W"&amp;P$1&amp;"'!$A$2:$T$1000"),4,FALSE),0)</f>
        <v>0</v>
      </c>
      <c r="Q262" s="37">
        <f ca="1">_xlfn.IFNA(VLOOKUP($A262,INDIRECT("'W"&amp;Q$1&amp;"'!$A$2:$T$1000"),4,FALSE),0)</f>
        <v>0</v>
      </c>
      <c r="R262" s="37">
        <f ca="1">_xlfn.IFNA(VLOOKUP($A262,INDIRECT("'W"&amp;R$1&amp;"'!$A$2:$T$1000"),4,FALSE),0)</f>
        <v>15.7</v>
      </c>
      <c r="S262" s="37">
        <f ca="1">_xlfn.IFNA(VLOOKUP($A262,INDIRECT("'W"&amp;S$1&amp;"'!$A$2:$T$1000"),4,FALSE),0)</f>
        <v>6.7</v>
      </c>
      <c r="T262" s="37">
        <f ca="1">_xlfn.IFNA(VLOOKUP($A262,INDIRECT("'W"&amp;T$1&amp;"'!$A$2:$T$1000"),4,FALSE),0)</f>
        <v>12.8</v>
      </c>
      <c r="U262" s="36">
        <f ca="1">COUNTIF(C262:T262,"&gt; 15")</f>
        <v>2</v>
      </c>
      <c r="V262" s="36">
        <f ca="1">SUM(C262:T262)</f>
        <v>73.400000000000006</v>
      </c>
      <c r="W262" s="36"/>
      <c r="X262" s="38"/>
    </row>
    <row r="263" spans="1:24" ht="12.75" x14ac:dyDescent="0.2">
      <c r="A263" s="36" t="s">
        <v>370</v>
      </c>
      <c r="B263" s="36" t="s">
        <v>75</v>
      </c>
      <c r="C263" s="37">
        <f ca="1">_xlfn.IFNA(VLOOKUP($A263,INDIRECT("'W"&amp;C$1&amp;"'!$A$2:$T$1000"),4,FALSE),0)</f>
        <v>0</v>
      </c>
      <c r="D263" s="37">
        <f ca="1">_xlfn.IFNA(VLOOKUP($A263,INDIRECT("'W"&amp;D$1&amp;"'!$A$2:$T$1000"),4,FALSE),0)</f>
        <v>2.5</v>
      </c>
      <c r="E263" s="37">
        <f ca="1">_xlfn.IFNA(VLOOKUP($A263,INDIRECT("'W"&amp;E$1&amp;"'!$A$2:$T$1000"),4,FALSE),0)</f>
        <v>0.2</v>
      </c>
      <c r="F263" s="37">
        <f ca="1">_xlfn.IFNA(VLOOKUP($A263,INDIRECT("'W"&amp;F$1&amp;"'!$A$2:$T$1000"),4,FALSE),0)</f>
        <v>5.4</v>
      </c>
      <c r="G263" s="37">
        <f ca="1">_xlfn.IFNA(VLOOKUP($A263,INDIRECT("'W"&amp;G$1&amp;"'!$A$2:$T$1000"),4,FALSE),0)</f>
        <v>12.7</v>
      </c>
      <c r="H263" s="37">
        <f ca="1">_xlfn.IFNA(VLOOKUP($A263,INDIRECT("'W"&amp;H$1&amp;"'!$A$2:$T$1000"),4,FALSE),0)</f>
        <v>2.7</v>
      </c>
      <c r="I263" s="37">
        <f ca="1">_xlfn.IFNA(VLOOKUP($A263,INDIRECT("'W"&amp;I$1&amp;"'!$A$2:$T$1000"),4,FALSE),0)</f>
        <v>11.5</v>
      </c>
      <c r="J263" s="37">
        <f ca="1">_xlfn.IFNA(VLOOKUP($A263,INDIRECT("'W"&amp;J$1&amp;"'!$A$2:$T$1000"),4,FALSE),0)</f>
        <v>8.9</v>
      </c>
      <c r="K263" s="37">
        <f ca="1">_xlfn.IFNA(VLOOKUP($A263,INDIRECT("'W"&amp;K$1&amp;"'!$A$2:$T$1000"),4,FALSE),0)</f>
        <v>0</v>
      </c>
      <c r="L263" s="37">
        <f ca="1">_xlfn.IFNA(VLOOKUP($A263,INDIRECT("'W"&amp;L$1&amp;"'!$A$2:$T$1000"),4,FALSE),0)</f>
        <v>0</v>
      </c>
      <c r="M263" s="37">
        <f ca="1">_xlfn.IFNA(VLOOKUP($A263,INDIRECT("'W"&amp;M$1&amp;"'!$A$2:$T$1000"),4,FALSE),0)</f>
        <v>0</v>
      </c>
      <c r="N263" s="37">
        <f ca="1">_xlfn.IFNA(VLOOKUP($A263,INDIRECT("'W"&amp;N$1&amp;"'!$A$2:$T$1000"),4,FALSE),0)</f>
        <v>1.5</v>
      </c>
      <c r="O263" s="37">
        <f ca="1">_xlfn.IFNA(VLOOKUP($A263,INDIRECT("'W"&amp;O$1&amp;"'!$A$2:$T$1000"),4,FALSE),0)</f>
        <v>0</v>
      </c>
      <c r="P263" s="37">
        <f ca="1">_xlfn.IFNA(VLOOKUP($A263,INDIRECT("'W"&amp;P$1&amp;"'!$A$2:$T$1000"),4,FALSE),0)</f>
        <v>0</v>
      </c>
      <c r="Q263" s="37">
        <f ca="1">_xlfn.IFNA(VLOOKUP($A263,INDIRECT("'W"&amp;Q$1&amp;"'!$A$2:$T$1000"),4,FALSE),0)</f>
        <v>14</v>
      </c>
      <c r="R263" s="37">
        <f ca="1">_xlfn.IFNA(VLOOKUP($A263,INDIRECT("'W"&amp;R$1&amp;"'!$A$2:$T$1000"),4,FALSE),0)</f>
        <v>12</v>
      </c>
      <c r="S263" s="37">
        <f ca="1">_xlfn.IFNA(VLOOKUP($A263,INDIRECT("'W"&amp;S$1&amp;"'!$A$2:$T$1000"),4,FALSE),0)</f>
        <v>1.9</v>
      </c>
      <c r="T263" s="37">
        <f ca="1">_xlfn.IFNA(VLOOKUP($A263,INDIRECT("'W"&amp;T$1&amp;"'!$A$2:$T$1000"),4,FALSE),0)</f>
        <v>0</v>
      </c>
      <c r="U263" s="36">
        <f ca="1">COUNTIF(C263:T263,"&gt; 15")</f>
        <v>0</v>
      </c>
      <c r="V263" s="36">
        <f ca="1">SUM(C263:T263)</f>
        <v>73.300000000000011</v>
      </c>
      <c r="W263" s="36"/>
      <c r="X263" s="38"/>
    </row>
    <row r="264" spans="1:24" ht="12.75" x14ac:dyDescent="0.2">
      <c r="A264" s="36" t="s">
        <v>285</v>
      </c>
      <c r="B264" s="36" t="s">
        <v>69</v>
      </c>
      <c r="C264" s="37">
        <f ca="1">_xlfn.IFNA(VLOOKUP($A264,INDIRECT("'W"&amp;C$1&amp;"'!$A$2:$T$1000"),4,FALSE),0)</f>
        <v>7.9</v>
      </c>
      <c r="D264" s="37">
        <f ca="1">_xlfn.IFNA(VLOOKUP($A264,INDIRECT("'W"&amp;D$1&amp;"'!$A$2:$T$1000"),4,FALSE),0)</f>
        <v>10.6</v>
      </c>
      <c r="E264" s="37">
        <f ca="1">_xlfn.IFNA(VLOOKUP($A264,INDIRECT("'W"&amp;E$1&amp;"'!$A$2:$T$1000"),4,FALSE),0)</f>
        <v>2.9</v>
      </c>
      <c r="F264" s="37">
        <f ca="1">_xlfn.IFNA(VLOOKUP($A264,INDIRECT("'W"&amp;F$1&amp;"'!$A$2:$T$1000"),4,FALSE),0)</f>
        <v>4.4000000000000004</v>
      </c>
      <c r="G264" s="37">
        <f ca="1">_xlfn.IFNA(VLOOKUP($A264,INDIRECT("'W"&amp;G$1&amp;"'!$A$2:$T$1000"),4,FALSE),0)</f>
        <v>3.5</v>
      </c>
      <c r="H264" s="37">
        <f ca="1">_xlfn.IFNA(VLOOKUP($A264,INDIRECT("'W"&amp;H$1&amp;"'!$A$2:$T$1000"),4,FALSE),0)</f>
        <v>9.6999999999999993</v>
      </c>
      <c r="I264" s="37">
        <f ca="1">_xlfn.IFNA(VLOOKUP($A264,INDIRECT("'W"&amp;I$1&amp;"'!$A$2:$T$1000"),4,FALSE),0)</f>
        <v>0</v>
      </c>
      <c r="J264" s="37">
        <f ca="1">_xlfn.IFNA(VLOOKUP($A264,INDIRECT("'W"&amp;J$1&amp;"'!$A$2:$T$1000"),4,FALSE),0)</f>
        <v>0</v>
      </c>
      <c r="K264" s="37">
        <f ca="1">_xlfn.IFNA(VLOOKUP($A264,INDIRECT("'W"&amp;K$1&amp;"'!$A$2:$T$1000"),4,FALSE),0)</f>
        <v>0</v>
      </c>
      <c r="L264" s="37">
        <f ca="1">_xlfn.IFNA(VLOOKUP($A264,INDIRECT("'W"&amp;L$1&amp;"'!$A$2:$T$1000"),4,FALSE),0)</f>
        <v>1.5</v>
      </c>
      <c r="M264" s="37">
        <f ca="1">_xlfn.IFNA(VLOOKUP($A264,INDIRECT("'W"&amp;M$1&amp;"'!$A$2:$T$1000"),4,FALSE),0)</f>
        <v>0</v>
      </c>
      <c r="N264" s="37">
        <f ca="1">_xlfn.IFNA(VLOOKUP($A264,INDIRECT("'W"&amp;N$1&amp;"'!$A$2:$T$1000"),4,FALSE),0)</f>
        <v>0</v>
      </c>
      <c r="O264" s="37">
        <f ca="1">_xlfn.IFNA(VLOOKUP($A264,INDIRECT("'W"&amp;O$1&amp;"'!$A$2:$T$1000"),4,FALSE),0)</f>
        <v>10.4</v>
      </c>
      <c r="P264" s="37">
        <f ca="1">_xlfn.IFNA(VLOOKUP($A264,INDIRECT("'W"&amp;P$1&amp;"'!$A$2:$T$1000"),4,FALSE),0)</f>
        <v>3.7</v>
      </c>
      <c r="Q264" s="37">
        <f ca="1">_xlfn.IFNA(VLOOKUP($A264,INDIRECT("'W"&amp;Q$1&amp;"'!$A$2:$T$1000"),4,FALSE),0)</f>
        <v>1.6</v>
      </c>
      <c r="R264" s="37">
        <f ca="1">_xlfn.IFNA(VLOOKUP($A264,INDIRECT("'W"&amp;R$1&amp;"'!$A$2:$T$1000"),4,FALSE),0)</f>
        <v>11.2</v>
      </c>
      <c r="S264" s="37">
        <f ca="1">_xlfn.IFNA(VLOOKUP($A264,INDIRECT("'W"&amp;S$1&amp;"'!$A$2:$T$1000"),4,FALSE),0)</f>
        <v>2.2999999999999998</v>
      </c>
      <c r="T264" s="37">
        <f ca="1">_xlfn.IFNA(VLOOKUP($A264,INDIRECT("'W"&amp;T$1&amp;"'!$A$2:$T$1000"),4,FALSE),0)</f>
        <v>3.3000000000000003</v>
      </c>
      <c r="U264" s="36">
        <f ca="1">COUNTIF(C264:T264,"&gt; 15")</f>
        <v>0</v>
      </c>
      <c r="V264" s="36">
        <f ca="1">SUM(C264:T264)</f>
        <v>73</v>
      </c>
      <c r="W264" s="36"/>
      <c r="X264" s="38"/>
    </row>
    <row r="265" spans="1:24" ht="12.75" x14ac:dyDescent="0.2">
      <c r="A265" s="36" t="s">
        <v>26</v>
      </c>
      <c r="B265" s="36" t="s">
        <v>17</v>
      </c>
      <c r="C265" s="37">
        <f ca="1">_xlfn.IFNA(VLOOKUP($A265,INDIRECT("'W"&amp;C$1&amp;"'!$A$2:$T$1000"),4,FALSE),0)</f>
        <v>20.92</v>
      </c>
      <c r="D265" s="37">
        <f ca="1">_xlfn.IFNA(VLOOKUP($A265,INDIRECT("'W"&amp;D$1&amp;"'!$A$2:$T$1000"),4,FALSE),0)</f>
        <v>17.740000000000002</v>
      </c>
      <c r="E265" s="37">
        <f ca="1">_xlfn.IFNA(VLOOKUP($A265,INDIRECT("'W"&amp;E$1&amp;"'!$A$2:$T$1000"),4,FALSE),0)</f>
        <v>0</v>
      </c>
      <c r="F265" s="37">
        <f ca="1">_xlfn.IFNA(VLOOKUP($A265,INDIRECT("'W"&amp;F$1&amp;"'!$A$2:$T$1000"),4,FALSE),0)</f>
        <v>29.6</v>
      </c>
      <c r="G265" s="37">
        <f ca="1">_xlfn.IFNA(VLOOKUP($A265,INDIRECT("'W"&amp;G$1&amp;"'!$A$2:$T$1000"),4,FALSE),0)</f>
        <v>4.42</v>
      </c>
      <c r="H265" s="37">
        <f ca="1">_xlfn.IFNA(VLOOKUP($A265,INDIRECT("'W"&amp;H$1&amp;"'!$A$2:$T$1000"),4,FALSE),0)</f>
        <v>0</v>
      </c>
      <c r="I265" s="37">
        <f ca="1">_xlfn.IFNA(VLOOKUP($A265,INDIRECT("'W"&amp;I$1&amp;"'!$A$2:$T$1000"),4,FALSE),0)</f>
        <v>0</v>
      </c>
      <c r="J265" s="37">
        <f ca="1">_xlfn.IFNA(VLOOKUP($A265,INDIRECT("'W"&amp;J$1&amp;"'!$A$2:$T$1000"),4,FALSE),0)</f>
        <v>0</v>
      </c>
      <c r="K265" s="37">
        <f ca="1">_xlfn.IFNA(VLOOKUP($A265,INDIRECT("'W"&amp;K$1&amp;"'!$A$2:$T$1000"),4,FALSE),0)</f>
        <v>0</v>
      </c>
      <c r="L265" s="37">
        <f ca="1">_xlfn.IFNA(VLOOKUP($A265,INDIRECT("'W"&amp;L$1&amp;"'!$A$2:$T$1000"),4,FALSE),0)</f>
        <v>0</v>
      </c>
      <c r="M265" s="37">
        <f ca="1">_xlfn.IFNA(VLOOKUP($A265,INDIRECT("'W"&amp;M$1&amp;"'!$A$2:$T$1000"),4,FALSE),0)</f>
        <v>0</v>
      </c>
      <c r="N265" s="37">
        <f ca="1">_xlfn.IFNA(VLOOKUP($A265,INDIRECT("'W"&amp;N$1&amp;"'!$A$2:$T$1000"),4,FALSE),0)</f>
        <v>0</v>
      </c>
      <c r="O265" s="37">
        <f ca="1">_xlfn.IFNA(VLOOKUP($A265,INDIRECT("'W"&amp;O$1&amp;"'!$A$2:$T$1000"),4,FALSE),0)</f>
        <v>0</v>
      </c>
      <c r="P265" s="37">
        <f ca="1">_xlfn.IFNA(VLOOKUP($A265,INDIRECT("'W"&amp;P$1&amp;"'!$A$2:$T$1000"),4,FALSE),0)</f>
        <v>0</v>
      </c>
      <c r="Q265" s="37">
        <f ca="1">_xlfn.IFNA(VLOOKUP($A265,INDIRECT("'W"&amp;Q$1&amp;"'!$A$2:$T$1000"),4,FALSE),0)</f>
        <v>0</v>
      </c>
      <c r="R265" s="37">
        <f ca="1">_xlfn.IFNA(VLOOKUP($A265,INDIRECT("'W"&amp;R$1&amp;"'!$A$2:$T$1000"),4,FALSE),0)</f>
        <v>0</v>
      </c>
      <c r="S265" s="37">
        <f ca="1">_xlfn.IFNA(VLOOKUP($A265,INDIRECT("'W"&amp;S$1&amp;"'!$A$2:$T$1000"),4,FALSE),0)</f>
        <v>0</v>
      </c>
      <c r="T265" s="37">
        <f ca="1">_xlfn.IFNA(VLOOKUP($A265,INDIRECT("'W"&amp;T$1&amp;"'!$A$2:$T$1000"),4,FALSE),0)</f>
        <v>0</v>
      </c>
      <c r="U265" s="36">
        <f ca="1">COUNTIF(C265:T265,"&gt; 15")</f>
        <v>3</v>
      </c>
      <c r="V265" s="36">
        <f ca="1">SUM(C265:T265)</f>
        <v>72.680000000000007</v>
      </c>
      <c r="W265" s="36"/>
      <c r="X265" s="38"/>
    </row>
    <row r="266" spans="1:24" ht="12.75" x14ac:dyDescent="0.2">
      <c r="A266" s="36" t="s">
        <v>345</v>
      </c>
      <c r="B266" s="36" t="s">
        <v>162</v>
      </c>
      <c r="C266" s="37">
        <f ca="1">_xlfn.IFNA(VLOOKUP($A266,INDIRECT("'W"&amp;C$1&amp;"'!$A$2:$T$1000"),4,FALSE),0)</f>
        <v>0</v>
      </c>
      <c r="D266" s="37">
        <f ca="1">_xlfn.IFNA(VLOOKUP($A266,INDIRECT("'W"&amp;D$1&amp;"'!$A$2:$T$1000"),4,FALSE),0)</f>
        <v>11.7</v>
      </c>
      <c r="E266" s="37">
        <f ca="1">_xlfn.IFNA(VLOOKUP($A266,INDIRECT("'W"&amp;E$1&amp;"'!$A$2:$T$1000"),4,FALSE),0)</f>
        <v>3.9000000000000004</v>
      </c>
      <c r="F266" s="37">
        <f ca="1">_xlfn.IFNA(VLOOKUP($A266,INDIRECT("'W"&amp;F$1&amp;"'!$A$2:$T$1000"),4,FALSE),0)</f>
        <v>5.3000000000000007</v>
      </c>
      <c r="G266" s="37">
        <f ca="1">_xlfn.IFNA(VLOOKUP($A266,INDIRECT("'W"&amp;G$1&amp;"'!$A$2:$T$1000"),4,FALSE),0)</f>
        <v>4</v>
      </c>
      <c r="H266" s="37">
        <f ca="1">_xlfn.IFNA(VLOOKUP($A266,INDIRECT("'W"&amp;H$1&amp;"'!$A$2:$T$1000"),4,FALSE),0)</f>
        <v>1.7000000000000002</v>
      </c>
      <c r="I266" s="37">
        <f ca="1">_xlfn.IFNA(VLOOKUP($A266,INDIRECT("'W"&amp;I$1&amp;"'!$A$2:$T$1000"),4,FALSE),0)</f>
        <v>1.8</v>
      </c>
      <c r="J266" s="37">
        <f ca="1">_xlfn.IFNA(VLOOKUP($A266,INDIRECT("'W"&amp;J$1&amp;"'!$A$2:$T$1000"),4,FALSE),0)</f>
        <v>2.4000000000000004</v>
      </c>
      <c r="K266" s="37">
        <f ca="1">_xlfn.IFNA(VLOOKUP($A266,INDIRECT("'W"&amp;K$1&amp;"'!$A$2:$T$1000"),4,FALSE),0)</f>
        <v>0</v>
      </c>
      <c r="L266" s="37">
        <f ca="1">_xlfn.IFNA(VLOOKUP($A266,INDIRECT("'W"&amp;L$1&amp;"'!$A$2:$T$1000"),4,FALSE),0)</f>
        <v>0</v>
      </c>
      <c r="M266" s="37">
        <f ca="1">_xlfn.IFNA(VLOOKUP($A266,INDIRECT("'W"&amp;M$1&amp;"'!$A$2:$T$1000"),4,FALSE),0)</f>
        <v>0</v>
      </c>
      <c r="N266" s="37">
        <f ca="1">_xlfn.IFNA(VLOOKUP($A266,INDIRECT("'W"&amp;N$1&amp;"'!$A$2:$T$1000"),4,FALSE),0)</f>
        <v>7.2</v>
      </c>
      <c r="O266" s="37">
        <f ca="1">_xlfn.IFNA(VLOOKUP($A266,INDIRECT("'W"&amp;O$1&amp;"'!$A$2:$T$1000"),4,FALSE),0)</f>
        <v>10.4</v>
      </c>
      <c r="P266" s="37">
        <f ca="1">_xlfn.IFNA(VLOOKUP($A266,INDIRECT("'W"&amp;P$1&amp;"'!$A$2:$T$1000"),4,FALSE),0)</f>
        <v>0</v>
      </c>
      <c r="Q266" s="37">
        <f ca="1">_xlfn.IFNA(VLOOKUP($A266,INDIRECT("'W"&amp;Q$1&amp;"'!$A$2:$T$1000"),4,FALSE),0)</f>
        <v>9.4</v>
      </c>
      <c r="R266" s="37">
        <f ca="1">_xlfn.IFNA(VLOOKUP($A266,INDIRECT("'W"&amp;R$1&amp;"'!$A$2:$T$1000"),4,FALSE),0)</f>
        <v>10.5</v>
      </c>
      <c r="S266" s="37">
        <f ca="1">_xlfn.IFNA(VLOOKUP($A266,INDIRECT("'W"&amp;S$1&amp;"'!$A$2:$T$1000"),4,FALSE),0)</f>
        <v>2.5</v>
      </c>
      <c r="T266" s="37">
        <f ca="1">_xlfn.IFNA(VLOOKUP($A266,INDIRECT("'W"&amp;T$1&amp;"'!$A$2:$T$1000"),4,FALSE),0)</f>
        <v>1.6</v>
      </c>
      <c r="U266" s="36">
        <f ca="1">COUNTIF(C266:T266,"&gt; 15")</f>
        <v>0</v>
      </c>
      <c r="V266" s="36">
        <f ca="1">SUM(C266:T266)</f>
        <v>72.399999999999991</v>
      </c>
      <c r="W266" s="36"/>
      <c r="X266" s="38"/>
    </row>
    <row r="267" spans="1:24" ht="12.75" x14ac:dyDescent="0.2">
      <c r="A267" s="36" t="s">
        <v>365</v>
      </c>
      <c r="B267" s="36" t="s">
        <v>162</v>
      </c>
      <c r="C267" s="37">
        <f ca="1">_xlfn.IFNA(VLOOKUP($A267,INDIRECT("'W"&amp;C$1&amp;"'!$A$2:$T$1000"),4,FALSE),0)</f>
        <v>0</v>
      </c>
      <c r="D267" s="37">
        <f ca="1">_xlfn.IFNA(VLOOKUP($A267,INDIRECT("'W"&amp;D$1&amp;"'!$A$2:$T$1000"),4,FALSE),0)</f>
        <v>3.4000000000000004</v>
      </c>
      <c r="E267" s="37">
        <f ca="1">_xlfn.IFNA(VLOOKUP($A267,INDIRECT("'W"&amp;E$1&amp;"'!$A$2:$T$1000"),4,FALSE),0)</f>
        <v>0</v>
      </c>
      <c r="F267" s="37">
        <f ca="1">_xlfn.IFNA(VLOOKUP($A267,INDIRECT("'W"&amp;F$1&amp;"'!$A$2:$T$1000"),4,FALSE),0)</f>
        <v>0</v>
      </c>
      <c r="G267" s="37">
        <f ca="1">_xlfn.IFNA(VLOOKUP($A267,INDIRECT("'W"&amp;G$1&amp;"'!$A$2:$T$1000"),4,FALSE),0)</f>
        <v>1.6</v>
      </c>
      <c r="H267" s="37">
        <f ca="1">_xlfn.IFNA(VLOOKUP($A267,INDIRECT("'W"&amp;H$1&amp;"'!$A$2:$T$1000"),4,FALSE),0)</f>
        <v>8.1</v>
      </c>
      <c r="I267" s="37">
        <f ca="1">_xlfn.IFNA(VLOOKUP($A267,INDIRECT("'W"&amp;I$1&amp;"'!$A$2:$T$1000"),4,FALSE),0)</f>
        <v>3.8000000000000003</v>
      </c>
      <c r="J267" s="37">
        <f ca="1">_xlfn.IFNA(VLOOKUP($A267,INDIRECT("'W"&amp;J$1&amp;"'!$A$2:$T$1000"),4,FALSE),0)</f>
        <v>0</v>
      </c>
      <c r="K267" s="37">
        <f ca="1">_xlfn.IFNA(VLOOKUP($A267,INDIRECT("'W"&amp;K$1&amp;"'!$A$2:$T$1000"),4,FALSE),0)</f>
        <v>7.6</v>
      </c>
      <c r="L267" s="37">
        <f ca="1">_xlfn.IFNA(VLOOKUP($A267,INDIRECT("'W"&amp;L$1&amp;"'!$A$2:$T$1000"),4,FALSE),0)</f>
        <v>0.9</v>
      </c>
      <c r="M267" s="37">
        <f ca="1">_xlfn.IFNA(VLOOKUP($A267,INDIRECT("'W"&amp;M$1&amp;"'!$A$2:$T$1000"),4,FALSE),0)</f>
        <v>5</v>
      </c>
      <c r="N267" s="37">
        <f ca="1">_xlfn.IFNA(VLOOKUP($A267,INDIRECT("'W"&amp;N$1&amp;"'!$A$2:$T$1000"),4,FALSE),0)</f>
        <v>0</v>
      </c>
      <c r="O267" s="37">
        <f ca="1">_xlfn.IFNA(VLOOKUP($A267,INDIRECT("'W"&amp;O$1&amp;"'!$A$2:$T$1000"),4,FALSE),0)</f>
        <v>0</v>
      </c>
      <c r="P267" s="37">
        <f ca="1">_xlfn.IFNA(VLOOKUP($A267,INDIRECT("'W"&amp;P$1&amp;"'!$A$2:$T$1000"),4,FALSE),0)</f>
        <v>0</v>
      </c>
      <c r="Q267" s="37">
        <f ca="1">_xlfn.IFNA(VLOOKUP($A267,INDIRECT("'W"&amp;Q$1&amp;"'!$A$2:$T$1000"),4,FALSE),0)</f>
        <v>20.7</v>
      </c>
      <c r="R267" s="37">
        <f ca="1">_xlfn.IFNA(VLOOKUP($A267,INDIRECT("'W"&amp;R$1&amp;"'!$A$2:$T$1000"),4,FALSE),0)</f>
        <v>1.1000000000000001</v>
      </c>
      <c r="S267" s="37">
        <f ca="1">_xlfn.IFNA(VLOOKUP($A267,INDIRECT("'W"&amp;S$1&amp;"'!$A$2:$T$1000"),4,FALSE),0)</f>
        <v>5.6</v>
      </c>
      <c r="T267" s="37">
        <f ca="1">_xlfn.IFNA(VLOOKUP($A267,INDIRECT("'W"&amp;T$1&amp;"'!$A$2:$T$1000"),4,FALSE),0)</f>
        <v>14</v>
      </c>
      <c r="U267" s="36">
        <f ca="1">COUNTIF(C267:T267,"&gt; 15")</f>
        <v>1</v>
      </c>
      <c r="V267" s="36">
        <f ca="1">SUM(C267:T267)</f>
        <v>71.8</v>
      </c>
      <c r="W267" s="36"/>
      <c r="X267" s="38"/>
    </row>
    <row r="268" spans="1:24" ht="12.75" x14ac:dyDescent="0.2">
      <c r="A268" s="36" t="s">
        <v>287</v>
      </c>
      <c r="B268" s="36" t="s">
        <v>69</v>
      </c>
      <c r="C268" s="37">
        <f ca="1">_xlfn.IFNA(VLOOKUP($A268,INDIRECT("'W"&amp;C$1&amp;"'!$A$2:$T$1000"),4,FALSE),0)</f>
        <v>7.4</v>
      </c>
      <c r="D268" s="37">
        <f ca="1">_xlfn.IFNA(VLOOKUP($A268,INDIRECT("'W"&amp;D$1&amp;"'!$A$2:$T$1000"),4,FALSE),0)</f>
        <v>5.3000000000000007</v>
      </c>
      <c r="E268" s="37">
        <f ca="1">_xlfn.IFNA(VLOOKUP($A268,INDIRECT("'W"&amp;E$1&amp;"'!$A$2:$T$1000"),4,FALSE),0)</f>
        <v>2.5</v>
      </c>
      <c r="F268" s="37">
        <f ca="1">_xlfn.IFNA(VLOOKUP($A268,INDIRECT("'W"&amp;F$1&amp;"'!$A$2:$T$1000"),4,FALSE),0)</f>
        <v>8.1000000000000014</v>
      </c>
      <c r="G268" s="37">
        <f ca="1">_xlfn.IFNA(VLOOKUP($A268,INDIRECT("'W"&amp;G$1&amp;"'!$A$2:$T$1000"),4,FALSE),0)</f>
        <v>0</v>
      </c>
      <c r="H268" s="37">
        <f ca="1">_xlfn.IFNA(VLOOKUP($A268,INDIRECT("'W"&amp;H$1&amp;"'!$A$2:$T$1000"),4,FALSE),0)</f>
        <v>0</v>
      </c>
      <c r="I268" s="37">
        <f ca="1">_xlfn.IFNA(VLOOKUP($A268,INDIRECT("'W"&amp;I$1&amp;"'!$A$2:$T$1000"),4,FALSE),0)</f>
        <v>0</v>
      </c>
      <c r="J268" s="37">
        <f ca="1">_xlfn.IFNA(VLOOKUP($A268,INDIRECT("'W"&amp;J$1&amp;"'!$A$2:$T$1000"),4,FALSE),0)</f>
        <v>5.8000000000000007</v>
      </c>
      <c r="K268" s="37">
        <f ca="1">_xlfn.IFNA(VLOOKUP($A268,INDIRECT("'W"&amp;K$1&amp;"'!$A$2:$T$1000"),4,FALSE),0)</f>
        <v>4.7</v>
      </c>
      <c r="L268" s="37">
        <f ca="1">_xlfn.IFNA(VLOOKUP($A268,INDIRECT("'W"&amp;L$1&amp;"'!$A$2:$T$1000"),4,FALSE),0)</f>
        <v>0</v>
      </c>
      <c r="M268" s="37">
        <f ca="1">_xlfn.IFNA(VLOOKUP($A268,INDIRECT("'W"&amp;M$1&amp;"'!$A$2:$T$1000"),4,FALSE),0)</f>
        <v>0</v>
      </c>
      <c r="N268" s="37">
        <f ca="1">_xlfn.IFNA(VLOOKUP($A268,INDIRECT("'W"&amp;N$1&amp;"'!$A$2:$T$1000"),4,FALSE),0)</f>
        <v>2</v>
      </c>
      <c r="O268" s="37">
        <f ca="1">_xlfn.IFNA(VLOOKUP($A268,INDIRECT("'W"&amp;O$1&amp;"'!$A$2:$T$1000"),4,FALSE),0)</f>
        <v>0</v>
      </c>
      <c r="P268" s="37">
        <f ca="1">_xlfn.IFNA(VLOOKUP($A268,INDIRECT("'W"&amp;P$1&amp;"'!$A$2:$T$1000"),4,FALSE),0)</f>
        <v>3.6</v>
      </c>
      <c r="Q268" s="37">
        <f ca="1">_xlfn.IFNA(VLOOKUP($A268,INDIRECT("'W"&amp;Q$1&amp;"'!$A$2:$T$1000"),4,FALSE),0)</f>
        <v>7.2</v>
      </c>
      <c r="R268" s="37">
        <f ca="1">_xlfn.IFNA(VLOOKUP($A268,INDIRECT("'W"&amp;R$1&amp;"'!$A$2:$T$1000"),4,FALSE),0)</f>
        <v>10.600000000000001</v>
      </c>
      <c r="S268" s="37">
        <f ca="1">_xlfn.IFNA(VLOOKUP($A268,INDIRECT("'W"&amp;S$1&amp;"'!$A$2:$T$1000"),4,FALSE),0)</f>
        <v>8.4</v>
      </c>
      <c r="T268" s="37">
        <f ca="1">_xlfn.IFNA(VLOOKUP($A268,INDIRECT("'W"&amp;T$1&amp;"'!$A$2:$T$1000"),4,FALSE),0)</f>
        <v>6</v>
      </c>
      <c r="U268" s="36">
        <f ca="1">COUNTIF(C268:T268,"&gt; 15")</f>
        <v>0</v>
      </c>
      <c r="V268" s="36">
        <f ca="1">SUM(C268:T268)</f>
        <v>71.600000000000009</v>
      </c>
      <c r="W268" s="36"/>
      <c r="X268" s="38"/>
    </row>
    <row r="269" spans="1:24" ht="12.75" x14ac:dyDescent="0.2">
      <c r="A269" s="36" t="s">
        <v>389</v>
      </c>
      <c r="B269" s="36" t="s">
        <v>69</v>
      </c>
      <c r="C269" s="37">
        <f ca="1">_xlfn.IFNA(VLOOKUP($A269,INDIRECT("'W"&amp;C$1&amp;"'!$A$2:$T$1000"),4,FALSE),0)</f>
        <v>0</v>
      </c>
      <c r="D269" s="37">
        <f ca="1">_xlfn.IFNA(VLOOKUP($A269,INDIRECT("'W"&amp;D$1&amp;"'!$A$2:$T$1000"),4,FALSE),0)</f>
        <v>1.2</v>
      </c>
      <c r="E269" s="37">
        <f ca="1">_xlfn.IFNA(VLOOKUP($A269,INDIRECT("'W"&amp;E$1&amp;"'!$A$2:$T$1000"),4,FALSE),0)</f>
        <v>2</v>
      </c>
      <c r="F269" s="37">
        <f ca="1">_xlfn.IFNA(VLOOKUP($A269,INDIRECT("'W"&amp;F$1&amp;"'!$A$2:$T$1000"),4,FALSE),0)</f>
        <v>0</v>
      </c>
      <c r="G269" s="37">
        <f ca="1">_xlfn.IFNA(VLOOKUP($A269,INDIRECT("'W"&amp;G$1&amp;"'!$A$2:$T$1000"),4,FALSE),0)</f>
        <v>5.9</v>
      </c>
      <c r="H269" s="37">
        <f ca="1">_xlfn.IFNA(VLOOKUP($A269,INDIRECT("'W"&amp;H$1&amp;"'!$A$2:$T$1000"),4,FALSE),0)</f>
        <v>12.5</v>
      </c>
      <c r="I269" s="37">
        <f ca="1">_xlfn.IFNA(VLOOKUP($A269,INDIRECT("'W"&amp;I$1&amp;"'!$A$2:$T$1000"),4,FALSE),0)</f>
        <v>3.3</v>
      </c>
      <c r="J269" s="37">
        <f ca="1">_xlfn.IFNA(VLOOKUP($A269,INDIRECT("'W"&amp;J$1&amp;"'!$A$2:$T$1000"),4,FALSE),0)</f>
        <v>2.9000000000000004</v>
      </c>
      <c r="K269" s="37">
        <f ca="1">_xlfn.IFNA(VLOOKUP($A269,INDIRECT("'W"&amp;K$1&amp;"'!$A$2:$T$1000"),4,FALSE),0)</f>
        <v>3.1</v>
      </c>
      <c r="L269" s="37">
        <f ca="1">_xlfn.IFNA(VLOOKUP($A269,INDIRECT("'W"&amp;L$1&amp;"'!$A$2:$T$1000"),4,FALSE),0)</f>
        <v>10.9</v>
      </c>
      <c r="M269" s="37">
        <f ca="1">_xlfn.IFNA(VLOOKUP($A269,INDIRECT("'W"&amp;M$1&amp;"'!$A$2:$T$1000"),4,FALSE),0)</f>
        <v>8.6000000000000014</v>
      </c>
      <c r="N269" s="37">
        <f ca="1">_xlfn.IFNA(VLOOKUP($A269,INDIRECT("'W"&amp;N$1&amp;"'!$A$2:$T$1000"),4,FALSE),0)</f>
        <v>4.7</v>
      </c>
      <c r="O269" s="37">
        <f ca="1">_xlfn.IFNA(VLOOKUP($A269,INDIRECT("'W"&amp;O$1&amp;"'!$A$2:$T$1000"),4,FALSE),0)</f>
        <v>0</v>
      </c>
      <c r="P269" s="37">
        <f ca="1">_xlfn.IFNA(VLOOKUP($A269,INDIRECT("'W"&amp;P$1&amp;"'!$A$2:$T$1000"),4,FALSE),0)</f>
        <v>2.4000000000000004</v>
      </c>
      <c r="Q269" s="37">
        <f ca="1">_xlfn.IFNA(VLOOKUP($A269,INDIRECT("'W"&amp;Q$1&amp;"'!$A$2:$T$1000"),4,FALSE),0)</f>
        <v>13.9</v>
      </c>
      <c r="R269" s="37">
        <f ca="1">_xlfn.IFNA(VLOOKUP($A269,INDIRECT("'W"&amp;R$1&amp;"'!$A$2:$T$1000"),4,FALSE),0)</f>
        <v>0</v>
      </c>
      <c r="S269" s="37">
        <f ca="1">_xlfn.IFNA(VLOOKUP($A269,INDIRECT("'W"&amp;S$1&amp;"'!$A$2:$T$1000"),4,FALSE),0)</f>
        <v>0</v>
      </c>
      <c r="T269" s="37">
        <f ca="1">_xlfn.IFNA(VLOOKUP($A269,INDIRECT("'W"&amp;T$1&amp;"'!$A$2:$T$1000"),4,FALSE),0)</f>
        <v>0</v>
      </c>
      <c r="U269" s="36">
        <f ca="1">COUNTIF(C269:T269,"&gt; 15")</f>
        <v>0</v>
      </c>
      <c r="V269" s="36">
        <f ca="1">SUM(C269:T269)</f>
        <v>71.400000000000006</v>
      </c>
      <c r="W269" s="36"/>
      <c r="X269" s="38"/>
    </row>
    <row r="270" spans="1:24" ht="12.75" x14ac:dyDescent="0.2">
      <c r="A270" s="36" t="s">
        <v>289</v>
      </c>
      <c r="B270" s="36" t="s">
        <v>69</v>
      </c>
      <c r="C270" s="37">
        <f ca="1">_xlfn.IFNA(VLOOKUP($A270,INDIRECT("'W"&amp;C$1&amp;"'!$A$2:$T$1000"),4,FALSE),0)</f>
        <v>6.1</v>
      </c>
      <c r="D270" s="37">
        <f ca="1">_xlfn.IFNA(VLOOKUP($A270,INDIRECT("'W"&amp;D$1&amp;"'!$A$2:$T$1000"),4,FALSE),0)</f>
        <v>6.8000000000000007</v>
      </c>
      <c r="E270" s="37">
        <f ca="1">_xlfn.IFNA(VLOOKUP($A270,INDIRECT("'W"&amp;E$1&amp;"'!$A$2:$T$1000"),4,FALSE),0)</f>
        <v>1.9</v>
      </c>
      <c r="F270" s="37">
        <f ca="1">_xlfn.IFNA(VLOOKUP($A270,INDIRECT("'W"&amp;F$1&amp;"'!$A$2:$T$1000"),4,FALSE),0)</f>
        <v>10.4</v>
      </c>
      <c r="G270" s="37">
        <f ca="1">_xlfn.IFNA(VLOOKUP($A270,INDIRECT("'W"&amp;G$1&amp;"'!$A$2:$T$1000"),4,FALSE),0)</f>
        <v>4.0999999999999996</v>
      </c>
      <c r="H270" s="37">
        <f ca="1">_xlfn.IFNA(VLOOKUP($A270,INDIRECT("'W"&amp;H$1&amp;"'!$A$2:$T$1000"),4,FALSE),0)</f>
        <v>3.5</v>
      </c>
      <c r="I270" s="37">
        <f ca="1">_xlfn.IFNA(VLOOKUP($A270,INDIRECT("'W"&amp;I$1&amp;"'!$A$2:$T$1000"),4,FALSE),0)</f>
        <v>1.8</v>
      </c>
      <c r="J270" s="37">
        <f ca="1">_xlfn.IFNA(VLOOKUP($A270,INDIRECT("'W"&amp;J$1&amp;"'!$A$2:$T$1000"),4,FALSE),0)</f>
        <v>4.5</v>
      </c>
      <c r="K270" s="37">
        <f ca="1">_xlfn.IFNA(VLOOKUP($A270,INDIRECT("'W"&amp;K$1&amp;"'!$A$2:$T$1000"),4,FALSE),0)</f>
        <v>6.4</v>
      </c>
      <c r="L270" s="37">
        <f ca="1">_xlfn.IFNA(VLOOKUP($A270,INDIRECT("'W"&amp;L$1&amp;"'!$A$2:$T$1000"),4,FALSE),0)</f>
        <v>0</v>
      </c>
      <c r="M270" s="37">
        <f ca="1">_xlfn.IFNA(VLOOKUP($A270,INDIRECT("'W"&amp;M$1&amp;"'!$A$2:$T$1000"),4,FALSE),0)</f>
        <v>0</v>
      </c>
      <c r="N270" s="37">
        <f ca="1">_xlfn.IFNA(VLOOKUP($A270,INDIRECT("'W"&amp;N$1&amp;"'!$A$2:$T$1000"),4,FALSE),0)</f>
        <v>6</v>
      </c>
      <c r="O270" s="37">
        <f ca="1">_xlfn.IFNA(VLOOKUP($A270,INDIRECT("'W"&amp;O$1&amp;"'!$A$2:$T$1000"),4,FALSE),0)</f>
        <v>7.2</v>
      </c>
      <c r="P270" s="37">
        <f ca="1">_xlfn.IFNA(VLOOKUP($A270,INDIRECT("'W"&amp;P$1&amp;"'!$A$2:$T$1000"),4,FALSE),0)</f>
        <v>0</v>
      </c>
      <c r="Q270" s="37">
        <f ca="1">_xlfn.IFNA(VLOOKUP($A270,INDIRECT("'W"&amp;Q$1&amp;"'!$A$2:$T$1000"),4,FALSE),0)</f>
        <v>5.7</v>
      </c>
      <c r="R270" s="37">
        <f ca="1">_xlfn.IFNA(VLOOKUP($A270,INDIRECT("'W"&amp;R$1&amp;"'!$A$2:$T$1000"),4,FALSE),0)</f>
        <v>1.5</v>
      </c>
      <c r="S270" s="37">
        <f ca="1">_xlfn.IFNA(VLOOKUP($A270,INDIRECT("'W"&amp;S$1&amp;"'!$A$2:$T$1000"),4,FALSE),0)</f>
        <v>4.7</v>
      </c>
      <c r="T270" s="37">
        <f ca="1">_xlfn.IFNA(VLOOKUP($A270,INDIRECT("'W"&amp;T$1&amp;"'!$A$2:$T$1000"),4,FALSE),0)</f>
        <v>0</v>
      </c>
      <c r="U270" s="36">
        <f ca="1">COUNTIF(C270:T270,"&gt; 15")</f>
        <v>0</v>
      </c>
      <c r="V270" s="36">
        <f ca="1">SUM(C270:T270)</f>
        <v>70.600000000000009</v>
      </c>
      <c r="W270" s="36"/>
      <c r="X270" s="38"/>
    </row>
    <row r="271" spans="1:24" ht="12.75" x14ac:dyDescent="0.2">
      <c r="A271" s="36" t="s">
        <v>124</v>
      </c>
      <c r="B271" s="36" t="s">
        <v>75</v>
      </c>
      <c r="C271" s="37">
        <f ca="1">_xlfn.IFNA(VLOOKUP($A271,INDIRECT("'W"&amp;C$1&amp;"'!$A$2:$T$1000"),4,FALSE),0)</f>
        <v>3.9000000000000004</v>
      </c>
      <c r="D271" s="37">
        <f ca="1">_xlfn.IFNA(VLOOKUP($A271,INDIRECT("'W"&amp;D$1&amp;"'!$A$2:$T$1000"),4,FALSE),0)</f>
        <v>3.7</v>
      </c>
      <c r="E271" s="37">
        <f ca="1">_xlfn.IFNA(VLOOKUP($A271,INDIRECT("'W"&amp;E$1&amp;"'!$A$2:$T$1000"),4,FALSE),0)</f>
        <v>12.7</v>
      </c>
      <c r="F271" s="37">
        <f ca="1">_xlfn.IFNA(VLOOKUP($A271,INDIRECT("'W"&amp;F$1&amp;"'!$A$2:$T$1000"),4,FALSE),0)</f>
        <v>2.3000000000000003</v>
      </c>
      <c r="G271" s="37">
        <f ca="1">_xlfn.IFNA(VLOOKUP($A271,INDIRECT("'W"&amp;G$1&amp;"'!$A$2:$T$1000"),4,FALSE),0)</f>
        <v>0.4</v>
      </c>
      <c r="H271" s="37">
        <f ca="1">_xlfn.IFNA(VLOOKUP($A271,INDIRECT("'W"&amp;H$1&amp;"'!$A$2:$T$1000"),4,FALSE),0)</f>
        <v>2.6</v>
      </c>
      <c r="I271" s="37">
        <f ca="1">_xlfn.IFNA(VLOOKUP($A271,INDIRECT("'W"&amp;I$1&amp;"'!$A$2:$T$1000"),4,FALSE),0)</f>
        <v>0.5</v>
      </c>
      <c r="J271" s="37">
        <f ca="1">_xlfn.IFNA(VLOOKUP($A271,INDIRECT("'W"&amp;J$1&amp;"'!$A$2:$T$1000"),4,FALSE),0)</f>
        <v>0.4</v>
      </c>
      <c r="K271" s="37">
        <f ca="1">_xlfn.IFNA(VLOOKUP($A271,INDIRECT("'W"&amp;K$1&amp;"'!$A$2:$T$1000"),4,FALSE),0)</f>
        <v>0</v>
      </c>
      <c r="L271" s="37">
        <f ca="1">_xlfn.IFNA(VLOOKUP($A271,INDIRECT("'W"&amp;L$1&amp;"'!$A$2:$T$1000"),4,FALSE),0)</f>
        <v>0</v>
      </c>
      <c r="M271" s="37">
        <f ca="1">_xlfn.IFNA(VLOOKUP($A271,INDIRECT("'W"&amp;M$1&amp;"'!$A$2:$T$1000"),4,FALSE),0)</f>
        <v>2</v>
      </c>
      <c r="N271" s="37">
        <f ca="1">_xlfn.IFNA(VLOOKUP($A271,INDIRECT("'W"&amp;N$1&amp;"'!$A$2:$T$1000"),4,FALSE),0)</f>
        <v>0.5</v>
      </c>
      <c r="O271" s="37">
        <f ca="1">_xlfn.IFNA(VLOOKUP($A271,INDIRECT("'W"&amp;O$1&amp;"'!$A$2:$T$1000"),4,FALSE),0)</f>
        <v>2.4000000000000004</v>
      </c>
      <c r="P271" s="37">
        <f ca="1">_xlfn.IFNA(VLOOKUP($A271,INDIRECT("'W"&amp;P$1&amp;"'!$A$2:$T$1000"),4,FALSE),0)</f>
        <v>8.8000000000000007</v>
      </c>
      <c r="Q271" s="37">
        <f ca="1">_xlfn.IFNA(VLOOKUP($A271,INDIRECT("'W"&amp;Q$1&amp;"'!$A$2:$T$1000"),4,FALSE),0)</f>
        <v>20.100000000000001</v>
      </c>
      <c r="R271" s="37">
        <f ca="1">_xlfn.IFNA(VLOOKUP($A271,INDIRECT("'W"&amp;R$1&amp;"'!$A$2:$T$1000"),4,FALSE),0)</f>
        <v>7.8000000000000007</v>
      </c>
      <c r="S271" s="37">
        <f ca="1">_xlfn.IFNA(VLOOKUP($A271,INDIRECT("'W"&amp;S$1&amp;"'!$A$2:$T$1000"),4,FALSE),0)</f>
        <v>0</v>
      </c>
      <c r="T271" s="37">
        <f ca="1">_xlfn.IFNA(VLOOKUP($A271,INDIRECT("'W"&amp;T$1&amp;"'!$A$2:$T$1000"),4,FALSE),0)</f>
        <v>2</v>
      </c>
      <c r="U271" s="36">
        <f ca="1">COUNTIF(C271:T271,"&gt; 15")</f>
        <v>1</v>
      </c>
      <c r="V271" s="36">
        <f ca="1">SUM(C271:T271)</f>
        <v>70.100000000000009</v>
      </c>
      <c r="W271" s="36"/>
      <c r="X271" s="38"/>
    </row>
    <row r="272" spans="1:24" ht="12.75" x14ac:dyDescent="0.2">
      <c r="A272" s="36" t="s">
        <v>578</v>
      </c>
      <c r="B272" s="36" t="s">
        <v>75</v>
      </c>
      <c r="C272" s="37">
        <f ca="1">_xlfn.IFNA(VLOOKUP($A272,INDIRECT("'W"&amp;C$1&amp;"'!$A$2:$T$1000"),4,FALSE),0)</f>
        <v>0</v>
      </c>
      <c r="D272" s="37">
        <f ca="1">_xlfn.IFNA(VLOOKUP($A272,INDIRECT("'W"&amp;D$1&amp;"'!$A$2:$T$1000"),4,FALSE),0)</f>
        <v>0</v>
      </c>
      <c r="E272" s="37">
        <f ca="1">_xlfn.IFNA(VLOOKUP($A272,INDIRECT("'W"&amp;E$1&amp;"'!$A$2:$T$1000"),4,FALSE),0)</f>
        <v>0</v>
      </c>
      <c r="F272" s="37">
        <f ca="1">_xlfn.IFNA(VLOOKUP($A272,INDIRECT("'W"&amp;F$1&amp;"'!$A$2:$T$1000"),4,FALSE),0)</f>
        <v>0</v>
      </c>
      <c r="G272" s="37">
        <f ca="1">_xlfn.IFNA(VLOOKUP($A272,INDIRECT("'W"&amp;G$1&amp;"'!$A$2:$T$1000"),4,FALSE),0)</f>
        <v>0</v>
      </c>
      <c r="H272" s="37">
        <f ca="1">_xlfn.IFNA(VLOOKUP($A272,INDIRECT("'W"&amp;H$1&amp;"'!$A$2:$T$1000"),4,FALSE),0)</f>
        <v>0</v>
      </c>
      <c r="I272" s="37">
        <f ca="1">_xlfn.IFNA(VLOOKUP($A272,INDIRECT("'W"&amp;I$1&amp;"'!$A$2:$T$1000"),4,FALSE),0)</f>
        <v>1.9</v>
      </c>
      <c r="J272" s="37">
        <f ca="1">_xlfn.IFNA(VLOOKUP($A272,INDIRECT("'W"&amp;J$1&amp;"'!$A$2:$T$1000"),4,FALSE),0)</f>
        <v>0</v>
      </c>
      <c r="K272" s="37">
        <f ca="1">_xlfn.IFNA(VLOOKUP($A272,INDIRECT("'W"&amp;K$1&amp;"'!$A$2:$T$1000"),4,FALSE),0)</f>
        <v>20.400000000000002</v>
      </c>
      <c r="L272" s="37">
        <f ca="1">_xlfn.IFNA(VLOOKUP($A272,INDIRECT("'W"&amp;L$1&amp;"'!$A$2:$T$1000"),4,FALSE),0)</f>
        <v>13.600000000000001</v>
      </c>
      <c r="M272" s="37">
        <f ca="1">_xlfn.IFNA(VLOOKUP($A272,INDIRECT("'W"&amp;M$1&amp;"'!$A$2:$T$1000"),4,FALSE),0)</f>
        <v>5.1000000000000005</v>
      </c>
      <c r="N272" s="37">
        <f ca="1">_xlfn.IFNA(VLOOKUP($A272,INDIRECT("'W"&amp;N$1&amp;"'!$A$2:$T$1000"),4,FALSE),0)</f>
        <v>10.9</v>
      </c>
      <c r="O272" s="37">
        <f ca="1">_xlfn.IFNA(VLOOKUP($A272,INDIRECT("'W"&amp;O$1&amp;"'!$A$2:$T$1000"),4,FALSE),0)</f>
        <v>0</v>
      </c>
      <c r="P272" s="37">
        <f ca="1">_xlfn.IFNA(VLOOKUP($A272,INDIRECT("'W"&amp;P$1&amp;"'!$A$2:$T$1000"),4,FALSE),0)</f>
        <v>7.2</v>
      </c>
      <c r="Q272" s="37">
        <f ca="1">_xlfn.IFNA(VLOOKUP($A272,INDIRECT("'W"&amp;Q$1&amp;"'!$A$2:$T$1000"),4,FALSE),0)</f>
        <v>10.8</v>
      </c>
      <c r="R272" s="37">
        <f ca="1">_xlfn.IFNA(VLOOKUP($A272,INDIRECT("'W"&amp;R$1&amp;"'!$A$2:$T$1000"),4,FALSE),0)</f>
        <v>0</v>
      </c>
      <c r="S272" s="37">
        <f ca="1">_xlfn.IFNA(VLOOKUP($A272,INDIRECT("'W"&amp;S$1&amp;"'!$A$2:$T$1000"),4,FALSE),0)</f>
        <v>0</v>
      </c>
      <c r="T272" s="37">
        <f ca="1">_xlfn.IFNA(VLOOKUP($A272,INDIRECT("'W"&amp;T$1&amp;"'!$A$2:$T$1000"),4,FALSE),0)</f>
        <v>0</v>
      </c>
      <c r="U272" s="36">
        <f ca="1">COUNTIF(C272:T272,"&gt; 15")</f>
        <v>1</v>
      </c>
      <c r="V272" s="36">
        <f ca="1">SUM(C272:T272)</f>
        <v>69.900000000000006</v>
      </c>
      <c r="W272" s="36"/>
      <c r="X272" s="38"/>
    </row>
    <row r="273" spans="1:24" ht="12.75" x14ac:dyDescent="0.2">
      <c r="A273" s="36" t="s">
        <v>485</v>
      </c>
      <c r="B273" s="36" t="s">
        <v>162</v>
      </c>
      <c r="C273" s="37">
        <f ca="1">_xlfn.IFNA(VLOOKUP($A273,INDIRECT("'W"&amp;C$1&amp;"'!$A$2:$T$1000"),4,FALSE),0)</f>
        <v>0</v>
      </c>
      <c r="D273" s="37">
        <f ca="1">_xlfn.IFNA(VLOOKUP($A273,INDIRECT("'W"&amp;D$1&amp;"'!$A$2:$T$1000"),4,FALSE),0)</f>
        <v>0</v>
      </c>
      <c r="E273" s="37">
        <f ca="1">_xlfn.IFNA(VLOOKUP($A273,INDIRECT("'W"&amp;E$1&amp;"'!$A$2:$T$1000"),4,FALSE),0)</f>
        <v>0</v>
      </c>
      <c r="F273" s="37">
        <f ca="1">_xlfn.IFNA(VLOOKUP($A273,INDIRECT("'W"&amp;F$1&amp;"'!$A$2:$T$1000"),4,FALSE),0)</f>
        <v>2.6</v>
      </c>
      <c r="G273" s="37">
        <f ca="1">_xlfn.IFNA(VLOOKUP($A273,INDIRECT("'W"&amp;G$1&amp;"'!$A$2:$T$1000"),4,FALSE),0)</f>
        <v>9.1999999999999993</v>
      </c>
      <c r="H273" s="37">
        <f ca="1">_xlfn.IFNA(VLOOKUP($A273,INDIRECT("'W"&amp;H$1&amp;"'!$A$2:$T$1000"),4,FALSE),0)</f>
        <v>0</v>
      </c>
      <c r="I273" s="37">
        <f ca="1">_xlfn.IFNA(VLOOKUP($A273,INDIRECT("'W"&amp;I$1&amp;"'!$A$2:$T$1000"),4,FALSE),0)</f>
        <v>6.8000000000000007</v>
      </c>
      <c r="J273" s="37">
        <f ca="1">_xlfn.IFNA(VLOOKUP($A273,INDIRECT("'W"&amp;J$1&amp;"'!$A$2:$T$1000"),4,FALSE),0)</f>
        <v>7.1</v>
      </c>
      <c r="K273" s="37">
        <f ca="1">_xlfn.IFNA(VLOOKUP($A273,INDIRECT("'W"&amp;K$1&amp;"'!$A$2:$T$1000"),4,FALSE),0)</f>
        <v>10.1</v>
      </c>
      <c r="L273" s="37">
        <f ca="1">_xlfn.IFNA(VLOOKUP($A273,INDIRECT("'W"&amp;L$1&amp;"'!$A$2:$T$1000"),4,FALSE),0)</f>
        <v>0</v>
      </c>
      <c r="M273" s="37">
        <f ca="1">_xlfn.IFNA(VLOOKUP($A273,INDIRECT("'W"&amp;M$1&amp;"'!$A$2:$T$1000"),4,FALSE),0)</f>
        <v>5.3000000000000007</v>
      </c>
      <c r="N273" s="37">
        <f ca="1">_xlfn.IFNA(VLOOKUP($A273,INDIRECT("'W"&amp;N$1&amp;"'!$A$2:$T$1000"),4,FALSE),0)</f>
        <v>0</v>
      </c>
      <c r="O273" s="37">
        <f ca="1">_xlfn.IFNA(VLOOKUP($A273,INDIRECT("'W"&amp;O$1&amp;"'!$A$2:$T$1000"),4,FALSE),0)</f>
        <v>0</v>
      </c>
      <c r="P273" s="37">
        <f ca="1">_xlfn.IFNA(VLOOKUP($A273,INDIRECT("'W"&amp;P$1&amp;"'!$A$2:$T$1000"),4,FALSE),0)</f>
        <v>5</v>
      </c>
      <c r="Q273" s="37">
        <f ca="1">_xlfn.IFNA(VLOOKUP($A273,INDIRECT("'W"&amp;Q$1&amp;"'!$A$2:$T$1000"),4,FALSE),0)</f>
        <v>2.2000000000000002</v>
      </c>
      <c r="R273" s="37">
        <f ca="1">_xlfn.IFNA(VLOOKUP($A273,INDIRECT("'W"&amp;R$1&amp;"'!$A$2:$T$1000"),4,FALSE),0)</f>
        <v>7.2</v>
      </c>
      <c r="S273" s="37">
        <f ca="1">_xlfn.IFNA(VLOOKUP($A273,INDIRECT("'W"&amp;S$1&amp;"'!$A$2:$T$1000"),4,FALSE),0)</f>
        <v>10.7</v>
      </c>
      <c r="T273" s="37">
        <f ca="1">_xlfn.IFNA(VLOOKUP($A273,INDIRECT("'W"&amp;T$1&amp;"'!$A$2:$T$1000"),4,FALSE),0)</f>
        <v>3.4000000000000004</v>
      </c>
      <c r="U273" s="36">
        <f ca="1">COUNTIF(C273:T273,"&gt; 15")</f>
        <v>0</v>
      </c>
      <c r="V273" s="36">
        <f ca="1">SUM(C273:T273)</f>
        <v>69.600000000000023</v>
      </c>
      <c r="W273" s="36"/>
      <c r="X273" s="38"/>
    </row>
    <row r="274" spans="1:24" ht="12.75" x14ac:dyDescent="0.2">
      <c r="A274" s="36" t="s">
        <v>488</v>
      </c>
      <c r="B274" s="36" t="s">
        <v>17</v>
      </c>
      <c r="C274" s="37">
        <f ca="1">_xlfn.IFNA(VLOOKUP($A274,INDIRECT("'W"&amp;C$1&amp;"'!$A$2:$T$1000"),4,FALSE),0)</f>
        <v>0</v>
      </c>
      <c r="D274" s="37">
        <f ca="1">_xlfn.IFNA(VLOOKUP($A274,INDIRECT("'W"&amp;D$1&amp;"'!$A$2:$T$1000"),4,FALSE),0)</f>
        <v>0</v>
      </c>
      <c r="E274" s="37">
        <f ca="1">_xlfn.IFNA(VLOOKUP($A274,INDIRECT("'W"&amp;E$1&amp;"'!$A$2:$T$1000"),4,FALSE),0)</f>
        <v>0</v>
      </c>
      <c r="F274" s="37">
        <f ca="1">_xlfn.IFNA(VLOOKUP($A274,INDIRECT("'W"&amp;F$1&amp;"'!$A$2:$T$1000"),4,FALSE),0)</f>
        <v>2.2800000000000002</v>
      </c>
      <c r="G274" s="37">
        <f ca="1">_xlfn.IFNA(VLOOKUP($A274,INDIRECT("'W"&amp;G$1&amp;"'!$A$2:$T$1000"),4,FALSE),0)</f>
        <v>0.88</v>
      </c>
      <c r="H274" s="37">
        <f ca="1">_xlfn.IFNA(VLOOKUP($A274,INDIRECT("'W"&amp;H$1&amp;"'!$A$2:$T$1000"),4,FALSE),0)</f>
        <v>0</v>
      </c>
      <c r="I274" s="37">
        <f ca="1">_xlfn.IFNA(VLOOKUP($A274,INDIRECT("'W"&amp;I$1&amp;"'!$A$2:$T$1000"),4,FALSE),0)</f>
        <v>0</v>
      </c>
      <c r="J274" s="37">
        <f ca="1">_xlfn.IFNA(VLOOKUP($A274,INDIRECT("'W"&amp;J$1&amp;"'!$A$2:$T$1000"),4,FALSE),0)</f>
        <v>0</v>
      </c>
      <c r="K274" s="37">
        <f ca="1">_xlfn.IFNA(VLOOKUP($A274,INDIRECT("'W"&amp;K$1&amp;"'!$A$2:$T$1000"),4,FALSE),0)</f>
        <v>0</v>
      </c>
      <c r="L274" s="37">
        <f ca="1">_xlfn.IFNA(VLOOKUP($A274,INDIRECT("'W"&amp;L$1&amp;"'!$A$2:$T$1000"),4,FALSE),0)</f>
        <v>-1</v>
      </c>
      <c r="M274" s="37">
        <f ca="1">_xlfn.IFNA(VLOOKUP($A274,INDIRECT("'W"&amp;M$1&amp;"'!$A$2:$T$1000"),4,FALSE),0)</f>
        <v>0</v>
      </c>
      <c r="N274" s="37">
        <f ca="1">_xlfn.IFNA(VLOOKUP($A274,INDIRECT("'W"&amp;N$1&amp;"'!$A$2:$T$1000"),4,FALSE),0)</f>
        <v>0.16000000000000014</v>
      </c>
      <c r="O274" s="37">
        <f ca="1">_xlfn.IFNA(VLOOKUP($A274,INDIRECT("'W"&amp;O$1&amp;"'!$A$2:$T$1000"),4,FALSE),0)</f>
        <v>7.24</v>
      </c>
      <c r="P274" s="37">
        <f ca="1">_xlfn.IFNA(VLOOKUP($A274,INDIRECT("'W"&amp;P$1&amp;"'!$A$2:$T$1000"),4,FALSE),0)</f>
        <v>20.900000000000002</v>
      </c>
      <c r="Q274" s="37">
        <f ca="1">_xlfn.IFNA(VLOOKUP($A274,INDIRECT("'W"&amp;Q$1&amp;"'!$A$2:$T$1000"),4,FALSE),0)</f>
        <v>9.3999999999999986</v>
      </c>
      <c r="R274" s="37">
        <f ca="1">_xlfn.IFNA(VLOOKUP($A274,INDIRECT("'W"&amp;R$1&amp;"'!$A$2:$T$1000"),4,FALSE),0)</f>
        <v>16.440000000000001</v>
      </c>
      <c r="S274" s="37">
        <f ca="1">_xlfn.IFNA(VLOOKUP($A274,INDIRECT("'W"&amp;S$1&amp;"'!$A$2:$T$1000"),4,FALSE),0)</f>
        <v>12.059999999999999</v>
      </c>
      <c r="T274" s="37">
        <f ca="1">_xlfn.IFNA(VLOOKUP($A274,INDIRECT("'W"&amp;T$1&amp;"'!$A$2:$T$1000"),4,FALSE),0)</f>
        <v>0.82000000000000006</v>
      </c>
      <c r="U274" s="36">
        <f ca="1">COUNTIF(C274:T274,"&gt; 15")</f>
        <v>2</v>
      </c>
      <c r="V274" s="36">
        <f ca="1">SUM(C274:T274)</f>
        <v>69.179999999999993</v>
      </c>
      <c r="W274" s="36"/>
      <c r="X274" s="38"/>
    </row>
    <row r="275" spans="1:24" ht="12.75" x14ac:dyDescent="0.2">
      <c r="A275" s="36" t="s">
        <v>357</v>
      </c>
      <c r="B275" s="36" t="s">
        <v>162</v>
      </c>
      <c r="C275" s="37">
        <f ca="1">_xlfn.IFNA(VLOOKUP($A275,INDIRECT("'W"&amp;C$1&amp;"'!$A$2:$T$1000"),4,FALSE),0)</f>
        <v>0</v>
      </c>
      <c r="D275" s="37">
        <f ca="1">_xlfn.IFNA(VLOOKUP($A275,INDIRECT("'W"&amp;D$1&amp;"'!$A$2:$T$1000"),4,FALSE),0)</f>
        <v>5.9</v>
      </c>
      <c r="E275" s="37">
        <f ca="1">_xlfn.IFNA(VLOOKUP($A275,INDIRECT("'W"&amp;E$1&amp;"'!$A$2:$T$1000"),4,FALSE),0)</f>
        <v>6.1000000000000005</v>
      </c>
      <c r="F275" s="37">
        <f ca="1">_xlfn.IFNA(VLOOKUP($A275,INDIRECT("'W"&amp;F$1&amp;"'!$A$2:$T$1000"),4,FALSE),0)</f>
        <v>5.4</v>
      </c>
      <c r="G275" s="37">
        <f ca="1">_xlfn.IFNA(VLOOKUP($A275,INDIRECT("'W"&amp;G$1&amp;"'!$A$2:$T$1000"),4,FALSE),0)</f>
        <v>0</v>
      </c>
      <c r="H275" s="37">
        <f ca="1">_xlfn.IFNA(VLOOKUP($A275,INDIRECT("'W"&amp;H$1&amp;"'!$A$2:$T$1000"),4,FALSE),0)</f>
        <v>1.6</v>
      </c>
      <c r="I275" s="37">
        <f ca="1">_xlfn.IFNA(VLOOKUP($A275,INDIRECT("'W"&amp;I$1&amp;"'!$A$2:$T$1000"),4,FALSE),0)</f>
        <v>0</v>
      </c>
      <c r="J275" s="37">
        <f ca="1">_xlfn.IFNA(VLOOKUP($A275,INDIRECT("'W"&amp;J$1&amp;"'!$A$2:$T$1000"),4,FALSE),0)</f>
        <v>0</v>
      </c>
      <c r="K275" s="37">
        <f ca="1">_xlfn.IFNA(VLOOKUP($A275,INDIRECT("'W"&amp;K$1&amp;"'!$A$2:$T$1000"),4,FALSE),0)</f>
        <v>3.9000000000000004</v>
      </c>
      <c r="L275" s="37">
        <f ca="1">_xlfn.IFNA(VLOOKUP($A275,INDIRECT("'W"&amp;L$1&amp;"'!$A$2:$T$1000"),4,FALSE),0)</f>
        <v>4.0999999999999996</v>
      </c>
      <c r="M275" s="37">
        <f ca="1">_xlfn.IFNA(VLOOKUP($A275,INDIRECT("'W"&amp;M$1&amp;"'!$A$2:$T$1000"),4,FALSE),0)</f>
        <v>9.7000000000000011</v>
      </c>
      <c r="N275" s="37">
        <f ca="1">_xlfn.IFNA(VLOOKUP($A275,INDIRECT("'W"&amp;N$1&amp;"'!$A$2:$T$1000"),4,FALSE),0)</f>
        <v>7.2000000000000011</v>
      </c>
      <c r="O275" s="37">
        <f ca="1">_xlfn.IFNA(VLOOKUP($A275,INDIRECT("'W"&amp;O$1&amp;"'!$A$2:$T$1000"),4,FALSE),0)</f>
        <v>2.2000000000000002</v>
      </c>
      <c r="P275" s="37">
        <f ca="1">_xlfn.IFNA(VLOOKUP($A275,INDIRECT("'W"&amp;P$1&amp;"'!$A$2:$T$1000"),4,FALSE),0)</f>
        <v>3.2</v>
      </c>
      <c r="Q275" s="37">
        <f ca="1">_xlfn.IFNA(VLOOKUP($A275,INDIRECT("'W"&amp;Q$1&amp;"'!$A$2:$T$1000"),4,FALSE),0)</f>
        <v>6.9</v>
      </c>
      <c r="R275" s="37">
        <f ca="1">_xlfn.IFNA(VLOOKUP($A275,INDIRECT("'W"&amp;R$1&amp;"'!$A$2:$T$1000"),4,FALSE),0)</f>
        <v>1.9</v>
      </c>
      <c r="S275" s="37">
        <f ca="1">_xlfn.IFNA(VLOOKUP($A275,INDIRECT("'W"&amp;S$1&amp;"'!$A$2:$T$1000"),4,FALSE),0)</f>
        <v>4.2</v>
      </c>
      <c r="T275" s="37">
        <f ca="1">_xlfn.IFNA(VLOOKUP($A275,INDIRECT("'W"&amp;T$1&amp;"'!$A$2:$T$1000"),4,FALSE),0)</f>
        <v>6</v>
      </c>
      <c r="U275" s="36">
        <f ca="1">COUNTIF(C275:T275,"&gt; 15")</f>
        <v>0</v>
      </c>
      <c r="V275" s="36">
        <f ca="1">SUM(C275:T275)</f>
        <v>68.300000000000011</v>
      </c>
      <c r="W275" s="36"/>
      <c r="X275" s="38"/>
    </row>
    <row r="276" spans="1:24" ht="12.75" x14ac:dyDescent="0.2">
      <c r="A276" s="36" t="s">
        <v>736</v>
      </c>
      <c r="B276" s="36" t="s">
        <v>17</v>
      </c>
      <c r="C276" s="37">
        <f ca="1">_xlfn.IFNA(VLOOKUP($A276,INDIRECT("'W"&amp;C$1&amp;"'!$A$2:$T$1000"),4,FALSE),0)</f>
        <v>0</v>
      </c>
      <c r="D276" s="37">
        <f ca="1">_xlfn.IFNA(VLOOKUP($A276,INDIRECT("'W"&amp;D$1&amp;"'!$A$2:$T$1000"),4,FALSE),0)</f>
        <v>0</v>
      </c>
      <c r="E276" s="37">
        <f ca="1">_xlfn.IFNA(VLOOKUP($A276,INDIRECT("'W"&amp;E$1&amp;"'!$A$2:$T$1000"),4,FALSE),0)</f>
        <v>0</v>
      </c>
      <c r="F276" s="37">
        <f ca="1">_xlfn.IFNA(VLOOKUP($A276,INDIRECT("'W"&amp;F$1&amp;"'!$A$2:$T$1000"),4,FALSE),0)</f>
        <v>0</v>
      </c>
      <c r="G276" s="37">
        <f ca="1">_xlfn.IFNA(VLOOKUP($A276,INDIRECT("'W"&amp;G$1&amp;"'!$A$2:$T$1000"),4,FALSE),0)</f>
        <v>0</v>
      </c>
      <c r="H276" s="37">
        <f ca="1">_xlfn.IFNA(VLOOKUP($A276,INDIRECT("'W"&amp;H$1&amp;"'!$A$2:$T$1000"),4,FALSE),0)</f>
        <v>0</v>
      </c>
      <c r="I276" s="37">
        <f ca="1">_xlfn.IFNA(VLOOKUP($A276,INDIRECT("'W"&amp;I$1&amp;"'!$A$2:$T$1000"),4,FALSE),0)</f>
        <v>0</v>
      </c>
      <c r="J276" s="37">
        <f ca="1">_xlfn.IFNA(VLOOKUP($A276,INDIRECT("'W"&amp;J$1&amp;"'!$A$2:$T$1000"),4,FALSE),0)</f>
        <v>0</v>
      </c>
      <c r="K276" s="37">
        <f ca="1">_xlfn.IFNA(VLOOKUP($A276,INDIRECT("'W"&amp;K$1&amp;"'!$A$2:$T$1000"),4,FALSE),0)</f>
        <v>0</v>
      </c>
      <c r="L276" s="37">
        <f ca="1">_xlfn.IFNA(VLOOKUP($A276,INDIRECT("'W"&amp;L$1&amp;"'!$A$2:$T$1000"),4,FALSE),0)</f>
        <v>0</v>
      </c>
      <c r="M276" s="37">
        <f ca="1">_xlfn.IFNA(VLOOKUP($A276,INDIRECT("'W"&amp;M$1&amp;"'!$A$2:$T$1000"),4,FALSE),0)</f>
        <v>0</v>
      </c>
      <c r="N276" s="37">
        <f ca="1">_xlfn.IFNA(VLOOKUP($A276,INDIRECT("'W"&amp;N$1&amp;"'!$A$2:$T$1000"),4,FALSE),0)</f>
        <v>0</v>
      </c>
      <c r="O276" s="37">
        <f ca="1">_xlfn.IFNA(VLOOKUP($A276,INDIRECT("'W"&amp;O$1&amp;"'!$A$2:$T$1000"),4,FALSE),0)</f>
        <v>0</v>
      </c>
      <c r="P276" s="37">
        <f ca="1">_xlfn.IFNA(VLOOKUP($A276,INDIRECT("'W"&amp;P$1&amp;"'!$A$2:$T$1000"),4,FALSE),0)</f>
        <v>5.16</v>
      </c>
      <c r="Q276" s="37">
        <f ca="1">_xlfn.IFNA(VLOOKUP($A276,INDIRECT("'W"&amp;Q$1&amp;"'!$A$2:$T$1000"),4,FALSE),0)</f>
        <v>17.380000000000003</v>
      </c>
      <c r="R276" s="37">
        <f ca="1">_xlfn.IFNA(VLOOKUP($A276,INDIRECT("'W"&amp;R$1&amp;"'!$A$2:$T$1000"),4,FALSE),0)</f>
        <v>17.100000000000001</v>
      </c>
      <c r="S276" s="37">
        <f ca="1">_xlfn.IFNA(VLOOKUP($A276,INDIRECT("'W"&amp;S$1&amp;"'!$A$2:$T$1000"),4,FALSE),0)</f>
        <v>11.9</v>
      </c>
      <c r="T276" s="37">
        <f ca="1">_xlfn.IFNA(VLOOKUP($A276,INDIRECT("'W"&amp;T$1&amp;"'!$A$2:$T$1000"),4,FALSE),0)</f>
        <v>16.02</v>
      </c>
      <c r="U276" s="36">
        <f ca="1">COUNTIF(C276:T276,"&gt; 15")</f>
        <v>3</v>
      </c>
      <c r="V276" s="36">
        <f ca="1">SUM(C276:T276)</f>
        <v>67.56</v>
      </c>
      <c r="W276" s="36"/>
      <c r="X276" s="38"/>
    </row>
    <row r="277" spans="1:24" ht="12.75" x14ac:dyDescent="0.2">
      <c r="A277" s="36" t="s">
        <v>400</v>
      </c>
      <c r="B277" s="36" t="s">
        <v>162</v>
      </c>
      <c r="C277" s="37">
        <f ca="1">_xlfn.IFNA(VLOOKUP($A277,INDIRECT("'W"&amp;C$1&amp;"'!$A$2:$T$1000"),4,FALSE),0)</f>
        <v>0</v>
      </c>
      <c r="D277" s="37">
        <f ca="1">_xlfn.IFNA(VLOOKUP($A277,INDIRECT("'W"&amp;D$1&amp;"'!$A$2:$T$1000"),4,FALSE),0)</f>
        <v>-2</v>
      </c>
      <c r="E277" s="37">
        <f ca="1">_xlfn.IFNA(VLOOKUP($A277,INDIRECT("'W"&amp;E$1&amp;"'!$A$2:$T$1000"),4,FALSE),0)</f>
        <v>1.5</v>
      </c>
      <c r="F277" s="37">
        <f ca="1">_xlfn.IFNA(VLOOKUP($A277,INDIRECT("'W"&amp;F$1&amp;"'!$A$2:$T$1000"),4,FALSE),0)</f>
        <v>0</v>
      </c>
      <c r="G277" s="37">
        <f ca="1">_xlfn.IFNA(VLOOKUP($A277,INDIRECT("'W"&amp;G$1&amp;"'!$A$2:$T$1000"),4,FALSE),0)</f>
        <v>9.1999999999999993</v>
      </c>
      <c r="H277" s="37">
        <f ca="1">_xlfn.IFNA(VLOOKUP($A277,INDIRECT("'W"&amp;H$1&amp;"'!$A$2:$T$1000"),4,FALSE),0)</f>
        <v>4.9000000000000004</v>
      </c>
      <c r="I277" s="37">
        <f ca="1">_xlfn.IFNA(VLOOKUP($A277,INDIRECT("'W"&amp;I$1&amp;"'!$A$2:$T$1000"),4,FALSE),0)</f>
        <v>10.9</v>
      </c>
      <c r="J277" s="37">
        <f ca="1">_xlfn.IFNA(VLOOKUP($A277,INDIRECT("'W"&amp;J$1&amp;"'!$A$2:$T$1000"),4,FALSE),0)</f>
        <v>2.2000000000000002</v>
      </c>
      <c r="K277" s="37">
        <f ca="1">_xlfn.IFNA(VLOOKUP($A277,INDIRECT("'W"&amp;K$1&amp;"'!$A$2:$T$1000"),4,FALSE),0)</f>
        <v>9.5</v>
      </c>
      <c r="L277" s="37">
        <f ca="1">_xlfn.IFNA(VLOOKUP($A277,INDIRECT("'W"&amp;L$1&amp;"'!$A$2:$T$1000"),4,FALSE),0)</f>
        <v>7.5</v>
      </c>
      <c r="M277" s="37">
        <f ca="1">_xlfn.IFNA(VLOOKUP($A277,INDIRECT("'W"&amp;M$1&amp;"'!$A$2:$T$1000"),4,FALSE),0)</f>
        <v>6.2</v>
      </c>
      <c r="N277" s="37">
        <f ca="1">_xlfn.IFNA(VLOOKUP($A277,INDIRECT("'W"&amp;N$1&amp;"'!$A$2:$T$1000"),4,FALSE),0)</f>
        <v>7.7</v>
      </c>
      <c r="O277" s="37">
        <f ca="1">_xlfn.IFNA(VLOOKUP($A277,INDIRECT("'W"&amp;O$1&amp;"'!$A$2:$T$1000"),4,FALSE),0)</f>
        <v>0</v>
      </c>
      <c r="P277" s="37">
        <f ca="1">_xlfn.IFNA(VLOOKUP($A277,INDIRECT("'W"&amp;P$1&amp;"'!$A$2:$T$1000"),4,FALSE),0)</f>
        <v>0</v>
      </c>
      <c r="Q277" s="37">
        <f ca="1">_xlfn.IFNA(VLOOKUP($A277,INDIRECT("'W"&amp;Q$1&amp;"'!$A$2:$T$1000"),4,FALSE),0)</f>
        <v>0</v>
      </c>
      <c r="R277" s="37">
        <f ca="1">_xlfn.IFNA(VLOOKUP($A277,INDIRECT("'W"&amp;R$1&amp;"'!$A$2:$T$1000"),4,FALSE),0)</f>
        <v>8.3000000000000007</v>
      </c>
      <c r="S277" s="37">
        <f ca="1">_xlfn.IFNA(VLOOKUP($A277,INDIRECT("'W"&amp;S$1&amp;"'!$A$2:$T$1000"),4,FALSE),0)</f>
        <v>0</v>
      </c>
      <c r="T277" s="37">
        <f ca="1">_xlfn.IFNA(VLOOKUP($A277,INDIRECT("'W"&amp;T$1&amp;"'!$A$2:$T$1000"),4,FALSE),0)</f>
        <v>1.2</v>
      </c>
      <c r="U277" s="36">
        <f ca="1">COUNTIF(C277:T277,"&gt; 15")</f>
        <v>0</v>
      </c>
      <c r="V277" s="36">
        <f ca="1">SUM(C277:T277)</f>
        <v>67.100000000000009</v>
      </c>
      <c r="W277" s="36"/>
      <c r="X277" s="38"/>
    </row>
    <row r="278" spans="1:24" ht="12.75" x14ac:dyDescent="0.2">
      <c r="A278" s="36" t="s">
        <v>738</v>
      </c>
      <c r="B278" s="36" t="s">
        <v>17</v>
      </c>
      <c r="C278" s="37">
        <f ca="1">_xlfn.IFNA(VLOOKUP($A278,INDIRECT("'W"&amp;C$1&amp;"'!$A$2:$T$1000"),4,FALSE),0)</f>
        <v>0</v>
      </c>
      <c r="D278" s="37">
        <f ca="1">_xlfn.IFNA(VLOOKUP($A278,INDIRECT("'W"&amp;D$1&amp;"'!$A$2:$T$1000"),4,FALSE),0)</f>
        <v>0</v>
      </c>
      <c r="E278" s="37">
        <f ca="1">_xlfn.IFNA(VLOOKUP($A278,INDIRECT("'W"&amp;E$1&amp;"'!$A$2:$T$1000"),4,FALSE),0)</f>
        <v>0</v>
      </c>
      <c r="F278" s="37">
        <f ca="1">_xlfn.IFNA(VLOOKUP($A278,INDIRECT("'W"&amp;F$1&amp;"'!$A$2:$T$1000"),4,FALSE),0)</f>
        <v>0</v>
      </c>
      <c r="G278" s="37">
        <f ca="1">_xlfn.IFNA(VLOOKUP($A278,INDIRECT("'W"&amp;G$1&amp;"'!$A$2:$T$1000"),4,FALSE),0)</f>
        <v>0</v>
      </c>
      <c r="H278" s="37">
        <f ca="1">_xlfn.IFNA(VLOOKUP($A278,INDIRECT("'W"&amp;H$1&amp;"'!$A$2:$T$1000"),4,FALSE),0)</f>
        <v>0</v>
      </c>
      <c r="I278" s="37">
        <f ca="1">_xlfn.IFNA(VLOOKUP($A278,INDIRECT("'W"&amp;I$1&amp;"'!$A$2:$T$1000"),4,FALSE),0)</f>
        <v>0</v>
      </c>
      <c r="J278" s="37">
        <f ca="1">_xlfn.IFNA(VLOOKUP($A278,INDIRECT("'W"&amp;J$1&amp;"'!$A$2:$T$1000"),4,FALSE),0)</f>
        <v>0</v>
      </c>
      <c r="K278" s="37">
        <f ca="1">_xlfn.IFNA(VLOOKUP($A278,INDIRECT("'W"&amp;K$1&amp;"'!$A$2:$T$1000"),4,FALSE),0)</f>
        <v>0</v>
      </c>
      <c r="L278" s="37">
        <f ca="1">_xlfn.IFNA(VLOOKUP($A278,INDIRECT("'W"&amp;L$1&amp;"'!$A$2:$T$1000"),4,FALSE),0)</f>
        <v>0</v>
      </c>
      <c r="M278" s="37">
        <f ca="1">_xlfn.IFNA(VLOOKUP($A278,INDIRECT("'W"&amp;M$1&amp;"'!$A$2:$T$1000"),4,FALSE),0)</f>
        <v>0</v>
      </c>
      <c r="N278" s="37">
        <f ca="1">_xlfn.IFNA(VLOOKUP($A278,INDIRECT("'W"&amp;N$1&amp;"'!$A$2:$T$1000"),4,FALSE),0)</f>
        <v>0</v>
      </c>
      <c r="O278" s="37">
        <f ca="1">_xlfn.IFNA(VLOOKUP($A278,INDIRECT("'W"&amp;O$1&amp;"'!$A$2:$T$1000"),4,FALSE),0)</f>
        <v>0</v>
      </c>
      <c r="P278" s="37">
        <f ca="1">_xlfn.IFNA(VLOOKUP($A278,INDIRECT("'W"&amp;P$1&amp;"'!$A$2:$T$1000"),4,FALSE),0)</f>
        <v>3.3200000000000003</v>
      </c>
      <c r="Q278" s="37">
        <f ca="1">_xlfn.IFNA(VLOOKUP($A278,INDIRECT("'W"&amp;Q$1&amp;"'!$A$2:$T$1000"),4,FALSE),0)</f>
        <v>17.12</v>
      </c>
      <c r="R278" s="37">
        <f ca="1">_xlfn.IFNA(VLOOKUP($A278,INDIRECT("'W"&amp;R$1&amp;"'!$A$2:$T$1000"),4,FALSE),0)</f>
        <v>16.540000000000003</v>
      </c>
      <c r="S278" s="37">
        <f ca="1">_xlfn.IFNA(VLOOKUP($A278,INDIRECT("'W"&amp;S$1&amp;"'!$A$2:$T$1000"),4,FALSE),0)</f>
        <v>9.1199999999999992</v>
      </c>
      <c r="T278" s="37">
        <f ca="1">_xlfn.IFNA(VLOOKUP($A278,INDIRECT("'W"&amp;T$1&amp;"'!$A$2:$T$1000"),4,FALSE),0)</f>
        <v>20.64</v>
      </c>
      <c r="U278" s="36">
        <f ca="1">COUNTIF(C278:T278,"&gt; 15")</f>
        <v>3</v>
      </c>
      <c r="V278" s="36">
        <f ca="1">SUM(C278:T278)</f>
        <v>66.740000000000009</v>
      </c>
      <c r="W278" s="36"/>
      <c r="X278" s="38"/>
    </row>
    <row r="279" spans="1:24" ht="12.75" x14ac:dyDescent="0.2">
      <c r="A279" s="36" t="s">
        <v>603</v>
      </c>
      <c r="B279" s="36" t="s">
        <v>17</v>
      </c>
      <c r="C279" s="37">
        <f ca="1">_xlfn.IFNA(VLOOKUP($A279,INDIRECT("'W"&amp;C$1&amp;"'!$A$2:$T$1000"),4,FALSE),0)</f>
        <v>0</v>
      </c>
      <c r="D279" s="37">
        <f ca="1">_xlfn.IFNA(VLOOKUP($A279,INDIRECT("'W"&amp;D$1&amp;"'!$A$2:$T$1000"),4,FALSE),0)</f>
        <v>0</v>
      </c>
      <c r="E279" s="37">
        <f ca="1">_xlfn.IFNA(VLOOKUP($A279,INDIRECT("'W"&amp;E$1&amp;"'!$A$2:$T$1000"),4,FALSE),0)</f>
        <v>0</v>
      </c>
      <c r="F279" s="37">
        <f ca="1">_xlfn.IFNA(VLOOKUP($A279,INDIRECT("'W"&amp;F$1&amp;"'!$A$2:$T$1000"),4,FALSE),0)</f>
        <v>0</v>
      </c>
      <c r="G279" s="37">
        <f ca="1">_xlfn.IFNA(VLOOKUP($A279,INDIRECT("'W"&amp;G$1&amp;"'!$A$2:$T$1000"),4,FALSE),0)</f>
        <v>0</v>
      </c>
      <c r="H279" s="37">
        <f ca="1">_xlfn.IFNA(VLOOKUP($A279,INDIRECT("'W"&amp;H$1&amp;"'!$A$2:$T$1000"),4,FALSE),0)</f>
        <v>0</v>
      </c>
      <c r="I279" s="37">
        <f ca="1">_xlfn.IFNA(VLOOKUP($A279,INDIRECT("'W"&amp;I$1&amp;"'!$A$2:$T$1000"),4,FALSE),0)</f>
        <v>0</v>
      </c>
      <c r="J279" s="37">
        <f ca="1">_xlfn.IFNA(VLOOKUP($A279,INDIRECT("'W"&amp;J$1&amp;"'!$A$2:$T$1000"),4,FALSE),0)</f>
        <v>12.4</v>
      </c>
      <c r="K279" s="37">
        <f ca="1">_xlfn.IFNA(VLOOKUP($A279,INDIRECT("'W"&amp;K$1&amp;"'!$A$2:$T$1000"),4,FALSE),0)</f>
        <v>14.72</v>
      </c>
      <c r="L279" s="37">
        <f ca="1">_xlfn.IFNA(VLOOKUP($A279,INDIRECT("'W"&amp;L$1&amp;"'!$A$2:$T$1000"),4,FALSE),0)</f>
        <v>9.6000000000000014</v>
      </c>
      <c r="M279" s="37">
        <f ca="1">_xlfn.IFNA(VLOOKUP($A279,INDIRECT("'W"&amp;M$1&amp;"'!$A$2:$T$1000"),4,FALSE),0)</f>
        <v>0</v>
      </c>
      <c r="N279" s="37">
        <f ca="1">_xlfn.IFNA(VLOOKUP($A279,INDIRECT("'W"&amp;N$1&amp;"'!$A$2:$T$1000"),4,FALSE),0)</f>
        <v>0</v>
      </c>
      <c r="O279" s="37">
        <f ca="1">_xlfn.IFNA(VLOOKUP($A279,INDIRECT("'W"&amp;O$1&amp;"'!$A$2:$T$1000"),4,FALSE),0)</f>
        <v>0</v>
      </c>
      <c r="P279" s="37">
        <f ca="1">_xlfn.IFNA(VLOOKUP($A279,INDIRECT("'W"&amp;P$1&amp;"'!$A$2:$T$1000"),4,FALSE),0)</f>
        <v>0</v>
      </c>
      <c r="Q279" s="37">
        <f ca="1">_xlfn.IFNA(VLOOKUP($A279,INDIRECT("'W"&amp;Q$1&amp;"'!$A$2:$T$1000"),4,FALSE),0)</f>
        <v>0</v>
      </c>
      <c r="R279" s="37">
        <f ca="1">_xlfn.IFNA(VLOOKUP($A279,INDIRECT("'W"&amp;R$1&amp;"'!$A$2:$T$1000"),4,FALSE),0)</f>
        <v>14.16</v>
      </c>
      <c r="S279" s="37">
        <f ca="1">_xlfn.IFNA(VLOOKUP($A279,INDIRECT("'W"&amp;S$1&amp;"'!$A$2:$T$1000"),4,FALSE),0)</f>
        <v>15.120000000000001</v>
      </c>
      <c r="T279" s="37">
        <f ca="1">_xlfn.IFNA(VLOOKUP($A279,INDIRECT("'W"&amp;T$1&amp;"'!$A$2:$T$1000"),4,FALSE),0)</f>
        <v>0</v>
      </c>
      <c r="U279" s="36">
        <f ca="1">COUNTIF(C279:T279,"&gt; 15")</f>
        <v>1</v>
      </c>
      <c r="V279" s="36">
        <f ca="1">SUM(C279:T279)</f>
        <v>66</v>
      </c>
      <c r="W279" s="36"/>
      <c r="X279" s="38"/>
    </row>
    <row r="280" spans="1:24" ht="12.75" x14ac:dyDescent="0.2">
      <c r="A280" s="36" t="s">
        <v>288</v>
      </c>
      <c r="B280" s="36" t="s">
        <v>69</v>
      </c>
      <c r="C280" s="37">
        <f ca="1">_xlfn.IFNA(VLOOKUP($A280,INDIRECT("'W"&amp;C$1&amp;"'!$A$2:$T$1000"),4,FALSE),0)</f>
        <v>6.6</v>
      </c>
      <c r="D280" s="37">
        <f ca="1">_xlfn.IFNA(VLOOKUP($A280,INDIRECT("'W"&amp;D$1&amp;"'!$A$2:$T$1000"),4,FALSE),0)</f>
        <v>8.3000000000000007</v>
      </c>
      <c r="E280" s="37">
        <f ca="1">_xlfn.IFNA(VLOOKUP($A280,INDIRECT("'W"&amp;E$1&amp;"'!$A$2:$T$1000"),4,FALSE),0)</f>
        <v>2.8</v>
      </c>
      <c r="F280" s="37">
        <f ca="1">_xlfn.IFNA(VLOOKUP($A280,INDIRECT("'W"&amp;F$1&amp;"'!$A$2:$T$1000"),4,FALSE),0)</f>
        <v>2.2000000000000002</v>
      </c>
      <c r="G280" s="37">
        <f ca="1">_xlfn.IFNA(VLOOKUP($A280,INDIRECT("'W"&amp;G$1&amp;"'!$A$2:$T$1000"),4,FALSE),0)</f>
        <v>3.7</v>
      </c>
      <c r="H280" s="37">
        <f ca="1">_xlfn.IFNA(VLOOKUP($A280,INDIRECT("'W"&amp;H$1&amp;"'!$A$2:$T$1000"),4,FALSE),0)</f>
        <v>5.8000000000000007</v>
      </c>
      <c r="I280" s="37">
        <f ca="1">_xlfn.IFNA(VLOOKUP($A280,INDIRECT("'W"&amp;I$1&amp;"'!$A$2:$T$1000"),4,FALSE),0)</f>
        <v>8.5</v>
      </c>
      <c r="J280" s="37">
        <f ca="1">_xlfn.IFNA(VLOOKUP($A280,INDIRECT("'W"&amp;J$1&amp;"'!$A$2:$T$1000"),4,FALSE),0)</f>
        <v>3.1</v>
      </c>
      <c r="K280" s="37">
        <f ca="1">_xlfn.IFNA(VLOOKUP($A280,INDIRECT("'W"&amp;K$1&amp;"'!$A$2:$T$1000"),4,FALSE),0)</f>
        <v>0</v>
      </c>
      <c r="L280" s="37">
        <f ca="1">_xlfn.IFNA(VLOOKUP($A280,INDIRECT("'W"&amp;L$1&amp;"'!$A$2:$T$1000"),4,FALSE),0)</f>
        <v>4.2</v>
      </c>
      <c r="M280" s="37">
        <f ca="1">_xlfn.IFNA(VLOOKUP($A280,INDIRECT("'W"&amp;M$1&amp;"'!$A$2:$T$1000"),4,FALSE),0)</f>
        <v>0</v>
      </c>
      <c r="N280" s="37">
        <f ca="1">_xlfn.IFNA(VLOOKUP($A280,INDIRECT("'W"&amp;N$1&amp;"'!$A$2:$T$1000"),4,FALSE),0)</f>
        <v>0</v>
      </c>
      <c r="O280" s="37">
        <f ca="1">_xlfn.IFNA(VLOOKUP($A280,INDIRECT("'W"&amp;O$1&amp;"'!$A$2:$T$1000"),4,FALSE),0)</f>
        <v>0</v>
      </c>
      <c r="P280" s="37">
        <f ca="1">_xlfn.IFNA(VLOOKUP($A280,INDIRECT("'W"&amp;P$1&amp;"'!$A$2:$T$1000"),4,FALSE),0)</f>
        <v>0</v>
      </c>
      <c r="Q280" s="37">
        <f ca="1">_xlfn.IFNA(VLOOKUP($A280,INDIRECT("'W"&amp;Q$1&amp;"'!$A$2:$T$1000"),4,FALSE),0)</f>
        <v>1.7000000000000002</v>
      </c>
      <c r="R280" s="37">
        <f ca="1">_xlfn.IFNA(VLOOKUP($A280,INDIRECT("'W"&amp;R$1&amp;"'!$A$2:$T$1000"),4,FALSE),0)</f>
        <v>9.5</v>
      </c>
      <c r="S280" s="37">
        <f ca="1">_xlfn.IFNA(VLOOKUP($A280,INDIRECT("'W"&amp;S$1&amp;"'!$A$2:$T$1000"),4,FALSE),0)</f>
        <v>7.5</v>
      </c>
      <c r="T280" s="37">
        <f ca="1">_xlfn.IFNA(VLOOKUP($A280,INDIRECT("'W"&amp;T$1&amp;"'!$A$2:$T$1000"),4,FALSE),0)</f>
        <v>1.5</v>
      </c>
      <c r="U280" s="36">
        <f ca="1">COUNTIF(C280:T280,"&gt; 15")</f>
        <v>0</v>
      </c>
      <c r="V280" s="36">
        <f ca="1">SUM(C280:T280)</f>
        <v>65.400000000000006</v>
      </c>
      <c r="W280" s="36"/>
      <c r="X280" s="38"/>
    </row>
    <row r="281" spans="1:24" ht="12.75" x14ac:dyDescent="0.2">
      <c r="A281" s="36" t="s">
        <v>254</v>
      </c>
      <c r="B281" s="36" t="s">
        <v>162</v>
      </c>
      <c r="C281" s="37">
        <f ca="1">_xlfn.IFNA(VLOOKUP($A281,INDIRECT("'W"&amp;C$1&amp;"'!$A$2:$T$1000"),4,FALSE),0)</f>
        <v>2.9</v>
      </c>
      <c r="D281" s="37">
        <f ca="1">_xlfn.IFNA(VLOOKUP($A281,INDIRECT("'W"&amp;D$1&amp;"'!$A$2:$T$1000"),4,FALSE),0)</f>
        <v>20.3</v>
      </c>
      <c r="E281" s="37">
        <f ca="1">_xlfn.IFNA(VLOOKUP($A281,INDIRECT("'W"&amp;E$1&amp;"'!$A$2:$T$1000"),4,FALSE),0)</f>
        <v>10.600000000000001</v>
      </c>
      <c r="F281" s="37">
        <f ca="1">_xlfn.IFNA(VLOOKUP($A281,INDIRECT("'W"&amp;F$1&amp;"'!$A$2:$T$1000"),4,FALSE),0)</f>
        <v>6.7</v>
      </c>
      <c r="G281" s="37">
        <f ca="1">_xlfn.IFNA(VLOOKUP($A281,INDIRECT("'W"&amp;G$1&amp;"'!$A$2:$T$1000"),4,FALSE),0)</f>
        <v>-0.60000000000000009</v>
      </c>
      <c r="H281" s="37">
        <f ca="1">_xlfn.IFNA(VLOOKUP($A281,INDIRECT("'W"&amp;H$1&amp;"'!$A$2:$T$1000"),4,FALSE),0)</f>
        <v>0</v>
      </c>
      <c r="I281" s="37">
        <f ca="1">_xlfn.IFNA(VLOOKUP($A281,INDIRECT("'W"&amp;I$1&amp;"'!$A$2:$T$1000"),4,FALSE),0)</f>
        <v>-1.1000000000000001</v>
      </c>
      <c r="J281" s="37">
        <f ca="1">_xlfn.IFNA(VLOOKUP($A281,INDIRECT("'W"&amp;J$1&amp;"'!$A$2:$T$1000"),4,FALSE),0)</f>
        <v>1</v>
      </c>
      <c r="K281" s="37">
        <f ca="1">_xlfn.IFNA(VLOOKUP($A281,INDIRECT("'W"&amp;K$1&amp;"'!$A$2:$T$1000"),4,FALSE),0)</f>
        <v>0</v>
      </c>
      <c r="L281" s="37">
        <f ca="1">_xlfn.IFNA(VLOOKUP($A281,INDIRECT("'W"&amp;L$1&amp;"'!$A$2:$T$1000"),4,FALSE),0)</f>
        <v>-0.30000000000000004</v>
      </c>
      <c r="M281" s="37">
        <f ca="1">_xlfn.IFNA(VLOOKUP($A281,INDIRECT("'W"&amp;M$1&amp;"'!$A$2:$T$1000"),4,FALSE),0)</f>
        <v>3.2</v>
      </c>
      <c r="N281" s="37">
        <f ca="1">_xlfn.IFNA(VLOOKUP($A281,INDIRECT("'W"&amp;N$1&amp;"'!$A$2:$T$1000"),4,FALSE),0)</f>
        <v>5.5</v>
      </c>
      <c r="O281" s="37">
        <f ca="1">_xlfn.IFNA(VLOOKUP($A281,INDIRECT("'W"&amp;O$1&amp;"'!$A$2:$T$1000"),4,FALSE),0)</f>
        <v>2.2999999999999998</v>
      </c>
      <c r="P281" s="37">
        <f ca="1">_xlfn.IFNA(VLOOKUP($A281,INDIRECT("'W"&amp;P$1&amp;"'!$A$2:$T$1000"),4,FALSE),0)</f>
        <v>3.1</v>
      </c>
      <c r="Q281" s="37">
        <f ca="1">_xlfn.IFNA(VLOOKUP($A281,INDIRECT("'W"&amp;Q$1&amp;"'!$A$2:$T$1000"),4,FALSE),0)</f>
        <v>1.1000000000000001</v>
      </c>
      <c r="R281" s="37">
        <f ca="1">_xlfn.IFNA(VLOOKUP($A281,INDIRECT("'W"&amp;R$1&amp;"'!$A$2:$T$1000"),4,FALSE),0)</f>
        <v>7.3000000000000007</v>
      </c>
      <c r="S281" s="37">
        <f ca="1">_xlfn.IFNA(VLOOKUP($A281,INDIRECT("'W"&amp;S$1&amp;"'!$A$2:$T$1000"),4,FALSE),0)</f>
        <v>0</v>
      </c>
      <c r="T281" s="37">
        <f ca="1">_xlfn.IFNA(VLOOKUP($A281,INDIRECT("'W"&amp;T$1&amp;"'!$A$2:$T$1000"),4,FALSE),0)</f>
        <v>2.7</v>
      </c>
      <c r="U281" s="36">
        <f ca="1">COUNTIF(C281:T281,"&gt; 15")</f>
        <v>1</v>
      </c>
      <c r="V281" s="36">
        <f ca="1">SUM(C281:T281)</f>
        <v>64.7</v>
      </c>
      <c r="W281" s="36"/>
      <c r="X281" s="38"/>
    </row>
    <row r="282" spans="1:24" ht="12.75" x14ac:dyDescent="0.2">
      <c r="A282" s="36" t="s">
        <v>629</v>
      </c>
      <c r="B282" s="36" t="s">
        <v>162</v>
      </c>
      <c r="C282" s="37">
        <f ca="1">_xlfn.IFNA(VLOOKUP($A282,INDIRECT("'W"&amp;C$1&amp;"'!$A$2:$T$1000"),4,FALSE),0)</f>
        <v>0</v>
      </c>
      <c r="D282" s="37">
        <f ca="1">_xlfn.IFNA(VLOOKUP($A282,INDIRECT("'W"&amp;D$1&amp;"'!$A$2:$T$1000"),4,FALSE),0)</f>
        <v>0</v>
      </c>
      <c r="E282" s="37">
        <f ca="1">_xlfn.IFNA(VLOOKUP($A282,INDIRECT("'W"&amp;E$1&amp;"'!$A$2:$T$1000"),4,FALSE),0)</f>
        <v>0</v>
      </c>
      <c r="F282" s="37">
        <f ca="1">_xlfn.IFNA(VLOOKUP($A282,INDIRECT("'W"&amp;F$1&amp;"'!$A$2:$T$1000"),4,FALSE),0)</f>
        <v>0</v>
      </c>
      <c r="G282" s="37">
        <f ca="1">_xlfn.IFNA(VLOOKUP($A282,INDIRECT("'W"&amp;G$1&amp;"'!$A$2:$T$1000"),4,FALSE),0)</f>
        <v>0</v>
      </c>
      <c r="H282" s="37">
        <f ca="1">_xlfn.IFNA(VLOOKUP($A282,INDIRECT("'W"&amp;H$1&amp;"'!$A$2:$T$1000"),4,FALSE),0)</f>
        <v>0</v>
      </c>
      <c r="I282" s="37">
        <f ca="1">_xlfn.IFNA(VLOOKUP($A282,INDIRECT("'W"&amp;I$1&amp;"'!$A$2:$T$1000"),4,FALSE),0)</f>
        <v>0</v>
      </c>
      <c r="J282" s="37">
        <f ca="1">_xlfn.IFNA(VLOOKUP($A282,INDIRECT("'W"&amp;J$1&amp;"'!$A$2:$T$1000"),4,FALSE),0)</f>
        <v>0</v>
      </c>
      <c r="K282" s="37">
        <f ca="1">_xlfn.IFNA(VLOOKUP($A282,INDIRECT("'W"&amp;K$1&amp;"'!$A$2:$T$1000"),4,FALSE),0)</f>
        <v>1.2</v>
      </c>
      <c r="L282" s="37">
        <f ca="1">_xlfn.IFNA(VLOOKUP($A282,INDIRECT("'W"&amp;L$1&amp;"'!$A$2:$T$1000"),4,FALSE),0)</f>
        <v>0</v>
      </c>
      <c r="M282" s="37">
        <f ca="1">_xlfn.IFNA(VLOOKUP($A282,INDIRECT("'W"&amp;M$1&amp;"'!$A$2:$T$1000"),4,FALSE),0)</f>
        <v>13.600000000000001</v>
      </c>
      <c r="N282" s="37">
        <f ca="1">_xlfn.IFNA(VLOOKUP($A282,INDIRECT("'W"&amp;N$1&amp;"'!$A$2:$T$1000"),4,FALSE),0)</f>
        <v>11.7</v>
      </c>
      <c r="O282" s="37">
        <f ca="1">_xlfn.IFNA(VLOOKUP($A282,INDIRECT("'W"&amp;O$1&amp;"'!$A$2:$T$1000"),4,FALSE),0)</f>
        <v>2.9000000000000004</v>
      </c>
      <c r="P282" s="37">
        <f ca="1">_xlfn.IFNA(VLOOKUP($A282,INDIRECT("'W"&amp;P$1&amp;"'!$A$2:$T$1000"),4,FALSE),0)</f>
        <v>0</v>
      </c>
      <c r="Q282" s="37">
        <f ca="1">_xlfn.IFNA(VLOOKUP($A282,INDIRECT("'W"&amp;Q$1&amp;"'!$A$2:$T$1000"),4,FALSE),0)</f>
        <v>4</v>
      </c>
      <c r="R282" s="37">
        <f ca="1">_xlfn.IFNA(VLOOKUP($A282,INDIRECT("'W"&amp;R$1&amp;"'!$A$2:$T$1000"),4,FALSE),0)</f>
        <v>12.5</v>
      </c>
      <c r="S282" s="37">
        <f ca="1">_xlfn.IFNA(VLOOKUP($A282,INDIRECT("'W"&amp;S$1&amp;"'!$A$2:$T$1000"),4,FALSE),0)</f>
        <v>15.200000000000001</v>
      </c>
      <c r="T282" s="37">
        <f ca="1">_xlfn.IFNA(VLOOKUP($A282,INDIRECT("'W"&amp;T$1&amp;"'!$A$2:$T$1000"),4,FALSE),0)</f>
        <v>3.4000000000000004</v>
      </c>
      <c r="U282" s="36">
        <f ca="1">COUNTIF(C282:T282,"&gt; 15")</f>
        <v>1</v>
      </c>
      <c r="V282" s="36">
        <f ca="1">SUM(C282:T282)</f>
        <v>64.5</v>
      </c>
      <c r="W282" s="36"/>
      <c r="X282" s="38"/>
    </row>
    <row r="283" spans="1:24" ht="12.75" x14ac:dyDescent="0.2">
      <c r="A283" s="36" t="s">
        <v>35</v>
      </c>
      <c r="B283" s="36" t="s">
        <v>17</v>
      </c>
      <c r="C283" s="37">
        <f ca="1">_xlfn.IFNA(VLOOKUP($A283,INDIRECT("'W"&amp;C$1&amp;"'!$A$2:$T$1000"),4,FALSE),0)</f>
        <v>15.1</v>
      </c>
      <c r="D283" s="37">
        <f ca="1">_xlfn.IFNA(VLOOKUP($A283,INDIRECT("'W"&amp;D$1&amp;"'!$A$2:$T$1000"),4,FALSE),0)</f>
        <v>7.5</v>
      </c>
      <c r="E283" s="37">
        <f ca="1">_xlfn.IFNA(VLOOKUP($A283,INDIRECT("'W"&amp;E$1&amp;"'!$A$2:$T$1000"),4,FALSE),0)</f>
        <v>17.66</v>
      </c>
      <c r="F283" s="37">
        <f ca="1">_xlfn.IFNA(VLOOKUP($A283,INDIRECT("'W"&amp;F$1&amp;"'!$A$2:$T$1000"),4,FALSE),0)</f>
        <v>0</v>
      </c>
      <c r="G283" s="37">
        <f ca="1">_xlfn.IFNA(VLOOKUP($A283,INDIRECT("'W"&amp;G$1&amp;"'!$A$2:$T$1000"),4,FALSE),0)</f>
        <v>10.72</v>
      </c>
      <c r="H283" s="37">
        <f ca="1">_xlfn.IFNA(VLOOKUP($A283,INDIRECT("'W"&amp;H$1&amp;"'!$A$2:$T$1000"),4,FALSE),0)</f>
        <v>8.8800000000000008</v>
      </c>
      <c r="I283" s="37">
        <f ca="1">_xlfn.IFNA(VLOOKUP($A283,INDIRECT("'W"&amp;I$1&amp;"'!$A$2:$T$1000"),4,FALSE),0)</f>
        <v>0</v>
      </c>
      <c r="J283" s="37">
        <f ca="1">_xlfn.IFNA(VLOOKUP($A283,INDIRECT("'W"&amp;J$1&amp;"'!$A$2:$T$1000"),4,FALSE),0)</f>
        <v>4.24</v>
      </c>
      <c r="K283" s="37">
        <f ca="1">_xlfn.IFNA(VLOOKUP($A283,INDIRECT("'W"&amp;K$1&amp;"'!$A$2:$T$1000"),4,FALSE),0)</f>
        <v>0</v>
      </c>
      <c r="L283" s="37">
        <f ca="1">_xlfn.IFNA(VLOOKUP($A283,INDIRECT("'W"&amp;L$1&amp;"'!$A$2:$T$1000"),4,FALSE),0)</f>
        <v>0</v>
      </c>
      <c r="M283" s="37">
        <f ca="1">_xlfn.IFNA(VLOOKUP($A283,INDIRECT("'W"&amp;M$1&amp;"'!$A$2:$T$1000"),4,FALSE),0)</f>
        <v>0</v>
      </c>
      <c r="N283" s="37">
        <f ca="1">_xlfn.IFNA(VLOOKUP($A283,INDIRECT("'W"&amp;N$1&amp;"'!$A$2:$T$1000"),4,FALSE),0)</f>
        <v>0</v>
      </c>
      <c r="O283" s="37">
        <f ca="1">_xlfn.IFNA(VLOOKUP($A283,INDIRECT("'W"&amp;O$1&amp;"'!$A$2:$T$1000"),4,FALSE),0)</f>
        <v>0</v>
      </c>
      <c r="P283" s="37">
        <f ca="1">_xlfn.IFNA(VLOOKUP($A283,INDIRECT("'W"&amp;P$1&amp;"'!$A$2:$T$1000"),4,FALSE),0)</f>
        <v>0</v>
      </c>
      <c r="Q283" s="37">
        <f ca="1">_xlfn.IFNA(VLOOKUP($A283,INDIRECT("'W"&amp;Q$1&amp;"'!$A$2:$T$1000"),4,FALSE),0)</f>
        <v>0</v>
      </c>
      <c r="R283" s="37">
        <f ca="1">_xlfn.IFNA(VLOOKUP($A283,INDIRECT("'W"&amp;R$1&amp;"'!$A$2:$T$1000"),4,FALSE),0)</f>
        <v>0</v>
      </c>
      <c r="S283" s="37">
        <f ca="1">_xlfn.IFNA(VLOOKUP($A283,INDIRECT("'W"&amp;S$1&amp;"'!$A$2:$T$1000"),4,FALSE),0)</f>
        <v>0</v>
      </c>
      <c r="T283" s="37">
        <f ca="1">_xlfn.IFNA(VLOOKUP($A283,INDIRECT("'W"&amp;T$1&amp;"'!$A$2:$T$1000"),4,FALSE),0)</f>
        <v>0</v>
      </c>
      <c r="U283" s="36">
        <f ca="1">COUNTIF(C283:T283,"&gt; 15")</f>
        <v>2</v>
      </c>
      <c r="V283" s="36">
        <f ca="1">SUM(C283:T283)</f>
        <v>64.100000000000009</v>
      </c>
      <c r="W283" s="36"/>
      <c r="X283" s="38"/>
    </row>
    <row r="284" spans="1:24" ht="12.75" x14ac:dyDescent="0.2">
      <c r="A284" s="36" t="s">
        <v>483</v>
      </c>
      <c r="B284" s="36" t="s">
        <v>162</v>
      </c>
      <c r="C284" s="37">
        <f ca="1">_xlfn.IFNA(VLOOKUP($A284,INDIRECT("'W"&amp;C$1&amp;"'!$A$2:$T$1000"),4,FALSE),0)</f>
        <v>0</v>
      </c>
      <c r="D284" s="37">
        <f ca="1">_xlfn.IFNA(VLOOKUP($A284,INDIRECT("'W"&amp;D$1&amp;"'!$A$2:$T$1000"),4,FALSE),0)</f>
        <v>0</v>
      </c>
      <c r="E284" s="37">
        <f ca="1">_xlfn.IFNA(VLOOKUP($A284,INDIRECT("'W"&amp;E$1&amp;"'!$A$2:$T$1000"),4,FALSE),0)</f>
        <v>0</v>
      </c>
      <c r="F284" s="37">
        <f ca="1">_xlfn.IFNA(VLOOKUP($A284,INDIRECT("'W"&amp;F$1&amp;"'!$A$2:$T$1000"),4,FALSE),0)</f>
        <v>2.7</v>
      </c>
      <c r="G284" s="37">
        <f ca="1">_xlfn.IFNA(VLOOKUP($A284,INDIRECT("'W"&amp;G$1&amp;"'!$A$2:$T$1000"),4,FALSE),0)</f>
        <v>14</v>
      </c>
      <c r="H284" s="37">
        <f ca="1">_xlfn.IFNA(VLOOKUP($A284,INDIRECT("'W"&amp;H$1&amp;"'!$A$2:$T$1000"),4,FALSE),0)</f>
        <v>0</v>
      </c>
      <c r="I284" s="37">
        <f ca="1">_xlfn.IFNA(VLOOKUP($A284,INDIRECT("'W"&amp;I$1&amp;"'!$A$2:$T$1000"),4,FALSE),0)</f>
        <v>0</v>
      </c>
      <c r="J284" s="37">
        <f ca="1">_xlfn.IFNA(VLOOKUP($A284,INDIRECT("'W"&amp;J$1&amp;"'!$A$2:$T$1000"),4,FALSE),0)</f>
        <v>4.4000000000000004</v>
      </c>
      <c r="K284" s="37">
        <f ca="1">_xlfn.IFNA(VLOOKUP($A284,INDIRECT("'W"&amp;K$1&amp;"'!$A$2:$T$1000"),4,FALSE),0)</f>
        <v>0</v>
      </c>
      <c r="L284" s="37">
        <f ca="1">_xlfn.IFNA(VLOOKUP($A284,INDIRECT("'W"&amp;L$1&amp;"'!$A$2:$T$1000"),4,FALSE),0)</f>
        <v>13.4</v>
      </c>
      <c r="M284" s="37">
        <f ca="1">_xlfn.IFNA(VLOOKUP($A284,INDIRECT("'W"&amp;M$1&amp;"'!$A$2:$T$1000"),4,FALSE),0)</f>
        <v>6.6</v>
      </c>
      <c r="N284" s="37">
        <f ca="1">_xlfn.IFNA(VLOOKUP($A284,INDIRECT("'W"&amp;N$1&amp;"'!$A$2:$T$1000"),4,FALSE),0)</f>
        <v>3.5</v>
      </c>
      <c r="O284" s="37">
        <f ca="1">_xlfn.IFNA(VLOOKUP($A284,INDIRECT("'W"&amp;O$1&amp;"'!$A$2:$T$1000"),4,FALSE),0)</f>
        <v>3.5</v>
      </c>
      <c r="P284" s="37">
        <f ca="1">_xlfn.IFNA(VLOOKUP($A284,INDIRECT("'W"&amp;P$1&amp;"'!$A$2:$T$1000"),4,FALSE),0)</f>
        <v>0</v>
      </c>
      <c r="Q284" s="37">
        <f ca="1">_xlfn.IFNA(VLOOKUP($A284,INDIRECT("'W"&amp;Q$1&amp;"'!$A$2:$T$1000"),4,FALSE),0)</f>
        <v>0</v>
      </c>
      <c r="R284" s="37">
        <f ca="1">_xlfn.IFNA(VLOOKUP($A284,INDIRECT("'W"&amp;R$1&amp;"'!$A$2:$T$1000"),4,FALSE),0)</f>
        <v>7.7</v>
      </c>
      <c r="S284" s="37">
        <f ca="1">_xlfn.IFNA(VLOOKUP($A284,INDIRECT("'W"&amp;S$1&amp;"'!$A$2:$T$1000"),4,FALSE),0)</f>
        <v>1.4</v>
      </c>
      <c r="T284" s="37">
        <f ca="1">_xlfn.IFNA(VLOOKUP($A284,INDIRECT("'W"&amp;T$1&amp;"'!$A$2:$T$1000"),4,FALSE),0)</f>
        <v>5.4</v>
      </c>
      <c r="U284" s="36">
        <f ca="1">COUNTIF(C284:T284,"&gt; 15")</f>
        <v>0</v>
      </c>
      <c r="V284" s="36">
        <f ca="1">SUM(C284:T284)</f>
        <v>62.6</v>
      </c>
      <c r="W284" s="36"/>
      <c r="X284" s="38"/>
    </row>
    <row r="285" spans="1:24" ht="12.75" x14ac:dyDescent="0.2">
      <c r="A285" s="36" t="s">
        <v>194</v>
      </c>
      <c r="B285" s="36" t="s">
        <v>162</v>
      </c>
      <c r="C285" s="37">
        <f ca="1">_xlfn.IFNA(VLOOKUP($A285,INDIRECT("'W"&amp;C$1&amp;"'!$A$2:$T$1000"),4,FALSE),0)</f>
        <v>11.4</v>
      </c>
      <c r="D285" s="37">
        <f ca="1">_xlfn.IFNA(VLOOKUP($A285,INDIRECT("'W"&amp;D$1&amp;"'!$A$2:$T$1000"),4,FALSE),0)</f>
        <v>3.2</v>
      </c>
      <c r="E285" s="37">
        <f ca="1">_xlfn.IFNA(VLOOKUP($A285,INDIRECT("'W"&amp;E$1&amp;"'!$A$2:$T$1000"),4,FALSE),0)</f>
        <v>6.4</v>
      </c>
      <c r="F285" s="37">
        <f ca="1">_xlfn.IFNA(VLOOKUP($A285,INDIRECT("'W"&amp;F$1&amp;"'!$A$2:$T$1000"),4,FALSE),0)</f>
        <v>1.8</v>
      </c>
      <c r="G285" s="37">
        <f ca="1">_xlfn.IFNA(VLOOKUP($A285,INDIRECT("'W"&amp;G$1&amp;"'!$A$2:$T$1000"),4,FALSE),0)</f>
        <v>7.9</v>
      </c>
      <c r="H285" s="37">
        <f ca="1">_xlfn.IFNA(VLOOKUP($A285,INDIRECT("'W"&amp;H$1&amp;"'!$A$2:$T$1000"),4,FALSE),0)</f>
        <v>0</v>
      </c>
      <c r="I285" s="37">
        <f ca="1">_xlfn.IFNA(VLOOKUP($A285,INDIRECT("'W"&amp;I$1&amp;"'!$A$2:$T$1000"),4,FALSE),0)</f>
        <v>1.7000000000000002</v>
      </c>
      <c r="J285" s="37">
        <f ca="1">_xlfn.IFNA(VLOOKUP($A285,INDIRECT("'W"&amp;J$1&amp;"'!$A$2:$T$1000"),4,FALSE),0)</f>
        <v>0</v>
      </c>
      <c r="K285" s="37">
        <f ca="1">_xlfn.IFNA(VLOOKUP($A285,INDIRECT("'W"&amp;K$1&amp;"'!$A$2:$T$1000"),4,FALSE),0)</f>
        <v>2</v>
      </c>
      <c r="L285" s="37">
        <f ca="1">_xlfn.IFNA(VLOOKUP($A285,INDIRECT("'W"&amp;L$1&amp;"'!$A$2:$T$1000"),4,FALSE),0)</f>
        <v>0</v>
      </c>
      <c r="M285" s="37">
        <f ca="1">_xlfn.IFNA(VLOOKUP($A285,INDIRECT("'W"&amp;M$1&amp;"'!$A$2:$T$1000"),4,FALSE),0)</f>
        <v>5</v>
      </c>
      <c r="N285" s="37">
        <f ca="1">_xlfn.IFNA(VLOOKUP($A285,INDIRECT("'W"&amp;N$1&amp;"'!$A$2:$T$1000"),4,FALSE),0)</f>
        <v>2.1</v>
      </c>
      <c r="O285" s="37">
        <f ca="1">_xlfn.IFNA(VLOOKUP($A285,INDIRECT("'W"&amp;O$1&amp;"'!$A$2:$T$1000"),4,FALSE),0)</f>
        <v>4.9000000000000004</v>
      </c>
      <c r="P285" s="37">
        <f ca="1">_xlfn.IFNA(VLOOKUP($A285,INDIRECT("'W"&amp;P$1&amp;"'!$A$2:$T$1000"),4,FALSE),0)</f>
        <v>3.1</v>
      </c>
      <c r="Q285" s="37">
        <f ca="1">_xlfn.IFNA(VLOOKUP($A285,INDIRECT("'W"&amp;Q$1&amp;"'!$A$2:$T$1000"),4,FALSE),0)</f>
        <v>4.9000000000000004</v>
      </c>
      <c r="R285" s="37">
        <f ca="1">_xlfn.IFNA(VLOOKUP($A285,INDIRECT("'W"&amp;R$1&amp;"'!$A$2:$T$1000"),4,FALSE),0)</f>
        <v>7.6</v>
      </c>
      <c r="S285" s="37">
        <f ca="1">_xlfn.IFNA(VLOOKUP($A285,INDIRECT("'W"&amp;S$1&amp;"'!$A$2:$T$1000"),4,FALSE),0)</f>
        <v>0</v>
      </c>
      <c r="T285" s="37">
        <f ca="1">_xlfn.IFNA(VLOOKUP($A285,INDIRECT("'W"&amp;T$1&amp;"'!$A$2:$T$1000"),4,FALSE),0)</f>
        <v>0</v>
      </c>
      <c r="U285" s="36">
        <f ca="1">COUNTIF(C285:T285,"&gt; 15")</f>
        <v>0</v>
      </c>
      <c r="V285" s="36">
        <f ca="1">SUM(C285:T285)</f>
        <v>62.000000000000007</v>
      </c>
      <c r="W285" s="36"/>
      <c r="X285" s="38"/>
    </row>
    <row r="286" spans="1:24" ht="12.75" x14ac:dyDescent="0.2">
      <c r="A286" s="36" t="s">
        <v>318</v>
      </c>
      <c r="B286" s="36" t="s">
        <v>69</v>
      </c>
      <c r="C286" s="37">
        <f ca="1">_xlfn.IFNA(VLOOKUP($A286,INDIRECT("'W"&amp;C$1&amp;"'!$A$2:$T$1000"),4,FALSE),0)</f>
        <v>1.8</v>
      </c>
      <c r="D286" s="37">
        <f ca="1">_xlfn.IFNA(VLOOKUP($A286,INDIRECT("'W"&amp;D$1&amp;"'!$A$2:$T$1000"),4,FALSE),0)</f>
        <v>6.1000000000000005</v>
      </c>
      <c r="E286" s="37">
        <f ca="1">_xlfn.IFNA(VLOOKUP($A286,INDIRECT("'W"&amp;E$1&amp;"'!$A$2:$T$1000"),4,FALSE),0)</f>
        <v>6.8000000000000007</v>
      </c>
      <c r="F286" s="37">
        <f ca="1">_xlfn.IFNA(VLOOKUP($A286,INDIRECT("'W"&amp;F$1&amp;"'!$A$2:$T$1000"),4,FALSE),0)</f>
        <v>0</v>
      </c>
      <c r="G286" s="37">
        <f ca="1">_xlfn.IFNA(VLOOKUP($A286,INDIRECT("'W"&amp;G$1&amp;"'!$A$2:$T$1000"),4,FALSE),0)</f>
        <v>0</v>
      </c>
      <c r="H286" s="37">
        <f ca="1">_xlfn.IFNA(VLOOKUP($A286,INDIRECT("'W"&amp;H$1&amp;"'!$A$2:$T$1000"),4,FALSE),0)</f>
        <v>4.9000000000000004</v>
      </c>
      <c r="I286" s="37">
        <f ca="1">_xlfn.IFNA(VLOOKUP($A286,INDIRECT("'W"&amp;I$1&amp;"'!$A$2:$T$1000"),4,FALSE),0)</f>
        <v>4.5999999999999996</v>
      </c>
      <c r="J286" s="37">
        <f ca="1">_xlfn.IFNA(VLOOKUP($A286,INDIRECT("'W"&amp;J$1&amp;"'!$A$2:$T$1000"),4,FALSE),0)</f>
        <v>0</v>
      </c>
      <c r="K286" s="37">
        <f ca="1">_xlfn.IFNA(VLOOKUP($A286,INDIRECT("'W"&amp;K$1&amp;"'!$A$2:$T$1000"),4,FALSE),0)</f>
        <v>1.6</v>
      </c>
      <c r="L286" s="37">
        <f ca="1">_xlfn.IFNA(VLOOKUP($A286,INDIRECT("'W"&amp;L$1&amp;"'!$A$2:$T$1000"),4,FALSE),0)</f>
        <v>1.3</v>
      </c>
      <c r="M286" s="37">
        <f ca="1">_xlfn.IFNA(VLOOKUP($A286,INDIRECT("'W"&amp;M$1&amp;"'!$A$2:$T$1000"),4,FALSE),0)</f>
        <v>0</v>
      </c>
      <c r="N286" s="37">
        <f ca="1">_xlfn.IFNA(VLOOKUP($A286,INDIRECT("'W"&amp;N$1&amp;"'!$A$2:$T$1000"),4,FALSE),0)</f>
        <v>1.9</v>
      </c>
      <c r="O286" s="37">
        <f ca="1">_xlfn.IFNA(VLOOKUP($A286,INDIRECT("'W"&amp;O$1&amp;"'!$A$2:$T$1000"),4,FALSE),0)</f>
        <v>0</v>
      </c>
      <c r="P286" s="37">
        <f ca="1">_xlfn.IFNA(VLOOKUP($A286,INDIRECT("'W"&amp;P$1&amp;"'!$A$2:$T$1000"),4,FALSE),0)</f>
        <v>10.8</v>
      </c>
      <c r="Q286" s="37">
        <f ca="1">_xlfn.IFNA(VLOOKUP($A286,INDIRECT("'W"&amp;Q$1&amp;"'!$A$2:$T$1000"),4,FALSE),0)</f>
        <v>1.6</v>
      </c>
      <c r="R286" s="37">
        <f ca="1">_xlfn.IFNA(VLOOKUP($A286,INDIRECT("'W"&amp;R$1&amp;"'!$A$2:$T$1000"),4,FALSE),0)</f>
        <v>10.7</v>
      </c>
      <c r="S286" s="37">
        <f ca="1">_xlfn.IFNA(VLOOKUP($A286,INDIRECT("'W"&amp;S$1&amp;"'!$A$2:$T$1000"),4,FALSE),0)</f>
        <v>5.8000000000000007</v>
      </c>
      <c r="T286" s="37">
        <f ca="1">_xlfn.IFNA(VLOOKUP($A286,INDIRECT("'W"&amp;T$1&amp;"'!$A$2:$T$1000"),4,FALSE),0)</f>
        <v>3.8</v>
      </c>
      <c r="U286" s="36">
        <f ca="1">COUNTIF(C286:T286,"&gt; 15")</f>
        <v>0</v>
      </c>
      <c r="V286" s="36">
        <f ca="1">SUM(C286:T286)</f>
        <v>61.7</v>
      </c>
      <c r="W286" s="36"/>
      <c r="X286" s="38"/>
    </row>
    <row r="287" spans="1:24" ht="12.75" x14ac:dyDescent="0.2">
      <c r="A287" s="36" t="s">
        <v>86</v>
      </c>
      <c r="B287" s="36" t="s">
        <v>75</v>
      </c>
      <c r="C287" s="37">
        <f ca="1">_xlfn.IFNA(VLOOKUP($A287,INDIRECT("'W"&amp;C$1&amp;"'!$A$2:$T$1000"),4,FALSE),0)</f>
        <v>15.1</v>
      </c>
      <c r="D287" s="37">
        <f ca="1">_xlfn.IFNA(VLOOKUP($A287,INDIRECT("'W"&amp;D$1&amp;"'!$A$2:$T$1000"),4,FALSE),0)</f>
        <v>3.9000000000000004</v>
      </c>
      <c r="E287" s="37">
        <f ca="1">_xlfn.IFNA(VLOOKUP($A287,INDIRECT("'W"&amp;E$1&amp;"'!$A$2:$T$1000"),4,FALSE),0)</f>
        <v>2.7</v>
      </c>
      <c r="F287" s="37">
        <f ca="1">_xlfn.IFNA(VLOOKUP($A287,INDIRECT("'W"&amp;F$1&amp;"'!$A$2:$T$1000"),4,FALSE),0)</f>
        <v>6.5</v>
      </c>
      <c r="G287" s="37">
        <f ca="1">_xlfn.IFNA(VLOOKUP($A287,INDIRECT("'W"&amp;G$1&amp;"'!$A$2:$T$1000"),4,FALSE),0)</f>
        <v>0</v>
      </c>
      <c r="H287" s="37">
        <f ca="1">_xlfn.IFNA(VLOOKUP($A287,INDIRECT("'W"&amp;H$1&amp;"'!$A$2:$T$1000"),4,FALSE),0)</f>
        <v>1.4</v>
      </c>
      <c r="I287" s="37">
        <f ca="1">_xlfn.IFNA(VLOOKUP($A287,INDIRECT("'W"&amp;I$1&amp;"'!$A$2:$T$1000"),4,FALSE),0)</f>
        <v>13.5</v>
      </c>
      <c r="J287" s="37">
        <f ca="1">_xlfn.IFNA(VLOOKUP($A287,INDIRECT("'W"&amp;J$1&amp;"'!$A$2:$T$1000"),4,FALSE),0)</f>
        <v>2.1</v>
      </c>
      <c r="K287" s="37">
        <f ca="1">_xlfn.IFNA(VLOOKUP($A287,INDIRECT("'W"&amp;K$1&amp;"'!$A$2:$T$1000"),4,FALSE),0)</f>
        <v>3.1999999999999997</v>
      </c>
      <c r="L287" s="37">
        <f ca="1">_xlfn.IFNA(VLOOKUP($A287,INDIRECT("'W"&amp;L$1&amp;"'!$A$2:$T$1000"),4,FALSE),0)</f>
        <v>1.6</v>
      </c>
      <c r="M287" s="37">
        <f ca="1">_xlfn.IFNA(VLOOKUP($A287,INDIRECT("'W"&amp;M$1&amp;"'!$A$2:$T$1000"),4,FALSE),0)</f>
        <v>1.3</v>
      </c>
      <c r="N287" s="37">
        <f ca="1">_xlfn.IFNA(VLOOKUP($A287,INDIRECT("'W"&amp;N$1&amp;"'!$A$2:$T$1000"),4,FALSE),0)</f>
        <v>3.4</v>
      </c>
      <c r="O287" s="37">
        <f ca="1">_xlfn.IFNA(VLOOKUP($A287,INDIRECT("'W"&amp;O$1&amp;"'!$A$2:$T$1000"),4,FALSE),0)</f>
        <v>4.5</v>
      </c>
      <c r="P287" s="37">
        <f ca="1">_xlfn.IFNA(VLOOKUP($A287,INDIRECT("'W"&amp;P$1&amp;"'!$A$2:$T$1000"),4,FALSE),0)</f>
        <v>0.60000000000000009</v>
      </c>
      <c r="Q287" s="37">
        <f ca="1">_xlfn.IFNA(VLOOKUP($A287,INDIRECT("'W"&amp;Q$1&amp;"'!$A$2:$T$1000"),4,FALSE),0)</f>
        <v>1.8000000000000003</v>
      </c>
      <c r="R287" s="37">
        <f ca="1">_xlfn.IFNA(VLOOKUP($A287,INDIRECT("'W"&amp;R$1&amp;"'!$A$2:$T$1000"),4,FALSE),0)</f>
        <v>-0.2</v>
      </c>
      <c r="S287" s="37">
        <f ca="1">_xlfn.IFNA(VLOOKUP($A287,INDIRECT("'W"&amp;S$1&amp;"'!$A$2:$T$1000"),4,FALSE),0)</f>
        <v>0.2</v>
      </c>
      <c r="T287" s="37">
        <f ca="1">_xlfn.IFNA(VLOOKUP($A287,INDIRECT("'W"&amp;T$1&amp;"'!$A$2:$T$1000"),4,FALSE),0)</f>
        <v>0.1</v>
      </c>
      <c r="U287" s="36">
        <f ca="1">COUNTIF(C287:T287,"&gt; 15")</f>
        <v>1</v>
      </c>
      <c r="V287" s="36">
        <f ca="1">SUM(C287:T287)</f>
        <v>61.699999999999996</v>
      </c>
      <c r="W287" s="36"/>
      <c r="X287" s="38"/>
    </row>
    <row r="288" spans="1:24" ht="12.75" x14ac:dyDescent="0.2">
      <c r="A288" s="36" t="s">
        <v>216</v>
      </c>
      <c r="B288" s="36" t="s">
        <v>162</v>
      </c>
      <c r="C288" s="37">
        <f ca="1">_xlfn.IFNA(VLOOKUP($A288,INDIRECT("'W"&amp;C$1&amp;"'!$A$2:$T$1000"),4,FALSE),0)</f>
        <v>7.3000000000000007</v>
      </c>
      <c r="D288" s="37">
        <f ca="1">_xlfn.IFNA(VLOOKUP($A288,INDIRECT("'W"&amp;D$1&amp;"'!$A$2:$T$1000"),4,FALSE),0)</f>
        <v>7.8000000000000007</v>
      </c>
      <c r="E288" s="37">
        <f ca="1">_xlfn.IFNA(VLOOKUP($A288,INDIRECT("'W"&amp;E$1&amp;"'!$A$2:$T$1000"),4,FALSE),0)</f>
        <v>1.5</v>
      </c>
      <c r="F288" s="37">
        <f ca="1">_xlfn.IFNA(VLOOKUP($A288,INDIRECT("'W"&amp;F$1&amp;"'!$A$2:$T$1000"),4,FALSE),0)</f>
        <v>2.4000000000000004</v>
      </c>
      <c r="G288" s="37">
        <f ca="1">_xlfn.IFNA(VLOOKUP($A288,INDIRECT("'W"&amp;G$1&amp;"'!$A$2:$T$1000"),4,FALSE),0)</f>
        <v>3.6</v>
      </c>
      <c r="H288" s="37">
        <f ca="1">_xlfn.IFNA(VLOOKUP($A288,INDIRECT("'W"&amp;H$1&amp;"'!$A$2:$T$1000"),4,FALSE),0)</f>
        <v>0</v>
      </c>
      <c r="I288" s="37">
        <f ca="1">_xlfn.IFNA(VLOOKUP($A288,INDIRECT("'W"&amp;I$1&amp;"'!$A$2:$T$1000"),4,FALSE),0)</f>
        <v>0</v>
      </c>
      <c r="J288" s="37">
        <f ca="1">_xlfn.IFNA(VLOOKUP($A288,INDIRECT("'W"&amp;J$1&amp;"'!$A$2:$T$1000"),4,FALSE),0)</f>
        <v>7.3</v>
      </c>
      <c r="K288" s="37">
        <f ca="1">_xlfn.IFNA(VLOOKUP($A288,INDIRECT("'W"&amp;K$1&amp;"'!$A$2:$T$1000"),4,FALSE),0)</f>
        <v>11.100000000000001</v>
      </c>
      <c r="L288" s="37">
        <f ca="1">_xlfn.IFNA(VLOOKUP($A288,INDIRECT("'W"&amp;L$1&amp;"'!$A$2:$T$1000"),4,FALSE),0)</f>
        <v>1.9</v>
      </c>
      <c r="M288" s="37">
        <f ca="1">_xlfn.IFNA(VLOOKUP($A288,INDIRECT("'W"&amp;M$1&amp;"'!$A$2:$T$1000"),4,FALSE),0)</f>
        <v>0</v>
      </c>
      <c r="N288" s="37">
        <f ca="1">_xlfn.IFNA(VLOOKUP($A288,INDIRECT("'W"&amp;N$1&amp;"'!$A$2:$T$1000"),4,FALSE),0)</f>
        <v>3</v>
      </c>
      <c r="O288" s="37">
        <f ca="1">_xlfn.IFNA(VLOOKUP($A288,INDIRECT("'W"&amp;O$1&amp;"'!$A$2:$T$1000"),4,FALSE),0)</f>
        <v>2.1</v>
      </c>
      <c r="P288" s="37">
        <f ca="1">_xlfn.IFNA(VLOOKUP($A288,INDIRECT("'W"&amp;P$1&amp;"'!$A$2:$T$1000"),4,FALSE),0)</f>
        <v>13</v>
      </c>
      <c r="Q288" s="37">
        <f ca="1">_xlfn.IFNA(VLOOKUP($A288,INDIRECT("'W"&amp;Q$1&amp;"'!$A$2:$T$1000"),4,FALSE),0)</f>
        <v>0</v>
      </c>
      <c r="R288" s="37">
        <f ca="1">_xlfn.IFNA(VLOOKUP($A288,INDIRECT("'W"&amp;R$1&amp;"'!$A$2:$T$1000"),4,FALSE),0)</f>
        <v>0</v>
      </c>
      <c r="S288" s="37">
        <f ca="1">_xlfn.IFNA(VLOOKUP($A288,INDIRECT("'W"&amp;S$1&amp;"'!$A$2:$T$1000"),4,FALSE),0)</f>
        <v>0</v>
      </c>
      <c r="T288" s="37">
        <f ca="1">_xlfn.IFNA(VLOOKUP($A288,INDIRECT("'W"&amp;T$1&amp;"'!$A$2:$T$1000"),4,FALSE),0)</f>
        <v>0</v>
      </c>
      <c r="U288" s="36">
        <f ca="1">COUNTIF(C288:T288,"&gt; 15")</f>
        <v>0</v>
      </c>
      <c r="V288" s="36">
        <f ca="1">SUM(C288:T288)</f>
        <v>61</v>
      </c>
      <c r="W288" s="36"/>
      <c r="X288" s="38"/>
    </row>
    <row r="289" spans="1:24" ht="12.75" x14ac:dyDescent="0.2">
      <c r="A289" s="36" t="s">
        <v>115</v>
      </c>
      <c r="B289" s="36" t="s">
        <v>75</v>
      </c>
      <c r="C289" s="37">
        <f ca="1">_xlfn.IFNA(VLOOKUP($A289,INDIRECT("'W"&amp;C$1&amp;"'!$A$2:$T$1000"),4,FALSE),0)</f>
        <v>7.2</v>
      </c>
      <c r="D289" s="37">
        <f ca="1">_xlfn.IFNA(VLOOKUP($A289,INDIRECT("'W"&amp;D$1&amp;"'!$A$2:$T$1000"),4,FALSE),0)</f>
        <v>2.9000000000000004</v>
      </c>
      <c r="E289" s="37">
        <f ca="1">_xlfn.IFNA(VLOOKUP($A289,INDIRECT("'W"&amp;E$1&amp;"'!$A$2:$T$1000"),4,FALSE),0)</f>
        <v>0</v>
      </c>
      <c r="F289" s="37">
        <f ca="1">_xlfn.IFNA(VLOOKUP($A289,INDIRECT("'W"&amp;F$1&amp;"'!$A$2:$T$1000"),4,FALSE),0)</f>
        <v>0</v>
      </c>
      <c r="G289" s="37">
        <f ca="1">_xlfn.IFNA(VLOOKUP($A289,INDIRECT("'W"&amp;G$1&amp;"'!$A$2:$T$1000"),4,FALSE),0)</f>
        <v>0</v>
      </c>
      <c r="H289" s="37">
        <f ca="1">_xlfn.IFNA(VLOOKUP($A289,INDIRECT("'W"&amp;H$1&amp;"'!$A$2:$T$1000"),4,FALSE),0)</f>
        <v>0</v>
      </c>
      <c r="I289" s="37">
        <f ca="1">_xlfn.IFNA(VLOOKUP($A289,INDIRECT("'W"&amp;I$1&amp;"'!$A$2:$T$1000"),4,FALSE),0)</f>
        <v>1.4000000000000001</v>
      </c>
      <c r="J289" s="37">
        <f ca="1">_xlfn.IFNA(VLOOKUP($A289,INDIRECT("'W"&amp;J$1&amp;"'!$A$2:$T$1000"),4,FALSE),0)</f>
        <v>4.8</v>
      </c>
      <c r="K289" s="37">
        <f ca="1">_xlfn.IFNA(VLOOKUP($A289,INDIRECT("'W"&amp;K$1&amp;"'!$A$2:$T$1000"),4,FALSE),0)</f>
        <v>3.2</v>
      </c>
      <c r="L289" s="37">
        <f ca="1">_xlfn.IFNA(VLOOKUP($A289,INDIRECT("'W"&amp;L$1&amp;"'!$A$2:$T$1000"),4,FALSE),0)</f>
        <v>2</v>
      </c>
      <c r="M289" s="37">
        <f ca="1">_xlfn.IFNA(VLOOKUP($A289,INDIRECT("'W"&amp;M$1&amp;"'!$A$2:$T$1000"),4,FALSE),0)</f>
        <v>0</v>
      </c>
      <c r="N289" s="37">
        <f ca="1">_xlfn.IFNA(VLOOKUP($A289,INDIRECT("'W"&amp;N$1&amp;"'!$A$2:$T$1000"),4,FALSE),0)</f>
        <v>3</v>
      </c>
      <c r="O289" s="37">
        <f ca="1">_xlfn.IFNA(VLOOKUP($A289,INDIRECT("'W"&amp;O$1&amp;"'!$A$2:$T$1000"),4,FALSE),0)</f>
        <v>2.6</v>
      </c>
      <c r="P289" s="37">
        <f ca="1">_xlfn.IFNA(VLOOKUP($A289,INDIRECT("'W"&amp;P$1&amp;"'!$A$2:$T$1000"),4,FALSE),0)</f>
        <v>4.3</v>
      </c>
      <c r="Q289" s="37">
        <f ca="1">_xlfn.IFNA(VLOOKUP($A289,INDIRECT("'W"&amp;Q$1&amp;"'!$A$2:$T$1000"),4,FALSE),0)</f>
        <v>3.6000000000000005</v>
      </c>
      <c r="R289" s="37">
        <f ca="1">_xlfn.IFNA(VLOOKUP($A289,INDIRECT("'W"&amp;R$1&amp;"'!$A$2:$T$1000"),4,FALSE),0)</f>
        <v>2.2999999999999998</v>
      </c>
      <c r="S289" s="37">
        <f ca="1">_xlfn.IFNA(VLOOKUP($A289,INDIRECT("'W"&amp;S$1&amp;"'!$A$2:$T$1000"),4,FALSE),0)</f>
        <v>11.100000000000001</v>
      </c>
      <c r="T289" s="37">
        <f ca="1">_xlfn.IFNA(VLOOKUP($A289,INDIRECT("'W"&amp;T$1&amp;"'!$A$2:$T$1000"),4,FALSE),0)</f>
        <v>12.4</v>
      </c>
      <c r="U289" s="36">
        <f ca="1">COUNTIF(C289:T289,"&gt; 15")</f>
        <v>0</v>
      </c>
      <c r="V289" s="36">
        <f ca="1">SUM(C289:T289)</f>
        <v>60.8</v>
      </c>
      <c r="W289" s="36"/>
      <c r="X289" s="38">
        <v>84</v>
      </c>
    </row>
    <row r="290" spans="1:24" ht="12.75" x14ac:dyDescent="0.2">
      <c r="A290" s="36" t="s">
        <v>647</v>
      </c>
      <c r="B290" s="36" t="s">
        <v>162</v>
      </c>
      <c r="C290" s="37">
        <f ca="1">_xlfn.IFNA(VLOOKUP($A290,INDIRECT("'W"&amp;C$1&amp;"'!$A$2:$T$1000"),4,FALSE),0)</f>
        <v>0</v>
      </c>
      <c r="D290" s="37">
        <f ca="1">_xlfn.IFNA(VLOOKUP($A290,INDIRECT("'W"&amp;D$1&amp;"'!$A$2:$T$1000"),4,FALSE),0)</f>
        <v>0</v>
      </c>
      <c r="E290" s="37">
        <f ca="1">_xlfn.IFNA(VLOOKUP($A290,INDIRECT("'W"&amp;E$1&amp;"'!$A$2:$T$1000"),4,FALSE),0)</f>
        <v>0</v>
      </c>
      <c r="F290" s="37">
        <f ca="1">_xlfn.IFNA(VLOOKUP($A290,INDIRECT("'W"&amp;F$1&amp;"'!$A$2:$T$1000"),4,FALSE),0)</f>
        <v>0</v>
      </c>
      <c r="G290" s="37">
        <f ca="1">_xlfn.IFNA(VLOOKUP($A290,INDIRECT("'W"&amp;G$1&amp;"'!$A$2:$T$1000"),4,FALSE),0)</f>
        <v>0</v>
      </c>
      <c r="H290" s="37">
        <f ca="1">_xlfn.IFNA(VLOOKUP($A290,INDIRECT("'W"&amp;H$1&amp;"'!$A$2:$T$1000"),4,FALSE),0)</f>
        <v>0</v>
      </c>
      <c r="I290" s="37">
        <f ca="1">_xlfn.IFNA(VLOOKUP($A290,INDIRECT("'W"&amp;I$1&amp;"'!$A$2:$T$1000"),4,FALSE),0)</f>
        <v>0</v>
      </c>
      <c r="J290" s="37">
        <f ca="1">_xlfn.IFNA(VLOOKUP($A290,INDIRECT("'W"&amp;J$1&amp;"'!$A$2:$T$1000"),4,FALSE),0)</f>
        <v>0</v>
      </c>
      <c r="K290" s="37">
        <f ca="1">_xlfn.IFNA(VLOOKUP($A290,INDIRECT("'W"&amp;K$1&amp;"'!$A$2:$T$1000"),4,FALSE),0)</f>
        <v>0</v>
      </c>
      <c r="L290" s="37">
        <f ca="1">_xlfn.IFNA(VLOOKUP($A290,INDIRECT("'W"&amp;L$1&amp;"'!$A$2:$T$1000"),4,FALSE),0)</f>
        <v>11.8</v>
      </c>
      <c r="M290" s="37">
        <f ca="1">_xlfn.IFNA(VLOOKUP($A290,INDIRECT("'W"&amp;M$1&amp;"'!$A$2:$T$1000"),4,FALSE),0)</f>
        <v>0</v>
      </c>
      <c r="N290" s="37">
        <f ca="1">_xlfn.IFNA(VLOOKUP($A290,INDIRECT("'W"&amp;N$1&amp;"'!$A$2:$T$1000"),4,FALSE),0)</f>
        <v>1.7000000000000002</v>
      </c>
      <c r="O290" s="37">
        <f ca="1">_xlfn.IFNA(VLOOKUP($A290,INDIRECT("'W"&amp;O$1&amp;"'!$A$2:$T$1000"),4,FALSE),0)</f>
        <v>4</v>
      </c>
      <c r="P290" s="37">
        <f ca="1">_xlfn.IFNA(VLOOKUP($A290,INDIRECT("'W"&amp;P$1&amp;"'!$A$2:$T$1000"),4,FALSE),0)</f>
        <v>5.4</v>
      </c>
      <c r="Q290" s="37">
        <f ca="1">_xlfn.IFNA(VLOOKUP($A290,INDIRECT("'W"&amp;Q$1&amp;"'!$A$2:$T$1000"),4,FALSE),0)</f>
        <v>5.4</v>
      </c>
      <c r="R290" s="37">
        <f ca="1">_xlfn.IFNA(VLOOKUP($A290,INDIRECT("'W"&amp;R$1&amp;"'!$A$2:$T$1000"),4,FALSE),0)</f>
        <v>10.5</v>
      </c>
      <c r="S290" s="37">
        <f ca="1">_xlfn.IFNA(VLOOKUP($A290,INDIRECT("'W"&amp;S$1&amp;"'!$A$2:$T$1000"),4,FALSE),0)</f>
        <v>1.5</v>
      </c>
      <c r="T290" s="37">
        <f ca="1">_xlfn.IFNA(VLOOKUP($A290,INDIRECT("'W"&amp;T$1&amp;"'!$A$2:$T$1000"),4,FALSE),0)</f>
        <v>20.3</v>
      </c>
      <c r="U290" s="36">
        <f ca="1">COUNTIF(C290:T290,"&gt; 15")</f>
        <v>1</v>
      </c>
      <c r="V290" s="36">
        <f ca="1">SUM(C290:T290)</f>
        <v>60.599999999999994</v>
      </c>
      <c r="W290" s="36"/>
      <c r="X290" s="38"/>
    </row>
    <row r="291" spans="1:24" ht="12.75" x14ac:dyDescent="0.2">
      <c r="A291" s="36" t="s">
        <v>440</v>
      </c>
      <c r="B291" s="36" t="s">
        <v>69</v>
      </c>
      <c r="C291" s="37">
        <f ca="1">_xlfn.IFNA(VLOOKUP($A291,INDIRECT("'W"&amp;C$1&amp;"'!$A$2:$T$1000"),4,FALSE),0)</f>
        <v>0</v>
      </c>
      <c r="D291" s="37">
        <f ca="1">_xlfn.IFNA(VLOOKUP($A291,INDIRECT("'W"&amp;D$1&amp;"'!$A$2:$T$1000"),4,FALSE),0)</f>
        <v>0</v>
      </c>
      <c r="E291" s="37">
        <f ca="1">_xlfn.IFNA(VLOOKUP($A291,INDIRECT("'W"&amp;E$1&amp;"'!$A$2:$T$1000"),4,FALSE),0)</f>
        <v>2.5</v>
      </c>
      <c r="F291" s="37">
        <f ca="1">_xlfn.IFNA(VLOOKUP($A291,INDIRECT("'W"&amp;F$1&amp;"'!$A$2:$T$1000"),4,FALSE),0)</f>
        <v>0</v>
      </c>
      <c r="G291" s="37">
        <f ca="1">_xlfn.IFNA(VLOOKUP($A291,INDIRECT("'W"&amp;G$1&amp;"'!$A$2:$T$1000"),4,FALSE),0)</f>
        <v>7.1</v>
      </c>
      <c r="H291" s="37">
        <f ca="1">_xlfn.IFNA(VLOOKUP($A291,INDIRECT("'W"&amp;H$1&amp;"'!$A$2:$T$1000"),4,FALSE),0)</f>
        <v>4.5</v>
      </c>
      <c r="I291" s="37">
        <f ca="1">_xlfn.IFNA(VLOOKUP($A291,INDIRECT("'W"&amp;I$1&amp;"'!$A$2:$T$1000"),4,FALSE),0)</f>
        <v>0</v>
      </c>
      <c r="J291" s="37">
        <f ca="1">_xlfn.IFNA(VLOOKUP($A291,INDIRECT("'W"&amp;J$1&amp;"'!$A$2:$T$1000"),4,FALSE),0)</f>
        <v>8.4</v>
      </c>
      <c r="K291" s="37">
        <f ca="1">_xlfn.IFNA(VLOOKUP($A291,INDIRECT("'W"&amp;K$1&amp;"'!$A$2:$T$1000"),4,FALSE),0)</f>
        <v>3.2</v>
      </c>
      <c r="L291" s="37">
        <f ca="1">_xlfn.IFNA(VLOOKUP($A291,INDIRECT("'W"&amp;L$1&amp;"'!$A$2:$T$1000"),4,FALSE),0)</f>
        <v>4.5999999999999996</v>
      </c>
      <c r="M291" s="37">
        <f ca="1">_xlfn.IFNA(VLOOKUP($A291,INDIRECT("'W"&amp;M$1&amp;"'!$A$2:$T$1000"),4,FALSE),0)</f>
        <v>7.4</v>
      </c>
      <c r="N291" s="37">
        <f ca="1">_xlfn.IFNA(VLOOKUP($A291,INDIRECT("'W"&amp;N$1&amp;"'!$A$2:$T$1000"),4,FALSE),0)</f>
        <v>1.7000000000000002</v>
      </c>
      <c r="O291" s="37">
        <f ca="1">_xlfn.IFNA(VLOOKUP($A291,INDIRECT("'W"&amp;O$1&amp;"'!$A$2:$T$1000"),4,FALSE),0)</f>
        <v>0</v>
      </c>
      <c r="P291" s="37">
        <f ca="1">_xlfn.IFNA(VLOOKUP($A291,INDIRECT("'W"&amp;P$1&amp;"'!$A$2:$T$1000"),4,FALSE),0)</f>
        <v>1.2</v>
      </c>
      <c r="Q291" s="37">
        <f ca="1">_xlfn.IFNA(VLOOKUP($A291,INDIRECT("'W"&amp;Q$1&amp;"'!$A$2:$T$1000"),4,FALSE),0)</f>
        <v>5.2</v>
      </c>
      <c r="R291" s="37">
        <f ca="1">_xlfn.IFNA(VLOOKUP($A291,INDIRECT("'W"&amp;R$1&amp;"'!$A$2:$T$1000"),4,FALSE),0)</f>
        <v>9.9</v>
      </c>
      <c r="S291" s="37">
        <f ca="1">_xlfn.IFNA(VLOOKUP($A291,INDIRECT("'W"&amp;S$1&amp;"'!$A$2:$T$1000"),4,FALSE),0)</f>
        <v>1.6</v>
      </c>
      <c r="T291" s="37">
        <f ca="1">_xlfn.IFNA(VLOOKUP($A291,INDIRECT("'W"&amp;T$1&amp;"'!$A$2:$T$1000"),4,FALSE),0)</f>
        <v>3.1</v>
      </c>
      <c r="U291" s="36">
        <f ca="1">COUNTIF(C291:T291,"&gt; 15")</f>
        <v>0</v>
      </c>
      <c r="V291" s="36">
        <f ca="1">SUM(C291:T291)</f>
        <v>60.400000000000006</v>
      </c>
      <c r="W291" s="36"/>
      <c r="X291" s="38"/>
    </row>
    <row r="292" spans="1:24" ht="12.75" x14ac:dyDescent="0.2">
      <c r="A292" s="36" t="s">
        <v>283</v>
      </c>
      <c r="B292" s="36" t="s">
        <v>69</v>
      </c>
      <c r="C292" s="37">
        <f ca="1">_xlfn.IFNA(VLOOKUP($A292,INDIRECT("'W"&amp;C$1&amp;"'!$A$2:$T$1000"),4,FALSE),0)</f>
        <v>8.4</v>
      </c>
      <c r="D292" s="37">
        <f ca="1">_xlfn.IFNA(VLOOKUP($A292,INDIRECT("'W"&amp;D$1&amp;"'!$A$2:$T$1000"),4,FALSE),0)</f>
        <v>0</v>
      </c>
      <c r="E292" s="37">
        <f ca="1">_xlfn.IFNA(VLOOKUP($A292,INDIRECT("'W"&amp;E$1&amp;"'!$A$2:$T$1000"),4,FALSE),0)</f>
        <v>0</v>
      </c>
      <c r="F292" s="37">
        <f ca="1">_xlfn.IFNA(VLOOKUP($A292,INDIRECT("'W"&amp;F$1&amp;"'!$A$2:$T$1000"),4,FALSE),0)</f>
        <v>0</v>
      </c>
      <c r="G292" s="37">
        <f ca="1">_xlfn.IFNA(VLOOKUP($A292,INDIRECT("'W"&amp;G$1&amp;"'!$A$2:$T$1000"),4,FALSE),0)</f>
        <v>12.6</v>
      </c>
      <c r="H292" s="37">
        <f ca="1">_xlfn.IFNA(VLOOKUP($A292,INDIRECT("'W"&amp;H$1&amp;"'!$A$2:$T$1000"),4,FALSE),0)</f>
        <v>1.4</v>
      </c>
      <c r="I292" s="37">
        <f ca="1">_xlfn.IFNA(VLOOKUP($A292,INDIRECT("'W"&amp;I$1&amp;"'!$A$2:$T$1000"),4,FALSE),0)</f>
        <v>1.5</v>
      </c>
      <c r="J292" s="37">
        <f ca="1">_xlfn.IFNA(VLOOKUP($A292,INDIRECT("'W"&amp;J$1&amp;"'!$A$2:$T$1000"),4,FALSE),0)</f>
        <v>0</v>
      </c>
      <c r="K292" s="37">
        <f ca="1">_xlfn.IFNA(VLOOKUP($A292,INDIRECT("'W"&amp;K$1&amp;"'!$A$2:$T$1000"),4,FALSE),0)</f>
        <v>0</v>
      </c>
      <c r="L292" s="37">
        <f ca="1">_xlfn.IFNA(VLOOKUP($A292,INDIRECT("'W"&amp;L$1&amp;"'!$A$2:$T$1000"),4,FALSE),0)</f>
        <v>3.5</v>
      </c>
      <c r="M292" s="37">
        <f ca="1">_xlfn.IFNA(VLOOKUP($A292,INDIRECT("'W"&amp;M$1&amp;"'!$A$2:$T$1000"),4,FALSE),0)</f>
        <v>5.3000000000000007</v>
      </c>
      <c r="N292" s="37">
        <f ca="1">_xlfn.IFNA(VLOOKUP($A292,INDIRECT("'W"&amp;N$1&amp;"'!$A$2:$T$1000"),4,FALSE),0)</f>
        <v>7.8</v>
      </c>
      <c r="O292" s="37">
        <f ca="1">_xlfn.IFNA(VLOOKUP($A292,INDIRECT("'W"&amp;O$1&amp;"'!$A$2:$T$1000"),4,FALSE),0)</f>
        <v>1.6</v>
      </c>
      <c r="P292" s="37">
        <f ca="1">_xlfn.IFNA(VLOOKUP($A292,INDIRECT("'W"&amp;P$1&amp;"'!$A$2:$T$1000"),4,FALSE),0)</f>
        <v>9.9</v>
      </c>
      <c r="Q292" s="37">
        <f ca="1">_xlfn.IFNA(VLOOKUP($A292,INDIRECT("'W"&amp;Q$1&amp;"'!$A$2:$T$1000"),4,FALSE),0)</f>
        <v>3.4000000000000004</v>
      </c>
      <c r="R292" s="37">
        <f ca="1">_xlfn.IFNA(VLOOKUP($A292,INDIRECT("'W"&amp;R$1&amp;"'!$A$2:$T$1000"),4,FALSE),0)</f>
        <v>0</v>
      </c>
      <c r="S292" s="37">
        <f ca="1">_xlfn.IFNA(VLOOKUP($A292,INDIRECT("'W"&amp;S$1&amp;"'!$A$2:$T$1000"),4,FALSE),0)</f>
        <v>1.9</v>
      </c>
      <c r="T292" s="37">
        <f ca="1">_xlfn.IFNA(VLOOKUP($A292,INDIRECT("'W"&amp;T$1&amp;"'!$A$2:$T$1000"),4,FALSE),0)</f>
        <v>3.1</v>
      </c>
      <c r="U292" s="36">
        <f ca="1">COUNTIF(C292:T292,"&gt; 15")</f>
        <v>0</v>
      </c>
      <c r="V292" s="36">
        <f ca="1">SUM(C292:T292)</f>
        <v>60.4</v>
      </c>
      <c r="W292" s="36"/>
      <c r="X292" s="38"/>
    </row>
    <row r="293" spans="1:24" ht="12.75" x14ac:dyDescent="0.2">
      <c r="A293" s="36" t="s">
        <v>346</v>
      </c>
      <c r="B293" s="36" t="s">
        <v>162</v>
      </c>
      <c r="C293" s="37">
        <f ca="1">_xlfn.IFNA(VLOOKUP($A293,INDIRECT("'W"&amp;C$1&amp;"'!$A$2:$T$1000"),4,FALSE),0)</f>
        <v>0</v>
      </c>
      <c r="D293" s="37">
        <f ca="1">_xlfn.IFNA(VLOOKUP($A293,INDIRECT("'W"&amp;D$1&amp;"'!$A$2:$T$1000"),4,FALSE),0)</f>
        <v>10.9</v>
      </c>
      <c r="E293" s="37">
        <f ca="1">_xlfn.IFNA(VLOOKUP($A293,INDIRECT("'W"&amp;E$1&amp;"'!$A$2:$T$1000"),4,FALSE),0)</f>
        <v>0</v>
      </c>
      <c r="F293" s="37">
        <f ca="1">_xlfn.IFNA(VLOOKUP($A293,INDIRECT("'W"&amp;F$1&amp;"'!$A$2:$T$1000"),4,FALSE),0)</f>
        <v>3</v>
      </c>
      <c r="G293" s="37">
        <f ca="1">_xlfn.IFNA(VLOOKUP($A293,INDIRECT("'W"&amp;G$1&amp;"'!$A$2:$T$1000"),4,FALSE),0)</f>
        <v>0</v>
      </c>
      <c r="H293" s="37">
        <f ca="1">_xlfn.IFNA(VLOOKUP($A293,INDIRECT("'W"&amp;H$1&amp;"'!$A$2:$T$1000"),4,FALSE),0)</f>
        <v>5.0999999999999996</v>
      </c>
      <c r="I293" s="37">
        <f ca="1">_xlfn.IFNA(VLOOKUP($A293,INDIRECT("'W"&amp;I$1&amp;"'!$A$2:$T$1000"),4,FALSE),0)</f>
        <v>9.5</v>
      </c>
      <c r="J293" s="37">
        <f ca="1">_xlfn.IFNA(VLOOKUP($A293,INDIRECT("'W"&amp;J$1&amp;"'!$A$2:$T$1000"),4,FALSE),0)</f>
        <v>0</v>
      </c>
      <c r="K293" s="37">
        <f ca="1">_xlfn.IFNA(VLOOKUP($A293,INDIRECT("'W"&amp;K$1&amp;"'!$A$2:$T$1000"),4,FALSE),0)</f>
        <v>3.9000000000000004</v>
      </c>
      <c r="L293" s="37">
        <f ca="1">_xlfn.IFNA(VLOOKUP($A293,INDIRECT("'W"&amp;L$1&amp;"'!$A$2:$T$1000"),4,FALSE),0)</f>
        <v>0</v>
      </c>
      <c r="M293" s="37">
        <f ca="1">_xlfn.IFNA(VLOOKUP($A293,INDIRECT("'W"&amp;M$1&amp;"'!$A$2:$T$1000"),4,FALSE),0)</f>
        <v>1.7000000000000002</v>
      </c>
      <c r="N293" s="37">
        <f ca="1">_xlfn.IFNA(VLOOKUP($A293,INDIRECT("'W"&amp;N$1&amp;"'!$A$2:$T$1000"),4,FALSE),0)</f>
        <v>15.9</v>
      </c>
      <c r="O293" s="37">
        <f ca="1">_xlfn.IFNA(VLOOKUP($A293,INDIRECT("'W"&amp;O$1&amp;"'!$A$2:$T$1000"),4,FALSE),0)</f>
        <v>0</v>
      </c>
      <c r="P293" s="37">
        <f ca="1">_xlfn.IFNA(VLOOKUP($A293,INDIRECT("'W"&amp;P$1&amp;"'!$A$2:$T$1000"),4,FALSE),0)</f>
        <v>3.3</v>
      </c>
      <c r="Q293" s="37">
        <f ca="1">_xlfn.IFNA(VLOOKUP($A293,INDIRECT("'W"&amp;Q$1&amp;"'!$A$2:$T$1000"),4,FALSE),0)</f>
        <v>0</v>
      </c>
      <c r="R293" s="37">
        <f ca="1">_xlfn.IFNA(VLOOKUP($A293,INDIRECT("'W"&amp;R$1&amp;"'!$A$2:$T$1000"),4,FALSE),0)</f>
        <v>0</v>
      </c>
      <c r="S293" s="37">
        <f ca="1">_xlfn.IFNA(VLOOKUP($A293,INDIRECT("'W"&amp;S$1&amp;"'!$A$2:$T$1000"),4,FALSE),0)</f>
        <v>5.5</v>
      </c>
      <c r="T293" s="37">
        <f ca="1">_xlfn.IFNA(VLOOKUP($A293,INDIRECT("'W"&amp;T$1&amp;"'!$A$2:$T$1000"),4,FALSE),0)</f>
        <v>1.5</v>
      </c>
      <c r="U293" s="36">
        <f ca="1">COUNTIF(C293:T293,"&gt; 15")</f>
        <v>1</v>
      </c>
      <c r="V293" s="36">
        <f ca="1">SUM(C293:T293)</f>
        <v>60.3</v>
      </c>
      <c r="W293" s="36"/>
      <c r="X293" s="38"/>
    </row>
    <row r="294" spans="1:24" ht="12.75" x14ac:dyDescent="0.2">
      <c r="A294" s="36" t="s">
        <v>223</v>
      </c>
      <c r="B294" s="36" t="s">
        <v>162</v>
      </c>
      <c r="C294" s="37">
        <f ca="1">_xlfn.IFNA(VLOOKUP($A294,INDIRECT("'W"&amp;C$1&amp;"'!$A$2:$T$1000"),4,FALSE),0)</f>
        <v>6.6000000000000005</v>
      </c>
      <c r="D294" s="37">
        <f ca="1">_xlfn.IFNA(VLOOKUP($A294,INDIRECT("'W"&amp;D$1&amp;"'!$A$2:$T$1000"),4,FALSE),0)</f>
        <v>4.3000000000000007</v>
      </c>
      <c r="E294" s="37">
        <f ca="1">_xlfn.IFNA(VLOOKUP($A294,INDIRECT("'W"&amp;E$1&amp;"'!$A$2:$T$1000"),4,FALSE),0)</f>
        <v>6.9</v>
      </c>
      <c r="F294" s="37">
        <f ca="1">_xlfn.IFNA(VLOOKUP($A294,INDIRECT("'W"&amp;F$1&amp;"'!$A$2:$T$1000"),4,FALSE),0)</f>
        <v>15.100000000000001</v>
      </c>
      <c r="G294" s="37">
        <f ca="1">_xlfn.IFNA(VLOOKUP($A294,INDIRECT("'W"&amp;G$1&amp;"'!$A$2:$T$1000"),4,FALSE),0)</f>
        <v>6.3000000000000007</v>
      </c>
      <c r="H294" s="37">
        <f ca="1">_xlfn.IFNA(VLOOKUP($A294,INDIRECT("'W"&amp;H$1&amp;"'!$A$2:$T$1000"),4,FALSE),0)</f>
        <v>1.8</v>
      </c>
      <c r="I294" s="37">
        <f ca="1">_xlfn.IFNA(VLOOKUP($A294,INDIRECT("'W"&amp;I$1&amp;"'!$A$2:$T$1000"),4,FALSE),0)</f>
        <v>0</v>
      </c>
      <c r="J294" s="37">
        <f ca="1">_xlfn.IFNA(VLOOKUP($A294,INDIRECT("'W"&amp;J$1&amp;"'!$A$2:$T$1000"),4,FALSE),0)</f>
        <v>7.5</v>
      </c>
      <c r="K294" s="37">
        <f ca="1">_xlfn.IFNA(VLOOKUP($A294,INDIRECT("'W"&amp;K$1&amp;"'!$A$2:$T$1000"),4,FALSE),0)</f>
        <v>3.8</v>
      </c>
      <c r="L294" s="37">
        <f ca="1">_xlfn.IFNA(VLOOKUP($A294,INDIRECT("'W"&amp;L$1&amp;"'!$A$2:$T$1000"),4,FALSE),0)</f>
        <v>2.7</v>
      </c>
      <c r="M294" s="37">
        <f ca="1">_xlfn.IFNA(VLOOKUP($A294,INDIRECT("'W"&amp;M$1&amp;"'!$A$2:$T$1000"),4,FALSE),0)</f>
        <v>0</v>
      </c>
      <c r="N294" s="37">
        <f ca="1">_xlfn.IFNA(VLOOKUP($A294,INDIRECT("'W"&amp;N$1&amp;"'!$A$2:$T$1000"),4,FALSE),0)</f>
        <v>0</v>
      </c>
      <c r="O294" s="37">
        <f ca="1">_xlfn.IFNA(VLOOKUP($A294,INDIRECT("'W"&amp;O$1&amp;"'!$A$2:$T$1000"),4,FALSE),0)</f>
        <v>0</v>
      </c>
      <c r="P294" s="37">
        <f ca="1">_xlfn.IFNA(VLOOKUP($A294,INDIRECT("'W"&amp;P$1&amp;"'!$A$2:$T$1000"),4,FALSE),0)</f>
        <v>0</v>
      </c>
      <c r="Q294" s="37">
        <f ca="1">_xlfn.IFNA(VLOOKUP($A294,INDIRECT("'W"&amp;Q$1&amp;"'!$A$2:$T$1000"),4,FALSE),0)</f>
        <v>5.0999999999999996</v>
      </c>
      <c r="R294" s="37">
        <f ca="1">_xlfn.IFNA(VLOOKUP($A294,INDIRECT("'W"&amp;R$1&amp;"'!$A$2:$T$1000"),4,FALSE),0)</f>
        <v>0</v>
      </c>
      <c r="S294" s="37">
        <f ca="1">_xlfn.IFNA(VLOOKUP($A294,INDIRECT("'W"&amp;S$1&amp;"'!$A$2:$T$1000"),4,FALSE),0)</f>
        <v>0</v>
      </c>
      <c r="T294" s="37">
        <f ca="1">_xlfn.IFNA(VLOOKUP($A294,INDIRECT("'W"&amp;T$1&amp;"'!$A$2:$T$1000"),4,FALSE),0)</f>
        <v>0</v>
      </c>
      <c r="U294" s="36">
        <f ca="1">COUNTIF(C294:T294,"&gt; 15")</f>
        <v>1</v>
      </c>
      <c r="V294" s="36">
        <f ca="1">SUM(C294:T294)</f>
        <v>60.1</v>
      </c>
      <c r="W294" s="36"/>
      <c r="X294" s="38"/>
    </row>
    <row r="295" spans="1:24" ht="12.75" x14ac:dyDescent="0.2">
      <c r="A295" s="36" t="s">
        <v>252</v>
      </c>
      <c r="B295" s="36" t="s">
        <v>162</v>
      </c>
      <c r="C295" s="37">
        <f ca="1">_xlfn.IFNA(VLOOKUP($A295,INDIRECT("'W"&amp;C$1&amp;"'!$A$2:$T$1000"),4,FALSE),0)</f>
        <v>1.4000000000000004</v>
      </c>
      <c r="D295" s="37">
        <f ca="1">_xlfn.IFNA(VLOOKUP($A295,INDIRECT("'W"&amp;D$1&amp;"'!$A$2:$T$1000"),4,FALSE),0)</f>
        <v>14</v>
      </c>
      <c r="E295" s="37">
        <f ca="1">_xlfn.IFNA(VLOOKUP($A295,INDIRECT("'W"&amp;E$1&amp;"'!$A$2:$T$1000"),4,FALSE),0)</f>
        <v>0</v>
      </c>
      <c r="F295" s="37">
        <f ca="1">_xlfn.IFNA(VLOOKUP($A295,INDIRECT("'W"&amp;F$1&amp;"'!$A$2:$T$1000"),4,FALSE),0)</f>
        <v>5.4</v>
      </c>
      <c r="G295" s="37">
        <f ca="1">_xlfn.IFNA(VLOOKUP($A295,INDIRECT("'W"&amp;G$1&amp;"'!$A$2:$T$1000"),4,FALSE),0)</f>
        <v>3.9000000000000004</v>
      </c>
      <c r="H295" s="37">
        <f ca="1">_xlfn.IFNA(VLOOKUP($A295,INDIRECT("'W"&amp;H$1&amp;"'!$A$2:$T$1000"),4,FALSE),0)</f>
        <v>0</v>
      </c>
      <c r="I295" s="37">
        <f ca="1">_xlfn.IFNA(VLOOKUP($A295,INDIRECT("'W"&amp;I$1&amp;"'!$A$2:$T$1000"),4,FALSE),0)</f>
        <v>3.3</v>
      </c>
      <c r="J295" s="37">
        <f ca="1">_xlfn.IFNA(VLOOKUP($A295,INDIRECT("'W"&amp;J$1&amp;"'!$A$2:$T$1000"),4,FALSE),0)</f>
        <v>0</v>
      </c>
      <c r="K295" s="37">
        <f ca="1">_xlfn.IFNA(VLOOKUP($A295,INDIRECT("'W"&amp;K$1&amp;"'!$A$2:$T$1000"),4,FALSE),0)</f>
        <v>0</v>
      </c>
      <c r="L295" s="37">
        <f ca="1">_xlfn.IFNA(VLOOKUP($A295,INDIRECT("'W"&amp;L$1&amp;"'!$A$2:$T$1000"),4,FALSE),0)</f>
        <v>0</v>
      </c>
      <c r="M295" s="37">
        <f ca="1">_xlfn.IFNA(VLOOKUP($A295,INDIRECT("'W"&amp;M$1&amp;"'!$A$2:$T$1000"),4,FALSE),0)</f>
        <v>4.2</v>
      </c>
      <c r="N295" s="37">
        <f ca="1">_xlfn.IFNA(VLOOKUP($A295,INDIRECT("'W"&amp;N$1&amp;"'!$A$2:$T$1000"),4,FALSE),0)</f>
        <v>8.1999999999999993</v>
      </c>
      <c r="O295" s="37">
        <f ca="1">_xlfn.IFNA(VLOOKUP($A295,INDIRECT("'W"&amp;O$1&amp;"'!$A$2:$T$1000"),4,FALSE),0)</f>
        <v>0</v>
      </c>
      <c r="P295" s="37">
        <f ca="1">_xlfn.IFNA(VLOOKUP($A295,INDIRECT("'W"&amp;P$1&amp;"'!$A$2:$T$1000"),4,FALSE),0)</f>
        <v>10.199999999999999</v>
      </c>
      <c r="Q295" s="37">
        <f ca="1">_xlfn.IFNA(VLOOKUP($A295,INDIRECT("'W"&amp;Q$1&amp;"'!$A$2:$T$1000"),4,FALSE),0)</f>
        <v>0</v>
      </c>
      <c r="R295" s="37">
        <f ca="1">_xlfn.IFNA(VLOOKUP($A295,INDIRECT("'W"&amp;R$1&amp;"'!$A$2:$T$1000"),4,FALSE),0)</f>
        <v>0</v>
      </c>
      <c r="S295" s="37">
        <f ca="1">_xlfn.IFNA(VLOOKUP($A295,INDIRECT("'W"&amp;S$1&amp;"'!$A$2:$T$1000"),4,FALSE),0)</f>
        <v>2.8</v>
      </c>
      <c r="T295" s="37">
        <f ca="1">_xlfn.IFNA(VLOOKUP($A295,INDIRECT("'W"&amp;T$1&amp;"'!$A$2:$T$1000"),4,FALSE),0)</f>
        <v>6.6</v>
      </c>
      <c r="U295" s="36">
        <f ca="1">COUNTIF(C295:T295,"&gt; 15")</f>
        <v>0</v>
      </c>
      <c r="V295" s="36">
        <f ca="1">SUM(C295:T295)</f>
        <v>60.000000000000007</v>
      </c>
      <c r="W295" s="36"/>
      <c r="X295" s="38"/>
    </row>
    <row r="296" spans="1:24" ht="12.75" x14ac:dyDescent="0.2">
      <c r="A296" s="36" t="s">
        <v>201</v>
      </c>
      <c r="B296" s="36" t="s">
        <v>162</v>
      </c>
      <c r="C296" s="37">
        <f ca="1">_xlfn.IFNA(VLOOKUP($A296,INDIRECT("'W"&amp;C$1&amp;"'!$A$2:$T$1000"),4,FALSE),0)</f>
        <v>10.5</v>
      </c>
      <c r="D296" s="37">
        <f ca="1">_xlfn.IFNA(VLOOKUP($A296,INDIRECT("'W"&amp;D$1&amp;"'!$A$2:$T$1000"),4,FALSE),0)</f>
        <v>2.5</v>
      </c>
      <c r="E296" s="37">
        <f ca="1">_xlfn.IFNA(VLOOKUP($A296,INDIRECT("'W"&amp;E$1&amp;"'!$A$2:$T$1000"),4,FALSE),0)</f>
        <v>0</v>
      </c>
      <c r="F296" s="37">
        <f ca="1">_xlfn.IFNA(VLOOKUP($A296,INDIRECT("'W"&amp;F$1&amp;"'!$A$2:$T$1000"),4,FALSE),0)</f>
        <v>6.1000000000000005</v>
      </c>
      <c r="G296" s="37">
        <f ca="1">_xlfn.IFNA(VLOOKUP($A296,INDIRECT("'W"&amp;G$1&amp;"'!$A$2:$T$1000"),4,FALSE),0)</f>
        <v>9.6</v>
      </c>
      <c r="H296" s="37">
        <f ca="1">_xlfn.IFNA(VLOOKUP($A296,INDIRECT("'W"&amp;H$1&amp;"'!$A$2:$T$1000"),4,FALSE),0)</f>
        <v>0</v>
      </c>
      <c r="I296" s="37">
        <f ca="1">_xlfn.IFNA(VLOOKUP($A296,INDIRECT("'W"&amp;I$1&amp;"'!$A$2:$T$1000"),4,FALSE),0)</f>
        <v>0</v>
      </c>
      <c r="J296" s="37">
        <f ca="1">_xlfn.IFNA(VLOOKUP($A296,INDIRECT("'W"&amp;J$1&amp;"'!$A$2:$T$1000"),4,FALSE),0)</f>
        <v>2.2999999999999998</v>
      </c>
      <c r="K296" s="37">
        <f ca="1">_xlfn.IFNA(VLOOKUP($A296,INDIRECT("'W"&amp;K$1&amp;"'!$A$2:$T$1000"),4,FALSE),0)</f>
        <v>7.5</v>
      </c>
      <c r="L296" s="37">
        <f ca="1">_xlfn.IFNA(VLOOKUP($A296,INDIRECT("'W"&amp;L$1&amp;"'!$A$2:$T$1000"),4,FALSE),0)</f>
        <v>0</v>
      </c>
      <c r="M296" s="37">
        <f ca="1">_xlfn.IFNA(VLOOKUP($A296,INDIRECT("'W"&amp;M$1&amp;"'!$A$2:$T$1000"),4,FALSE),0)</f>
        <v>4.3</v>
      </c>
      <c r="N296" s="37">
        <f ca="1">_xlfn.IFNA(VLOOKUP($A296,INDIRECT("'W"&amp;N$1&amp;"'!$A$2:$T$1000"),4,FALSE),0)</f>
        <v>10.4</v>
      </c>
      <c r="O296" s="37">
        <f ca="1">_xlfn.IFNA(VLOOKUP($A296,INDIRECT("'W"&amp;O$1&amp;"'!$A$2:$T$1000"),4,FALSE),0)</f>
        <v>2</v>
      </c>
      <c r="P296" s="37">
        <f ca="1">_xlfn.IFNA(VLOOKUP($A296,INDIRECT("'W"&amp;P$1&amp;"'!$A$2:$T$1000"),4,FALSE),0)</f>
        <v>2.2000000000000002</v>
      </c>
      <c r="Q296" s="37">
        <f ca="1">_xlfn.IFNA(VLOOKUP($A296,INDIRECT("'W"&amp;Q$1&amp;"'!$A$2:$T$1000"),4,FALSE),0)</f>
        <v>0</v>
      </c>
      <c r="R296" s="37">
        <f ca="1">_xlfn.IFNA(VLOOKUP($A296,INDIRECT("'W"&amp;R$1&amp;"'!$A$2:$T$1000"),4,FALSE),0)</f>
        <v>1.7999999999999998</v>
      </c>
      <c r="S296" s="37">
        <f ca="1">_xlfn.IFNA(VLOOKUP($A296,INDIRECT("'W"&amp;S$1&amp;"'!$A$2:$T$1000"),4,FALSE),0)</f>
        <v>0</v>
      </c>
      <c r="T296" s="37">
        <f ca="1">_xlfn.IFNA(VLOOKUP($A296,INDIRECT("'W"&amp;T$1&amp;"'!$A$2:$T$1000"),4,FALSE),0)</f>
        <v>0.5</v>
      </c>
      <c r="U296" s="36">
        <f ca="1">COUNTIF(C296:T296,"&gt; 15")</f>
        <v>0</v>
      </c>
      <c r="V296" s="36">
        <f ca="1">SUM(C296:T296)</f>
        <v>59.699999999999996</v>
      </c>
      <c r="W296" s="36"/>
      <c r="X296" s="38"/>
    </row>
    <row r="297" spans="1:24" ht="12.75" x14ac:dyDescent="0.2">
      <c r="A297" s="36" t="s">
        <v>123</v>
      </c>
      <c r="B297" s="36" t="s">
        <v>75</v>
      </c>
      <c r="C297" s="37">
        <f ca="1">_xlfn.IFNA(VLOOKUP($A297,INDIRECT("'W"&amp;C$1&amp;"'!$A$2:$T$1000"),4,FALSE),0)</f>
        <v>3.8000000000000003</v>
      </c>
      <c r="D297" s="37">
        <f ca="1">_xlfn.IFNA(VLOOKUP($A297,INDIRECT("'W"&amp;D$1&amp;"'!$A$2:$T$1000"),4,FALSE),0)</f>
        <v>2.1</v>
      </c>
      <c r="E297" s="37">
        <f ca="1">_xlfn.IFNA(VLOOKUP($A297,INDIRECT("'W"&amp;E$1&amp;"'!$A$2:$T$1000"),4,FALSE),0)</f>
        <v>1.3</v>
      </c>
      <c r="F297" s="37">
        <f ca="1">_xlfn.IFNA(VLOOKUP($A297,INDIRECT("'W"&amp;F$1&amp;"'!$A$2:$T$1000"),4,FALSE),0)</f>
        <v>4.0999999999999996</v>
      </c>
      <c r="G297" s="37">
        <f ca="1">_xlfn.IFNA(VLOOKUP($A297,INDIRECT("'W"&amp;G$1&amp;"'!$A$2:$T$1000"),4,FALSE),0)</f>
        <v>5.2</v>
      </c>
      <c r="H297" s="37">
        <f ca="1">_xlfn.IFNA(VLOOKUP($A297,INDIRECT("'W"&amp;H$1&amp;"'!$A$2:$T$1000"),4,FALSE),0)</f>
        <v>0.5</v>
      </c>
      <c r="I297" s="37">
        <f ca="1">_xlfn.IFNA(VLOOKUP($A297,INDIRECT("'W"&amp;I$1&amp;"'!$A$2:$T$1000"),4,FALSE),0)</f>
        <v>0</v>
      </c>
      <c r="J297" s="37">
        <f ca="1">_xlfn.IFNA(VLOOKUP($A297,INDIRECT("'W"&amp;J$1&amp;"'!$A$2:$T$1000"),4,FALSE),0)</f>
        <v>0.2</v>
      </c>
      <c r="K297" s="37">
        <f ca="1">_xlfn.IFNA(VLOOKUP($A297,INDIRECT("'W"&amp;K$1&amp;"'!$A$2:$T$1000"),4,FALSE),0)</f>
        <v>8.4</v>
      </c>
      <c r="L297" s="37">
        <f ca="1">_xlfn.IFNA(VLOOKUP($A297,INDIRECT("'W"&amp;L$1&amp;"'!$A$2:$T$1000"),4,FALSE),0)</f>
        <v>0</v>
      </c>
      <c r="M297" s="37">
        <f ca="1">_xlfn.IFNA(VLOOKUP($A297,INDIRECT("'W"&amp;M$1&amp;"'!$A$2:$T$1000"),4,FALSE),0)</f>
        <v>0</v>
      </c>
      <c r="N297" s="37">
        <f ca="1">_xlfn.IFNA(VLOOKUP($A297,INDIRECT("'W"&amp;N$1&amp;"'!$A$2:$T$1000"),4,FALSE),0)</f>
        <v>7.4</v>
      </c>
      <c r="O297" s="37">
        <f ca="1">_xlfn.IFNA(VLOOKUP($A297,INDIRECT("'W"&amp;O$1&amp;"'!$A$2:$T$1000"),4,FALSE),0)</f>
        <v>2.5</v>
      </c>
      <c r="P297" s="37">
        <f ca="1">_xlfn.IFNA(VLOOKUP($A297,INDIRECT("'W"&amp;P$1&amp;"'!$A$2:$T$1000"),4,FALSE),0)</f>
        <v>0</v>
      </c>
      <c r="Q297" s="37">
        <f ca="1">_xlfn.IFNA(VLOOKUP($A297,INDIRECT("'W"&amp;Q$1&amp;"'!$A$2:$T$1000"),4,FALSE),0)</f>
        <v>6.7</v>
      </c>
      <c r="R297" s="37">
        <f ca="1">_xlfn.IFNA(VLOOKUP($A297,INDIRECT("'W"&amp;R$1&amp;"'!$A$2:$T$1000"),4,FALSE),0)</f>
        <v>0</v>
      </c>
      <c r="S297" s="37">
        <f ca="1">_xlfn.IFNA(VLOOKUP($A297,INDIRECT("'W"&amp;S$1&amp;"'!$A$2:$T$1000"),4,FALSE),0)</f>
        <v>13.700000000000001</v>
      </c>
      <c r="T297" s="37">
        <f ca="1">_xlfn.IFNA(VLOOKUP($A297,INDIRECT("'W"&amp;T$1&amp;"'!$A$2:$T$1000"),4,FALSE),0)</f>
        <v>2.9000000000000004</v>
      </c>
      <c r="U297" s="36">
        <f ca="1">COUNTIF(C297:T297,"&gt; 15")</f>
        <v>0</v>
      </c>
      <c r="V297" s="36">
        <f ca="1">SUM(C297:T297)</f>
        <v>58.800000000000004</v>
      </c>
      <c r="W297" s="36"/>
      <c r="X297" s="38"/>
    </row>
    <row r="298" spans="1:24" ht="12.75" x14ac:dyDescent="0.2">
      <c r="A298" s="36" t="s">
        <v>361</v>
      </c>
      <c r="B298" s="36" t="s">
        <v>162</v>
      </c>
      <c r="C298" s="37">
        <f ca="1">_xlfn.IFNA(VLOOKUP($A298,INDIRECT("'W"&amp;C$1&amp;"'!$A$2:$T$1000"),4,FALSE),0)</f>
        <v>0</v>
      </c>
      <c r="D298" s="37">
        <f ca="1">_xlfn.IFNA(VLOOKUP($A298,INDIRECT("'W"&amp;D$1&amp;"'!$A$2:$T$1000"),4,FALSE),0)</f>
        <v>4.8</v>
      </c>
      <c r="E298" s="37">
        <f ca="1">_xlfn.IFNA(VLOOKUP($A298,INDIRECT("'W"&amp;E$1&amp;"'!$A$2:$T$1000"),4,FALSE),0)</f>
        <v>0</v>
      </c>
      <c r="F298" s="37">
        <f ca="1">_xlfn.IFNA(VLOOKUP($A298,INDIRECT("'W"&amp;F$1&amp;"'!$A$2:$T$1000"),4,FALSE),0)</f>
        <v>9.3000000000000007</v>
      </c>
      <c r="G298" s="37">
        <f ca="1">_xlfn.IFNA(VLOOKUP($A298,INDIRECT("'W"&amp;G$1&amp;"'!$A$2:$T$1000"),4,FALSE),0)</f>
        <v>0</v>
      </c>
      <c r="H298" s="37">
        <f ca="1">_xlfn.IFNA(VLOOKUP($A298,INDIRECT("'W"&amp;H$1&amp;"'!$A$2:$T$1000"),4,FALSE),0)</f>
        <v>-2</v>
      </c>
      <c r="I298" s="37">
        <f ca="1">_xlfn.IFNA(VLOOKUP($A298,INDIRECT("'W"&amp;I$1&amp;"'!$A$2:$T$1000"),4,FALSE),0)</f>
        <v>0</v>
      </c>
      <c r="J298" s="37">
        <f ca="1">_xlfn.IFNA(VLOOKUP($A298,INDIRECT("'W"&amp;J$1&amp;"'!$A$2:$T$1000"),4,FALSE),0)</f>
        <v>0</v>
      </c>
      <c r="K298" s="37">
        <f ca="1">_xlfn.IFNA(VLOOKUP($A298,INDIRECT("'W"&amp;K$1&amp;"'!$A$2:$T$1000"),4,FALSE),0)</f>
        <v>13.9</v>
      </c>
      <c r="L298" s="37">
        <f ca="1">_xlfn.IFNA(VLOOKUP($A298,INDIRECT("'W"&amp;L$1&amp;"'!$A$2:$T$1000"),4,FALSE),0)</f>
        <v>2.2000000000000002</v>
      </c>
      <c r="M298" s="37">
        <f ca="1">_xlfn.IFNA(VLOOKUP($A298,INDIRECT("'W"&amp;M$1&amp;"'!$A$2:$T$1000"),4,FALSE),0)</f>
        <v>3.2</v>
      </c>
      <c r="N298" s="37">
        <f ca="1">_xlfn.IFNA(VLOOKUP($A298,INDIRECT("'W"&amp;N$1&amp;"'!$A$2:$T$1000"),4,FALSE),0)</f>
        <v>6.9</v>
      </c>
      <c r="O298" s="37">
        <f ca="1">_xlfn.IFNA(VLOOKUP($A298,INDIRECT("'W"&amp;O$1&amp;"'!$A$2:$T$1000"),4,FALSE),0)</f>
        <v>2.7</v>
      </c>
      <c r="P298" s="37">
        <f ca="1">_xlfn.IFNA(VLOOKUP($A298,INDIRECT("'W"&amp;P$1&amp;"'!$A$2:$T$1000"),4,FALSE),0)</f>
        <v>0</v>
      </c>
      <c r="Q298" s="37">
        <f ca="1">_xlfn.IFNA(VLOOKUP($A298,INDIRECT("'W"&amp;Q$1&amp;"'!$A$2:$T$1000"),4,FALSE),0)</f>
        <v>0</v>
      </c>
      <c r="R298" s="37">
        <f ca="1">_xlfn.IFNA(VLOOKUP($A298,INDIRECT("'W"&amp;R$1&amp;"'!$A$2:$T$1000"),4,FALSE),0)</f>
        <v>7.1000000000000005</v>
      </c>
      <c r="S298" s="37">
        <f ca="1">_xlfn.IFNA(VLOOKUP($A298,INDIRECT("'W"&amp;S$1&amp;"'!$A$2:$T$1000"),4,FALSE),0)</f>
        <v>1.9</v>
      </c>
      <c r="T298" s="37">
        <f ca="1">_xlfn.IFNA(VLOOKUP($A298,INDIRECT("'W"&amp;T$1&amp;"'!$A$2:$T$1000"),4,FALSE),0)</f>
        <v>8.8000000000000007</v>
      </c>
      <c r="U298" s="36">
        <f ca="1">COUNTIF(C298:T298,"&gt; 15")</f>
        <v>0</v>
      </c>
      <c r="V298" s="36">
        <f ca="1">SUM(C298:T298)</f>
        <v>58.8</v>
      </c>
      <c r="W298" s="36"/>
      <c r="X298" s="38"/>
    </row>
    <row r="299" spans="1:24" ht="12.75" x14ac:dyDescent="0.2">
      <c r="A299" s="36" t="s">
        <v>212</v>
      </c>
      <c r="B299" s="36" t="s">
        <v>162</v>
      </c>
      <c r="C299" s="37">
        <f ca="1">_xlfn.IFNA(VLOOKUP($A299,INDIRECT("'W"&amp;C$1&amp;"'!$A$2:$T$1000"),4,FALSE),0)</f>
        <v>7.2</v>
      </c>
      <c r="D299" s="37">
        <f ca="1">_xlfn.IFNA(VLOOKUP($A299,INDIRECT("'W"&amp;D$1&amp;"'!$A$2:$T$1000"),4,FALSE),0)</f>
        <v>4.8000000000000007</v>
      </c>
      <c r="E299" s="37">
        <f ca="1">_xlfn.IFNA(VLOOKUP($A299,INDIRECT("'W"&amp;E$1&amp;"'!$A$2:$T$1000"),4,FALSE),0)</f>
        <v>5.3000000000000007</v>
      </c>
      <c r="F299" s="37">
        <f ca="1">_xlfn.IFNA(VLOOKUP($A299,INDIRECT("'W"&amp;F$1&amp;"'!$A$2:$T$1000"),4,FALSE),0)</f>
        <v>17.399999999999999</v>
      </c>
      <c r="G299" s="37">
        <f ca="1">_xlfn.IFNA(VLOOKUP($A299,INDIRECT("'W"&amp;G$1&amp;"'!$A$2:$T$1000"),4,FALSE),0)</f>
        <v>3.3</v>
      </c>
      <c r="H299" s="37">
        <f ca="1">_xlfn.IFNA(VLOOKUP($A299,INDIRECT("'W"&amp;H$1&amp;"'!$A$2:$T$1000"),4,FALSE),0)</f>
        <v>4</v>
      </c>
      <c r="I299" s="37">
        <f ca="1">_xlfn.IFNA(VLOOKUP($A299,INDIRECT("'W"&amp;I$1&amp;"'!$A$2:$T$1000"),4,FALSE),0)</f>
        <v>1.7000000000000002</v>
      </c>
      <c r="J299" s="37">
        <f ca="1">_xlfn.IFNA(VLOOKUP($A299,INDIRECT("'W"&amp;J$1&amp;"'!$A$2:$T$1000"),4,FALSE),0)</f>
        <v>2.8</v>
      </c>
      <c r="K299" s="37">
        <f ca="1">_xlfn.IFNA(VLOOKUP($A299,INDIRECT("'W"&amp;K$1&amp;"'!$A$2:$T$1000"),4,FALSE),0)</f>
        <v>0</v>
      </c>
      <c r="L299" s="37">
        <f ca="1">_xlfn.IFNA(VLOOKUP($A299,INDIRECT("'W"&amp;L$1&amp;"'!$A$2:$T$1000"),4,FALSE),0)</f>
        <v>0</v>
      </c>
      <c r="M299" s="37">
        <f ca="1">_xlfn.IFNA(VLOOKUP($A299,INDIRECT("'W"&amp;M$1&amp;"'!$A$2:$T$1000"),4,FALSE),0)</f>
        <v>0</v>
      </c>
      <c r="N299" s="37">
        <f ca="1">_xlfn.IFNA(VLOOKUP($A299,INDIRECT("'W"&amp;N$1&amp;"'!$A$2:$T$1000"),4,FALSE),0)</f>
        <v>0</v>
      </c>
      <c r="O299" s="37">
        <f ca="1">_xlfn.IFNA(VLOOKUP($A299,INDIRECT("'W"&amp;O$1&amp;"'!$A$2:$T$1000"),4,FALSE),0)</f>
        <v>0</v>
      </c>
      <c r="P299" s="37">
        <f ca="1">_xlfn.IFNA(VLOOKUP($A299,INDIRECT("'W"&amp;P$1&amp;"'!$A$2:$T$1000"),4,FALSE),0)</f>
        <v>3.3</v>
      </c>
      <c r="Q299" s="37">
        <f ca="1">_xlfn.IFNA(VLOOKUP($A299,INDIRECT("'W"&amp;Q$1&amp;"'!$A$2:$T$1000"),4,FALSE),0)</f>
        <v>2.2000000000000002</v>
      </c>
      <c r="R299" s="37">
        <f ca="1">_xlfn.IFNA(VLOOKUP($A299,INDIRECT("'W"&amp;R$1&amp;"'!$A$2:$T$1000"),4,FALSE),0)</f>
        <v>0</v>
      </c>
      <c r="S299" s="37">
        <f ca="1">_xlfn.IFNA(VLOOKUP($A299,INDIRECT("'W"&amp;S$1&amp;"'!$A$2:$T$1000"),4,FALSE),0)</f>
        <v>3</v>
      </c>
      <c r="T299" s="37">
        <f ca="1">_xlfn.IFNA(VLOOKUP($A299,INDIRECT("'W"&amp;T$1&amp;"'!$A$2:$T$1000"),4,FALSE),0)</f>
        <v>2.9</v>
      </c>
      <c r="U299" s="36">
        <f ca="1">COUNTIF(C299:T299,"&gt; 15")</f>
        <v>1</v>
      </c>
      <c r="V299" s="36">
        <f ca="1">SUM(C299:T299)</f>
        <v>57.9</v>
      </c>
      <c r="W299" s="36"/>
      <c r="X299" s="38"/>
    </row>
    <row r="300" spans="1:24" ht="12.75" x14ac:dyDescent="0.2">
      <c r="A300" s="36" t="s">
        <v>61</v>
      </c>
      <c r="B300" s="36" t="s">
        <v>17</v>
      </c>
      <c r="C300" s="37">
        <f ca="1">_xlfn.IFNA(VLOOKUP($A300,INDIRECT("'W"&amp;C$1&amp;"'!$A$2:$T$1000"),4,FALSE),0)</f>
        <v>4.46</v>
      </c>
      <c r="D300" s="37">
        <f ca="1">_xlfn.IFNA(VLOOKUP($A300,INDIRECT("'W"&amp;D$1&amp;"'!$A$2:$T$1000"),4,FALSE),0)</f>
        <v>30.740000000000002</v>
      </c>
      <c r="E300" s="37">
        <f ca="1">_xlfn.IFNA(VLOOKUP($A300,INDIRECT("'W"&amp;E$1&amp;"'!$A$2:$T$1000"),4,FALSE),0)</f>
        <v>3.9800000000000004</v>
      </c>
      <c r="F300" s="37">
        <f ca="1">_xlfn.IFNA(VLOOKUP($A300,INDIRECT("'W"&amp;F$1&amp;"'!$A$2:$T$1000"),4,FALSE),0)</f>
        <v>8.7200000000000024</v>
      </c>
      <c r="G300" s="37">
        <f ca="1">_xlfn.IFNA(VLOOKUP($A300,INDIRECT("'W"&amp;G$1&amp;"'!$A$2:$T$1000"),4,FALSE),0)</f>
        <v>7.16</v>
      </c>
      <c r="H300" s="37">
        <f ca="1">_xlfn.IFNA(VLOOKUP($A300,INDIRECT("'W"&amp;H$1&amp;"'!$A$2:$T$1000"),4,FALSE),0)</f>
        <v>0</v>
      </c>
      <c r="I300" s="37">
        <f ca="1">_xlfn.IFNA(VLOOKUP($A300,INDIRECT("'W"&amp;I$1&amp;"'!$A$2:$T$1000"),4,FALSE),0)</f>
        <v>0</v>
      </c>
      <c r="J300" s="37">
        <f ca="1">_xlfn.IFNA(VLOOKUP($A300,INDIRECT("'W"&amp;J$1&amp;"'!$A$2:$T$1000"),4,FALSE),0)</f>
        <v>0</v>
      </c>
      <c r="K300" s="37">
        <f ca="1">_xlfn.IFNA(VLOOKUP($A300,INDIRECT("'W"&amp;K$1&amp;"'!$A$2:$T$1000"),4,FALSE),0)</f>
        <v>1.9</v>
      </c>
      <c r="L300" s="37">
        <f ca="1">_xlfn.IFNA(VLOOKUP($A300,INDIRECT("'W"&amp;L$1&amp;"'!$A$2:$T$1000"),4,FALSE),0)</f>
        <v>0</v>
      </c>
      <c r="M300" s="37">
        <f ca="1">_xlfn.IFNA(VLOOKUP($A300,INDIRECT("'W"&amp;M$1&amp;"'!$A$2:$T$1000"),4,FALSE),0)</f>
        <v>0</v>
      </c>
      <c r="N300" s="37">
        <f ca="1">_xlfn.IFNA(VLOOKUP($A300,INDIRECT("'W"&amp;N$1&amp;"'!$A$2:$T$1000"),4,FALSE),0)</f>
        <v>0</v>
      </c>
      <c r="O300" s="37">
        <f ca="1">_xlfn.IFNA(VLOOKUP($A300,INDIRECT("'W"&amp;O$1&amp;"'!$A$2:$T$1000"),4,FALSE),0)</f>
        <v>0</v>
      </c>
      <c r="P300" s="37">
        <f ca="1">_xlfn.IFNA(VLOOKUP($A300,INDIRECT("'W"&amp;P$1&amp;"'!$A$2:$T$1000"),4,FALSE),0)</f>
        <v>0</v>
      </c>
      <c r="Q300" s="37">
        <f ca="1">_xlfn.IFNA(VLOOKUP($A300,INDIRECT("'W"&amp;Q$1&amp;"'!$A$2:$T$1000"),4,FALSE),0)</f>
        <v>0</v>
      </c>
      <c r="R300" s="37">
        <f ca="1">_xlfn.IFNA(VLOOKUP($A300,INDIRECT("'W"&amp;R$1&amp;"'!$A$2:$T$1000"),4,FALSE),0)</f>
        <v>0</v>
      </c>
      <c r="S300" s="37">
        <f ca="1">_xlfn.IFNA(VLOOKUP($A300,INDIRECT("'W"&amp;S$1&amp;"'!$A$2:$T$1000"),4,FALSE),0)</f>
        <v>0</v>
      </c>
      <c r="T300" s="37">
        <f ca="1">_xlfn.IFNA(VLOOKUP($A300,INDIRECT("'W"&amp;T$1&amp;"'!$A$2:$T$1000"),4,FALSE),0)</f>
        <v>0</v>
      </c>
      <c r="U300" s="36">
        <f ca="1">COUNTIF(C300:T300,"&gt; 15")</f>
        <v>1</v>
      </c>
      <c r="V300" s="36">
        <f ca="1">SUM(C300:T300)</f>
        <v>56.96</v>
      </c>
      <c r="W300" s="36"/>
      <c r="X300" s="38"/>
    </row>
    <row r="301" spans="1:24" ht="12.75" x14ac:dyDescent="0.2">
      <c r="A301" s="36" t="s">
        <v>387</v>
      </c>
      <c r="B301" s="36" t="s">
        <v>162</v>
      </c>
      <c r="C301" s="37">
        <f ca="1">_xlfn.IFNA(VLOOKUP($A301,INDIRECT("'W"&amp;C$1&amp;"'!$A$2:$T$1000"),4,FALSE),0)</f>
        <v>0</v>
      </c>
      <c r="D301" s="37">
        <f ca="1">_xlfn.IFNA(VLOOKUP($A301,INDIRECT("'W"&amp;D$1&amp;"'!$A$2:$T$1000"),4,FALSE),0)</f>
        <v>1.3</v>
      </c>
      <c r="E301" s="37">
        <f ca="1">_xlfn.IFNA(VLOOKUP($A301,INDIRECT("'W"&amp;E$1&amp;"'!$A$2:$T$1000"),4,FALSE),0)</f>
        <v>7.5</v>
      </c>
      <c r="F301" s="37">
        <f ca="1">_xlfn.IFNA(VLOOKUP($A301,INDIRECT("'W"&amp;F$1&amp;"'!$A$2:$T$1000"),4,FALSE),0)</f>
        <v>0</v>
      </c>
      <c r="G301" s="37">
        <f ca="1">_xlfn.IFNA(VLOOKUP($A301,INDIRECT("'W"&amp;G$1&amp;"'!$A$2:$T$1000"),4,FALSE),0)</f>
        <v>0</v>
      </c>
      <c r="H301" s="37">
        <f ca="1">_xlfn.IFNA(VLOOKUP($A301,INDIRECT("'W"&amp;H$1&amp;"'!$A$2:$T$1000"),4,FALSE),0)</f>
        <v>6.3</v>
      </c>
      <c r="I301" s="37">
        <f ca="1">_xlfn.IFNA(VLOOKUP($A301,INDIRECT("'W"&amp;I$1&amp;"'!$A$2:$T$1000"),4,FALSE),0)</f>
        <v>16.100000000000001</v>
      </c>
      <c r="J301" s="37">
        <f ca="1">_xlfn.IFNA(VLOOKUP($A301,INDIRECT("'W"&amp;J$1&amp;"'!$A$2:$T$1000"),4,FALSE),0)</f>
        <v>10.600000000000001</v>
      </c>
      <c r="K301" s="37">
        <f ca="1">_xlfn.IFNA(VLOOKUP($A301,INDIRECT("'W"&amp;K$1&amp;"'!$A$2:$T$1000"),4,FALSE),0)</f>
        <v>0</v>
      </c>
      <c r="L301" s="37">
        <f ca="1">_xlfn.IFNA(VLOOKUP($A301,INDIRECT("'W"&amp;L$1&amp;"'!$A$2:$T$1000"),4,FALSE),0)</f>
        <v>3.3</v>
      </c>
      <c r="M301" s="37">
        <f ca="1">_xlfn.IFNA(VLOOKUP($A301,INDIRECT("'W"&amp;M$1&amp;"'!$A$2:$T$1000"),4,FALSE),0)</f>
        <v>1.8</v>
      </c>
      <c r="N301" s="37">
        <f ca="1">_xlfn.IFNA(VLOOKUP($A301,INDIRECT("'W"&amp;N$1&amp;"'!$A$2:$T$1000"),4,FALSE),0)</f>
        <v>1.6</v>
      </c>
      <c r="O301" s="37">
        <f ca="1">_xlfn.IFNA(VLOOKUP($A301,INDIRECT("'W"&amp;O$1&amp;"'!$A$2:$T$1000"),4,FALSE),0)</f>
        <v>1.9</v>
      </c>
      <c r="P301" s="37">
        <f ca="1">_xlfn.IFNA(VLOOKUP($A301,INDIRECT("'W"&amp;P$1&amp;"'!$A$2:$T$1000"),4,FALSE),0)</f>
        <v>0</v>
      </c>
      <c r="Q301" s="37">
        <f ca="1">_xlfn.IFNA(VLOOKUP($A301,INDIRECT("'W"&amp;Q$1&amp;"'!$A$2:$T$1000"),4,FALSE),0)</f>
        <v>1.4</v>
      </c>
      <c r="R301" s="37">
        <f ca="1">_xlfn.IFNA(VLOOKUP($A301,INDIRECT("'W"&amp;R$1&amp;"'!$A$2:$T$1000"),4,FALSE),0)</f>
        <v>1.8</v>
      </c>
      <c r="S301" s="37">
        <f ca="1">_xlfn.IFNA(VLOOKUP($A301,INDIRECT("'W"&amp;S$1&amp;"'!$A$2:$T$1000"),4,FALSE),0)</f>
        <v>1.4</v>
      </c>
      <c r="T301" s="37">
        <f ca="1">_xlfn.IFNA(VLOOKUP($A301,INDIRECT("'W"&amp;T$1&amp;"'!$A$2:$T$1000"),4,FALSE),0)</f>
        <v>1.9</v>
      </c>
      <c r="U301" s="36">
        <f ca="1">COUNTIF(C301:T301,"&gt; 15")</f>
        <v>1</v>
      </c>
      <c r="V301" s="36">
        <f ca="1">SUM(C301:T301)</f>
        <v>56.899999999999991</v>
      </c>
      <c r="W301" s="36"/>
      <c r="X301" s="38"/>
    </row>
    <row r="302" spans="1:24" ht="12.75" x14ac:dyDescent="0.2">
      <c r="A302" s="36" t="s">
        <v>226</v>
      </c>
      <c r="B302" s="36" t="s">
        <v>162</v>
      </c>
      <c r="C302" s="37">
        <f ca="1">_xlfn.IFNA(VLOOKUP($A302,INDIRECT("'W"&amp;C$1&amp;"'!$A$2:$T$1000"),4,FALSE),0)</f>
        <v>6.8000000000000007</v>
      </c>
      <c r="D302" s="37">
        <f ca="1">_xlfn.IFNA(VLOOKUP($A302,INDIRECT("'W"&amp;D$1&amp;"'!$A$2:$T$1000"),4,FALSE),0)</f>
        <v>3.3</v>
      </c>
      <c r="E302" s="37">
        <f ca="1">_xlfn.IFNA(VLOOKUP($A302,INDIRECT("'W"&amp;E$1&amp;"'!$A$2:$T$1000"),4,FALSE),0)</f>
        <v>4.7</v>
      </c>
      <c r="F302" s="37">
        <f ca="1">_xlfn.IFNA(VLOOKUP($A302,INDIRECT("'W"&amp;F$1&amp;"'!$A$2:$T$1000"),4,FALSE),0)</f>
        <v>1.6</v>
      </c>
      <c r="G302" s="37">
        <f ca="1">_xlfn.IFNA(VLOOKUP($A302,INDIRECT("'W"&amp;G$1&amp;"'!$A$2:$T$1000"),4,FALSE),0)</f>
        <v>2.2000000000000002</v>
      </c>
      <c r="H302" s="37">
        <f ca="1">_xlfn.IFNA(VLOOKUP($A302,INDIRECT("'W"&amp;H$1&amp;"'!$A$2:$T$1000"),4,FALSE),0)</f>
        <v>0</v>
      </c>
      <c r="I302" s="37">
        <f ca="1">_xlfn.IFNA(VLOOKUP($A302,INDIRECT("'W"&amp;I$1&amp;"'!$A$2:$T$1000"),4,FALSE),0)</f>
        <v>17.399999999999999</v>
      </c>
      <c r="J302" s="37">
        <f ca="1">_xlfn.IFNA(VLOOKUP($A302,INDIRECT("'W"&amp;J$1&amp;"'!$A$2:$T$1000"),4,FALSE),0)</f>
        <v>2.7</v>
      </c>
      <c r="K302" s="37">
        <f ca="1">_xlfn.IFNA(VLOOKUP($A302,INDIRECT("'W"&amp;K$1&amp;"'!$A$2:$T$1000"),4,FALSE),0)</f>
        <v>4.2</v>
      </c>
      <c r="L302" s="37">
        <f ca="1">_xlfn.IFNA(VLOOKUP($A302,INDIRECT("'W"&amp;L$1&amp;"'!$A$2:$T$1000"),4,FALSE),0)</f>
        <v>0</v>
      </c>
      <c r="M302" s="37">
        <f ca="1">_xlfn.IFNA(VLOOKUP($A302,INDIRECT("'W"&amp;M$1&amp;"'!$A$2:$T$1000"),4,FALSE),0)</f>
        <v>0</v>
      </c>
      <c r="N302" s="37">
        <f ca="1">_xlfn.IFNA(VLOOKUP($A302,INDIRECT("'W"&amp;N$1&amp;"'!$A$2:$T$1000"),4,FALSE),0)</f>
        <v>0.9</v>
      </c>
      <c r="O302" s="37">
        <f ca="1">_xlfn.IFNA(VLOOKUP($A302,INDIRECT("'W"&amp;O$1&amp;"'!$A$2:$T$1000"),4,FALSE),0)</f>
        <v>4.5</v>
      </c>
      <c r="P302" s="37">
        <f ca="1">_xlfn.IFNA(VLOOKUP($A302,INDIRECT("'W"&amp;P$1&amp;"'!$A$2:$T$1000"),4,FALSE),0)</f>
        <v>4.2</v>
      </c>
      <c r="Q302" s="37">
        <f ca="1">_xlfn.IFNA(VLOOKUP($A302,INDIRECT("'W"&amp;Q$1&amp;"'!$A$2:$T$1000"),4,FALSE),0)</f>
        <v>2.7</v>
      </c>
      <c r="R302" s="37">
        <f ca="1">_xlfn.IFNA(VLOOKUP($A302,INDIRECT("'W"&amp;R$1&amp;"'!$A$2:$T$1000"),4,FALSE),0)</f>
        <v>0</v>
      </c>
      <c r="S302" s="37">
        <f ca="1">_xlfn.IFNA(VLOOKUP($A302,INDIRECT("'W"&amp;S$1&amp;"'!$A$2:$T$1000"),4,FALSE),0)</f>
        <v>1.3</v>
      </c>
      <c r="T302" s="37">
        <f ca="1">_xlfn.IFNA(VLOOKUP($A302,INDIRECT("'W"&amp;T$1&amp;"'!$A$2:$T$1000"),4,FALSE),0)</f>
        <v>0</v>
      </c>
      <c r="U302" s="36">
        <f ca="1">COUNTIF(C302:T302,"&gt; 15")</f>
        <v>1</v>
      </c>
      <c r="V302" s="36">
        <f ca="1">SUM(C302:T302)</f>
        <v>56.500000000000007</v>
      </c>
      <c r="W302" s="36"/>
      <c r="X302" s="38"/>
    </row>
    <row r="303" spans="1:24" ht="12.75" x14ac:dyDescent="0.2">
      <c r="A303" s="36" t="s">
        <v>295</v>
      </c>
      <c r="B303" s="36" t="s">
        <v>69</v>
      </c>
      <c r="C303" s="37">
        <f ca="1">_xlfn.IFNA(VLOOKUP($A303,INDIRECT("'W"&amp;C$1&amp;"'!$A$2:$T$1000"),4,FALSE),0)</f>
        <v>5.5</v>
      </c>
      <c r="D303" s="37">
        <f ca="1">_xlfn.IFNA(VLOOKUP($A303,INDIRECT("'W"&amp;D$1&amp;"'!$A$2:$T$1000"),4,FALSE),0)</f>
        <v>10</v>
      </c>
      <c r="E303" s="37">
        <f ca="1">_xlfn.IFNA(VLOOKUP($A303,INDIRECT("'W"&amp;E$1&amp;"'!$A$2:$T$1000"),4,FALSE),0)</f>
        <v>2.1</v>
      </c>
      <c r="F303" s="37">
        <f ca="1">_xlfn.IFNA(VLOOKUP($A303,INDIRECT("'W"&amp;F$1&amp;"'!$A$2:$T$1000"),4,FALSE),0)</f>
        <v>2.2000000000000002</v>
      </c>
      <c r="G303" s="37">
        <f ca="1">_xlfn.IFNA(VLOOKUP($A303,INDIRECT("'W"&amp;G$1&amp;"'!$A$2:$T$1000"),4,FALSE),0)</f>
        <v>4.7</v>
      </c>
      <c r="H303" s="37">
        <f ca="1">_xlfn.IFNA(VLOOKUP($A303,INDIRECT("'W"&amp;H$1&amp;"'!$A$2:$T$1000"),4,FALSE),0)</f>
        <v>4.7</v>
      </c>
      <c r="I303" s="37">
        <f ca="1">_xlfn.IFNA(VLOOKUP($A303,INDIRECT("'W"&amp;I$1&amp;"'!$A$2:$T$1000"),4,FALSE),0)</f>
        <v>4</v>
      </c>
      <c r="J303" s="37">
        <f ca="1">_xlfn.IFNA(VLOOKUP($A303,INDIRECT("'W"&amp;J$1&amp;"'!$A$2:$T$1000"),4,FALSE),0)</f>
        <v>0</v>
      </c>
      <c r="K303" s="37">
        <f ca="1">_xlfn.IFNA(VLOOKUP($A303,INDIRECT("'W"&amp;K$1&amp;"'!$A$2:$T$1000"),4,FALSE),0)</f>
        <v>0</v>
      </c>
      <c r="L303" s="37">
        <f ca="1">_xlfn.IFNA(VLOOKUP($A303,INDIRECT("'W"&amp;L$1&amp;"'!$A$2:$T$1000"),4,FALSE),0)</f>
        <v>0</v>
      </c>
      <c r="M303" s="37">
        <f ca="1">_xlfn.IFNA(VLOOKUP($A303,INDIRECT("'W"&amp;M$1&amp;"'!$A$2:$T$1000"),4,FALSE),0)</f>
        <v>0</v>
      </c>
      <c r="N303" s="37">
        <f ca="1">_xlfn.IFNA(VLOOKUP($A303,INDIRECT("'W"&amp;N$1&amp;"'!$A$2:$T$1000"),4,FALSE),0)</f>
        <v>0</v>
      </c>
      <c r="O303" s="37">
        <f ca="1">_xlfn.IFNA(VLOOKUP($A303,INDIRECT("'W"&amp;O$1&amp;"'!$A$2:$T$1000"),4,FALSE),0)</f>
        <v>0</v>
      </c>
      <c r="P303" s="37">
        <f ca="1">_xlfn.IFNA(VLOOKUP($A303,INDIRECT("'W"&amp;P$1&amp;"'!$A$2:$T$1000"),4,FALSE),0)</f>
        <v>6.6</v>
      </c>
      <c r="Q303" s="37">
        <f ca="1">_xlfn.IFNA(VLOOKUP($A303,INDIRECT("'W"&amp;Q$1&amp;"'!$A$2:$T$1000"),4,FALSE),0)</f>
        <v>0</v>
      </c>
      <c r="R303" s="37">
        <f ca="1">_xlfn.IFNA(VLOOKUP($A303,INDIRECT("'W"&amp;R$1&amp;"'!$A$2:$T$1000"),4,FALSE),0)</f>
        <v>4.5999999999999996</v>
      </c>
      <c r="S303" s="37">
        <f ca="1">_xlfn.IFNA(VLOOKUP($A303,INDIRECT("'W"&amp;S$1&amp;"'!$A$2:$T$1000"),4,FALSE),0)</f>
        <v>0</v>
      </c>
      <c r="T303" s="37">
        <f ca="1">_xlfn.IFNA(VLOOKUP($A303,INDIRECT("'W"&amp;T$1&amp;"'!$A$2:$T$1000"),4,FALSE),0)</f>
        <v>10.199999999999999</v>
      </c>
      <c r="U303" s="36">
        <f ca="1">COUNTIF(C303:T303,"&gt; 15")</f>
        <v>0</v>
      </c>
      <c r="V303" s="36">
        <f ca="1">SUM(C303:T303)</f>
        <v>54.600000000000009</v>
      </c>
      <c r="W303" s="36"/>
      <c r="X303" s="38"/>
    </row>
    <row r="304" spans="1:24" ht="12.75" x14ac:dyDescent="0.2">
      <c r="A304" s="36" t="s">
        <v>270</v>
      </c>
      <c r="B304" s="36" t="s">
        <v>162</v>
      </c>
      <c r="C304" s="37">
        <f ca="1">_xlfn.IFNA(VLOOKUP($A304,INDIRECT("'W"&amp;C$1&amp;"'!$A$2:$T$1000"),4,FALSE),0)</f>
        <v>0.4</v>
      </c>
      <c r="D304" s="37">
        <f ca="1">_xlfn.IFNA(VLOOKUP($A304,INDIRECT("'W"&amp;D$1&amp;"'!$A$2:$T$1000"),4,FALSE),0)</f>
        <v>16</v>
      </c>
      <c r="E304" s="37">
        <f ca="1">_xlfn.IFNA(VLOOKUP($A304,INDIRECT("'W"&amp;E$1&amp;"'!$A$2:$T$1000"),4,FALSE),0)</f>
        <v>8.1999999999999993</v>
      </c>
      <c r="F304" s="37">
        <f ca="1">_xlfn.IFNA(VLOOKUP($A304,INDIRECT("'W"&amp;F$1&amp;"'!$A$2:$T$1000"),4,FALSE),0)</f>
        <v>1.9000000000000001</v>
      </c>
      <c r="G304" s="37">
        <f ca="1">_xlfn.IFNA(VLOOKUP($A304,INDIRECT("'W"&amp;G$1&amp;"'!$A$2:$T$1000"),4,FALSE),0)</f>
        <v>3.1</v>
      </c>
      <c r="H304" s="37">
        <f ca="1">_xlfn.IFNA(VLOOKUP($A304,INDIRECT("'W"&amp;H$1&amp;"'!$A$2:$T$1000"),4,FALSE),0)</f>
        <v>4.2</v>
      </c>
      <c r="I304" s="37">
        <f ca="1">_xlfn.IFNA(VLOOKUP($A304,INDIRECT("'W"&amp;I$1&amp;"'!$A$2:$T$1000"),4,FALSE),0)</f>
        <v>3.5</v>
      </c>
      <c r="J304" s="37">
        <f ca="1">_xlfn.IFNA(VLOOKUP($A304,INDIRECT("'W"&amp;J$1&amp;"'!$A$2:$T$1000"),4,FALSE),0)</f>
        <v>1.8</v>
      </c>
      <c r="K304" s="37">
        <f ca="1">_xlfn.IFNA(VLOOKUP($A304,INDIRECT("'W"&amp;K$1&amp;"'!$A$2:$T$1000"),4,FALSE),0)</f>
        <v>5.3000000000000007</v>
      </c>
      <c r="L304" s="37">
        <f ca="1">_xlfn.IFNA(VLOOKUP($A304,INDIRECT("'W"&amp;L$1&amp;"'!$A$2:$T$1000"),4,FALSE),0)</f>
        <v>0</v>
      </c>
      <c r="M304" s="37">
        <f ca="1">_xlfn.IFNA(VLOOKUP($A304,INDIRECT("'W"&amp;M$1&amp;"'!$A$2:$T$1000"),4,FALSE),0)</f>
        <v>1.4</v>
      </c>
      <c r="N304" s="37">
        <f ca="1">_xlfn.IFNA(VLOOKUP($A304,INDIRECT("'W"&amp;N$1&amp;"'!$A$2:$T$1000"),4,FALSE),0)</f>
        <v>6.4</v>
      </c>
      <c r="O304" s="37">
        <f ca="1">_xlfn.IFNA(VLOOKUP($A304,INDIRECT("'W"&amp;O$1&amp;"'!$A$2:$T$1000"),4,FALSE),0)</f>
        <v>1.5</v>
      </c>
      <c r="P304" s="37">
        <f ca="1">_xlfn.IFNA(VLOOKUP($A304,INDIRECT("'W"&amp;P$1&amp;"'!$A$2:$T$1000"),4,FALSE),0)</f>
        <v>0</v>
      </c>
      <c r="Q304" s="37">
        <f ca="1">_xlfn.IFNA(VLOOKUP($A304,INDIRECT("'W"&amp;Q$1&amp;"'!$A$2:$T$1000"),4,FALSE),0)</f>
        <v>0</v>
      </c>
      <c r="R304" s="37">
        <f ca="1">_xlfn.IFNA(VLOOKUP($A304,INDIRECT("'W"&amp;R$1&amp;"'!$A$2:$T$1000"),4,FALSE),0)</f>
        <v>0</v>
      </c>
      <c r="S304" s="37">
        <f ca="1">_xlfn.IFNA(VLOOKUP($A304,INDIRECT("'W"&amp;S$1&amp;"'!$A$2:$T$1000"),4,FALSE),0)</f>
        <v>0</v>
      </c>
      <c r="T304" s="37">
        <f ca="1">_xlfn.IFNA(VLOOKUP($A304,INDIRECT("'W"&amp;T$1&amp;"'!$A$2:$T$1000"),4,FALSE),0)</f>
        <v>0</v>
      </c>
      <c r="U304" s="36">
        <f ca="1">COUNTIF(C304:T304,"&gt; 15")</f>
        <v>1</v>
      </c>
      <c r="V304" s="36">
        <f ca="1">SUM(C304:T304)</f>
        <v>53.699999999999989</v>
      </c>
      <c r="W304" s="36"/>
      <c r="X304" s="38"/>
    </row>
    <row r="305" spans="1:24" ht="12.75" x14ac:dyDescent="0.2">
      <c r="A305" s="36" t="s">
        <v>395</v>
      </c>
      <c r="B305" s="36" t="s">
        <v>75</v>
      </c>
      <c r="C305" s="37">
        <f ca="1">_xlfn.IFNA(VLOOKUP($A305,INDIRECT("'W"&amp;C$1&amp;"'!$A$2:$T$1000"),4,FALSE),0)</f>
        <v>0</v>
      </c>
      <c r="D305" s="37">
        <f ca="1">_xlfn.IFNA(VLOOKUP($A305,INDIRECT("'W"&amp;D$1&amp;"'!$A$2:$T$1000"),4,FALSE),0)</f>
        <v>0.2</v>
      </c>
      <c r="E305" s="37">
        <f ca="1">_xlfn.IFNA(VLOOKUP($A305,INDIRECT("'W"&amp;E$1&amp;"'!$A$2:$T$1000"),4,FALSE),0)</f>
        <v>0</v>
      </c>
      <c r="F305" s="37">
        <f ca="1">_xlfn.IFNA(VLOOKUP($A305,INDIRECT("'W"&amp;F$1&amp;"'!$A$2:$T$1000"),4,FALSE),0)</f>
        <v>0.7</v>
      </c>
      <c r="G305" s="37">
        <f ca="1">_xlfn.IFNA(VLOOKUP($A305,INDIRECT("'W"&amp;G$1&amp;"'!$A$2:$T$1000"),4,FALSE),0)</f>
        <v>1.2</v>
      </c>
      <c r="H305" s="37">
        <f ca="1">_xlfn.IFNA(VLOOKUP($A305,INDIRECT("'W"&amp;H$1&amp;"'!$A$2:$T$1000"),4,FALSE),0)</f>
        <v>2.2000000000000002</v>
      </c>
      <c r="I305" s="37">
        <f ca="1">_xlfn.IFNA(VLOOKUP($A305,INDIRECT("'W"&amp;I$1&amp;"'!$A$2:$T$1000"),4,FALSE),0)</f>
        <v>0</v>
      </c>
      <c r="J305" s="37">
        <f ca="1">_xlfn.IFNA(VLOOKUP($A305,INDIRECT("'W"&amp;J$1&amp;"'!$A$2:$T$1000"),4,FALSE),0)</f>
        <v>0</v>
      </c>
      <c r="K305" s="37">
        <f ca="1">_xlfn.IFNA(VLOOKUP($A305,INDIRECT("'W"&amp;K$1&amp;"'!$A$2:$T$1000"),4,FALSE),0)</f>
        <v>0</v>
      </c>
      <c r="L305" s="37">
        <f ca="1">_xlfn.IFNA(VLOOKUP($A305,INDIRECT("'W"&amp;L$1&amp;"'!$A$2:$T$1000"),4,FALSE),0)</f>
        <v>0</v>
      </c>
      <c r="M305" s="37">
        <f ca="1">_xlfn.IFNA(VLOOKUP($A305,INDIRECT("'W"&amp;M$1&amp;"'!$A$2:$T$1000"),4,FALSE),0)</f>
        <v>0</v>
      </c>
      <c r="N305" s="37">
        <f ca="1">_xlfn.IFNA(VLOOKUP($A305,INDIRECT("'W"&amp;N$1&amp;"'!$A$2:$T$1000"),4,FALSE),0)</f>
        <v>0</v>
      </c>
      <c r="O305" s="37">
        <f ca="1">_xlfn.IFNA(VLOOKUP($A305,INDIRECT("'W"&amp;O$1&amp;"'!$A$2:$T$1000"),4,FALSE),0)</f>
        <v>6.1000000000000005</v>
      </c>
      <c r="P305" s="37">
        <f ca="1">_xlfn.IFNA(VLOOKUP($A305,INDIRECT("'W"&amp;P$1&amp;"'!$A$2:$T$1000"),4,FALSE),0)</f>
        <v>19.5</v>
      </c>
      <c r="Q305" s="37">
        <f ca="1">_xlfn.IFNA(VLOOKUP($A305,INDIRECT("'W"&amp;Q$1&amp;"'!$A$2:$T$1000"),4,FALSE),0)</f>
        <v>8.1000000000000014</v>
      </c>
      <c r="R305" s="37">
        <f ca="1">_xlfn.IFNA(VLOOKUP($A305,INDIRECT("'W"&amp;R$1&amp;"'!$A$2:$T$1000"),4,FALSE),0)</f>
        <v>4.4000000000000004</v>
      </c>
      <c r="S305" s="37">
        <f ca="1">_xlfn.IFNA(VLOOKUP($A305,INDIRECT("'W"&amp;S$1&amp;"'!$A$2:$T$1000"),4,FALSE),0)</f>
        <v>4.8000000000000007</v>
      </c>
      <c r="T305" s="37">
        <f ca="1">_xlfn.IFNA(VLOOKUP($A305,INDIRECT("'W"&amp;T$1&amp;"'!$A$2:$T$1000"),4,FALSE),0)</f>
        <v>6.3</v>
      </c>
      <c r="U305" s="36">
        <f ca="1">COUNTIF(C305:T305,"&gt; 15")</f>
        <v>1</v>
      </c>
      <c r="V305" s="36">
        <f ca="1">SUM(C305:T305)</f>
        <v>53.5</v>
      </c>
      <c r="W305" s="36"/>
      <c r="X305" s="38"/>
    </row>
    <row r="306" spans="1:24" ht="12.75" x14ac:dyDescent="0.2">
      <c r="A306" s="36" t="s">
        <v>292</v>
      </c>
      <c r="B306" s="36" t="s">
        <v>69</v>
      </c>
      <c r="C306" s="37">
        <f ca="1">_xlfn.IFNA(VLOOKUP($A306,INDIRECT("'W"&amp;C$1&amp;"'!$A$2:$T$1000"),4,FALSE),0)</f>
        <v>6.2</v>
      </c>
      <c r="D306" s="37">
        <f ca="1">_xlfn.IFNA(VLOOKUP($A306,INDIRECT("'W"&amp;D$1&amp;"'!$A$2:$T$1000"),4,FALSE),0)</f>
        <v>3.3</v>
      </c>
      <c r="E306" s="37">
        <f ca="1">_xlfn.IFNA(VLOOKUP($A306,INDIRECT("'W"&amp;E$1&amp;"'!$A$2:$T$1000"),4,FALSE),0)</f>
        <v>8.4</v>
      </c>
      <c r="F306" s="37">
        <f ca="1">_xlfn.IFNA(VLOOKUP($A306,INDIRECT("'W"&amp;F$1&amp;"'!$A$2:$T$1000"),4,FALSE),0)</f>
        <v>0</v>
      </c>
      <c r="G306" s="37">
        <f ca="1">_xlfn.IFNA(VLOOKUP($A306,INDIRECT("'W"&amp;G$1&amp;"'!$A$2:$T$1000"),4,FALSE),0)</f>
        <v>0.5</v>
      </c>
      <c r="H306" s="37">
        <f ca="1">_xlfn.IFNA(VLOOKUP($A306,INDIRECT("'W"&amp;H$1&amp;"'!$A$2:$T$1000"),4,FALSE),0)</f>
        <v>0</v>
      </c>
      <c r="I306" s="37">
        <f ca="1">_xlfn.IFNA(VLOOKUP($A306,INDIRECT("'W"&amp;I$1&amp;"'!$A$2:$T$1000"),4,FALSE),0)</f>
        <v>2.6</v>
      </c>
      <c r="J306" s="37">
        <f ca="1">_xlfn.IFNA(VLOOKUP($A306,INDIRECT("'W"&amp;J$1&amp;"'!$A$2:$T$1000"),4,FALSE),0)</f>
        <v>0</v>
      </c>
      <c r="K306" s="37">
        <f ca="1">_xlfn.IFNA(VLOOKUP($A306,INDIRECT("'W"&amp;K$1&amp;"'!$A$2:$T$1000"),4,FALSE),0)</f>
        <v>2.1</v>
      </c>
      <c r="L306" s="37">
        <f ca="1">_xlfn.IFNA(VLOOKUP($A306,INDIRECT("'W"&amp;L$1&amp;"'!$A$2:$T$1000"),4,FALSE),0)</f>
        <v>0</v>
      </c>
      <c r="M306" s="37">
        <f ca="1">_xlfn.IFNA(VLOOKUP($A306,INDIRECT("'W"&amp;M$1&amp;"'!$A$2:$T$1000"),4,FALSE),0)</f>
        <v>14.7</v>
      </c>
      <c r="N306" s="37">
        <f ca="1">_xlfn.IFNA(VLOOKUP($A306,INDIRECT("'W"&amp;N$1&amp;"'!$A$2:$T$1000"),4,FALSE),0)</f>
        <v>0</v>
      </c>
      <c r="O306" s="37">
        <f ca="1">_xlfn.IFNA(VLOOKUP($A306,INDIRECT("'W"&amp;O$1&amp;"'!$A$2:$T$1000"),4,FALSE),0)</f>
        <v>0</v>
      </c>
      <c r="P306" s="37">
        <f ca="1">_xlfn.IFNA(VLOOKUP($A306,INDIRECT("'W"&amp;P$1&amp;"'!$A$2:$T$1000"),4,FALSE),0)</f>
        <v>0</v>
      </c>
      <c r="Q306" s="37">
        <f ca="1">_xlfn.IFNA(VLOOKUP($A306,INDIRECT("'W"&amp;Q$1&amp;"'!$A$2:$T$1000"),4,FALSE),0)</f>
        <v>3.4000000000000004</v>
      </c>
      <c r="R306" s="37">
        <f ca="1">_xlfn.IFNA(VLOOKUP($A306,INDIRECT("'W"&amp;R$1&amp;"'!$A$2:$T$1000"),4,FALSE),0)</f>
        <v>4.3000000000000007</v>
      </c>
      <c r="S306" s="37">
        <f ca="1">_xlfn.IFNA(VLOOKUP($A306,INDIRECT("'W"&amp;S$1&amp;"'!$A$2:$T$1000"),4,FALSE),0)</f>
        <v>2.7</v>
      </c>
      <c r="T306" s="37">
        <f ca="1">_xlfn.IFNA(VLOOKUP($A306,INDIRECT("'W"&amp;T$1&amp;"'!$A$2:$T$1000"),4,FALSE),0)</f>
        <v>5.0999999999999996</v>
      </c>
      <c r="U306" s="36">
        <f ca="1">COUNTIF(C306:T306,"&gt; 15")</f>
        <v>0</v>
      </c>
      <c r="V306" s="36">
        <f ca="1">SUM(C306:T306)</f>
        <v>53.300000000000004</v>
      </c>
      <c r="W306" s="36"/>
      <c r="X306" s="38"/>
    </row>
    <row r="307" spans="1:24" ht="12.75" x14ac:dyDescent="0.2">
      <c r="A307" s="36" t="s">
        <v>548</v>
      </c>
      <c r="B307" s="36" t="s">
        <v>17</v>
      </c>
      <c r="C307" s="37">
        <f ca="1">_xlfn.IFNA(VLOOKUP($A307,INDIRECT("'W"&amp;C$1&amp;"'!$A$2:$T$1000"),4,FALSE),0)</f>
        <v>0</v>
      </c>
      <c r="D307" s="37">
        <f ca="1">_xlfn.IFNA(VLOOKUP($A307,INDIRECT("'W"&amp;D$1&amp;"'!$A$2:$T$1000"),4,FALSE),0)</f>
        <v>0</v>
      </c>
      <c r="E307" s="37">
        <f ca="1">_xlfn.IFNA(VLOOKUP($A307,INDIRECT("'W"&amp;E$1&amp;"'!$A$2:$T$1000"),4,FALSE),0)</f>
        <v>0</v>
      </c>
      <c r="F307" s="37">
        <f ca="1">_xlfn.IFNA(VLOOKUP($A307,INDIRECT("'W"&amp;F$1&amp;"'!$A$2:$T$1000"),4,FALSE),0)</f>
        <v>0</v>
      </c>
      <c r="G307" s="37">
        <f ca="1">_xlfn.IFNA(VLOOKUP($A307,INDIRECT("'W"&amp;G$1&amp;"'!$A$2:$T$1000"),4,FALSE),0)</f>
        <v>0</v>
      </c>
      <c r="H307" s="37">
        <f ca="1">_xlfn.IFNA(VLOOKUP($A307,INDIRECT("'W"&amp;H$1&amp;"'!$A$2:$T$1000"),4,FALSE),0)</f>
        <v>5.7200000000000006</v>
      </c>
      <c r="I307" s="37">
        <f ca="1">_xlfn.IFNA(VLOOKUP($A307,INDIRECT("'W"&amp;I$1&amp;"'!$A$2:$T$1000"),4,FALSE),0)</f>
        <v>12.88</v>
      </c>
      <c r="J307" s="37">
        <f ca="1">_xlfn.IFNA(VLOOKUP($A307,INDIRECT("'W"&amp;J$1&amp;"'!$A$2:$T$1000"),4,FALSE),0)</f>
        <v>11.18</v>
      </c>
      <c r="K307" s="37">
        <f ca="1">_xlfn.IFNA(VLOOKUP($A307,INDIRECT("'W"&amp;K$1&amp;"'!$A$2:$T$1000"),4,FALSE),0)</f>
        <v>15.8</v>
      </c>
      <c r="L307" s="37">
        <f ca="1">_xlfn.IFNA(VLOOKUP($A307,INDIRECT("'W"&amp;L$1&amp;"'!$A$2:$T$1000"),4,FALSE),0)</f>
        <v>7.6800000000000006</v>
      </c>
      <c r="M307" s="37">
        <f ca="1">_xlfn.IFNA(VLOOKUP($A307,INDIRECT("'W"&amp;M$1&amp;"'!$A$2:$T$1000"),4,FALSE),0)</f>
        <v>0</v>
      </c>
      <c r="N307" s="37">
        <f ca="1">_xlfn.IFNA(VLOOKUP($A307,INDIRECT("'W"&amp;N$1&amp;"'!$A$2:$T$1000"),4,FALSE),0)</f>
        <v>0</v>
      </c>
      <c r="O307" s="37">
        <f ca="1">_xlfn.IFNA(VLOOKUP($A307,INDIRECT("'W"&amp;O$1&amp;"'!$A$2:$T$1000"),4,FALSE),0)</f>
        <v>0</v>
      </c>
      <c r="P307" s="37">
        <f ca="1">_xlfn.IFNA(VLOOKUP($A307,INDIRECT("'W"&amp;P$1&amp;"'!$A$2:$T$1000"),4,FALSE),0)</f>
        <v>0</v>
      </c>
      <c r="Q307" s="37">
        <f ca="1">_xlfn.IFNA(VLOOKUP($A307,INDIRECT("'W"&amp;Q$1&amp;"'!$A$2:$T$1000"),4,FALSE),0)</f>
        <v>0</v>
      </c>
      <c r="R307" s="37">
        <f ca="1">_xlfn.IFNA(VLOOKUP($A307,INDIRECT("'W"&amp;R$1&amp;"'!$A$2:$T$1000"),4,FALSE),0)</f>
        <v>0</v>
      </c>
      <c r="S307" s="37">
        <f ca="1">_xlfn.IFNA(VLOOKUP($A307,INDIRECT("'W"&amp;S$1&amp;"'!$A$2:$T$1000"),4,FALSE),0)</f>
        <v>0</v>
      </c>
      <c r="T307" s="37">
        <f ca="1">_xlfn.IFNA(VLOOKUP($A307,INDIRECT("'W"&amp;T$1&amp;"'!$A$2:$T$1000"),4,FALSE),0)</f>
        <v>0</v>
      </c>
      <c r="U307" s="36">
        <f ca="1">COUNTIF(C307:T307,"&gt; 15")</f>
        <v>1</v>
      </c>
      <c r="V307" s="36">
        <f ca="1">SUM(C307:T307)</f>
        <v>53.26</v>
      </c>
      <c r="W307" s="36"/>
      <c r="X307" s="38"/>
    </row>
    <row r="308" spans="1:24" ht="12.75" x14ac:dyDescent="0.2">
      <c r="A308" s="36" t="s">
        <v>267</v>
      </c>
      <c r="B308" s="36" t="s">
        <v>162</v>
      </c>
      <c r="C308" s="37">
        <f ca="1">_xlfn.IFNA(VLOOKUP($A308,INDIRECT("'W"&amp;C$1&amp;"'!$A$2:$T$1000"),4,FALSE),0)</f>
        <v>1</v>
      </c>
      <c r="D308" s="37">
        <f ca="1">_xlfn.IFNA(VLOOKUP($A308,INDIRECT("'W"&amp;D$1&amp;"'!$A$2:$T$1000"),4,FALSE),0)</f>
        <v>8.8000000000000007</v>
      </c>
      <c r="E308" s="37">
        <f ca="1">_xlfn.IFNA(VLOOKUP($A308,INDIRECT("'W"&amp;E$1&amp;"'!$A$2:$T$1000"),4,FALSE),0)</f>
        <v>0.9</v>
      </c>
      <c r="F308" s="37">
        <f ca="1">_xlfn.IFNA(VLOOKUP($A308,INDIRECT("'W"&amp;F$1&amp;"'!$A$2:$T$1000"),4,FALSE),0)</f>
        <v>4.2</v>
      </c>
      <c r="G308" s="37">
        <f ca="1">_xlfn.IFNA(VLOOKUP($A308,INDIRECT("'W"&amp;G$1&amp;"'!$A$2:$T$1000"),4,FALSE),0)</f>
        <v>7.6999999999999993</v>
      </c>
      <c r="H308" s="37">
        <f ca="1">_xlfn.IFNA(VLOOKUP($A308,INDIRECT("'W"&amp;H$1&amp;"'!$A$2:$T$1000"),4,FALSE),0)</f>
        <v>9.4</v>
      </c>
      <c r="I308" s="37">
        <f ca="1">_xlfn.IFNA(VLOOKUP($A308,INDIRECT("'W"&amp;I$1&amp;"'!$A$2:$T$1000"),4,FALSE),0)</f>
        <v>2.2999999999999998</v>
      </c>
      <c r="J308" s="37">
        <f ca="1">_xlfn.IFNA(VLOOKUP($A308,INDIRECT("'W"&amp;J$1&amp;"'!$A$2:$T$1000"),4,FALSE),0)</f>
        <v>1.1000000000000001</v>
      </c>
      <c r="K308" s="37">
        <f ca="1">_xlfn.IFNA(VLOOKUP($A308,INDIRECT("'W"&amp;K$1&amp;"'!$A$2:$T$1000"),4,FALSE),0)</f>
        <v>2.8</v>
      </c>
      <c r="L308" s="37">
        <f ca="1">_xlfn.IFNA(VLOOKUP($A308,INDIRECT("'W"&amp;L$1&amp;"'!$A$2:$T$1000"),4,FALSE),0)</f>
        <v>0</v>
      </c>
      <c r="M308" s="37">
        <f ca="1">_xlfn.IFNA(VLOOKUP($A308,INDIRECT("'W"&amp;M$1&amp;"'!$A$2:$T$1000"),4,FALSE),0)</f>
        <v>4.6000000000000005</v>
      </c>
      <c r="N308" s="37">
        <f ca="1">_xlfn.IFNA(VLOOKUP($A308,INDIRECT("'W"&amp;N$1&amp;"'!$A$2:$T$1000"),4,FALSE),0)</f>
        <v>0</v>
      </c>
      <c r="O308" s="37">
        <f ca="1">_xlfn.IFNA(VLOOKUP($A308,INDIRECT("'W"&amp;O$1&amp;"'!$A$2:$T$1000"),4,FALSE),0)</f>
        <v>0.60000000000000009</v>
      </c>
      <c r="P308" s="37">
        <f ca="1">_xlfn.IFNA(VLOOKUP($A308,INDIRECT("'W"&amp;P$1&amp;"'!$A$2:$T$1000"),4,FALSE),0)</f>
        <v>7.1</v>
      </c>
      <c r="Q308" s="37">
        <f ca="1">_xlfn.IFNA(VLOOKUP($A308,INDIRECT("'W"&amp;Q$1&amp;"'!$A$2:$T$1000"),4,FALSE),0)</f>
        <v>2.5</v>
      </c>
      <c r="R308" s="37">
        <f ca="1">_xlfn.IFNA(VLOOKUP($A308,INDIRECT("'W"&amp;R$1&amp;"'!$A$2:$T$1000"),4,FALSE),0)</f>
        <v>0</v>
      </c>
      <c r="S308" s="37">
        <f ca="1">_xlfn.IFNA(VLOOKUP($A308,INDIRECT("'W"&amp;S$1&amp;"'!$A$2:$T$1000"),4,FALSE),0)</f>
        <v>0</v>
      </c>
      <c r="T308" s="37">
        <f ca="1">_xlfn.IFNA(VLOOKUP($A308,INDIRECT("'W"&amp;T$1&amp;"'!$A$2:$T$1000"),4,FALSE),0)</f>
        <v>0</v>
      </c>
      <c r="U308" s="36">
        <f ca="1">COUNTIF(C308:T308,"&gt; 15")</f>
        <v>0</v>
      </c>
      <c r="V308" s="36">
        <f ca="1">SUM(C308:T308)</f>
        <v>53</v>
      </c>
      <c r="W308" s="36"/>
      <c r="X308" s="38"/>
    </row>
    <row r="309" spans="1:24" ht="12.75" x14ac:dyDescent="0.2">
      <c r="A309" s="36" t="s">
        <v>202</v>
      </c>
      <c r="B309" s="36" t="s">
        <v>162</v>
      </c>
      <c r="C309" s="37">
        <f ca="1">_xlfn.IFNA(VLOOKUP($A309,INDIRECT("'W"&amp;C$1&amp;"'!$A$2:$T$1000"),4,FALSE),0)</f>
        <v>9.6999999999999993</v>
      </c>
      <c r="D309" s="37">
        <f ca="1">_xlfn.IFNA(VLOOKUP($A309,INDIRECT("'W"&amp;D$1&amp;"'!$A$2:$T$1000"),4,FALSE),0)</f>
        <v>1.8</v>
      </c>
      <c r="E309" s="37">
        <f ca="1">_xlfn.IFNA(VLOOKUP($A309,INDIRECT("'W"&amp;E$1&amp;"'!$A$2:$T$1000"),4,FALSE),0)</f>
        <v>15.2</v>
      </c>
      <c r="F309" s="37">
        <f ca="1">_xlfn.IFNA(VLOOKUP($A309,INDIRECT("'W"&amp;F$1&amp;"'!$A$2:$T$1000"),4,FALSE),0)</f>
        <v>5.9</v>
      </c>
      <c r="G309" s="37">
        <f ca="1">_xlfn.IFNA(VLOOKUP($A309,INDIRECT("'W"&amp;G$1&amp;"'!$A$2:$T$1000"),4,FALSE),0)</f>
        <v>0</v>
      </c>
      <c r="H309" s="37">
        <f ca="1">_xlfn.IFNA(VLOOKUP($A309,INDIRECT("'W"&amp;H$1&amp;"'!$A$2:$T$1000"),4,FALSE),0)</f>
        <v>0</v>
      </c>
      <c r="I309" s="37">
        <f ca="1">_xlfn.IFNA(VLOOKUP($A309,INDIRECT("'W"&amp;I$1&amp;"'!$A$2:$T$1000"),4,FALSE),0)</f>
        <v>0.1</v>
      </c>
      <c r="J309" s="37">
        <f ca="1">_xlfn.IFNA(VLOOKUP($A309,INDIRECT("'W"&amp;J$1&amp;"'!$A$2:$T$1000"),4,FALSE),0)</f>
        <v>4.9000000000000004</v>
      </c>
      <c r="K309" s="37">
        <f ca="1">_xlfn.IFNA(VLOOKUP($A309,INDIRECT("'W"&amp;K$1&amp;"'!$A$2:$T$1000"),4,FALSE),0)</f>
        <v>1</v>
      </c>
      <c r="L309" s="37">
        <f ca="1">_xlfn.IFNA(VLOOKUP($A309,INDIRECT("'W"&amp;L$1&amp;"'!$A$2:$T$1000"),4,FALSE),0)</f>
        <v>1.9000000000000001</v>
      </c>
      <c r="M309" s="37">
        <f ca="1">_xlfn.IFNA(VLOOKUP($A309,INDIRECT("'W"&amp;M$1&amp;"'!$A$2:$T$1000"),4,FALSE),0)</f>
        <v>0</v>
      </c>
      <c r="N309" s="37">
        <f ca="1">_xlfn.IFNA(VLOOKUP($A309,INDIRECT("'W"&amp;N$1&amp;"'!$A$2:$T$1000"),4,FALSE),0)</f>
        <v>1.5</v>
      </c>
      <c r="O309" s="37">
        <f ca="1">_xlfn.IFNA(VLOOKUP($A309,INDIRECT("'W"&amp;O$1&amp;"'!$A$2:$T$1000"),4,FALSE),0)</f>
        <v>2</v>
      </c>
      <c r="P309" s="37">
        <f ca="1">_xlfn.IFNA(VLOOKUP($A309,INDIRECT("'W"&amp;P$1&amp;"'!$A$2:$T$1000"),4,FALSE),0)</f>
        <v>1.2000000000000002</v>
      </c>
      <c r="Q309" s="37">
        <f ca="1">_xlfn.IFNA(VLOOKUP($A309,INDIRECT("'W"&amp;Q$1&amp;"'!$A$2:$T$1000"),4,FALSE),0)</f>
        <v>0</v>
      </c>
      <c r="R309" s="37">
        <f ca="1">_xlfn.IFNA(VLOOKUP($A309,INDIRECT("'W"&amp;R$1&amp;"'!$A$2:$T$1000"),4,FALSE),0)</f>
        <v>6.7</v>
      </c>
      <c r="S309" s="37">
        <f ca="1">_xlfn.IFNA(VLOOKUP($A309,INDIRECT("'W"&amp;S$1&amp;"'!$A$2:$T$1000"),4,FALSE),0)</f>
        <v>0</v>
      </c>
      <c r="T309" s="37">
        <f ca="1">_xlfn.IFNA(VLOOKUP($A309,INDIRECT("'W"&amp;T$1&amp;"'!$A$2:$T$1000"),4,FALSE),0)</f>
        <v>0.8</v>
      </c>
      <c r="U309" s="36">
        <f ca="1">COUNTIF(C309:T309,"&gt; 15")</f>
        <v>1</v>
      </c>
      <c r="V309" s="36">
        <f ca="1">SUM(C309:T309)</f>
        <v>52.7</v>
      </c>
      <c r="W309" s="36"/>
      <c r="X309" s="38"/>
    </row>
    <row r="310" spans="1:24" ht="12.75" x14ac:dyDescent="0.2">
      <c r="A310" s="36" t="s">
        <v>484</v>
      </c>
      <c r="B310" s="36" t="s">
        <v>162</v>
      </c>
      <c r="C310" s="37">
        <f ca="1">_xlfn.IFNA(VLOOKUP($A310,INDIRECT("'W"&amp;C$1&amp;"'!$A$2:$T$1000"),4,FALSE),0)</f>
        <v>0</v>
      </c>
      <c r="D310" s="37">
        <f ca="1">_xlfn.IFNA(VLOOKUP($A310,INDIRECT("'W"&amp;D$1&amp;"'!$A$2:$T$1000"),4,FALSE),0)</f>
        <v>0</v>
      </c>
      <c r="E310" s="37">
        <f ca="1">_xlfn.IFNA(VLOOKUP($A310,INDIRECT("'W"&amp;E$1&amp;"'!$A$2:$T$1000"),4,FALSE),0)</f>
        <v>0</v>
      </c>
      <c r="F310" s="37">
        <f ca="1">_xlfn.IFNA(VLOOKUP($A310,INDIRECT("'W"&amp;F$1&amp;"'!$A$2:$T$1000"),4,FALSE),0)</f>
        <v>2.6999999999999997</v>
      </c>
      <c r="G310" s="37">
        <f ca="1">_xlfn.IFNA(VLOOKUP($A310,INDIRECT("'W"&amp;G$1&amp;"'!$A$2:$T$1000"),4,FALSE),0)</f>
        <v>-2</v>
      </c>
      <c r="H310" s="37">
        <f ca="1">_xlfn.IFNA(VLOOKUP($A310,INDIRECT("'W"&amp;H$1&amp;"'!$A$2:$T$1000"),4,FALSE),0)</f>
        <v>1.8</v>
      </c>
      <c r="I310" s="37">
        <f ca="1">_xlfn.IFNA(VLOOKUP($A310,INDIRECT("'W"&amp;I$1&amp;"'!$A$2:$T$1000"),4,FALSE),0)</f>
        <v>0</v>
      </c>
      <c r="J310" s="37">
        <f ca="1">_xlfn.IFNA(VLOOKUP($A310,INDIRECT("'W"&amp;J$1&amp;"'!$A$2:$T$1000"),4,FALSE),0)</f>
        <v>0.30000000000000004</v>
      </c>
      <c r="K310" s="37">
        <f ca="1">_xlfn.IFNA(VLOOKUP($A310,INDIRECT("'W"&amp;K$1&amp;"'!$A$2:$T$1000"),4,FALSE),0)</f>
        <v>5.2</v>
      </c>
      <c r="L310" s="37">
        <f ca="1">_xlfn.IFNA(VLOOKUP($A310,INDIRECT("'W"&amp;L$1&amp;"'!$A$2:$T$1000"),4,FALSE),0)</f>
        <v>3.4000000000000004</v>
      </c>
      <c r="M310" s="37">
        <f ca="1">_xlfn.IFNA(VLOOKUP($A310,INDIRECT("'W"&amp;M$1&amp;"'!$A$2:$T$1000"),4,FALSE),0)</f>
        <v>-0.29999999999999982</v>
      </c>
      <c r="N310" s="37">
        <f ca="1">_xlfn.IFNA(VLOOKUP($A310,INDIRECT("'W"&amp;N$1&amp;"'!$A$2:$T$1000"),4,FALSE),0)</f>
        <v>3.5</v>
      </c>
      <c r="O310" s="37">
        <f ca="1">_xlfn.IFNA(VLOOKUP($A310,INDIRECT("'W"&amp;O$1&amp;"'!$A$2:$T$1000"),4,FALSE),0)</f>
        <v>12.8</v>
      </c>
      <c r="P310" s="37">
        <f ca="1">_xlfn.IFNA(VLOOKUP($A310,INDIRECT("'W"&amp;P$1&amp;"'!$A$2:$T$1000"),4,FALSE),0)</f>
        <v>8.2000000000000011</v>
      </c>
      <c r="Q310" s="37">
        <f ca="1">_xlfn.IFNA(VLOOKUP($A310,INDIRECT("'W"&amp;Q$1&amp;"'!$A$2:$T$1000"),4,FALSE),0)</f>
        <v>4.9000000000000004</v>
      </c>
      <c r="R310" s="37">
        <f ca="1">_xlfn.IFNA(VLOOKUP($A310,INDIRECT("'W"&amp;R$1&amp;"'!$A$2:$T$1000"),4,FALSE),0)</f>
        <v>2.7</v>
      </c>
      <c r="S310" s="37">
        <f ca="1">_xlfn.IFNA(VLOOKUP($A310,INDIRECT("'W"&amp;S$1&amp;"'!$A$2:$T$1000"),4,FALSE),0)</f>
        <v>8.1</v>
      </c>
      <c r="T310" s="37">
        <f ca="1">_xlfn.IFNA(VLOOKUP($A310,INDIRECT("'W"&amp;T$1&amp;"'!$A$2:$T$1000"),4,FALSE),0)</f>
        <v>1.4</v>
      </c>
      <c r="U310" s="36">
        <f ca="1">COUNTIF(C310:T310,"&gt; 15")</f>
        <v>0</v>
      </c>
      <c r="V310" s="36">
        <f ca="1">SUM(C310:T310)</f>
        <v>52.7</v>
      </c>
      <c r="W310" s="36"/>
      <c r="X310" s="38"/>
    </row>
    <row r="311" spans="1:24" ht="12.75" x14ac:dyDescent="0.2">
      <c r="A311" s="36" t="s">
        <v>279</v>
      </c>
      <c r="B311" s="36" t="s">
        <v>69</v>
      </c>
      <c r="C311" s="37">
        <f ca="1">_xlfn.IFNA(VLOOKUP($A311,INDIRECT("'W"&amp;C$1&amp;"'!$A$2:$T$1000"),4,FALSE),0)</f>
        <v>8.1</v>
      </c>
      <c r="D311" s="37">
        <f ca="1">_xlfn.IFNA(VLOOKUP($A311,INDIRECT("'W"&amp;D$1&amp;"'!$A$2:$T$1000"),4,FALSE),0)</f>
        <v>11.600000000000001</v>
      </c>
      <c r="E311" s="37">
        <f ca="1">_xlfn.IFNA(VLOOKUP($A311,INDIRECT("'W"&amp;E$1&amp;"'!$A$2:$T$1000"),4,FALSE),0)</f>
        <v>2.6</v>
      </c>
      <c r="F311" s="37">
        <f ca="1">_xlfn.IFNA(VLOOKUP($A311,INDIRECT("'W"&amp;F$1&amp;"'!$A$2:$T$1000"),4,FALSE),0)</f>
        <v>11.3</v>
      </c>
      <c r="G311" s="37">
        <f ca="1">_xlfn.IFNA(VLOOKUP($A311,INDIRECT("'W"&amp;G$1&amp;"'!$A$2:$T$1000"),4,FALSE),0)</f>
        <v>9</v>
      </c>
      <c r="H311" s="37">
        <f ca="1">_xlfn.IFNA(VLOOKUP($A311,INDIRECT("'W"&amp;H$1&amp;"'!$A$2:$T$1000"),4,FALSE),0)</f>
        <v>4.2</v>
      </c>
      <c r="I311" s="37">
        <f ca="1">_xlfn.IFNA(VLOOKUP($A311,INDIRECT("'W"&amp;I$1&amp;"'!$A$2:$T$1000"),4,FALSE),0)</f>
        <v>4.9000000000000004</v>
      </c>
      <c r="J311" s="37">
        <f ca="1">_xlfn.IFNA(VLOOKUP($A311,INDIRECT("'W"&amp;J$1&amp;"'!$A$2:$T$1000"),4,FALSE),0)</f>
        <v>0</v>
      </c>
      <c r="K311" s="37">
        <f ca="1">_xlfn.IFNA(VLOOKUP($A311,INDIRECT("'W"&amp;K$1&amp;"'!$A$2:$T$1000"),4,FALSE),0)</f>
        <v>0</v>
      </c>
      <c r="L311" s="37">
        <f ca="1">_xlfn.IFNA(VLOOKUP($A311,INDIRECT("'W"&amp;L$1&amp;"'!$A$2:$T$1000"),4,FALSE),0)</f>
        <v>0</v>
      </c>
      <c r="M311" s="37">
        <f ca="1">_xlfn.IFNA(VLOOKUP($A311,INDIRECT("'W"&amp;M$1&amp;"'!$A$2:$T$1000"),4,FALSE),0)</f>
        <v>0</v>
      </c>
      <c r="N311" s="37">
        <f ca="1">_xlfn.IFNA(VLOOKUP($A311,INDIRECT("'W"&amp;N$1&amp;"'!$A$2:$T$1000"),4,FALSE),0)</f>
        <v>0</v>
      </c>
      <c r="O311" s="37">
        <f ca="1">_xlfn.IFNA(VLOOKUP($A311,INDIRECT("'W"&amp;O$1&amp;"'!$A$2:$T$1000"),4,FALSE),0)</f>
        <v>0</v>
      </c>
      <c r="P311" s="37">
        <f ca="1">_xlfn.IFNA(VLOOKUP($A311,INDIRECT("'W"&amp;P$1&amp;"'!$A$2:$T$1000"),4,FALSE),0)</f>
        <v>0</v>
      </c>
      <c r="Q311" s="37">
        <f ca="1">_xlfn.IFNA(VLOOKUP($A311,INDIRECT("'W"&amp;Q$1&amp;"'!$A$2:$T$1000"),4,FALSE),0)</f>
        <v>0</v>
      </c>
      <c r="R311" s="37">
        <f ca="1">_xlfn.IFNA(VLOOKUP($A311,INDIRECT("'W"&amp;R$1&amp;"'!$A$2:$T$1000"),4,FALSE),0)</f>
        <v>0</v>
      </c>
      <c r="S311" s="37">
        <f ca="1">_xlfn.IFNA(VLOOKUP($A311,INDIRECT("'W"&amp;S$1&amp;"'!$A$2:$T$1000"),4,FALSE),0)</f>
        <v>0</v>
      </c>
      <c r="T311" s="37">
        <f ca="1">_xlfn.IFNA(VLOOKUP($A311,INDIRECT("'W"&amp;T$1&amp;"'!$A$2:$T$1000"),4,FALSE),0)</f>
        <v>0</v>
      </c>
      <c r="U311" s="36">
        <f ca="1">COUNTIF(C311:T311,"&gt; 15")</f>
        <v>0</v>
      </c>
      <c r="V311" s="36">
        <f ca="1">SUM(C311:T311)</f>
        <v>51.70000000000001</v>
      </c>
      <c r="W311" s="36"/>
      <c r="X311" s="38"/>
    </row>
    <row r="312" spans="1:24" ht="12.75" x14ac:dyDescent="0.2">
      <c r="A312" s="36" t="s">
        <v>353</v>
      </c>
      <c r="B312" s="36" t="s">
        <v>162</v>
      </c>
      <c r="C312" s="37">
        <f ca="1">_xlfn.IFNA(VLOOKUP($A312,INDIRECT("'W"&amp;C$1&amp;"'!$A$2:$T$1000"),4,FALSE),0)</f>
        <v>0</v>
      </c>
      <c r="D312" s="37">
        <f ca="1">_xlfn.IFNA(VLOOKUP($A312,INDIRECT("'W"&amp;D$1&amp;"'!$A$2:$T$1000"),4,FALSE),0)</f>
        <v>7.1000000000000005</v>
      </c>
      <c r="E312" s="37">
        <f ca="1">_xlfn.IFNA(VLOOKUP($A312,INDIRECT("'W"&amp;E$1&amp;"'!$A$2:$T$1000"),4,FALSE),0)</f>
        <v>5.0999999999999996</v>
      </c>
      <c r="F312" s="37">
        <f ca="1">_xlfn.IFNA(VLOOKUP($A312,INDIRECT("'W"&amp;F$1&amp;"'!$A$2:$T$1000"),4,FALSE),0)</f>
        <v>0</v>
      </c>
      <c r="G312" s="37">
        <f ca="1">_xlfn.IFNA(VLOOKUP($A312,INDIRECT("'W"&amp;G$1&amp;"'!$A$2:$T$1000"),4,FALSE),0)</f>
        <v>2.9000000000000004</v>
      </c>
      <c r="H312" s="37">
        <f ca="1">_xlfn.IFNA(VLOOKUP($A312,INDIRECT("'W"&amp;H$1&amp;"'!$A$2:$T$1000"),4,FALSE),0)</f>
        <v>4.5999999999999996</v>
      </c>
      <c r="I312" s="37">
        <f ca="1">_xlfn.IFNA(VLOOKUP($A312,INDIRECT("'W"&amp;I$1&amp;"'!$A$2:$T$1000"),4,FALSE),0)</f>
        <v>10.4</v>
      </c>
      <c r="J312" s="37">
        <f ca="1">_xlfn.IFNA(VLOOKUP($A312,INDIRECT("'W"&amp;J$1&amp;"'!$A$2:$T$1000"),4,FALSE),0)</f>
        <v>0</v>
      </c>
      <c r="K312" s="37">
        <f ca="1">_xlfn.IFNA(VLOOKUP($A312,INDIRECT("'W"&amp;K$1&amp;"'!$A$2:$T$1000"),4,FALSE),0)</f>
        <v>0</v>
      </c>
      <c r="L312" s="37">
        <f ca="1">_xlfn.IFNA(VLOOKUP($A312,INDIRECT("'W"&amp;L$1&amp;"'!$A$2:$T$1000"),4,FALSE),0)</f>
        <v>1.8</v>
      </c>
      <c r="M312" s="37">
        <f ca="1">_xlfn.IFNA(VLOOKUP($A312,INDIRECT("'W"&amp;M$1&amp;"'!$A$2:$T$1000"),4,FALSE),0)</f>
        <v>0</v>
      </c>
      <c r="N312" s="37">
        <f ca="1">_xlfn.IFNA(VLOOKUP($A312,INDIRECT("'W"&amp;N$1&amp;"'!$A$2:$T$1000"),4,FALSE),0)</f>
        <v>1.7000000000000002</v>
      </c>
      <c r="O312" s="37">
        <f ca="1">_xlfn.IFNA(VLOOKUP($A312,INDIRECT("'W"&amp;O$1&amp;"'!$A$2:$T$1000"),4,FALSE),0)</f>
        <v>13.4</v>
      </c>
      <c r="P312" s="37">
        <f ca="1">_xlfn.IFNA(VLOOKUP($A312,INDIRECT("'W"&amp;P$1&amp;"'!$A$2:$T$1000"),4,FALSE),0)</f>
        <v>0</v>
      </c>
      <c r="Q312" s="37">
        <f ca="1">_xlfn.IFNA(VLOOKUP($A312,INDIRECT("'W"&amp;Q$1&amp;"'!$A$2:$T$1000"),4,FALSE),0)</f>
        <v>4.5</v>
      </c>
      <c r="R312" s="37">
        <f ca="1">_xlfn.IFNA(VLOOKUP($A312,INDIRECT("'W"&amp;R$1&amp;"'!$A$2:$T$1000"),4,FALSE),0)</f>
        <v>0</v>
      </c>
      <c r="S312" s="37">
        <f ca="1">_xlfn.IFNA(VLOOKUP($A312,INDIRECT("'W"&amp;S$1&amp;"'!$A$2:$T$1000"),4,FALSE),0)</f>
        <v>0</v>
      </c>
      <c r="T312" s="37">
        <f ca="1">_xlfn.IFNA(VLOOKUP($A312,INDIRECT("'W"&amp;T$1&amp;"'!$A$2:$T$1000"),4,FALSE),0)</f>
        <v>0</v>
      </c>
      <c r="U312" s="36">
        <f ca="1">COUNTIF(C312:T312,"&gt; 15")</f>
        <v>0</v>
      </c>
      <c r="V312" s="36">
        <f ca="1">SUM(C312:T312)</f>
        <v>51.5</v>
      </c>
      <c r="W312" s="36"/>
      <c r="X312" s="38"/>
    </row>
    <row r="313" spans="1:24" ht="12.75" x14ac:dyDescent="0.2">
      <c r="A313" s="36" t="s">
        <v>362</v>
      </c>
      <c r="B313" s="36" t="s">
        <v>69</v>
      </c>
      <c r="C313" s="37">
        <f ca="1">_xlfn.IFNA(VLOOKUP($A313,INDIRECT("'W"&amp;C$1&amp;"'!$A$2:$T$1000"),4,FALSE),0)</f>
        <v>0</v>
      </c>
      <c r="D313" s="37">
        <f ca="1">_xlfn.IFNA(VLOOKUP($A313,INDIRECT("'W"&amp;D$1&amp;"'!$A$2:$T$1000"),4,FALSE),0)</f>
        <v>4.7</v>
      </c>
      <c r="E313" s="37">
        <f ca="1">_xlfn.IFNA(VLOOKUP($A313,INDIRECT("'W"&amp;E$1&amp;"'!$A$2:$T$1000"),4,FALSE),0)</f>
        <v>9.3000000000000007</v>
      </c>
      <c r="F313" s="37">
        <f ca="1">_xlfn.IFNA(VLOOKUP($A313,INDIRECT("'W"&amp;F$1&amp;"'!$A$2:$T$1000"),4,FALSE),0)</f>
        <v>0</v>
      </c>
      <c r="G313" s="37">
        <f ca="1">_xlfn.IFNA(VLOOKUP($A313,INDIRECT("'W"&amp;G$1&amp;"'!$A$2:$T$1000"),4,FALSE),0)</f>
        <v>0</v>
      </c>
      <c r="H313" s="37">
        <f ca="1">_xlfn.IFNA(VLOOKUP($A313,INDIRECT("'W"&amp;H$1&amp;"'!$A$2:$T$1000"),4,FALSE),0)</f>
        <v>2.1</v>
      </c>
      <c r="I313" s="37">
        <f ca="1">_xlfn.IFNA(VLOOKUP($A313,INDIRECT("'W"&amp;I$1&amp;"'!$A$2:$T$1000"),4,FALSE),0)</f>
        <v>0</v>
      </c>
      <c r="J313" s="37">
        <f ca="1">_xlfn.IFNA(VLOOKUP($A313,INDIRECT("'W"&amp;J$1&amp;"'!$A$2:$T$1000"),4,FALSE),0)</f>
        <v>0</v>
      </c>
      <c r="K313" s="37">
        <f ca="1">_xlfn.IFNA(VLOOKUP($A313,INDIRECT("'W"&amp;K$1&amp;"'!$A$2:$T$1000"),4,FALSE),0)</f>
        <v>0</v>
      </c>
      <c r="L313" s="37">
        <f ca="1">_xlfn.IFNA(VLOOKUP($A313,INDIRECT("'W"&amp;L$1&amp;"'!$A$2:$T$1000"),4,FALSE),0)</f>
        <v>0</v>
      </c>
      <c r="M313" s="37">
        <f ca="1">_xlfn.IFNA(VLOOKUP($A313,INDIRECT("'W"&amp;M$1&amp;"'!$A$2:$T$1000"),4,FALSE),0)</f>
        <v>0</v>
      </c>
      <c r="N313" s="37">
        <f ca="1">_xlfn.IFNA(VLOOKUP($A313,INDIRECT("'W"&amp;N$1&amp;"'!$A$2:$T$1000"),4,FALSE),0)</f>
        <v>1.9</v>
      </c>
      <c r="O313" s="37">
        <f ca="1">_xlfn.IFNA(VLOOKUP($A313,INDIRECT("'W"&amp;O$1&amp;"'!$A$2:$T$1000"),4,FALSE),0)</f>
        <v>9.4</v>
      </c>
      <c r="P313" s="37">
        <f ca="1">_xlfn.IFNA(VLOOKUP($A313,INDIRECT("'W"&amp;P$1&amp;"'!$A$2:$T$1000"),4,FALSE),0)</f>
        <v>6.5</v>
      </c>
      <c r="Q313" s="37">
        <f ca="1">_xlfn.IFNA(VLOOKUP($A313,INDIRECT("'W"&amp;Q$1&amp;"'!$A$2:$T$1000"),4,FALSE),0)</f>
        <v>2.4000000000000004</v>
      </c>
      <c r="R313" s="37">
        <f ca="1">_xlfn.IFNA(VLOOKUP($A313,INDIRECT("'W"&amp;R$1&amp;"'!$A$2:$T$1000"),4,FALSE),0)</f>
        <v>4.7</v>
      </c>
      <c r="S313" s="37">
        <f ca="1">_xlfn.IFNA(VLOOKUP($A313,INDIRECT("'W"&amp;S$1&amp;"'!$A$2:$T$1000"),4,FALSE),0)</f>
        <v>9.9</v>
      </c>
      <c r="T313" s="37">
        <f ca="1">_xlfn.IFNA(VLOOKUP($A313,INDIRECT("'W"&amp;T$1&amp;"'!$A$2:$T$1000"),4,FALSE),0)</f>
        <v>0</v>
      </c>
      <c r="U313" s="36">
        <f ca="1">COUNTIF(C313:T313,"&gt; 15")</f>
        <v>0</v>
      </c>
      <c r="V313" s="36">
        <f ca="1">SUM(C313:T313)</f>
        <v>50.9</v>
      </c>
      <c r="W313" s="36"/>
      <c r="X313" s="38"/>
    </row>
    <row r="314" spans="1:24" ht="12.75" x14ac:dyDescent="0.2">
      <c r="A314" s="36" t="s">
        <v>527</v>
      </c>
      <c r="B314" s="36" t="s">
        <v>162</v>
      </c>
      <c r="C314" s="37">
        <f ca="1">_xlfn.IFNA(VLOOKUP($A314,INDIRECT("'W"&amp;C$1&amp;"'!$A$2:$T$1000"),4,FALSE),0)</f>
        <v>0</v>
      </c>
      <c r="D314" s="37">
        <f ca="1">_xlfn.IFNA(VLOOKUP($A314,INDIRECT("'W"&amp;D$1&amp;"'!$A$2:$T$1000"),4,FALSE),0)</f>
        <v>0</v>
      </c>
      <c r="E314" s="37">
        <f ca="1">_xlfn.IFNA(VLOOKUP($A314,INDIRECT("'W"&amp;E$1&amp;"'!$A$2:$T$1000"),4,FALSE),0)</f>
        <v>0</v>
      </c>
      <c r="F314" s="37">
        <f ca="1">_xlfn.IFNA(VLOOKUP($A314,INDIRECT("'W"&amp;F$1&amp;"'!$A$2:$T$1000"),4,FALSE),0)</f>
        <v>0</v>
      </c>
      <c r="G314" s="37">
        <f ca="1">_xlfn.IFNA(VLOOKUP($A314,INDIRECT("'W"&amp;G$1&amp;"'!$A$2:$T$1000"),4,FALSE),0)</f>
        <v>1.9</v>
      </c>
      <c r="H314" s="37">
        <f ca="1">_xlfn.IFNA(VLOOKUP($A314,INDIRECT("'W"&amp;H$1&amp;"'!$A$2:$T$1000"),4,FALSE),0)</f>
        <v>7.3</v>
      </c>
      <c r="I314" s="37">
        <f ca="1">_xlfn.IFNA(VLOOKUP($A314,INDIRECT("'W"&amp;I$1&amp;"'!$A$2:$T$1000"),4,FALSE),0)</f>
        <v>0</v>
      </c>
      <c r="J314" s="37">
        <f ca="1">_xlfn.IFNA(VLOOKUP($A314,INDIRECT("'W"&amp;J$1&amp;"'!$A$2:$T$1000"),4,FALSE),0)</f>
        <v>7.2</v>
      </c>
      <c r="K314" s="37">
        <f ca="1">_xlfn.IFNA(VLOOKUP($A314,INDIRECT("'W"&amp;K$1&amp;"'!$A$2:$T$1000"),4,FALSE),0)</f>
        <v>1.9</v>
      </c>
      <c r="L314" s="37">
        <f ca="1">_xlfn.IFNA(VLOOKUP($A314,INDIRECT("'W"&amp;L$1&amp;"'!$A$2:$T$1000"),4,FALSE),0)</f>
        <v>0</v>
      </c>
      <c r="M314" s="37">
        <f ca="1">_xlfn.IFNA(VLOOKUP($A314,INDIRECT("'W"&amp;M$1&amp;"'!$A$2:$T$1000"),4,FALSE),0)</f>
        <v>0</v>
      </c>
      <c r="N314" s="37">
        <f ca="1">_xlfn.IFNA(VLOOKUP($A314,INDIRECT("'W"&amp;N$1&amp;"'!$A$2:$T$1000"),4,FALSE),0)</f>
        <v>2.6</v>
      </c>
      <c r="O314" s="37">
        <f ca="1">_xlfn.IFNA(VLOOKUP($A314,INDIRECT("'W"&amp;O$1&amp;"'!$A$2:$T$1000"),4,FALSE),0)</f>
        <v>0</v>
      </c>
      <c r="P314" s="37">
        <f ca="1">_xlfn.IFNA(VLOOKUP($A314,INDIRECT("'W"&amp;P$1&amp;"'!$A$2:$T$1000"),4,FALSE),0)</f>
        <v>0</v>
      </c>
      <c r="Q314" s="37">
        <f ca="1">_xlfn.IFNA(VLOOKUP($A314,INDIRECT("'W"&amp;Q$1&amp;"'!$A$2:$T$1000"),4,FALSE),0)</f>
        <v>1.5</v>
      </c>
      <c r="R314" s="37">
        <f ca="1">_xlfn.IFNA(VLOOKUP($A314,INDIRECT("'W"&amp;R$1&amp;"'!$A$2:$T$1000"),4,FALSE),0)</f>
        <v>7.6</v>
      </c>
      <c r="S314" s="37">
        <f ca="1">_xlfn.IFNA(VLOOKUP($A314,INDIRECT("'W"&amp;S$1&amp;"'!$A$2:$T$1000"),4,FALSE),0)</f>
        <v>0</v>
      </c>
      <c r="T314" s="37">
        <f ca="1">_xlfn.IFNA(VLOOKUP($A314,INDIRECT("'W"&amp;T$1&amp;"'!$A$2:$T$1000"),4,FALSE),0)</f>
        <v>20.6</v>
      </c>
      <c r="U314" s="36">
        <f ca="1">COUNTIF(C314:T314,"&gt; 15")</f>
        <v>1</v>
      </c>
      <c r="V314" s="36">
        <f ca="1">SUM(C314:T314)</f>
        <v>50.6</v>
      </c>
      <c r="W314" s="36"/>
      <c r="X314" s="38"/>
    </row>
    <row r="315" spans="1:24" ht="12.75" x14ac:dyDescent="0.2">
      <c r="A315" s="36" t="s">
        <v>315</v>
      </c>
      <c r="B315" s="36" t="s">
        <v>69</v>
      </c>
      <c r="C315" s="37">
        <f ca="1">_xlfn.IFNA(VLOOKUP($A315,INDIRECT("'W"&amp;C$1&amp;"'!$A$2:$T$1000"),4,FALSE),0)</f>
        <v>1.1000000000000001</v>
      </c>
      <c r="D315" s="37">
        <f ca="1">_xlfn.IFNA(VLOOKUP($A315,INDIRECT("'W"&amp;D$1&amp;"'!$A$2:$T$1000"),4,FALSE),0)</f>
        <v>0</v>
      </c>
      <c r="E315" s="37">
        <f ca="1">_xlfn.IFNA(VLOOKUP($A315,INDIRECT("'W"&amp;E$1&amp;"'!$A$2:$T$1000"),4,FALSE),0)</f>
        <v>1.8</v>
      </c>
      <c r="F315" s="37">
        <f ca="1">_xlfn.IFNA(VLOOKUP($A315,INDIRECT("'W"&amp;F$1&amp;"'!$A$2:$T$1000"),4,FALSE),0)</f>
        <v>1.6</v>
      </c>
      <c r="G315" s="37">
        <f ca="1">_xlfn.IFNA(VLOOKUP($A315,INDIRECT("'W"&amp;G$1&amp;"'!$A$2:$T$1000"),4,FALSE),0)</f>
        <v>1.7000000000000002</v>
      </c>
      <c r="H315" s="37">
        <f ca="1">_xlfn.IFNA(VLOOKUP($A315,INDIRECT("'W"&amp;H$1&amp;"'!$A$2:$T$1000"),4,FALSE),0)</f>
        <v>0</v>
      </c>
      <c r="I315" s="37">
        <f ca="1">_xlfn.IFNA(VLOOKUP($A315,INDIRECT("'W"&amp;I$1&amp;"'!$A$2:$T$1000"),4,FALSE),0)</f>
        <v>0</v>
      </c>
      <c r="J315" s="37">
        <f ca="1">_xlfn.IFNA(VLOOKUP($A315,INDIRECT("'W"&amp;J$1&amp;"'!$A$2:$T$1000"),4,FALSE),0)</f>
        <v>0</v>
      </c>
      <c r="K315" s="37">
        <f ca="1">_xlfn.IFNA(VLOOKUP($A315,INDIRECT("'W"&amp;K$1&amp;"'!$A$2:$T$1000"),4,FALSE),0)</f>
        <v>7.3</v>
      </c>
      <c r="L315" s="37">
        <f ca="1">_xlfn.IFNA(VLOOKUP($A315,INDIRECT("'W"&amp;L$1&amp;"'!$A$2:$T$1000"),4,FALSE),0)</f>
        <v>5.4</v>
      </c>
      <c r="M315" s="37">
        <f ca="1">_xlfn.IFNA(VLOOKUP($A315,INDIRECT("'W"&amp;M$1&amp;"'!$A$2:$T$1000"),4,FALSE),0)</f>
        <v>6.8000000000000007</v>
      </c>
      <c r="N315" s="37">
        <f ca="1">_xlfn.IFNA(VLOOKUP($A315,INDIRECT("'W"&amp;N$1&amp;"'!$A$2:$T$1000"),4,FALSE),0)</f>
        <v>1.8</v>
      </c>
      <c r="O315" s="37">
        <f ca="1">_xlfn.IFNA(VLOOKUP($A315,INDIRECT("'W"&amp;O$1&amp;"'!$A$2:$T$1000"),4,FALSE),0)</f>
        <v>0</v>
      </c>
      <c r="P315" s="37">
        <f ca="1">_xlfn.IFNA(VLOOKUP($A315,INDIRECT("'W"&amp;P$1&amp;"'!$A$2:$T$1000"),4,FALSE),0)</f>
        <v>3.5</v>
      </c>
      <c r="Q315" s="37">
        <f ca="1">_xlfn.IFNA(VLOOKUP($A315,INDIRECT("'W"&amp;Q$1&amp;"'!$A$2:$T$1000"),4,FALSE),0)</f>
        <v>3.3</v>
      </c>
      <c r="R315" s="37">
        <f ca="1">_xlfn.IFNA(VLOOKUP($A315,INDIRECT("'W"&amp;R$1&amp;"'!$A$2:$T$1000"),4,FALSE),0)</f>
        <v>8.3000000000000007</v>
      </c>
      <c r="S315" s="37">
        <f ca="1">_xlfn.IFNA(VLOOKUP($A315,INDIRECT("'W"&amp;S$1&amp;"'!$A$2:$T$1000"),4,FALSE),0)</f>
        <v>7.9</v>
      </c>
      <c r="T315" s="37">
        <f ca="1">_xlfn.IFNA(VLOOKUP($A315,INDIRECT("'W"&amp;T$1&amp;"'!$A$2:$T$1000"),4,FALSE),0)</f>
        <v>0</v>
      </c>
      <c r="U315" s="36">
        <f ca="1">COUNTIF(C315:T315,"&gt; 15")</f>
        <v>0</v>
      </c>
      <c r="V315" s="36">
        <f ca="1">SUM(C315:T315)</f>
        <v>50.499999999999993</v>
      </c>
      <c r="W315" s="36"/>
      <c r="X315" s="38"/>
    </row>
    <row r="316" spans="1:24" ht="12.75" x14ac:dyDescent="0.2">
      <c r="A316" s="36" t="s">
        <v>446</v>
      </c>
      <c r="B316" s="36" t="s">
        <v>69</v>
      </c>
      <c r="C316" s="37">
        <f ca="1">_xlfn.IFNA(VLOOKUP($A316,INDIRECT("'W"&amp;C$1&amp;"'!$A$2:$T$1000"),4,FALSE),0)</f>
        <v>0</v>
      </c>
      <c r="D316" s="37">
        <f ca="1">_xlfn.IFNA(VLOOKUP($A316,INDIRECT("'W"&amp;D$1&amp;"'!$A$2:$T$1000"),4,FALSE),0)</f>
        <v>0</v>
      </c>
      <c r="E316" s="37">
        <f ca="1">_xlfn.IFNA(VLOOKUP($A316,INDIRECT("'W"&amp;E$1&amp;"'!$A$2:$T$1000"),4,FALSE),0)</f>
        <v>1.7000000000000002</v>
      </c>
      <c r="F316" s="37">
        <f ca="1">_xlfn.IFNA(VLOOKUP($A316,INDIRECT("'W"&amp;F$1&amp;"'!$A$2:$T$1000"),4,FALSE),0)</f>
        <v>0.9</v>
      </c>
      <c r="G316" s="37">
        <f ca="1">_xlfn.IFNA(VLOOKUP($A316,INDIRECT("'W"&amp;G$1&amp;"'!$A$2:$T$1000"),4,FALSE),0)</f>
        <v>0</v>
      </c>
      <c r="H316" s="37">
        <f ca="1">_xlfn.IFNA(VLOOKUP($A316,INDIRECT("'W"&amp;H$1&amp;"'!$A$2:$T$1000"),4,FALSE),0)</f>
        <v>1.4</v>
      </c>
      <c r="I316" s="37">
        <f ca="1">_xlfn.IFNA(VLOOKUP($A316,INDIRECT("'W"&amp;I$1&amp;"'!$A$2:$T$1000"),4,FALSE),0)</f>
        <v>0</v>
      </c>
      <c r="J316" s="37">
        <f ca="1">_xlfn.IFNA(VLOOKUP($A316,INDIRECT("'W"&amp;J$1&amp;"'!$A$2:$T$1000"),4,FALSE),0)</f>
        <v>0</v>
      </c>
      <c r="K316" s="37">
        <f ca="1">_xlfn.IFNA(VLOOKUP($A316,INDIRECT("'W"&amp;K$1&amp;"'!$A$2:$T$1000"),4,FALSE),0)</f>
        <v>12</v>
      </c>
      <c r="L316" s="37">
        <f ca="1">_xlfn.IFNA(VLOOKUP($A316,INDIRECT("'W"&amp;L$1&amp;"'!$A$2:$T$1000"),4,FALSE),0)</f>
        <v>3.2</v>
      </c>
      <c r="M316" s="37">
        <f ca="1">_xlfn.IFNA(VLOOKUP($A316,INDIRECT("'W"&amp;M$1&amp;"'!$A$2:$T$1000"),4,FALSE),0)</f>
        <v>3.9000000000000004</v>
      </c>
      <c r="N316" s="37">
        <f ca="1">_xlfn.IFNA(VLOOKUP($A316,INDIRECT("'W"&amp;N$1&amp;"'!$A$2:$T$1000"),4,FALSE),0)</f>
        <v>8.1</v>
      </c>
      <c r="O316" s="37">
        <f ca="1">_xlfn.IFNA(VLOOKUP($A316,INDIRECT("'W"&amp;O$1&amp;"'!$A$2:$T$1000"),4,FALSE),0)</f>
        <v>2.1</v>
      </c>
      <c r="P316" s="37">
        <f ca="1">_xlfn.IFNA(VLOOKUP($A316,INDIRECT("'W"&amp;P$1&amp;"'!$A$2:$T$1000"),4,FALSE),0)</f>
        <v>2.4</v>
      </c>
      <c r="Q316" s="37">
        <f ca="1">_xlfn.IFNA(VLOOKUP($A316,INDIRECT("'W"&amp;Q$1&amp;"'!$A$2:$T$1000"),4,FALSE),0)</f>
        <v>0</v>
      </c>
      <c r="R316" s="37">
        <f ca="1">_xlfn.IFNA(VLOOKUP($A316,INDIRECT("'W"&amp;R$1&amp;"'!$A$2:$T$1000"),4,FALSE),0)</f>
        <v>6.8000000000000007</v>
      </c>
      <c r="S316" s="37">
        <f ca="1">_xlfn.IFNA(VLOOKUP($A316,INDIRECT("'W"&amp;S$1&amp;"'!$A$2:$T$1000"),4,FALSE),0)</f>
        <v>5.0999999999999996</v>
      </c>
      <c r="T316" s="37">
        <f ca="1">_xlfn.IFNA(VLOOKUP($A316,INDIRECT("'W"&amp;T$1&amp;"'!$A$2:$T$1000"),4,FALSE),0)</f>
        <v>2.7</v>
      </c>
      <c r="U316" s="36">
        <f ca="1">COUNTIF(C316:T316,"&gt; 15")</f>
        <v>0</v>
      </c>
      <c r="V316" s="36">
        <f ca="1">SUM(C316:T316)</f>
        <v>50.300000000000004</v>
      </c>
      <c r="W316" s="36"/>
      <c r="X316" s="38"/>
    </row>
    <row r="317" spans="1:24" ht="12.75" x14ac:dyDescent="0.2">
      <c r="A317" s="36" t="s">
        <v>211</v>
      </c>
      <c r="B317" s="36" t="s">
        <v>162</v>
      </c>
      <c r="C317" s="37">
        <f ca="1">_xlfn.IFNA(VLOOKUP($A317,INDIRECT("'W"&amp;C$1&amp;"'!$A$2:$T$1000"),4,FALSE),0)</f>
        <v>8.5</v>
      </c>
      <c r="D317" s="37">
        <f ca="1">_xlfn.IFNA(VLOOKUP($A317,INDIRECT("'W"&amp;D$1&amp;"'!$A$2:$T$1000"),4,FALSE),0)</f>
        <v>16.600000000000001</v>
      </c>
      <c r="E317" s="37">
        <f ca="1">_xlfn.IFNA(VLOOKUP($A317,INDIRECT("'W"&amp;E$1&amp;"'!$A$2:$T$1000"),4,FALSE),0)</f>
        <v>25.1</v>
      </c>
      <c r="F317" s="37">
        <f ca="1">_xlfn.IFNA(VLOOKUP($A317,INDIRECT("'W"&amp;F$1&amp;"'!$A$2:$T$1000"),4,FALSE),0)</f>
        <v>0</v>
      </c>
      <c r="G317" s="37">
        <f ca="1">_xlfn.IFNA(VLOOKUP($A317,INDIRECT("'W"&amp;G$1&amp;"'!$A$2:$T$1000"),4,FALSE),0)</f>
        <v>0</v>
      </c>
      <c r="H317" s="37">
        <f ca="1">_xlfn.IFNA(VLOOKUP($A317,INDIRECT("'W"&amp;H$1&amp;"'!$A$2:$T$1000"),4,FALSE),0)</f>
        <v>0</v>
      </c>
      <c r="I317" s="37">
        <f ca="1">_xlfn.IFNA(VLOOKUP($A317,INDIRECT("'W"&amp;I$1&amp;"'!$A$2:$T$1000"),4,FALSE),0)</f>
        <v>0</v>
      </c>
      <c r="J317" s="37">
        <f ca="1">_xlfn.IFNA(VLOOKUP($A317,INDIRECT("'W"&amp;J$1&amp;"'!$A$2:$T$1000"),4,FALSE),0)</f>
        <v>0</v>
      </c>
      <c r="K317" s="37">
        <f ca="1">_xlfn.IFNA(VLOOKUP($A317,INDIRECT("'W"&amp;K$1&amp;"'!$A$2:$T$1000"),4,FALSE),0)</f>
        <v>0</v>
      </c>
      <c r="L317" s="37">
        <f ca="1">_xlfn.IFNA(VLOOKUP($A317,INDIRECT("'W"&amp;L$1&amp;"'!$A$2:$T$1000"),4,FALSE),0)</f>
        <v>0</v>
      </c>
      <c r="M317" s="37">
        <f ca="1">_xlfn.IFNA(VLOOKUP($A317,INDIRECT("'W"&amp;M$1&amp;"'!$A$2:$T$1000"),4,FALSE),0)</f>
        <v>0</v>
      </c>
      <c r="N317" s="37">
        <f ca="1">_xlfn.IFNA(VLOOKUP($A317,INDIRECT("'W"&amp;N$1&amp;"'!$A$2:$T$1000"),4,FALSE),0)</f>
        <v>0</v>
      </c>
      <c r="O317" s="37">
        <f ca="1">_xlfn.IFNA(VLOOKUP($A317,INDIRECT("'W"&amp;O$1&amp;"'!$A$2:$T$1000"),4,FALSE),0)</f>
        <v>0</v>
      </c>
      <c r="P317" s="37">
        <f ca="1">_xlfn.IFNA(VLOOKUP($A317,INDIRECT("'W"&amp;P$1&amp;"'!$A$2:$T$1000"),4,FALSE),0)</f>
        <v>0</v>
      </c>
      <c r="Q317" s="37">
        <f ca="1">_xlfn.IFNA(VLOOKUP($A317,INDIRECT("'W"&amp;Q$1&amp;"'!$A$2:$T$1000"),4,FALSE),0)</f>
        <v>0</v>
      </c>
      <c r="R317" s="37">
        <f ca="1">_xlfn.IFNA(VLOOKUP($A317,INDIRECT("'W"&amp;R$1&amp;"'!$A$2:$T$1000"),4,FALSE),0)</f>
        <v>0</v>
      </c>
      <c r="S317" s="37">
        <f ca="1">_xlfn.IFNA(VLOOKUP($A317,INDIRECT("'W"&amp;S$1&amp;"'!$A$2:$T$1000"),4,FALSE),0)</f>
        <v>0</v>
      </c>
      <c r="T317" s="37">
        <f ca="1">_xlfn.IFNA(VLOOKUP($A317,INDIRECT("'W"&amp;T$1&amp;"'!$A$2:$T$1000"),4,FALSE),0)</f>
        <v>0</v>
      </c>
      <c r="U317" s="36">
        <f ca="1">COUNTIF(C317:T317,"&gt; 15")</f>
        <v>2</v>
      </c>
      <c r="V317" s="36">
        <f ca="1">SUM(C317:T317)</f>
        <v>50.2</v>
      </c>
      <c r="W317" s="36"/>
      <c r="X317" s="38">
        <v>76</v>
      </c>
    </row>
    <row r="318" spans="1:24" ht="12.75" x14ac:dyDescent="0.2">
      <c r="A318" s="36" t="s">
        <v>900</v>
      </c>
      <c r="B318" s="36" t="s">
        <v>851</v>
      </c>
      <c r="C318" s="37">
        <v>20</v>
      </c>
      <c r="D318" s="37">
        <v>1</v>
      </c>
      <c r="E318" s="37">
        <v>2</v>
      </c>
      <c r="F318" s="37">
        <v>-3</v>
      </c>
      <c r="G318" s="37">
        <v>3</v>
      </c>
      <c r="H318" s="37">
        <v>4</v>
      </c>
      <c r="I318" s="37">
        <v>8</v>
      </c>
      <c r="J318" s="37">
        <v>5</v>
      </c>
      <c r="K318" s="37">
        <v>1</v>
      </c>
      <c r="L318" s="37">
        <v>5</v>
      </c>
      <c r="M318" s="37">
        <v>7</v>
      </c>
      <c r="N318" s="37">
        <v>-6</v>
      </c>
      <c r="O318" s="37">
        <v>5</v>
      </c>
      <c r="P318" s="37">
        <v>0</v>
      </c>
      <c r="Q318" s="37">
        <v>-6</v>
      </c>
      <c r="R318" s="37">
        <v>0</v>
      </c>
      <c r="S318" s="37">
        <v>4</v>
      </c>
      <c r="T318" s="37">
        <v>0</v>
      </c>
      <c r="U318" s="36">
        <f>COUNTIF(C318:T318,"&gt; 9")</f>
        <v>1</v>
      </c>
      <c r="V318" s="36">
        <f>SUM(C318:T318)</f>
        <v>50</v>
      </c>
      <c r="W318" s="36"/>
      <c r="X318" s="38"/>
    </row>
    <row r="319" spans="1:24" ht="12.75" x14ac:dyDescent="0.2">
      <c r="A319" s="36" t="s">
        <v>372</v>
      </c>
      <c r="B319" s="36" t="s">
        <v>69</v>
      </c>
      <c r="C319" s="37">
        <f ca="1">_xlfn.IFNA(VLOOKUP($A319,INDIRECT("'W"&amp;C$1&amp;"'!$A$2:$T$1000"),4,FALSE),0)</f>
        <v>0</v>
      </c>
      <c r="D319" s="37">
        <f ca="1">_xlfn.IFNA(VLOOKUP($A319,INDIRECT("'W"&amp;D$1&amp;"'!$A$2:$T$1000"),4,FALSE),0)</f>
        <v>2.5</v>
      </c>
      <c r="E319" s="37">
        <f ca="1">_xlfn.IFNA(VLOOKUP($A319,INDIRECT("'W"&amp;E$1&amp;"'!$A$2:$T$1000"),4,FALSE),0)</f>
        <v>0</v>
      </c>
      <c r="F319" s="37">
        <f ca="1">_xlfn.IFNA(VLOOKUP($A319,INDIRECT("'W"&amp;F$1&amp;"'!$A$2:$T$1000"),4,FALSE),0)</f>
        <v>10.5</v>
      </c>
      <c r="G319" s="37">
        <f ca="1">_xlfn.IFNA(VLOOKUP($A319,INDIRECT("'W"&amp;G$1&amp;"'!$A$2:$T$1000"),4,FALSE),0)</f>
        <v>2.7</v>
      </c>
      <c r="H319" s="37">
        <f ca="1">_xlfn.IFNA(VLOOKUP($A319,INDIRECT("'W"&amp;H$1&amp;"'!$A$2:$T$1000"),4,FALSE),0)</f>
        <v>0</v>
      </c>
      <c r="I319" s="37">
        <f ca="1">_xlfn.IFNA(VLOOKUP($A319,INDIRECT("'W"&amp;I$1&amp;"'!$A$2:$T$1000"),4,FALSE),0)</f>
        <v>0.39999999999999991</v>
      </c>
      <c r="J319" s="37">
        <f ca="1">_xlfn.IFNA(VLOOKUP($A319,INDIRECT("'W"&amp;J$1&amp;"'!$A$2:$T$1000"),4,FALSE),0)</f>
        <v>2.1</v>
      </c>
      <c r="K319" s="37">
        <f ca="1">_xlfn.IFNA(VLOOKUP($A319,INDIRECT("'W"&amp;K$1&amp;"'!$A$2:$T$1000"),4,FALSE),0)</f>
        <v>0</v>
      </c>
      <c r="L319" s="37">
        <f ca="1">_xlfn.IFNA(VLOOKUP($A319,INDIRECT("'W"&amp;L$1&amp;"'!$A$2:$T$1000"),4,FALSE),0)</f>
        <v>0</v>
      </c>
      <c r="M319" s="37">
        <f ca="1">_xlfn.IFNA(VLOOKUP($A319,INDIRECT("'W"&amp;M$1&amp;"'!$A$2:$T$1000"),4,FALSE),0)</f>
        <v>0</v>
      </c>
      <c r="N319" s="37">
        <f ca="1">_xlfn.IFNA(VLOOKUP($A319,INDIRECT("'W"&amp;N$1&amp;"'!$A$2:$T$1000"),4,FALSE),0)</f>
        <v>4</v>
      </c>
      <c r="O319" s="37">
        <f ca="1">_xlfn.IFNA(VLOOKUP($A319,INDIRECT("'W"&amp;O$1&amp;"'!$A$2:$T$1000"),4,FALSE),0)</f>
        <v>0</v>
      </c>
      <c r="P319" s="37">
        <f ca="1">_xlfn.IFNA(VLOOKUP($A319,INDIRECT("'W"&amp;P$1&amp;"'!$A$2:$T$1000"),4,FALSE),0)</f>
        <v>7.2</v>
      </c>
      <c r="Q319" s="37">
        <f ca="1">_xlfn.IFNA(VLOOKUP($A319,INDIRECT("'W"&amp;Q$1&amp;"'!$A$2:$T$1000"),4,FALSE),0)</f>
        <v>10.1</v>
      </c>
      <c r="R319" s="37">
        <f ca="1">_xlfn.IFNA(VLOOKUP($A319,INDIRECT("'W"&amp;R$1&amp;"'!$A$2:$T$1000"),4,FALSE),0)</f>
        <v>0</v>
      </c>
      <c r="S319" s="37">
        <f ca="1">_xlfn.IFNA(VLOOKUP($A319,INDIRECT("'W"&amp;S$1&amp;"'!$A$2:$T$1000"),4,FALSE),0)</f>
        <v>3.8</v>
      </c>
      <c r="T319" s="37">
        <f ca="1">_xlfn.IFNA(VLOOKUP($A319,INDIRECT("'W"&amp;T$1&amp;"'!$A$2:$T$1000"),4,FALSE),0)</f>
        <v>5.8</v>
      </c>
      <c r="U319" s="36">
        <f ca="1">COUNTIF(C319:T319,"&gt; 15")</f>
        <v>0</v>
      </c>
      <c r="V319" s="36">
        <f ca="1">SUM(C319:T319)</f>
        <v>49.099999999999994</v>
      </c>
      <c r="W319" s="36"/>
      <c r="X319" s="38"/>
    </row>
    <row r="320" spans="1:24" ht="12.75" x14ac:dyDescent="0.2">
      <c r="A320" s="36" t="s">
        <v>358</v>
      </c>
      <c r="B320" s="36" t="s">
        <v>162</v>
      </c>
      <c r="C320" s="37">
        <f ca="1">_xlfn.IFNA(VLOOKUP($A320,INDIRECT("'W"&amp;C$1&amp;"'!$A$2:$T$1000"),4,FALSE),0)</f>
        <v>0</v>
      </c>
      <c r="D320" s="37">
        <f ca="1">_xlfn.IFNA(VLOOKUP($A320,INDIRECT("'W"&amp;D$1&amp;"'!$A$2:$T$1000"),4,FALSE),0)</f>
        <v>5.7</v>
      </c>
      <c r="E320" s="37">
        <f ca="1">_xlfn.IFNA(VLOOKUP($A320,INDIRECT("'W"&amp;E$1&amp;"'!$A$2:$T$1000"),4,FALSE),0)</f>
        <v>0</v>
      </c>
      <c r="F320" s="37">
        <f ca="1">_xlfn.IFNA(VLOOKUP($A320,INDIRECT("'W"&amp;F$1&amp;"'!$A$2:$T$1000"),4,FALSE),0)</f>
        <v>0</v>
      </c>
      <c r="G320" s="37">
        <f ca="1">_xlfn.IFNA(VLOOKUP($A320,INDIRECT("'W"&amp;G$1&amp;"'!$A$2:$T$1000"),4,FALSE),0)</f>
        <v>0</v>
      </c>
      <c r="H320" s="37">
        <f ca="1">_xlfn.IFNA(VLOOKUP($A320,INDIRECT("'W"&amp;H$1&amp;"'!$A$2:$T$1000"),4,FALSE),0)</f>
        <v>1.6</v>
      </c>
      <c r="I320" s="37">
        <f ca="1">_xlfn.IFNA(VLOOKUP($A320,INDIRECT("'W"&amp;I$1&amp;"'!$A$2:$T$1000"),4,FALSE),0)</f>
        <v>0</v>
      </c>
      <c r="J320" s="37">
        <f ca="1">_xlfn.IFNA(VLOOKUP($A320,INDIRECT("'W"&amp;J$1&amp;"'!$A$2:$T$1000"),4,FALSE),0)</f>
        <v>0</v>
      </c>
      <c r="K320" s="37">
        <f ca="1">_xlfn.IFNA(VLOOKUP($A320,INDIRECT("'W"&amp;K$1&amp;"'!$A$2:$T$1000"),4,FALSE),0)</f>
        <v>0</v>
      </c>
      <c r="L320" s="37">
        <f ca="1">_xlfn.IFNA(VLOOKUP($A320,INDIRECT("'W"&amp;L$1&amp;"'!$A$2:$T$1000"),4,FALSE),0)</f>
        <v>0</v>
      </c>
      <c r="M320" s="37">
        <f ca="1">_xlfn.IFNA(VLOOKUP($A320,INDIRECT("'W"&amp;M$1&amp;"'!$A$2:$T$1000"),4,FALSE),0)</f>
        <v>0</v>
      </c>
      <c r="N320" s="37">
        <f ca="1">_xlfn.IFNA(VLOOKUP($A320,INDIRECT("'W"&amp;N$1&amp;"'!$A$2:$T$1000"),4,FALSE),0)</f>
        <v>0</v>
      </c>
      <c r="O320" s="37">
        <f ca="1">_xlfn.IFNA(VLOOKUP($A320,INDIRECT("'W"&amp;O$1&amp;"'!$A$2:$T$1000"),4,FALSE),0)</f>
        <v>3.2</v>
      </c>
      <c r="P320" s="37">
        <f ca="1">_xlfn.IFNA(VLOOKUP($A320,INDIRECT("'W"&amp;P$1&amp;"'!$A$2:$T$1000"),4,FALSE),0)</f>
        <v>11.100000000000001</v>
      </c>
      <c r="Q320" s="37">
        <f ca="1">_xlfn.IFNA(VLOOKUP($A320,INDIRECT("'W"&amp;Q$1&amp;"'!$A$2:$T$1000"),4,FALSE),0)</f>
        <v>0</v>
      </c>
      <c r="R320" s="37">
        <f ca="1">_xlfn.IFNA(VLOOKUP($A320,INDIRECT("'W"&amp;R$1&amp;"'!$A$2:$T$1000"),4,FALSE),0)</f>
        <v>1.6</v>
      </c>
      <c r="S320" s="37">
        <f ca="1">_xlfn.IFNA(VLOOKUP($A320,INDIRECT("'W"&amp;S$1&amp;"'!$A$2:$T$1000"),4,FALSE),0)</f>
        <v>2.7</v>
      </c>
      <c r="T320" s="37">
        <f ca="1">_xlfn.IFNA(VLOOKUP($A320,INDIRECT("'W"&amp;T$1&amp;"'!$A$2:$T$1000"),4,FALSE),0)</f>
        <v>22.8</v>
      </c>
      <c r="U320" s="36">
        <f ca="1">COUNTIF(C320:T320,"&gt; 15")</f>
        <v>1</v>
      </c>
      <c r="V320" s="36">
        <f ca="1">SUM(C320:T320)</f>
        <v>48.7</v>
      </c>
      <c r="W320" s="36"/>
      <c r="X320" s="38"/>
    </row>
    <row r="321" spans="1:24" ht="12.75" x14ac:dyDescent="0.2">
      <c r="A321" s="36" t="s">
        <v>498</v>
      </c>
      <c r="B321" s="36" t="s">
        <v>17</v>
      </c>
      <c r="C321" s="37">
        <f ca="1">_xlfn.IFNA(VLOOKUP($A321,INDIRECT("'W"&amp;C$1&amp;"'!$A$2:$T$1000"),4,FALSE),0)</f>
        <v>0</v>
      </c>
      <c r="D321" s="37">
        <f ca="1">_xlfn.IFNA(VLOOKUP($A321,INDIRECT("'W"&amp;D$1&amp;"'!$A$2:$T$1000"),4,FALSE),0)</f>
        <v>0</v>
      </c>
      <c r="E321" s="37">
        <f ca="1">_xlfn.IFNA(VLOOKUP($A321,INDIRECT("'W"&amp;E$1&amp;"'!$A$2:$T$1000"),4,FALSE),0)</f>
        <v>0</v>
      </c>
      <c r="F321" s="37">
        <f ca="1">_xlfn.IFNA(VLOOKUP($A321,INDIRECT("'W"&amp;F$1&amp;"'!$A$2:$T$1000"),4,FALSE),0)</f>
        <v>0.72</v>
      </c>
      <c r="G321" s="37">
        <f ca="1">_xlfn.IFNA(VLOOKUP($A321,INDIRECT("'W"&amp;G$1&amp;"'!$A$2:$T$1000"),4,FALSE),0)</f>
        <v>0</v>
      </c>
      <c r="H321" s="37">
        <f ca="1">_xlfn.IFNA(VLOOKUP($A321,INDIRECT("'W"&amp;H$1&amp;"'!$A$2:$T$1000"),4,FALSE),0)</f>
        <v>0</v>
      </c>
      <c r="I321" s="37">
        <f ca="1">_xlfn.IFNA(VLOOKUP($A321,INDIRECT("'W"&amp;I$1&amp;"'!$A$2:$T$1000"),4,FALSE),0)</f>
        <v>0</v>
      </c>
      <c r="J321" s="37">
        <f ca="1">_xlfn.IFNA(VLOOKUP($A321,INDIRECT("'W"&amp;J$1&amp;"'!$A$2:$T$1000"),4,FALSE),0)</f>
        <v>7.3199999999999994</v>
      </c>
      <c r="K321" s="37">
        <f ca="1">_xlfn.IFNA(VLOOKUP($A321,INDIRECT("'W"&amp;K$1&amp;"'!$A$2:$T$1000"),4,FALSE),0)</f>
        <v>0</v>
      </c>
      <c r="L321" s="37">
        <f ca="1">_xlfn.IFNA(VLOOKUP($A321,INDIRECT("'W"&amp;L$1&amp;"'!$A$2:$T$1000"),4,FALSE),0)</f>
        <v>0</v>
      </c>
      <c r="M321" s="37">
        <f ca="1">_xlfn.IFNA(VLOOKUP($A321,INDIRECT("'W"&amp;M$1&amp;"'!$A$2:$T$1000"),4,FALSE),0)</f>
        <v>0</v>
      </c>
      <c r="N321" s="37">
        <f ca="1">_xlfn.IFNA(VLOOKUP($A321,INDIRECT("'W"&amp;N$1&amp;"'!$A$2:$T$1000"),4,FALSE),0)</f>
        <v>0</v>
      </c>
      <c r="O321" s="37">
        <f ca="1">_xlfn.IFNA(VLOOKUP($A321,INDIRECT("'W"&amp;O$1&amp;"'!$A$2:$T$1000"),4,FALSE),0)</f>
        <v>7.18</v>
      </c>
      <c r="P321" s="37">
        <f ca="1">_xlfn.IFNA(VLOOKUP($A321,INDIRECT("'W"&amp;P$1&amp;"'!$A$2:$T$1000"),4,FALSE),0)</f>
        <v>20.6</v>
      </c>
      <c r="Q321" s="37">
        <f ca="1">_xlfn.IFNA(VLOOKUP($A321,INDIRECT("'W"&amp;Q$1&amp;"'!$A$2:$T$1000"),4,FALSE),0)</f>
        <v>12.86</v>
      </c>
      <c r="R321" s="37">
        <f ca="1">_xlfn.IFNA(VLOOKUP($A321,INDIRECT("'W"&amp;R$1&amp;"'!$A$2:$T$1000"),4,FALSE),0)</f>
        <v>0</v>
      </c>
      <c r="S321" s="37">
        <f ca="1">_xlfn.IFNA(VLOOKUP($A321,INDIRECT("'W"&amp;S$1&amp;"'!$A$2:$T$1000"),4,FALSE),0)</f>
        <v>0</v>
      </c>
      <c r="T321" s="37">
        <f ca="1">_xlfn.IFNA(VLOOKUP($A321,INDIRECT("'W"&amp;T$1&amp;"'!$A$2:$T$1000"),4,FALSE),0)</f>
        <v>0</v>
      </c>
      <c r="U321" s="36">
        <f ca="1">COUNTIF(C321:T321,"&gt; 15")</f>
        <v>1</v>
      </c>
      <c r="V321" s="36">
        <f ca="1">SUM(C321:T321)</f>
        <v>48.68</v>
      </c>
      <c r="W321" s="36"/>
      <c r="X321" s="38"/>
    </row>
    <row r="322" spans="1:24" ht="12.75" x14ac:dyDescent="0.2">
      <c r="A322" s="36" t="s">
        <v>367</v>
      </c>
      <c r="B322" s="36" t="s">
        <v>162</v>
      </c>
      <c r="C322" s="37">
        <f ca="1">_xlfn.IFNA(VLOOKUP($A322,INDIRECT("'W"&amp;C$1&amp;"'!$A$2:$T$1000"),4,FALSE),0)</f>
        <v>0</v>
      </c>
      <c r="D322" s="37">
        <f ca="1">_xlfn.IFNA(VLOOKUP($A322,INDIRECT("'W"&amp;D$1&amp;"'!$A$2:$T$1000"),4,FALSE),0)</f>
        <v>3.3000000000000003</v>
      </c>
      <c r="E322" s="37">
        <f ca="1">_xlfn.IFNA(VLOOKUP($A322,INDIRECT("'W"&amp;E$1&amp;"'!$A$2:$T$1000"),4,FALSE),0)</f>
        <v>3.7</v>
      </c>
      <c r="F322" s="37">
        <f ca="1">_xlfn.IFNA(VLOOKUP($A322,INDIRECT("'W"&amp;F$1&amp;"'!$A$2:$T$1000"),4,FALSE),0)</f>
        <v>3.2</v>
      </c>
      <c r="G322" s="37">
        <f ca="1">_xlfn.IFNA(VLOOKUP($A322,INDIRECT("'W"&amp;G$1&amp;"'!$A$2:$T$1000"),4,FALSE),0)</f>
        <v>1.7000000000000002</v>
      </c>
      <c r="H322" s="37">
        <f ca="1">_xlfn.IFNA(VLOOKUP($A322,INDIRECT("'W"&amp;H$1&amp;"'!$A$2:$T$1000"),4,FALSE),0)</f>
        <v>0</v>
      </c>
      <c r="I322" s="37">
        <f ca="1">_xlfn.IFNA(VLOOKUP($A322,INDIRECT("'W"&amp;I$1&amp;"'!$A$2:$T$1000"),4,FALSE),0)</f>
        <v>3.4000000000000004</v>
      </c>
      <c r="J322" s="37">
        <f ca="1">_xlfn.IFNA(VLOOKUP($A322,INDIRECT("'W"&amp;J$1&amp;"'!$A$2:$T$1000"),4,FALSE),0)</f>
        <v>3.9000000000000004</v>
      </c>
      <c r="K322" s="37">
        <f ca="1">_xlfn.IFNA(VLOOKUP($A322,INDIRECT("'W"&amp;K$1&amp;"'!$A$2:$T$1000"),4,FALSE),0)</f>
        <v>5.2</v>
      </c>
      <c r="L322" s="37">
        <f ca="1">_xlfn.IFNA(VLOOKUP($A322,INDIRECT("'W"&amp;L$1&amp;"'!$A$2:$T$1000"),4,FALSE),0)</f>
        <v>1.5</v>
      </c>
      <c r="M322" s="37">
        <f ca="1">_xlfn.IFNA(VLOOKUP($A322,INDIRECT("'W"&amp;M$1&amp;"'!$A$2:$T$1000"),4,FALSE),0)</f>
        <v>9.1999999999999993</v>
      </c>
      <c r="N322" s="37">
        <f ca="1">_xlfn.IFNA(VLOOKUP($A322,INDIRECT("'W"&amp;N$1&amp;"'!$A$2:$T$1000"),4,FALSE),0)</f>
        <v>7.8000000000000007</v>
      </c>
      <c r="O322" s="37">
        <f ca="1">_xlfn.IFNA(VLOOKUP($A322,INDIRECT("'W"&amp;O$1&amp;"'!$A$2:$T$1000"),4,FALSE),0)</f>
        <v>0</v>
      </c>
      <c r="P322" s="37">
        <f ca="1">_xlfn.IFNA(VLOOKUP($A322,INDIRECT("'W"&amp;P$1&amp;"'!$A$2:$T$1000"),4,FALSE),0)</f>
        <v>5.6000000000000005</v>
      </c>
      <c r="Q322" s="37">
        <f ca="1">_xlfn.IFNA(VLOOKUP($A322,INDIRECT("'W"&amp;Q$1&amp;"'!$A$2:$T$1000"),4,FALSE),0)</f>
        <v>0</v>
      </c>
      <c r="R322" s="37">
        <f ca="1">_xlfn.IFNA(VLOOKUP($A322,INDIRECT("'W"&amp;R$1&amp;"'!$A$2:$T$1000"),4,FALSE),0)</f>
        <v>0</v>
      </c>
      <c r="S322" s="37">
        <f ca="1">_xlfn.IFNA(VLOOKUP($A322,INDIRECT("'W"&amp;S$1&amp;"'!$A$2:$T$1000"),4,FALSE),0)</f>
        <v>0</v>
      </c>
      <c r="T322" s="37">
        <f ca="1">_xlfn.IFNA(VLOOKUP($A322,INDIRECT("'W"&amp;T$1&amp;"'!$A$2:$T$1000"),4,FALSE),0)</f>
        <v>0</v>
      </c>
      <c r="U322" s="36">
        <f ca="1">COUNTIF(C322:T322,"&gt; 15")</f>
        <v>0</v>
      </c>
      <c r="V322" s="36">
        <f ca="1">SUM(C322:T322)</f>
        <v>48.499999999999993</v>
      </c>
      <c r="W322" s="36"/>
      <c r="X322" s="38"/>
    </row>
    <row r="323" spans="1:24" ht="12.75" x14ac:dyDescent="0.2">
      <c r="A323" s="36" t="s">
        <v>306</v>
      </c>
      <c r="B323" s="36" t="s">
        <v>69</v>
      </c>
      <c r="C323" s="37">
        <f ca="1">_xlfn.IFNA(VLOOKUP($A323,INDIRECT("'W"&amp;C$1&amp;"'!$A$2:$T$1000"),4,FALSE),0)</f>
        <v>3</v>
      </c>
      <c r="D323" s="37">
        <f ca="1">_xlfn.IFNA(VLOOKUP($A323,INDIRECT("'W"&amp;D$1&amp;"'!$A$2:$T$1000"),4,FALSE),0)</f>
        <v>4</v>
      </c>
      <c r="E323" s="37">
        <f ca="1">_xlfn.IFNA(VLOOKUP($A323,INDIRECT("'W"&amp;E$1&amp;"'!$A$2:$T$1000"),4,FALSE),0)</f>
        <v>0</v>
      </c>
      <c r="F323" s="37">
        <f ca="1">_xlfn.IFNA(VLOOKUP($A323,INDIRECT("'W"&amp;F$1&amp;"'!$A$2:$T$1000"),4,FALSE),0)</f>
        <v>2.1</v>
      </c>
      <c r="G323" s="37">
        <f ca="1">_xlfn.IFNA(VLOOKUP($A323,INDIRECT("'W"&amp;G$1&amp;"'!$A$2:$T$1000"),4,FALSE),0)</f>
        <v>3.1</v>
      </c>
      <c r="H323" s="37">
        <f ca="1">_xlfn.IFNA(VLOOKUP($A323,INDIRECT("'W"&amp;H$1&amp;"'!$A$2:$T$1000"),4,FALSE),0)</f>
        <v>3.9000000000000004</v>
      </c>
      <c r="I323" s="37">
        <f ca="1">_xlfn.IFNA(VLOOKUP($A323,INDIRECT("'W"&amp;I$1&amp;"'!$A$2:$T$1000"),4,FALSE),0)</f>
        <v>3.8</v>
      </c>
      <c r="J323" s="37">
        <f ca="1">_xlfn.IFNA(VLOOKUP($A323,INDIRECT("'W"&amp;J$1&amp;"'!$A$2:$T$1000"),4,FALSE),0)</f>
        <v>3.9000000000000004</v>
      </c>
      <c r="K323" s="37">
        <f ca="1">_xlfn.IFNA(VLOOKUP($A323,INDIRECT("'W"&amp;K$1&amp;"'!$A$2:$T$1000"),4,FALSE),0)</f>
        <v>2</v>
      </c>
      <c r="L323" s="37">
        <f ca="1">_xlfn.IFNA(VLOOKUP($A323,INDIRECT("'W"&amp;L$1&amp;"'!$A$2:$T$1000"),4,FALSE),0)</f>
        <v>1.7000000000000002</v>
      </c>
      <c r="M323" s="37">
        <f ca="1">_xlfn.IFNA(VLOOKUP($A323,INDIRECT("'W"&amp;M$1&amp;"'!$A$2:$T$1000"),4,FALSE),0)</f>
        <v>0</v>
      </c>
      <c r="N323" s="37">
        <f ca="1">_xlfn.IFNA(VLOOKUP($A323,INDIRECT("'W"&amp;N$1&amp;"'!$A$2:$T$1000"),4,FALSE),0)</f>
        <v>2.4000000000000004</v>
      </c>
      <c r="O323" s="37">
        <f ca="1">_xlfn.IFNA(VLOOKUP($A323,INDIRECT("'W"&amp;O$1&amp;"'!$A$2:$T$1000"),4,FALSE),0)</f>
        <v>0</v>
      </c>
      <c r="P323" s="37">
        <f ca="1">_xlfn.IFNA(VLOOKUP($A323,INDIRECT("'W"&amp;P$1&amp;"'!$A$2:$T$1000"),4,FALSE),0)</f>
        <v>1.5</v>
      </c>
      <c r="Q323" s="37">
        <f ca="1">_xlfn.IFNA(VLOOKUP($A323,INDIRECT("'W"&amp;Q$1&amp;"'!$A$2:$T$1000"),4,FALSE),0)</f>
        <v>0</v>
      </c>
      <c r="R323" s="37">
        <f ca="1">_xlfn.IFNA(VLOOKUP($A323,INDIRECT("'W"&amp;R$1&amp;"'!$A$2:$T$1000"),4,FALSE),0)</f>
        <v>3.3</v>
      </c>
      <c r="S323" s="37">
        <f ca="1">_xlfn.IFNA(VLOOKUP($A323,INDIRECT("'W"&amp;S$1&amp;"'!$A$2:$T$1000"),4,FALSE),0)</f>
        <v>5.8000000000000007</v>
      </c>
      <c r="T323" s="37">
        <f ca="1">_xlfn.IFNA(VLOOKUP($A323,INDIRECT("'W"&amp;T$1&amp;"'!$A$2:$T$1000"),4,FALSE),0)</f>
        <v>7.9</v>
      </c>
      <c r="U323" s="36">
        <f ca="1">COUNTIF(C323:T323,"&gt; 15")</f>
        <v>0</v>
      </c>
      <c r="V323" s="36">
        <f ca="1">SUM(C323:T323)</f>
        <v>48.4</v>
      </c>
      <c r="W323" s="36"/>
      <c r="X323" s="38"/>
    </row>
    <row r="324" spans="1:24" ht="12.75" x14ac:dyDescent="0.2">
      <c r="A324" s="36" t="s">
        <v>148</v>
      </c>
      <c r="B324" s="36" t="s">
        <v>75</v>
      </c>
      <c r="C324" s="37">
        <f ca="1">_xlfn.IFNA(VLOOKUP($A324,INDIRECT("'W"&amp;C$1&amp;"'!$A$2:$T$1000"),4,FALSE),0)</f>
        <v>1</v>
      </c>
      <c r="D324" s="37">
        <f ca="1">_xlfn.IFNA(VLOOKUP($A324,INDIRECT("'W"&amp;D$1&amp;"'!$A$2:$T$1000"),4,FALSE),0)</f>
        <v>0</v>
      </c>
      <c r="E324" s="37">
        <f ca="1">_xlfn.IFNA(VLOOKUP($A324,INDIRECT("'W"&amp;E$1&amp;"'!$A$2:$T$1000"),4,FALSE),0)</f>
        <v>7.4</v>
      </c>
      <c r="F324" s="37">
        <f ca="1">_xlfn.IFNA(VLOOKUP($A324,INDIRECT("'W"&amp;F$1&amp;"'!$A$2:$T$1000"),4,FALSE),0)</f>
        <v>0</v>
      </c>
      <c r="G324" s="37">
        <f ca="1">_xlfn.IFNA(VLOOKUP($A324,INDIRECT("'W"&amp;G$1&amp;"'!$A$2:$T$1000"),4,FALSE),0)</f>
        <v>0</v>
      </c>
      <c r="H324" s="37">
        <f ca="1">_xlfn.IFNA(VLOOKUP($A324,INDIRECT("'W"&amp;H$1&amp;"'!$A$2:$T$1000"),4,FALSE),0)</f>
        <v>-0.30000000000000004</v>
      </c>
      <c r="I324" s="37">
        <f ca="1">_xlfn.IFNA(VLOOKUP($A324,INDIRECT("'W"&amp;I$1&amp;"'!$A$2:$T$1000"),4,FALSE),0)</f>
        <v>-0.1</v>
      </c>
      <c r="J324" s="37">
        <f ca="1">_xlfn.IFNA(VLOOKUP($A324,INDIRECT("'W"&amp;J$1&amp;"'!$A$2:$T$1000"),4,FALSE),0)</f>
        <v>0.2</v>
      </c>
      <c r="K324" s="37">
        <f ca="1">_xlfn.IFNA(VLOOKUP($A324,INDIRECT("'W"&amp;K$1&amp;"'!$A$2:$T$1000"),4,FALSE),0)</f>
        <v>0</v>
      </c>
      <c r="L324" s="37">
        <f ca="1">_xlfn.IFNA(VLOOKUP($A324,INDIRECT("'W"&amp;L$1&amp;"'!$A$2:$T$1000"),4,FALSE),0)</f>
        <v>2.3000000000000003</v>
      </c>
      <c r="M324" s="37">
        <f ca="1">_xlfn.IFNA(VLOOKUP($A324,INDIRECT("'W"&amp;M$1&amp;"'!$A$2:$T$1000"),4,FALSE),0)</f>
        <v>2.4000000000000004</v>
      </c>
      <c r="N324" s="37">
        <f ca="1">_xlfn.IFNA(VLOOKUP($A324,INDIRECT("'W"&amp;N$1&amp;"'!$A$2:$T$1000"),4,FALSE),0)</f>
        <v>4.6000000000000005</v>
      </c>
      <c r="O324" s="37">
        <f ca="1">_xlfn.IFNA(VLOOKUP($A324,INDIRECT("'W"&amp;O$1&amp;"'!$A$2:$T$1000"),4,FALSE),0)</f>
        <v>1.3</v>
      </c>
      <c r="P324" s="37">
        <f ca="1">_xlfn.IFNA(VLOOKUP($A324,INDIRECT("'W"&amp;P$1&amp;"'!$A$2:$T$1000"),4,FALSE),0)</f>
        <v>0</v>
      </c>
      <c r="Q324" s="37">
        <f ca="1">_xlfn.IFNA(VLOOKUP($A324,INDIRECT("'W"&amp;Q$1&amp;"'!$A$2:$T$1000"),4,FALSE),0)</f>
        <v>0</v>
      </c>
      <c r="R324" s="37">
        <f ca="1">_xlfn.IFNA(VLOOKUP($A324,INDIRECT("'W"&amp;R$1&amp;"'!$A$2:$T$1000"),4,FALSE),0)</f>
        <v>0</v>
      </c>
      <c r="S324" s="37">
        <f ca="1">_xlfn.IFNA(VLOOKUP($A324,INDIRECT("'W"&amp;S$1&amp;"'!$A$2:$T$1000"),4,FALSE),0)</f>
        <v>14</v>
      </c>
      <c r="T324" s="37">
        <f ca="1">_xlfn.IFNA(VLOOKUP($A324,INDIRECT("'W"&amp;T$1&amp;"'!$A$2:$T$1000"),4,FALSE),0)</f>
        <v>14.7</v>
      </c>
      <c r="U324" s="36">
        <f ca="1">COUNTIF(C324:T324,"&gt; 15")</f>
        <v>0</v>
      </c>
      <c r="V324" s="36">
        <f ca="1">SUM(C324:T324)</f>
        <v>47.5</v>
      </c>
      <c r="W324" s="36"/>
      <c r="X324" s="38"/>
    </row>
    <row r="325" spans="1:24" ht="12.75" x14ac:dyDescent="0.2">
      <c r="A325" s="36" t="s">
        <v>204</v>
      </c>
      <c r="B325" s="36" t="s">
        <v>162</v>
      </c>
      <c r="C325" s="37">
        <f ca="1">_xlfn.IFNA(VLOOKUP($A325,INDIRECT("'W"&amp;C$1&amp;"'!$A$2:$T$1000"),4,FALSE),0)</f>
        <v>9.1</v>
      </c>
      <c r="D325" s="37">
        <f ca="1">_xlfn.IFNA(VLOOKUP($A325,INDIRECT("'W"&amp;D$1&amp;"'!$A$2:$T$1000"),4,FALSE),0)</f>
        <v>1.4</v>
      </c>
      <c r="E325" s="37">
        <f ca="1">_xlfn.IFNA(VLOOKUP($A325,INDIRECT("'W"&amp;E$1&amp;"'!$A$2:$T$1000"),4,FALSE),0)</f>
        <v>0</v>
      </c>
      <c r="F325" s="37">
        <f ca="1">_xlfn.IFNA(VLOOKUP($A325,INDIRECT("'W"&amp;F$1&amp;"'!$A$2:$T$1000"),4,FALSE),0)</f>
        <v>2.1</v>
      </c>
      <c r="G325" s="37">
        <f ca="1">_xlfn.IFNA(VLOOKUP($A325,INDIRECT("'W"&amp;G$1&amp;"'!$A$2:$T$1000"),4,FALSE),0)</f>
        <v>0</v>
      </c>
      <c r="H325" s="37">
        <f ca="1">_xlfn.IFNA(VLOOKUP($A325,INDIRECT("'W"&amp;H$1&amp;"'!$A$2:$T$1000"),4,FALSE),0)</f>
        <v>0</v>
      </c>
      <c r="I325" s="37">
        <f ca="1">_xlfn.IFNA(VLOOKUP($A325,INDIRECT("'W"&amp;I$1&amp;"'!$A$2:$T$1000"),4,FALSE),0)</f>
        <v>0</v>
      </c>
      <c r="J325" s="37">
        <f ca="1">_xlfn.IFNA(VLOOKUP($A325,INDIRECT("'W"&amp;J$1&amp;"'!$A$2:$T$1000"),4,FALSE),0)</f>
        <v>0</v>
      </c>
      <c r="K325" s="37">
        <f ca="1">_xlfn.IFNA(VLOOKUP($A325,INDIRECT("'W"&amp;K$1&amp;"'!$A$2:$T$1000"),4,FALSE),0)</f>
        <v>0</v>
      </c>
      <c r="L325" s="37">
        <f ca="1">_xlfn.IFNA(VLOOKUP($A325,INDIRECT("'W"&amp;L$1&amp;"'!$A$2:$T$1000"),4,FALSE),0)</f>
        <v>2.4000000000000004</v>
      </c>
      <c r="M325" s="37">
        <f ca="1">_xlfn.IFNA(VLOOKUP($A325,INDIRECT("'W"&amp;M$1&amp;"'!$A$2:$T$1000"),4,FALSE),0)</f>
        <v>0</v>
      </c>
      <c r="N325" s="37">
        <f ca="1">_xlfn.IFNA(VLOOKUP($A325,INDIRECT("'W"&amp;N$1&amp;"'!$A$2:$T$1000"),4,FALSE),0)</f>
        <v>2.2999999999999998</v>
      </c>
      <c r="O325" s="37">
        <f ca="1">_xlfn.IFNA(VLOOKUP($A325,INDIRECT("'W"&amp;O$1&amp;"'!$A$2:$T$1000"),4,FALSE),0)</f>
        <v>2.2000000000000002</v>
      </c>
      <c r="P325" s="37">
        <f ca="1">_xlfn.IFNA(VLOOKUP($A325,INDIRECT("'W"&amp;P$1&amp;"'!$A$2:$T$1000"),4,FALSE),0)</f>
        <v>2.2000000000000002</v>
      </c>
      <c r="Q325" s="37">
        <f ca="1">_xlfn.IFNA(VLOOKUP($A325,INDIRECT("'W"&amp;Q$1&amp;"'!$A$2:$T$1000"),4,FALSE),0)</f>
        <v>10.6</v>
      </c>
      <c r="R325" s="37">
        <f ca="1">_xlfn.IFNA(VLOOKUP($A325,INDIRECT("'W"&amp;R$1&amp;"'!$A$2:$T$1000"),4,FALSE),0)</f>
        <v>0</v>
      </c>
      <c r="S325" s="37">
        <f ca="1">_xlfn.IFNA(VLOOKUP($A325,INDIRECT("'W"&amp;S$1&amp;"'!$A$2:$T$1000"),4,FALSE),0)</f>
        <v>14.9</v>
      </c>
      <c r="T325" s="37">
        <f ca="1">_xlfn.IFNA(VLOOKUP($A325,INDIRECT("'W"&amp;T$1&amp;"'!$A$2:$T$1000"),4,FALSE),0)</f>
        <v>0</v>
      </c>
      <c r="U325" s="36">
        <f ca="1">COUNTIF(C325:T325,"&gt; 15")</f>
        <v>0</v>
      </c>
      <c r="V325" s="36">
        <f ca="1">SUM(C325:T325)</f>
        <v>47.199999999999996</v>
      </c>
      <c r="W325" s="36"/>
      <c r="X325" s="38"/>
    </row>
    <row r="326" spans="1:24" ht="12.75" x14ac:dyDescent="0.2">
      <c r="A326" s="36" t="s">
        <v>142</v>
      </c>
      <c r="B326" s="36" t="s">
        <v>75</v>
      </c>
      <c r="C326" s="37">
        <f ca="1">_xlfn.IFNA(VLOOKUP($A326,INDIRECT("'W"&amp;C$1&amp;"'!$A$2:$T$1000"),4,FALSE),0)</f>
        <v>1.5999999999999999</v>
      </c>
      <c r="D326" s="37">
        <f ca="1">_xlfn.IFNA(VLOOKUP($A326,INDIRECT("'W"&amp;D$1&amp;"'!$A$2:$T$1000"),4,FALSE),0)</f>
        <v>0.5</v>
      </c>
      <c r="E326" s="37">
        <f ca="1">_xlfn.IFNA(VLOOKUP($A326,INDIRECT("'W"&amp;E$1&amp;"'!$A$2:$T$1000"),4,FALSE),0)</f>
        <v>10.799999999999999</v>
      </c>
      <c r="F326" s="37">
        <f ca="1">_xlfn.IFNA(VLOOKUP($A326,INDIRECT("'W"&amp;F$1&amp;"'!$A$2:$T$1000"),4,FALSE),0)</f>
        <v>12.8</v>
      </c>
      <c r="G326" s="37">
        <f ca="1">_xlfn.IFNA(VLOOKUP($A326,INDIRECT("'W"&amp;G$1&amp;"'!$A$2:$T$1000"),4,FALSE),0)</f>
        <v>3.4000000000000004</v>
      </c>
      <c r="H326" s="37">
        <f ca="1">_xlfn.IFNA(VLOOKUP($A326,INDIRECT("'W"&amp;H$1&amp;"'!$A$2:$T$1000"),4,FALSE),0)</f>
        <v>1.3</v>
      </c>
      <c r="I326" s="37">
        <f ca="1">_xlfn.IFNA(VLOOKUP($A326,INDIRECT("'W"&amp;I$1&amp;"'!$A$2:$T$1000"),4,FALSE),0)</f>
        <v>1.9</v>
      </c>
      <c r="J326" s="37">
        <f ca="1">_xlfn.IFNA(VLOOKUP($A326,INDIRECT("'W"&amp;J$1&amp;"'!$A$2:$T$1000"),4,FALSE),0)</f>
        <v>2.6999999999999997</v>
      </c>
      <c r="K326" s="37">
        <f ca="1">_xlfn.IFNA(VLOOKUP($A326,INDIRECT("'W"&amp;K$1&amp;"'!$A$2:$T$1000"),4,FALSE),0)</f>
        <v>2.1</v>
      </c>
      <c r="L326" s="37">
        <f ca="1">_xlfn.IFNA(VLOOKUP($A326,INDIRECT("'W"&amp;L$1&amp;"'!$A$2:$T$1000"),4,FALSE),0)</f>
        <v>0.30000000000000004</v>
      </c>
      <c r="M326" s="37">
        <f ca="1">_xlfn.IFNA(VLOOKUP($A326,INDIRECT("'W"&amp;M$1&amp;"'!$A$2:$T$1000"),4,FALSE),0)</f>
        <v>-0.1</v>
      </c>
      <c r="N326" s="37">
        <f ca="1">_xlfn.IFNA(VLOOKUP($A326,INDIRECT("'W"&amp;N$1&amp;"'!$A$2:$T$1000"),4,FALSE),0)</f>
        <v>2.6</v>
      </c>
      <c r="O326" s="37">
        <f ca="1">_xlfn.IFNA(VLOOKUP($A326,INDIRECT("'W"&amp;O$1&amp;"'!$A$2:$T$1000"),4,FALSE),0)</f>
        <v>0</v>
      </c>
      <c r="P326" s="37">
        <f ca="1">_xlfn.IFNA(VLOOKUP($A326,INDIRECT("'W"&amp;P$1&amp;"'!$A$2:$T$1000"),4,FALSE),0)</f>
        <v>1.6</v>
      </c>
      <c r="Q326" s="37">
        <f ca="1">_xlfn.IFNA(VLOOKUP($A326,INDIRECT("'W"&amp;Q$1&amp;"'!$A$2:$T$1000"),4,FALSE),0)</f>
        <v>4.0999999999999996</v>
      </c>
      <c r="R326" s="37">
        <f ca="1">_xlfn.IFNA(VLOOKUP($A326,INDIRECT("'W"&amp;R$1&amp;"'!$A$2:$T$1000"),4,FALSE),0)</f>
        <v>1.3</v>
      </c>
      <c r="S326" s="37">
        <f ca="1">_xlfn.IFNA(VLOOKUP($A326,INDIRECT("'W"&amp;S$1&amp;"'!$A$2:$T$1000"),4,FALSE),0)</f>
        <v>0</v>
      </c>
      <c r="T326" s="37">
        <f ca="1">_xlfn.IFNA(VLOOKUP($A326,INDIRECT("'W"&amp;T$1&amp;"'!$A$2:$T$1000"),4,FALSE),0)</f>
        <v>0</v>
      </c>
      <c r="U326" s="36">
        <f ca="1">COUNTIF(C326:T326,"&gt; 15")</f>
        <v>0</v>
      </c>
      <c r="V326" s="36">
        <f ca="1">SUM(C326:T326)</f>
        <v>46.900000000000006</v>
      </c>
      <c r="W326" s="36"/>
      <c r="X326" s="38"/>
    </row>
    <row r="327" spans="1:24" ht="12.75" x14ac:dyDescent="0.2">
      <c r="A327" s="36" t="s">
        <v>106</v>
      </c>
      <c r="B327" s="36" t="s">
        <v>75</v>
      </c>
      <c r="C327" s="37">
        <f ca="1">_xlfn.IFNA(VLOOKUP($A327,INDIRECT("'W"&amp;C$1&amp;"'!$A$2:$T$1000"),4,FALSE),0)</f>
        <v>8.9</v>
      </c>
      <c r="D327" s="37">
        <f ca="1">_xlfn.IFNA(VLOOKUP($A327,INDIRECT("'W"&amp;D$1&amp;"'!$A$2:$T$1000"),4,FALSE),0)</f>
        <v>0</v>
      </c>
      <c r="E327" s="37">
        <f ca="1">_xlfn.IFNA(VLOOKUP($A327,INDIRECT("'W"&amp;E$1&amp;"'!$A$2:$T$1000"),4,FALSE),0)</f>
        <v>0</v>
      </c>
      <c r="F327" s="37">
        <f ca="1">_xlfn.IFNA(VLOOKUP($A327,INDIRECT("'W"&amp;F$1&amp;"'!$A$2:$T$1000"),4,FALSE),0)</f>
        <v>7.1</v>
      </c>
      <c r="G327" s="37">
        <f ca="1">_xlfn.IFNA(VLOOKUP($A327,INDIRECT("'W"&amp;G$1&amp;"'!$A$2:$T$1000"),4,FALSE),0)</f>
        <v>3.8</v>
      </c>
      <c r="H327" s="37">
        <f ca="1">_xlfn.IFNA(VLOOKUP($A327,INDIRECT("'W"&amp;H$1&amp;"'!$A$2:$T$1000"),4,FALSE),0)</f>
        <v>2.5</v>
      </c>
      <c r="I327" s="37">
        <f ca="1">_xlfn.IFNA(VLOOKUP($A327,INDIRECT("'W"&amp;I$1&amp;"'!$A$2:$T$1000"),4,FALSE),0)</f>
        <v>8.1</v>
      </c>
      <c r="J327" s="37">
        <f ca="1">_xlfn.IFNA(VLOOKUP($A327,INDIRECT("'W"&amp;J$1&amp;"'!$A$2:$T$1000"),4,FALSE),0)</f>
        <v>9.5</v>
      </c>
      <c r="K327" s="37">
        <f ca="1">_xlfn.IFNA(VLOOKUP($A327,INDIRECT("'W"&amp;K$1&amp;"'!$A$2:$T$1000"),4,FALSE),0)</f>
        <v>6.8</v>
      </c>
      <c r="L327" s="37">
        <f ca="1">_xlfn.IFNA(VLOOKUP($A327,INDIRECT("'W"&amp;L$1&amp;"'!$A$2:$T$1000"),4,FALSE),0)</f>
        <v>0</v>
      </c>
      <c r="M327" s="37">
        <f ca="1">_xlfn.IFNA(VLOOKUP($A327,INDIRECT("'W"&amp;M$1&amp;"'!$A$2:$T$1000"),4,FALSE),0)</f>
        <v>0</v>
      </c>
      <c r="N327" s="37">
        <f ca="1">_xlfn.IFNA(VLOOKUP($A327,INDIRECT("'W"&amp;N$1&amp;"'!$A$2:$T$1000"),4,FALSE),0)</f>
        <v>0</v>
      </c>
      <c r="O327" s="37">
        <f ca="1">_xlfn.IFNA(VLOOKUP($A327,INDIRECT("'W"&amp;O$1&amp;"'!$A$2:$T$1000"),4,FALSE),0)</f>
        <v>0</v>
      </c>
      <c r="P327" s="37">
        <f ca="1">_xlfn.IFNA(VLOOKUP($A327,INDIRECT("'W"&amp;P$1&amp;"'!$A$2:$T$1000"),4,FALSE),0)</f>
        <v>0</v>
      </c>
      <c r="Q327" s="37">
        <f ca="1">_xlfn.IFNA(VLOOKUP($A327,INDIRECT("'W"&amp;Q$1&amp;"'!$A$2:$T$1000"),4,FALSE),0)</f>
        <v>0</v>
      </c>
      <c r="R327" s="37">
        <f ca="1">_xlfn.IFNA(VLOOKUP($A327,INDIRECT("'W"&amp;R$1&amp;"'!$A$2:$T$1000"),4,FALSE),0)</f>
        <v>0</v>
      </c>
      <c r="S327" s="37">
        <f ca="1">_xlfn.IFNA(VLOOKUP($A327,INDIRECT("'W"&amp;S$1&amp;"'!$A$2:$T$1000"),4,FALSE),0)</f>
        <v>0</v>
      </c>
      <c r="T327" s="37">
        <f ca="1">_xlfn.IFNA(VLOOKUP($A327,INDIRECT("'W"&amp;T$1&amp;"'!$A$2:$T$1000"),4,FALSE),0)</f>
        <v>0</v>
      </c>
      <c r="U327" s="36">
        <f ca="1">COUNTIF(C327:T327,"&gt; 15")</f>
        <v>0</v>
      </c>
      <c r="V327" s="36">
        <f ca="1">SUM(C327:T327)</f>
        <v>46.699999999999996</v>
      </c>
      <c r="W327" s="36"/>
      <c r="X327" s="38">
        <v>64</v>
      </c>
    </row>
    <row r="328" spans="1:24" ht="12.75" x14ac:dyDescent="0.2">
      <c r="A328" s="36" t="s">
        <v>363</v>
      </c>
      <c r="B328" s="36" t="s">
        <v>69</v>
      </c>
      <c r="C328" s="37">
        <f ca="1">_xlfn.IFNA(VLOOKUP($A328,INDIRECT("'W"&amp;C$1&amp;"'!$A$2:$T$1000"),4,FALSE),0)</f>
        <v>0</v>
      </c>
      <c r="D328" s="37">
        <f ca="1">_xlfn.IFNA(VLOOKUP($A328,INDIRECT("'W"&amp;D$1&amp;"'!$A$2:$T$1000"),4,FALSE),0)</f>
        <v>4</v>
      </c>
      <c r="E328" s="37">
        <f ca="1">_xlfn.IFNA(VLOOKUP($A328,INDIRECT("'W"&amp;E$1&amp;"'!$A$2:$T$1000"),4,FALSE),0)</f>
        <v>0</v>
      </c>
      <c r="F328" s="37">
        <f ca="1">_xlfn.IFNA(VLOOKUP($A328,INDIRECT("'W"&amp;F$1&amp;"'!$A$2:$T$1000"),4,FALSE),0)</f>
        <v>0</v>
      </c>
      <c r="G328" s="37">
        <f ca="1">_xlfn.IFNA(VLOOKUP($A328,INDIRECT("'W"&amp;G$1&amp;"'!$A$2:$T$1000"),4,FALSE),0)</f>
        <v>7.6</v>
      </c>
      <c r="H328" s="37">
        <f ca="1">_xlfn.IFNA(VLOOKUP($A328,INDIRECT("'W"&amp;H$1&amp;"'!$A$2:$T$1000"),4,FALSE),0)</f>
        <v>7.3000000000000007</v>
      </c>
      <c r="I328" s="37">
        <f ca="1">_xlfn.IFNA(VLOOKUP($A328,INDIRECT("'W"&amp;I$1&amp;"'!$A$2:$T$1000"),4,FALSE),0)</f>
        <v>6.3000000000000007</v>
      </c>
      <c r="J328" s="37">
        <f ca="1">_xlfn.IFNA(VLOOKUP($A328,INDIRECT("'W"&amp;J$1&amp;"'!$A$2:$T$1000"),4,FALSE),0)</f>
        <v>0</v>
      </c>
      <c r="K328" s="37">
        <f ca="1">_xlfn.IFNA(VLOOKUP($A328,INDIRECT("'W"&amp;K$1&amp;"'!$A$2:$T$1000"),4,FALSE),0)</f>
        <v>3.3000000000000003</v>
      </c>
      <c r="L328" s="37">
        <f ca="1">_xlfn.IFNA(VLOOKUP($A328,INDIRECT("'W"&amp;L$1&amp;"'!$A$2:$T$1000"),4,FALSE),0)</f>
        <v>0</v>
      </c>
      <c r="M328" s="37">
        <f ca="1">_xlfn.IFNA(VLOOKUP($A328,INDIRECT("'W"&amp;M$1&amp;"'!$A$2:$T$1000"),4,FALSE),0)</f>
        <v>0</v>
      </c>
      <c r="N328" s="37">
        <f ca="1">_xlfn.IFNA(VLOOKUP($A328,INDIRECT("'W"&amp;N$1&amp;"'!$A$2:$T$1000"),4,FALSE),0)</f>
        <v>0</v>
      </c>
      <c r="O328" s="37">
        <f ca="1">_xlfn.IFNA(VLOOKUP($A328,INDIRECT("'W"&amp;O$1&amp;"'!$A$2:$T$1000"),4,FALSE),0)</f>
        <v>4.8000000000000007</v>
      </c>
      <c r="P328" s="37">
        <f ca="1">_xlfn.IFNA(VLOOKUP($A328,INDIRECT("'W"&amp;P$1&amp;"'!$A$2:$T$1000"),4,FALSE),0)</f>
        <v>2.8</v>
      </c>
      <c r="Q328" s="37">
        <f ca="1">_xlfn.IFNA(VLOOKUP($A328,INDIRECT("'W"&amp;Q$1&amp;"'!$A$2:$T$1000"),4,FALSE),0)</f>
        <v>4.3</v>
      </c>
      <c r="R328" s="37">
        <f ca="1">_xlfn.IFNA(VLOOKUP($A328,INDIRECT("'W"&amp;R$1&amp;"'!$A$2:$T$1000"),4,FALSE),0)</f>
        <v>2.2999999999999998</v>
      </c>
      <c r="S328" s="37">
        <f ca="1">_xlfn.IFNA(VLOOKUP($A328,INDIRECT("'W"&amp;S$1&amp;"'!$A$2:$T$1000"),4,FALSE),0)</f>
        <v>2.2999999999999998</v>
      </c>
      <c r="T328" s="37">
        <f ca="1">_xlfn.IFNA(VLOOKUP($A328,INDIRECT("'W"&amp;T$1&amp;"'!$A$2:$T$1000"),4,FALSE),0)</f>
        <v>1.3</v>
      </c>
      <c r="U328" s="36">
        <f ca="1">COUNTIF(C328:T328,"&gt; 15")</f>
        <v>0</v>
      </c>
      <c r="V328" s="36">
        <f ca="1">SUM(C328:T328)</f>
        <v>46.299999999999983</v>
      </c>
      <c r="W328" s="36"/>
      <c r="X328" s="38"/>
    </row>
    <row r="329" spans="1:24" ht="12.75" x14ac:dyDescent="0.2">
      <c r="A329" s="36" t="s">
        <v>575</v>
      </c>
      <c r="B329" s="36" t="s">
        <v>75</v>
      </c>
      <c r="C329" s="37">
        <f ca="1">_xlfn.IFNA(VLOOKUP($A329,INDIRECT("'W"&amp;C$1&amp;"'!$A$2:$T$1000"),4,FALSE),0)</f>
        <v>0</v>
      </c>
      <c r="D329" s="37">
        <f ca="1">_xlfn.IFNA(VLOOKUP($A329,INDIRECT("'W"&amp;D$1&amp;"'!$A$2:$T$1000"),4,FALSE),0)</f>
        <v>0</v>
      </c>
      <c r="E329" s="37">
        <f ca="1">_xlfn.IFNA(VLOOKUP($A329,INDIRECT("'W"&amp;E$1&amp;"'!$A$2:$T$1000"),4,FALSE),0)</f>
        <v>0</v>
      </c>
      <c r="F329" s="37">
        <f ca="1">_xlfn.IFNA(VLOOKUP($A329,INDIRECT("'W"&amp;F$1&amp;"'!$A$2:$T$1000"),4,FALSE),0)</f>
        <v>0</v>
      </c>
      <c r="G329" s="37">
        <f ca="1">_xlfn.IFNA(VLOOKUP($A329,INDIRECT("'W"&amp;G$1&amp;"'!$A$2:$T$1000"),4,FALSE),0)</f>
        <v>0</v>
      </c>
      <c r="H329" s="37">
        <f ca="1">_xlfn.IFNA(VLOOKUP($A329,INDIRECT("'W"&amp;H$1&amp;"'!$A$2:$T$1000"),4,FALSE),0)</f>
        <v>0</v>
      </c>
      <c r="I329" s="37">
        <f ca="1">_xlfn.IFNA(VLOOKUP($A329,INDIRECT("'W"&amp;I$1&amp;"'!$A$2:$T$1000"),4,FALSE),0)</f>
        <v>6.6000000000000005</v>
      </c>
      <c r="J329" s="37">
        <f ca="1">_xlfn.IFNA(VLOOKUP($A329,INDIRECT("'W"&amp;J$1&amp;"'!$A$2:$T$1000"),4,FALSE),0)</f>
        <v>10.4</v>
      </c>
      <c r="K329" s="37">
        <f ca="1">_xlfn.IFNA(VLOOKUP($A329,INDIRECT("'W"&amp;K$1&amp;"'!$A$2:$T$1000"),4,FALSE),0)</f>
        <v>3.2</v>
      </c>
      <c r="L329" s="37">
        <f ca="1">_xlfn.IFNA(VLOOKUP($A329,INDIRECT("'W"&amp;L$1&amp;"'!$A$2:$T$1000"),4,FALSE),0)</f>
        <v>0</v>
      </c>
      <c r="M329" s="37">
        <f ca="1">_xlfn.IFNA(VLOOKUP($A329,INDIRECT("'W"&amp;M$1&amp;"'!$A$2:$T$1000"),4,FALSE),0)</f>
        <v>7.3000000000000007</v>
      </c>
      <c r="N329" s="37">
        <f ca="1">_xlfn.IFNA(VLOOKUP($A329,INDIRECT("'W"&amp;N$1&amp;"'!$A$2:$T$1000"),4,FALSE),0)</f>
        <v>13.7</v>
      </c>
      <c r="O329" s="37">
        <f ca="1">_xlfn.IFNA(VLOOKUP($A329,INDIRECT("'W"&amp;O$1&amp;"'!$A$2:$T$1000"),4,FALSE),0)</f>
        <v>0</v>
      </c>
      <c r="P329" s="37">
        <f ca="1">_xlfn.IFNA(VLOOKUP($A329,INDIRECT("'W"&amp;P$1&amp;"'!$A$2:$T$1000"),4,FALSE),0)</f>
        <v>0.9</v>
      </c>
      <c r="Q329" s="37">
        <f ca="1">_xlfn.IFNA(VLOOKUP($A329,INDIRECT("'W"&amp;Q$1&amp;"'!$A$2:$T$1000"),4,FALSE),0)</f>
        <v>1.6</v>
      </c>
      <c r="R329" s="37">
        <f ca="1">_xlfn.IFNA(VLOOKUP($A329,INDIRECT("'W"&amp;R$1&amp;"'!$A$2:$T$1000"),4,FALSE),0)</f>
        <v>0</v>
      </c>
      <c r="S329" s="37">
        <f ca="1">_xlfn.IFNA(VLOOKUP($A329,INDIRECT("'W"&amp;S$1&amp;"'!$A$2:$T$1000"),4,FALSE),0)</f>
        <v>0</v>
      </c>
      <c r="T329" s="37">
        <f ca="1">_xlfn.IFNA(VLOOKUP($A329,INDIRECT("'W"&amp;T$1&amp;"'!$A$2:$T$1000"),4,FALSE),0)</f>
        <v>2.5</v>
      </c>
      <c r="U329" s="36">
        <f ca="1">COUNTIF(C329:T329,"&gt; 15")</f>
        <v>0</v>
      </c>
      <c r="V329" s="36">
        <f ca="1">SUM(C329:T329)</f>
        <v>46.2</v>
      </c>
      <c r="W329" s="36"/>
      <c r="X329" s="38"/>
    </row>
    <row r="330" spans="1:24" ht="12.75" x14ac:dyDescent="0.2">
      <c r="A330" s="36" t="s">
        <v>764</v>
      </c>
      <c r="B330" s="36" t="e">
        <f ca="1">VLOOKUP(A330,CumulativePlayerList!$T$3:$U$550,2,FALSE)</f>
        <v>#NAME?</v>
      </c>
      <c r="C330" s="37">
        <f ca="1">_xlfn.IFNA(VLOOKUP($A330,INDIRECT("'W"&amp;C$1&amp;"'!$A$2:$T$1000"),4,FALSE),0)</f>
        <v>0</v>
      </c>
      <c r="D330" s="37">
        <f ca="1">_xlfn.IFNA(VLOOKUP($A330,INDIRECT("'W"&amp;D$1&amp;"'!$A$2:$T$1000"),4,FALSE),0)</f>
        <v>0</v>
      </c>
      <c r="E330" s="37">
        <f ca="1">_xlfn.IFNA(VLOOKUP($A330,INDIRECT("'W"&amp;E$1&amp;"'!$A$2:$T$1000"),4,FALSE),0)</f>
        <v>0</v>
      </c>
      <c r="F330" s="37">
        <f ca="1">_xlfn.IFNA(VLOOKUP($A330,INDIRECT("'W"&amp;F$1&amp;"'!$A$2:$T$1000"),4,FALSE),0)</f>
        <v>0</v>
      </c>
      <c r="G330" s="37">
        <f ca="1">_xlfn.IFNA(VLOOKUP($A330,INDIRECT("'W"&amp;G$1&amp;"'!$A$2:$T$1000"),4,FALSE),0)</f>
        <v>0</v>
      </c>
      <c r="H330" s="37">
        <f ca="1">_xlfn.IFNA(VLOOKUP($A330,INDIRECT("'W"&amp;H$1&amp;"'!$A$2:$T$1000"),4,FALSE),0)</f>
        <v>0</v>
      </c>
      <c r="I330" s="37">
        <f ca="1">_xlfn.IFNA(VLOOKUP($A330,INDIRECT("'W"&amp;I$1&amp;"'!$A$2:$T$1000"),4,FALSE),0)</f>
        <v>0</v>
      </c>
      <c r="J330" s="37">
        <f ca="1">_xlfn.IFNA(VLOOKUP($A330,INDIRECT("'W"&amp;J$1&amp;"'!$A$2:$T$1000"),4,FALSE),0)</f>
        <v>0</v>
      </c>
      <c r="K330" s="37">
        <f ca="1">_xlfn.IFNA(VLOOKUP($A330,INDIRECT("'W"&amp;K$1&amp;"'!$A$2:$T$1000"),4,FALSE),0)</f>
        <v>0</v>
      </c>
      <c r="L330" s="37">
        <f ca="1">_xlfn.IFNA(VLOOKUP($A330,INDIRECT("'W"&amp;L$1&amp;"'!$A$2:$T$1000"),4,FALSE),0)</f>
        <v>0</v>
      </c>
      <c r="M330" s="37">
        <f ca="1">_xlfn.IFNA(VLOOKUP($A330,INDIRECT("'W"&amp;M$1&amp;"'!$A$2:$T$1000"),4,FALSE),0)</f>
        <v>0</v>
      </c>
      <c r="N330" s="37">
        <f ca="1">_xlfn.IFNA(VLOOKUP($A330,INDIRECT("'W"&amp;N$1&amp;"'!$A$2:$T$1000"),4,FALSE),0)</f>
        <v>0</v>
      </c>
      <c r="O330" s="37">
        <f ca="1">_xlfn.IFNA(VLOOKUP($A330,INDIRECT("'W"&amp;O$1&amp;"'!$A$2:$T$1000"),4,FALSE),0)</f>
        <v>0</v>
      </c>
      <c r="P330" s="37">
        <f ca="1">_xlfn.IFNA(VLOOKUP($A330,INDIRECT("'W"&amp;P$1&amp;"'!$A$2:$T$1000"),4,FALSE),0)</f>
        <v>0</v>
      </c>
      <c r="Q330" s="37">
        <f ca="1">_xlfn.IFNA(VLOOKUP($A330,INDIRECT("'W"&amp;Q$1&amp;"'!$A$2:$T$1000"),4,FALSE),0)</f>
        <v>1.7000000000000002</v>
      </c>
      <c r="R330" s="37">
        <f ca="1">_xlfn.IFNA(VLOOKUP($A330,INDIRECT("'W"&amp;R$1&amp;"'!$A$2:$T$1000"),4,FALSE),0)</f>
        <v>9.1000000000000014</v>
      </c>
      <c r="S330" s="37">
        <f ca="1">_xlfn.IFNA(VLOOKUP($A330,INDIRECT("'W"&amp;S$1&amp;"'!$A$2:$T$1000"),4,FALSE),0)</f>
        <v>22.5</v>
      </c>
      <c r="T330" s="37">
        <f ca="1">_xlfn.IFNA(VLOOKUP($A330,INDIRECT("'W"&amp;T$1&amp;"'!$A$2:$T$1000"),4,FALSE),0)</f>
        <v>12.600000000000001</v>
      </c>
      <c r="U330" s="36">
        <f ca="1">COUNTIF(C330:T330,"&gt; 15")</f>
        <v>1</v>
      </c>
      <c r="V330" s="36">
        <f ca="1">SUM(C330:T330)</f>
        <v>45.9</v>
      </c>
      <c r="W330" s="36"/>
      <c r="X330" s="38"/>
    </row>
    <row r="331" spans="1:24" ht="12.75" x14ac:dyDescent="0.2">
      <c r="A331" s="36" t="s">
        <v>678</v>
      </c>
      <c r="B331" s="36" t="s">
        <v>162</v>
      </c>
      <c r="C331" s="37">
        <f ca="1">_xlfn.IFNA(VLOOKUP($A331,INDIRECT("'W"&amp;C$1&amp;"'!$A$2:$T$1000"),4,FALSE),0)</f>
        <v>0</v>
      </c>
      <c r="D331" s="37">
        <f ca="1">_xlfn.IFNA(VLOOKUP($A331,INDIRECT("'W"&amp;D$1&amp;"'!$A$2:$T$1000"),4,FALSE),0)</f>
        <v>0</v>
      </c>
      <c r="E331" s="37">
        <f ca="1">_xlfn.IFNA(VLOOKUP($A331,INDIRECT("'W"&amp;E$1&amp;"'!$A$2:$T$1000"),4,FALSE),0)</f>
        <v>0</v>
      </c>
      <c r="F331" s="37">
        <f ca="1">_xlfn.IFNA(VLOOKUP($A331,INDIRECT("'W"&amp;F$1&amp;"'!$A$2:$T$1000"),4,FALSE),0)</f>
        <v>0</v>
      </c>
      <c r="G331" s="37">
        <f ca="1">_xlfn.IFNA(VLOOKUP($A331,INDIRECT("'W"&amp;G$1&amp;"'!$A$2:$T$1000"),4,FALSE),0)</f>
        <v>0</v>
      </c>
      <c r="H331" s="37">
        <f ca="1">_xlfn.IFNA(VLOOKUP($A331,INDIRECT("'W"&amp;H$1&amp;"'!$A$2:$T$1000"),4,FALSE),0)</f>
        <v>0</v>
      </c>
      <c r="I331" s="37">
        <f ca="1">_xlfn.IFNA(VLOOKUP($A331,INDIRECT("'W"&amp;I$1&amp;"'!$A$2:$T$1000"),4,FALSE),0)</f>
        <v>0</v>
      </c>
      <c r="J331" s="37">
        <f ca="1">_xlfn.IFNA(VLOOKUP($A331,INDIRECT("'W"&amp;J$1&amp;"'!$A$2:$T$1000"),4,FALSE),0)</f>
        <v>0</v>
      </c>
      <c r="K331" s="37">
        <f ca="1">_xlfn.IFNA(VLOOKUP($A331,INDIRECT("'W"&amp;K$1&amp;"'!$A$2:$T$1000"),4,FALSE),0)</f>
        <v>0</v>
      </c>
      <c r="L331" s="37">
        <f ca="1">_xlfn.IFNA(VLOOKUP($A331,INDIRECT("'W"&amp;L$1&amp;"'!$A$2:$T$1000"),4,FALSE),0)</f>
        <v>0</v>
      </c>
      <c r="M331" s="37">
        <f ca="1">_xlfn.IFNA(VLOOKUP($A331,INDIRECT("'W"&amp;M$1&amp;"'!$A$2:$T$1000"),4,FALSE),0)</f>
        <v>2.2000000000000002</v>
      </c>
      <c r="N331" s="37">
        <f ca="1">_xlfn.IFNA(VLOOKUP($A331,INDIRECT("'W"&amp;N$1&amp;"'!$A$2:$T$1000"),4,FALSE),0)</f>
        <v>2.7</v>
      </c>
      <c r="O331" s="37">
        <f ca="1">_xlfn.IFNA(VLOOKUP($A331,INDIRECT("'W"&amp;O$1&amp;"'!$A$2:$T$1000"),4,FALSE),0)</f>
        <v>3.3000000000000003</v>
      </c>
      <c r="P331" s="37">
        <f ca="1">_xlfn.IFNA(VLOOKUP($A331,INDIRECT("'W"&amp;P$1&amp;"'!$A$2:$T$1000"),4,FALSE),0)</f>
        <v>1.9</v>
      </c>
      <c r="Q331" s="37">
        <f ca="1">_xlfn.IFNA(VLOOKUP($A331,INDIRECT("'W"&amp;Q$1&amp;"'!$A$2:$T$1000"),4,FALSE),0)</f>
        <v>8.3000000000000007</v>
      </c>
      <c r="R331" s="37">
        <f ca="1">_xlfn.IFNA(VLOOKUP($A331,INDIRECT("'W"&amp;R$1&amp;"'!$A$2:$T$1000"),4,FALSE),0)</f>
        <v>5.0999999999999996</v>
      </c>
      <c r="S331" s="37">
        <f ca="1">_xlfn.IFNA(VLOOKUP($A331,INDIRECT("'W"&amp;S$1&amp;"'!$A$2:$T$1000"),4,FALSE),0)</f>
        <v>16.8</v>
      </c>
      <c r="T331" s="37">
        <f ca="1">_xlfn.IFNA(VLOOKUP($A331,INDIRECT("'W"&amp;T$1&amp;"'!$A$2:$T$1000"),4,FALSE),0)</f>
        <v>4.9000000000000004</v>
      </c>
      <c r="U331" s="36">
        <f ca="1">COUNTIF(C331:T331,"&gt; 15")</f>
        <v>1</v>
      </c>
      <c r="V331" s="36">
        <f ca="1">SUM(C331:T331)</f>
        <v>45.199999999999996</v>
      </c>
      <c r="W331" s="36"/>
      <c r="X331" s="38"/>
    </row>
    <row r="332" spans="1:24" ht="12.75" x14ac:dyDescent="0.2">
      <c r="A332" s="36" t="s">
        <v>451</v>
      </c>
      <c r="B332" s="36" t="s">
        <v>75</v>
      </c>
      <c r="C332" s="37">
        <f ca="1">_xlfn.IFNA(VLOOKUP($A332,INDIRECT("'W"&amp;C$1&amp;"'!$A$2:$T$1000"),4,FALSE),0)</f>
        <v>0</v>
      </c>
      <c r="D332" s="37">
        <f ca="1">_xlfn.IFNA(VLOOKUP($A332,INDIRECT("'W"&amp;D$1&amp;"'!$A$2:$T$1000"),4,FALSE),0)</f>
        <v>0</v>
      </c>
      <c r="E332" s="37">
        <f ca="1">_xlfn.IFNA(VLOOKUP($A332,INDIRECT("'W"&amp;E$1&amp;"'!$A$2:$T$1000"),4,FALSE),0)</f>
        <v>1.1000000000000001</v>
      </c>
      <c r="F332" s="37">
        <f ca="1">_xlfn.IFNA(VLOOKUP($A332,INDIRECT("'W"&amp;F$1&amp;"'!$A$2:$T$1000"),4,FALSE),0)</f>
        <v>3.3</v>
      </c>
      <c r="G332" s="37">
        <f ca="1">_xlfn.IFNA(VLOOKUP($A332,INDIRECT("'W"&amp;G$1&amp;"'!$A$2:$T$1000"),4,FALSE),0)</f>
        <v>12.9</v>
      </c>
      <c r="H332" s="37">
        <f ca="1">_xlfn.IFNA(VLOOKUP($A332,INDIRECT("'W"&amp;H$1&amp;"'!$A$2:$T$1000"),4,FALSE),0)</f>
        <v>8.6999999999999993</v>
      </c>
      <c r="I332" s="37">
        <f ca="1">_xlfn.IFNA(VLOOKUP($A332,INDIRECT("'W"&amp;I$1&amp;"'!$A$2:$T$1000"),4,FALSE),0)</f>
        <v>0</v>
      </c>
      <c r="J332" s="37">
        <f ca="1">_xlfn.IFNA(VLOOKUP($A332,INDIRECT("'W"&amp;J$1&amp;"'!$A$2:$T$1000"),4,FALSE),0)</f>
        <v>0</v>
      </c>
      <c r="K332" s="37">
        <f ca="1">_xlfn.IFNA(VLOOKUP($A332,INDIRECT("'W"&amp;K$1&amp;"'!$A$2:$T$1000"),4,FALSE),0)</f>
        <v>0</v>
      </c>
      <c r="L332" s="37">
        <f ca="1">_xlfn.IFNA(VLOOKUP($A332,INDIRECT("'W"&amp;L$1&amp;"'!$A$2:$T$1000"),4,FALSE),0)</f>
        <v>0</v>
      </c>
      <c r="M332" s="37">
        <f ca="1">_xlfn.IFNA(VLOOKUP($A332,INDIRECT("'W"&amp;M$1&amp;"'!$A$2:$T$1000"),4,FALSE),0)</f>
        <v>0</v>
      </c>
      <c r="N332" s="37">
        <f ca="1">_xlfn.IFNA(VLOOKUP($A332,INDIRECT("'W"&amp;N$1&amp;"'!$A$2:$T$1000"),4,FALSE),0)</f>
        <v>0</v>
      </c>
      <c r="O332" s="37">
        <f ca="1">_xlfn.IFNA(VLOOKUP($A332,INDIRECT("'W"&amp;O$1&amp;"'!$A$2:$T$1000"),4,FALSE),0)</f>
        <v>1</v>
      </c>
      <c r="P332" s="37">
        <f ca="1">_xlfn.IFNA(VLOOKUP($A332,INDIRECT("'W"&amp;P$1&amp;"'!$A$2:$T$1000"),4,FALSE),0)</f>
        <v>9.6</v>
      </c>
      <c r="Q332" s="37">
        <f ca="1">_xlfn.IFNA(VLOOKUP($A332,INDIRECT("'W"&amp;Q$1&amp;"'!$A$2:$T$1000"),4,FALSE),0)</f>
        <v>2</v>
      </c>
      <c r="R332" s="37">
        <f ca="1">_xlfn.IFNA(VLOOKUP($A332,INDIRECT("'W"&amp;R$1&amp;"'!$A$2:$T$1000"),4,FALSE),0)</f>
        <v>0</v>
      </c>
      <c r="S332" s="37">
        <f ca="1">_xlfn.IFNA(VLOOKUP($A332,INDIRECT("'W"&amp;S$1&amp;"'!$A$2:$T$1000"),4,FALSE),0)</f>
        <v>0.30000000000000004</v>
      </c>
      <c r="T332" s="37">
        <f ca="1">_xlfn.IFNA(VLOOKUP($A332,INDIRECT("'W"&amp;T$1&amp;"'!$A$2:$T$1000"),4,FALSE),0)</f>
        <v>5.8</v>
      </c>
      <c r="U332" s="36">
        <f ca="1">COUNTIF(C332:T332,"&gt; 15")</f>
        <v>0</v>
      </c>
      <c r="V332" s="36">
        <f ca="1">SUM(C332:T332)</f>
        <v>44.699999999999996</v>
      </c>
      <c r="W332" s="36"/>
      <c r="X332" s="38"/>
    </row>
    <row r="333" spans="1:24" ht="12.75" x14ac:dyDescent="0.2">
      <c r="A333" s="36" t="s">
        <v>495</v>
      </c>
      <c r="B333" s="36" t="s">
        <v>162</v>
      </c>
      <c r="C333" s="37">
        <f ca="1">_xlfn.IFNA(VLOOKUP($A333,INDIRECT("'W"&amp;C$1&amp;"'!$A$2:$T$1000"),4,FALSE),0)</f>
        <v>0</v>
      </c>
      <c r="D333" s="37">
        <f ca="1">_xlfn.IFNA(VLOOKUP($A333,INDIRECT("'W"&amp;D$1&amp;"'!$A$2:$T$1000"),4,FALSE),0)</f>
        <v>0</v>
      </c>
      <c r="E333" s="37">
        <f ca="1">_xlfn.IFNA(VLOOKUP($A333,INDIRECT("'W"&amp;E$1&amp;"'!$A$2:$T$1000"),4,FALSE),0)</f>
        <v>0</v>
      </c>
      <c r="F333" s="37">
        <f ca="1">_xlfn.IFNA(VLOOKUP($A333,INDIRECT("'W"&amp;F$1&amp;"'!$A$2:$T$1000"),4,FALSE),0)</f>
        <v>1.5</v>
      </c>
      <c r="G333" s="37">
        <f ca="1">_xlfn.IFNA(VLOOKUP($A333,INDIRECT("'W"&amp;G$1&amp;"'!$A$2:$T$1000"),4,FALSE),0)</f>
        <v>0</v>
      </c>
      <c r="H333" s="37">
        <f ca="1">_xlfn.IFNA(VLOOKUP($A333,INDIRECT("'W"&amp;H$1&amp;"'!$A$2:$T$1000"),4,FALSE),0)</f>
        <v>0</v>
      </c>
      <c r="I333" s="37">
        <f ca="1">_xlfn.IFNA(VLOOKUP($A333,INDIRECT("'W"&amp;I$1&amp;"'!$A$2:$T$1000"),4,FALSE),0)</f>
        <v>0</v>
      </c>
      <c r="J333" s="37">
        <f ca="1">_xlfn.IFNA(VLOOKUP($A333,INDIRECT("'W"&amp;J$1&amp;"'!$A$2:$T$1000"),4,FALSE),0)</f>
        <v>0</v>
      </c>
      <c r="K333" s="37">
        <f ca="1">_xlfn.IFNA(VLOOKUP($A333,INDIRECT("'W"&amp;K$1&amp;"'!$A$2:$T$1000"),4,FALSE),0)</f>
        <v>1.3</v>
      </c>
      <c r="L333" s="37">
        <f ca="1">_xlfn.IFNA(VLOOKUP($A333,INDIRECT("'W"&amp;L$1&amp;"'!$A$2:$T$1000"),4,FALSE),0)</f>
        <v>0</v>
      </c>
      <c r="M333" s="37">
        <f ca="1">_xlfn.IFNA(VLOOKUP($A333,INDIRECT("'W"&amp;M$1&amp;"'!$A$2:$T$1000"),4,FALSE),0)</f>
        <v>2</v>
      </c>
      <c r="N333" s="37">
        <f ca="1">_xlfn.IFNA(VLOOKUP($A333,INDIRECT("'W"&amp;N$1&amp;"'!$A$2:$T$1000"),4,FALSE),0)</f>
        <v>9.5</v>
      </c>
      <c r="O333" s="37">
        <f ca="1">_xlfn.IFNA(VLOOKUP($A333,INDIRECT("'W"&amp;O$1&amp;"'!$A$2:$T$1000"),4,FALSE),0)</f>
        <v>4</v>
      </c>
      <c r="P333" s="37">
        <f ca="1">_xlfn.IFNA(VLOOKUP($A333,INDIRECT("'W"&amp;P$1&amp;"'!$A$2:$T$1000"),4,FALSE),0)</f>
        <v>4.3000000000000007</v>
      </c>
      <c r="Q333" s="37">
        <f ca="1">_xlfn.IFNA(VLOOKUP($A333,INDIRECT("'W"&amp;Q$1&amp;"'!$A$2:$T$1000"),4,FALSE),0)</f>
        <v>9.1999999999999993</v>
      </c>
      <c r="R333" s="37">
        <f ca="1">_xlfn.IFNA(VLOOKUP($A333,INDIRECT("'W"&amp;R$1&amp;"'!$A$2:$T$1000"),4,FALSE),0)</f>
        <v>3.3</v>
      </c>
      <c r="S333" s="37">
        <f ca="1">_xlfn.IFNA(VLOOKUP($A333,INDIRECT("'W"&amp;S$1&amp;"'!$A$2:$T$1000"),4,FALSE),0)</f>
        <v>1.8</v>
      </c>
      <c r="T333" s="37">
        <f ca="1">_xlfn.IFNA(VLOOKUP($A333,INDIRECT("'W"&amp;T$1&amp;"'!$A$2:$T$1000"),4,FALSE),0)</f>
        <v>7.3</v>
      </c>
      <c r="U333" s="36">
        <f ca="1">COUNTIF(C333:T333,"&gt; 15")</f>
        <v>0</v>
      </c>
      <c r="V333" s="36">
        <f ca="1">SUM(C333:T333)</f>
        <v>44.199999999999996</v>
      </c>
      <c r="W333" s="36"/>
      <c r="X333" s="38"/>
    </row>
    <row r="334" spans="1:24" ht="12.75" x14ac:dyDescent="0.2">
      <c r="A334" s="36" t="s">
        <v>574</v>
      </c>
      <c r="B334" s="36" t="s">
        <v>75</v>
      </c>
      <c r="C334" s="37">
        <f ca="1">_xlfn.IFNA(VLOOKUP($A334,INDIRECT("'W"&amp;C$1&amp;"'!$A$2:$T$1000"),4,FALSE),0)</f>
        <v>0</v>
      </c>
      <c r="D334" s="37">
        <f ca="1">_xlfn.IFNA(VLOOKUP($A334,INDIRECT("'W"&amp;D$1&amp;"'!$A$2:$T$1000"),4,FALSE),0)</f>
        <v>0</v>
      </c>
      <c r="E334" s="37">
        <f ca="1">_xlfn.IFNA(VLOOKUP($A334,INDIRECT("'W"&amp;E$1&amp;"'!$A$2:$T$1000"),4,FALSE),0)</f>
        <v>0</v>
      </c>
      <c r="F334" s="37">
        <f ca="1">_xlfn.IFNA(VLOOKUP($A334,INDIRECT("'W"&amp;F$1&amp;"'!$A$2:$T$1000"),4,FALSE),0)</f>
        <v>0</v>
      </c>
      <c r="G334" s="37">
        <f ca="1">_xlfn.IFNA(VLOOKUP($A334,INDIRECT("'W"&amp;G$1&amp;"'!$A$2:$T$1000"),4,FALSE),0)</f>
        <v>0</v>
      </c>
      <c r="H334" s="37">
        <f ca="1">_xlfn.IFNA(VLOOKUP($A334,INDIRECT("'W"&amp;H$1&amp;"'!$A$2:$T$1000"),4,FALSE),0)</f>
        <v>0</v>
      </c>
      <c r="I334" s="37">
        <f ca="1">_xlfn.IFNA(VLOOKUP($A334,INDIRECT("'W"&amp;I$1&amp;"'!$A$2:$T$1000"),4,FALSE),0)</f>
        <v>13.600000000000001</v>
      </c>
      <c r="J334" s="37">
        <f ca="1">_xlfn.IFNA(VLOOKUP($A334,INDIRECT("'W"&amp;J$1&amp;"'!$A$2:$T$1000"),4,FALSE),0)</f>
        <v>11.5</v>
      </c>
      <c r="K334" s="37">
        <f ca="1">_xlfn.IFNA(VLOOKUP($A334,INDIRECT("'W"&amp;K$1&amp;"'!$A$2:$T$1000"),4,FALSE),0)</f>
        <v>5.5</v>
      </c>
      <c r="L334" s="37">
        <f ca="1">_xlfn.IFNA(VLOOKUP($A334,INDIRECT("'W"&amp;L$1&amp;"'!$A$2:$T$1000"),4,FALSE),0)</f>
        <v>0</v>
      </c>
      <c r="M334" s="37">
        <f ca="1">_xlfn.IFNA(VLOOKUP($A334,INDIRECT("'W"&amp;M$1&amp;"'!$A$2:$T$1000"),4,FALSE),0)</f>
        <v>12.9</v>
      </c>
      <c r="N334" s="37">
        <f ca="1">_xlfn.IFNA(VLOOKUP($A334,INDIRECT("'W"&amp;N$1&amp;"'!$A$2:$T$1000"),4,FALSE),0)</f>
        <v>0</v>
      </c>
      <c r="O334" s="37">
        <f ca="1">_xlfn.IFNA(VLOOKUP($A334,INDIRECT("'W"&amp;O$1&amp;"'!$A$2:$T$1000"),4,FALSE),0)</f>
        <v>0</v>
      </c>
      <c r="P334" s="37">
        <f ca="1">_xlfn.IFNA(VLOOKUP($A334,INDIRECT("'W"&amp;P$1&amp;"'!$A$2:$T$1000"),4,FALSE),0)</f>
        <v>0</v>
      </c>
      <c r="Q334" s="37">
        <f ca="1">_xlfn.IFNA(VLOOKUP($A334,INDIRECT("'W"&amp;Q$1&amp;"'!$A$2:$T$1000"),4,FALSE),0)</f>
        <v>0</v>
      </c>
      <c r="R334" s="37">
        <f ca="1">_xlfn.IFNA(VLOOKUP($A334,INDIRECT("'W"&amp;R$1&amp;"'!$A$2:$T$1000"),4,FALSE),0)</f>
        <v>0</v>
      </c>
      <c r="S334" s="37">
        <f ca="1">_xlfn.IFNA(VLOOKUP($A334,INDIRECT("'W"&amp;S$1&amp;"'!$A$2:$T$1000"),4,FALSE),0)</f>
        <v>0</v>
      </c>
      <c r="T334" s="37">
        <f ca="1">_xlfn.IFNA(VLOOKUP($A334,INDIRECT("'W"&amp;T$1&amp;"'!$A$2:$T$1000"),4,FALSE),0)</f>
        <v>0</v>
      </c>
      <c r="U334" s="36">
        <f ca="1">COUNTIF(C334:T334,"&gt; 15")</f>
        <v>0</v>
      </c>
      <c r="V334" s="36">
        <f ca="1">SUM(C334:T334)</f>
        <v>43.5</v>
      </c>
      <c r="W334" s="36"/>
      <c r="X334" s="38"/>
    </row>
    <row r="335" spans="1:24" ht="12.75" x14ac:dyDescent="0.2">
      <c r="A335" s="36" t="s">
        <v>430</v>
      </c>
      <c r="B335" s="36" t="s">
        <v>75</v>
      </c>
      <c r="C335" s="37">
        <f ca="1">_xlfn.IFNA(VLOOKUP($A335,INDIRECT("'W"&amp;C$1&amp;"'!$A$2:$T$1000"),4,FALSE),0)</f>
        <v>0</v>
      </c>
      <c r="D335" s="37">
        <f ca="1">_xlfn.IFNA(VLOOKUP($A335,INDIRECT("'W"&amp;D$1&amp;"'!$A$2:$T$1000"),4,FALSE),0)</f>
        <v>0</v>
      </c>
      <c r="E335" s="37">
        <f ca="1">_xlfn.IFNA(VLOOKUP($A335,INDIRECT("'W"&amp;E$1&amp;"'!$A$2:$T$1000"),4,FALSE),0)</f>
        <v>4.4000000000000004</v>
      </c>
      <c r="F335" s="37">
        <f ca="1">_xlfn.IFNA(VLOOKUP($A335,INDIRECT("'W"&amp;F$1&amp;"'!$A$2:$T$1000"),4,FALSE),0)</f>
        <v>1.8</v>
      </c>
      <c r="G335" s="37">
        <f ca="1">_xlfn.IFNA(VLOOKUP($A335,INDIRECT("'W"&amp;G$1&amp;"'!$A$2:$T$1000"),4,FALSE),0)</f>
        <v>13</v>
      </c>
      <c r="H335" s="37">
        <f ca="1">_xlfn.IFNA(VLOOKUP($A335,INDIRECT("'W"&amp;H$1&amp;"'!$A$2:$T$1000"),4,FALSE),0)</f>
        <v>2.2000000000000002</v>
      </c>
      <c r="I335" s="37">
        <f ca="1">_xlfn.IFNA(VLOOKUP($A335,INDIRECT("'W"&amp;I$1&amp;"'!$A$2:$T$1000"),4,FALSE),0)</f>
        <v>0</v>
      </c>
      <c r="J335" s="37">
        <f ca="1">_xlfn.IFNA(VLOOKUP($A335,INDIRECT("'W"&amp;J$1&amp;"'!$A$2:$T$1000"),4,FALSE),0)</f>
        <v>2.9</v>
      </c>
      <c r="K335" s="37">
        <f ca="1">_xlfn.IFNA(VLOOKUP($A335,INDIRECT("'W"&amp;K$1&amp;"'!$A$2:$T$1000"),4,FALSE),0)</f>
        <v>4.0999999999999996</v>
      </c>
      <c r="L335" s="37">
        <f ca="1">_xlfn.IFNA(VLOOKUP($A335,INDIRECT("'W"&amp;L$1&amp;"'!$A$2:$T$1000"),4,FALSE),0)</f>
        <v>0</v>
      </c>
      <c r="M335" s="37">
        <f ca="1">_xlfn.IFNA(VLOOKUP($A335,INDIRECT("'W"&amp;M$1&amp;"'!$A$2:$T$1000"),4,FALSE),0)</f>
        <v>0</v>
      </c>
      <c r="N335" s="37">
        <f ca="1">_xlfn.IFNA(VLOOKUP($A335,INDIRECT("'W"&amp;N$1&amp;"'!$A$2:$T$1000"),4,FALSE),0)</f>
        <v>0</v>
      </c>
      <c r="O335" s="37">
        <f ca="1">_xlfn.IFNA(VLOOKUP($A335,INDIRECT("'W"&amp;O$1&amp;"'!$A$2:$T$1000"),4,FALSE),0)</f>
        <v>0</v>
      </c>
      <c r="P335" s="37">
        <f ca="1">_xlfn.IFNA(VLOOKUP($A335,INDIRECT("'W"&amp;P$1&amp;"'!$A$2:$T$1000"),4,FALSE),0)</f>
        <v>0</v>
      </c>
      <c r="Q335" s="37">
        <f ca="1">_xlfn.IFNA(VLOOKUP($A335,INDIRECT("'W"&amp;Q$1&amp;"'!$A$2:$T$1000"),4,FALSE),0)</f>
        <v>0</v>
      </c>
      <c r="R335" s="37">
        <f ca="1">_xlfn.IFNA(VLOOKUP($A335,INDIRECT("'W"&amp;R$1&amp;"'!$A$2:$T$1000"),4,FALSE),0)</f>
        <v>0</v>
      </c>
      <c r="S335" s="37">
        <f ca="1">_xlfn.IFNA(VLOOKUP($A335,INDIRECT("'W"&amp;S$1&amp;"'!$A$2:$T$1000"),4,FALSE),0)</f>
        <v>0</v>
      </c>
      <c r="T335" s="37">
        <f ca="1">_xlfn.IFNA(VLOOKUP($A335,INDIRECT("'W"&amp;T$1&amp;"'!$A$2:$T$1000"),4,FALSE),0)</f>
        <v>14.9</v>
      </c>
      <c r="U335" s="36">
        <f ca="1">COUNTIF(C335:T335,"&gt; 15")</f>
        <v>0</v>
      </c>
      <c r="V335" s="36">
        <f ca="1">SUM(C335:T335)</f>
        <v>43.3</v>
      </c>
      <c r="W335" s="36"/>
      <c r="X335" s="38"/>
    </row>
    <row r="336" spans="1:24" ht="12.75" x14ac:dyDescent="0.2">
      <c r="A336" s="36" t="s">
        <v>221</v>
      </c>
      <c r="B336" s="36" t="s">
        <v>162</v>
      </c>
      <c r="C336" s="37">
        <f ca="1">_xlfn.IFNA(VLOOKUP($A336,INDIRECT("'W"&amp;C$1&amp;"'!$A$2:$T$1000"),4,FALSE),0)</f>
        <v>6.1</v>
      </c>
      <c r="D336" s="37">
        <f ca="1">_xlfn.IFNA(VLOOKUP($A336,INDIRECT("'W"&amp;D$1&amp;"'!$A$2:$T$1000"),4,FALSE),0)</f>
        <v>9</v>
      </c>
      <c r="E336" s="37">
        <f ca="1">_xlfn.IFNA(VLOOKUP($A336,INDIRECT("'W"&amp;E$1&amp;"'!$A$2:$T$1000"),4,FALSE),0)</f>
        <v>3.3000000000000003</v>
      </c>
      <c r="F336" s="37">
        <f ca="1">_xlfn.IFNA(VLOOKUP($A336,INDIRECT("'W"&amp;F$1&amp;"'!$A$2:$T$1000"),4,FALSE),0)</f>
        <v>0</v>
      </c>
      <c r="G336" s="37">
        <f ca="1">_xlfn.IFNA(VLOOKUP($A336,INDIRECT("'W"&amp;G$1&amp;"'!$A$2:$T$1000"),4,FALSE),0)</f>
        <v>4.9000000000000004</v>
      </c>
      <c r="H336" s="37">
        <f ca="1">_xlfn.IFNA(VLOOKUP($A336,INDIRECT("'W"&amp;H$1&amp;"'!$A$2:$T$1000"),4,FALSE),0)</f>
        <v>7.1000000000000005</v>
      </c>
      <c r="I336" s="37">
        <f ca="1">_xlfn.IFNA(VLOOKUP($A336,INDIRECT("'W"&amp;I$1&amp;"'!$A$2:$T$1000"),4,FALSE),0)</f>
        <v>0</v>
      </c>
      <c r="J336" s="37">
        <f ca="1">_xlfn.IFNA(VLOOKUP($A336,INDIRECT("'W"&amp;J$1&amp;"'!$A$2:$T$1000"),4,FALSE),0)</f>
        <v>4.7</v>
      </c>
      <c r="K336" s="37">
        <f ca="1">_xlfn.IFNA(VLOOKUP($A336,INDIRECT("'W"&amp;K$1&amp;"'!$A$2:$T$1000"),4,FALSE),0)</f>
        <v>6.6</v>
      </c>
      <c r="L336" s="37">
        <f ca="1">_xlfn.IFNA(VLOOKUP($A336,INDIRECT("'W"&amp;L$1&amp;"'!$A$2:$T$1000"),4,FALSE),0)</f>
        <v>0</v>
      </c>
      <c r="M336" s="37">
        <f ca="1">_xlfn.IFNA(VLOOKUP($A336,INDIRECT("'W"&amp;M$1&amp;"'!$A$2:$T$1000"),4,FALSE),0)</f>
        <v>0</v>
      </c>
      <c r="N336" s="37">
        <f ca="1">_xlfn.IFNA(VLOOKUP($A336,INDIRECT("'W"&amp;N$1&amp;"'!$A$2:$T$1000"),4,FALSE),0)</f>
        <v>0</v>
      </c>
      <c r="O336" s="37">
        <f ca="1">_xlfn.IFNA(VLOOKUP($A336,INDIRECT("'W"&amp;O$1&amp;"'!$A$2:$T$1000"),4,FALSE),0)</f>
        <v>0</v>
      </c>
      <c r="P336" s="37">
        <f ca="1">_xlfn.IFNA(VLOOKUP($A336,INDIRECT("'W"&amp;P$1&amp;"'!$A$2:$T$1000"),4,FALSE),0)</f>
        <v>1.4</v>
      </c>
      <c r="Q336" s="37">
        <f ca="1">_xlfn.IFNA(VLOOKUP($A336,INDIRECT("'W"&amp;Q$1&amp;"'!$A$2:$T$1000"),4,FALSE),0)</f>
        <v>0</v>
      </c>
      <c r="R336" s="37">
        <f ca="1">_xlfn.IFNA(VLOOKUP($A336,INDIRECT("'W"&amp;R$1&amp;"'!$A$2:$T$1000"),4,FALSE),0)</f>
        <v>0</v>
      </c>
      <c r="S336" s="37">
        <f ca="1">_xlfn.IFNA(VLOOKUP($A336,INDIRECT("'W"&amp;S$1&amp;"'!$A$2:$T$1000"),4,FALSE),0)</f>
        <v>0</v>
      </c>
      <c r="T336" s="37">
        <f ca="1">_xlfn.IFNA(VLOOKUP($A336,INDIRECT("'W"&amp;T$1&amp;"'!$A$2:$T$1000"),4,FALSE),0)</f>
        <v>0</v>
      </c>
      <c r="U336" s="36">
        <f ca="1">COUNTIF(C336:T336,"&gt; 15")</f>
        <v>0</v>
      </c>
      <c r="V336" s="36">
        <f ca="1">SUM(C336:T336)</f>
        <v>43.1</v>
      </c>
      <c r="W336" s="36"/>
      <c r="X336" s="38"/>
    </row>
    <row r="337" spans="1:24" ht="12.75" x14ac:dyDescent="0.2">
      <c r="A337" s="36" t="s">
        <v>141</v>
      </c>
      <c r="B337" s="36" t="s">
        <v>75</v>
      </c>
      <c r="C337" s="37">
        <f ca="1">_xlfn.IFNA(VLOOKUP($A337,INDIRECT("'W"&amp;C$1&amp;"'!$A$2:$T$1000"),4,FALSE),0)</f>
        <v>1.1000000000000001</v>
      </c>
      <c r="D337" s="37">
        <f ca="1">_xlfn.IFNA(VLOOKUP($A337,INDIRECT("'W"&amp;D$1&amp;"'!$A$2:$T$1000"),4,FALSE),0)</f>
        <v>7.1</v>
      </c>
      <c r="E337" s="37">
        <f ca="1">_xlfn.IFNA(VLOOKUP($A337,INDIRECT("'W"&amp;E$1&amp;"'!$A$2:$T$1000"),4,FALSE),0)</f>
        <v>0</v>
      </c>
      <c r="F337" s="37">
        <f ca="1">_xlfn.IFNA(VLOOKUP($A337,INDIRECT("'W"&amp;F$1&amp;"'!$A$2:$T$1000"),4,FALSE),0)</f>
        <v>0</v>
      </c>
      <c r="G337" s="37">
        <f ca="1">_xlfn.IFNA(VLOOKUP($A337,INDIRECT("'W"&amp;G$1&amp;"'!$A$2:$T$1000"),4,FALSE),0)</f>
        <v>0</v>
      </c>
      <c r="H337" s="37">
        <f ca="1">_xlfn.IFNA(VLOOKUP($A337,INDIRECT("'W"&amp;H$1&amp;"'!$A$2:$T$1000"),4,FALSE),0)</f>
        <v>12.4</v>
      </c>
      <c r="I337" s="37">
        <f ca="1">_xlfn.IFNA(VLOOKUP($A337,INDIRECT("'W"&amp;I$1&amp;"'!$A$2:$T$1000"),4,FALSE),0)</f>
        <v>1.3</v>
      </c>
      <c r="J337" s="37">
        <f ca="1">_xlfn.IFNA(VLOOKUP($A337,INDIRECT("'W"&amp;J$1&amp;"'!$A$2:$T$1000"),4,FALSE),0)</f>
        <v>5.6999999999999993</v>
      </c>
      <c r="K337" s="37">
        <f ca="1">_xlfn.IFNA(VLOOKUP($A337,INDIRECT("'W"&amp;K$1&amp;"'!$A$2:$T$1000"),4,FALSE),0)</f>
        <v>3.2</v>
      </c>
      <c r="L337" s="37">
        <f ca="1">_xlfn.IFNA(VLOOKUP($A337,INDIRECT("'W"&amp;L$1&amp;"'!$A$2:$T$1000"),4,FALSE),0)</f>
        <v>0</v>
      </c>
      <c r="M337" s="37">
        <f ca="1">_xlfn.IFNA(VLOOKUP($A337,INDIRECT("'W"&amp;M$1&amp;"'!$A$2:$T$1000"),4,FALSE),0)</f>
        <v>12.1</v>
      </c>
      <c r="N337" s="37">
        <f ca="1">_xlfn.IFNA(VLOOKUP($A337,INDIRECT("'W"&amp;N$1&amp;"'!$A$2:$T$1000"),4,FALSE),0)</f>
        <v>0</v>
      </c>
      <c r="O337" s="37">
        <f ca="1">_xlfn.IFNA(VLOOKUP($A337,INDIRECT("'W"&amp;O$1&amp;"'!$A$2:$T$1000"),4,FALSE),0)</f>
        <v>0</v>
      </c>
      <c r="P337" s="37">
        <f ca="1">_xlfn.IFNA(VLOOKUP($A337,INDIRECT("'W"&amp;P$1&amp;"'!$A$2:$T$1000"),4,FALSE),0)</f>
        <v>0</v>
      </c>
      <c r="Q337" s="37">
        <f ca="1">_xlfn.IFNA(VLOOKUP($A337,INDIRECT("'W"&amp;Q$1&amp;"'!$A$2:$T$1000"),4,FALSE),0)</f>
        <v>0</v>
      </c>
      <c r="R337" s="37">
        <f ca="1">_xlfn.IFNA(VLOOKUP($A337,INDIRECT("'W"&amp;R$1&amp;"'!$A$2:$T$1000"),4,FALSE),0)</f>
        <v>0</v>
      </c>
      <c r="S337" s="37">
        <f ca="1">_xlfn.IFNA(VLOOKUP($A337,INDIRECT("'W"&amp;S$1&amp;"'!$A$2:$T$1000"),4,FALSE),0)</f>
        <v>0</v>
      </c>
      <c r="T337" s="37">
        <f ca="1">_xlfn.IFNA(VLOOKUP($A337,INDIRECT("'W"&amp;T$1&amp;"'!$A$2:$T$1000"),4,FALSE),0)</f>
        <v>0</v>
      </c>
      <c r="U337" s="36">
        <f ca="1">COUNTIF(C337:T337,"&gt; 15")</f>
        <v>0</v>
      </c>
      <c r="V337" s="36">
        <f ca="1">SUM(C337:T337)</f>
        <v>42.9</v>
      </c>
      <c r="W337" s="36"/>
      <c r="X337" s="38"/>
    </row>
    <row r="338" spans="1:24" ht="12.75" x14ac:dyDescent="0.2">
      <c r="A338" s="36" t="s">
        <v>356</v>
      </c>
      <c r="B338" s="36" t="s">
        <v>75</v>
      </c>
      <c r="C338" s="37">
        <f ca="1">_xlfn.IFNA(VLOOKUP($A338,INDIRECT("'W"&amp;C$1&amp;"'!$A$2:$T$1000"),4,FALSE),0)</f>
        <v>0</v>
      </c>
      <c r="D338" s="37">
        <f ca="1">_xlfn.IFNA(VLOOKUP($A338,INDIRECT("'W"&amp;D$1&amp;"'!$A$2:$T$1000"),4,FALSE),0)</f>
        <v>6.1</v>
      </c>
      <c r="E338" s="37">
        <f ca="1">_xlfn.IFNA(VLOOKUP($A338,INDIRECT("'W"&amp;E$1&amp;"'!$A$2:$T$1000"),4,FALSE),0)</f>
        <v>2.7</v>
      </c>
      <c r="F338" s="37">
        <f ca="1">_xlfn.IFNA(VLOOKUP($A338,INDIRECT("'W"&amp;F$1&amp;"'!$A$2:$T$1000"),4,FALSE),0)</f>
        <v>4.9000000000000004</v>
      </c>
      <c r="G338" s="37">
        <f ca="1">_xlfn.IFNA(VLOOKUP($A338,INDIRECT("'W"&amp;G$1&amp;"'!$A$2:$T$1000"),4,FALSE),0)</f>
        <v>0</v>
      </c>
      <c r="H338" s="37">
        <f ca="1">_xlfn.IFNA(VLOOKUP($A338,INDIRECT("'W"&amp;H$1&amp;"'!$A$2:$T$1000"),4,FALSE),0)</f>
        <v>0</v>
      </c>
      <c r="I338" s="37">
        <f ca="1">_xlfn.IFNA(VLOOKUP($A338,INDIRECT("'W"&amp;I$1&amp;"'!$A$2:$T$1000"),4,FALSE),0)</f>
        <v>2.5</v>
      </c>
      <c r="J338" s="37">
        <f ca="1">_xlfn.IFNA(VLOOKUP($A338,INDIRECT("'W"&amp;J$1&amp;"'!$A$2:$T$1000"),4,FALSE),0)</f>
        <v>9.2000000000000011</v>
      </c>
      <c r="K338" s="37">
        <f ca="1">_xlfn.IFNA(VLOOKUP($A338,INDIRECT("'W"&amp;K$1&amp;"'!$A$2:$T$1000"),4,FALSE),0)</f>
        <v>1.1999999999999997</v>
      </c>
      <c r="L338" s="37">
        <f ca="1">_xlfn.IFNA(VLOOKUP($A338,INDIRECT("'W"&amp;L$1&amp;"'!$A$2:$T$1000"),4,FALSE),0)</f>
        <v>0</v>
      </c>
      <c r="M338" s="37">
        <f ca="1">_xlfn.IFNA(VLOOKUP($A338,INDIRECT("'W"&amp;M$1&amp;"'!$A$2:$T$1000"),4,FALSE),0)</f>
        <v>1.5</v>
      </c>
      <c r="N338" s="37">
        <f ca="1">_xlfn.IFNA(VLOOKUP($A338,INDIRECT("'W"&amp;N$1&amp;"'!$A$2:$T$1000"),4,FALSE),0)</f>
        <v>0</v>
      </c>
      <c r="O338" s="37">
        <f ca="1">_xlfn.IFNA(VLOOKUP($A338,INDIRECT("'W"&amp;O$1&amp;"'!$A$2:$T$1000"),4,FALSE),0)</f>
        <v>2</v>
      </c>
      <c r="P338" s="37">
        <f ca="1">_xlfn.IFNA(VLOOKUP($A338,INDIRECT("'W"&amp;P$1&amp;"'!$A$2:$T$1000"),4,FALSE),0)</f>
        <v>0</v>
      </c>
      <c r="Q338" s="37">
        <f ca="1">_xlfn.IFNA(VLOOKUP($A338,INDIRECT("'W"&amp;Q$1&amp;"'!$A$2:$T$1000"),4,FALSE),0)</f>
        <v>3.1</v>
      </c>
      <c r="R338" s="37">
        <f ca="1">_xlfn.IFNA(VLOOKUP($A338,INDIRECT("'W"&amp;R$1&amp;"'!$A$2:$T$1000"),4,FALSE),0)</f>
        <v>2.2000000000000002</v>
      </c>
      <c r="S338" s="37">
        <f ca="1">_xlfn.IFNA(VLOOKUP($A338,INDIRECT("'W"&amp;S$1&amp;"'!$A$2:$T$1000"),4,FALSE),0)</f>
        <v>0.90000000000000036</v>
      </c>
      <c r="T338" s="37">
        <f ca="1">_xlfn.IFNA(VLOOKUP($A338,INDIRECT("'W"&amp;T$1&amp;"'!$A$2:$T$1000"),4,FALSE),0)</f>
        <v>6.5</v>
      </c>
      <c r="U338" s="36">
        <f ca="1">COUNTIF(C338:T338,"&gt; 15")</f>
        <v>0</v>
      </c>
      <c r="V338" s="36">
        <f ca="1">SUM(C338:T338)</f>
        <v>42.800000000000004</v>
      </c>
      <c r="W338" s="36"/>
      <c r="X338" s="38"/>
    </row>
    <row r="339" spans="1:24" ht="12.75" x14ac:dyDescent="0.2">
      <c r="A339" s="36" t="s">
        <v>272</v>
      </c>
      <c r="B339" s="36" t="s">
        <v>69</v>
      </c>
      <c r="C339" s="37">
        <f ca="1">_xlfn.IFNA(VLOOKUP($A339,INDIRECT("'W"&amp;C$1&amp;"'!$A$2:$T$1000"),4,FALSE),0)</f>
        <v>15.100000000000001</v>
      </c>
      <c r="D339" s="37">
        <f ca="1">_xlfn.IFNA(VLOOKUP($A339,INDIRECT("'W"&amp;D$1&amp;"'!$A$2:$T$1000"),4,FALSE),0)</f>
        <v>5</v>
      </c>
      <c r="E339" s="37">
        <f ca="1">_xlfn.IFNA(VLOOKUP($A339,INDIRECT("'W"&amp;E$1&amp;"'!$A$2:$T$1000"),4,FALSE),0)</f>
        <v>2.1</v>
      </c>
      <c r="F339" s="37">
        <f ca="1">_xlfn.IFNA(VLOOKUP($A339,INDIRECT("'W"&amp;F$1&amp;"'!$A$2:$T$1000"),4,FALSE),0)</f>
        <v>1.7000000000000002</v>
      </c>
      <c r="G339" s="37">
        <f ca="1">_xlfn.IFNA(VLOOKUP($A339,INDIRECT("'W"&amp;G$1&amp;"'!$A$2:$T$1000"),4,FALSE),0)</f>
        <v>5.0999999999999996</v>
      </c>
      <c r="H339" s="37">
        <f ca="1">_xlfn.IFNA(VLOOKUP($A339,INDIRECT("'W"&amp;H$1&amp;"'!$A$2:$T$1000"),4,FALSE),0)</f>
        <v>2.6</v>
      </c>
      <c r="I339" s="37">
        <f ca="1">_xlfn.IFNA(VLOOKUP($A339,INDIRECT("'W"&amp;I$1&amp;"'!$A$2:$T$1000"),4,FALSE),0)</f>
        <v>0</v>
      </c>
      <c r="J339" s="37">
        <f ca="1">_xlfn.IFNA(VLOOKUP($A339,INDIRECT("'W"&amp;J$1&amp;"'!$A$2:$T$1000"),4,FALSE),0)</f>
        <v>0</v>
      </c>
      <c r="K339" s="37">
        <f ca="1">_xlfn.IFNA(VLOOKUP($A339,INDIRECT("'W"&amp;K$1&amp;"'!$A$2:$T$1000"),4,FALSE),0)</f>
        <v>7.4</v>
      </c>
      <c r="L339" s="37">
        <f ca="1">_xlfn.IFNA(VLOOKUP($A339,INDIRECT("'W"&amp;L$1&amp;"'!$A$2:$T$1000"),4,FALSE),0)</f>
        <v>3.4000000000000004</v>
      </c>
      <c r="M339" s="37">
        <f ca="1">_xlfn.IFNA(VLOOKUP($A339,INDIRECT("'W"&amp;M$1&amp;"'!$A$2:$T$1000"),4,FALSE),0)</f>
        <v>0</v>
      </c>
      <c r="N339" s="37">
        <f ca="1">_xlfn.IFNA(VLOOKUP($A339,INDIRECT("'W"&amp;N$1&amp;"'!$A$2:$T$1000"),4,FALSE),0)</f>
        <v>0</v>
      </c>
      <c r="O339" s="37">
        <f ca="1">_xlfn.IFNA(VLOOKUP($A339,INDIRECT("'W"&amp;O$1&amp;"'!$A$2:$T$1000"),4,FALSE),0)</f>
        <v>0</v>
      </c>
      <c r="P339" s="37">
        <f ca="1">_xlfn.IFNA(VLOOKUP($A339,INDIRECT("'W"&amp;P$1&amp;"'!$A$2:$T$1000"),4,FALSE),0)</f>
        <v>0</v>
      </c>
      <c r="Q339" s="37">
        <f ca="1">_xlfn.IFNA(VLOOKUP($A339,INDIRECT("'W"&amp;Q$1&amp;"'!$A$2:$T$1000"),4,FALSE),0)</f>
        <v>0</v>
      </c>
      <c r="R339" s="37">
        <f ca="1">_xlfn.IFNA(VLOOKUP($A339,INDIRECT("'W"&amp;R$1&amp;"'!$A$2:$T$1000"),4,FALSE),0)</f>
        <v>0</v>
      </c>
      <c r="S339" s="37">
        <f ca="1">_xlfn.IFNA(VLOOKUP($A339,INDIRECT("'W"&amp;S$1&amp;"'!$A$2:$T$1000"),4,FALSE),0)</f>
        <v>0</v>
      </c>
      <c r="T339" s="37">
        <f ca="1">_xlfn.IFNA(VLOOKUP($A339,INDIRECT("'W"&amp;T$1&amp;"'!$A$2:$T$1000"),4,FALSE),0)</f>
        <v>0</v>
      </c>
      <c r="U339" s="36">
        <f ca="1">COUNTIF(C339:T339,"&gt; 15")</f>
        <v>1</v>
      </c>
      <c r="V339" s="36">
        <f ca="1">SUM(C339:T339)</f>
        <v>42.4</v>
      </c>
      <c r="W339" s="36"/>
      <c r="X339" s="38"/>
    </row>
    <row r="340" spans="1:24" ht="12.75" x14ac:dyDescent="0.2">
      <c r="A340" s="36" t="s">
        <v>580</v>
      </c>
      <c r="B340" s="36" t="s">
        <v>75</v>
      </c>
      <c r="C340" s="37">
        <f ca="1">_xlfn.IFNA(VLOOKUP($A340,INDIRECT("'W"&amp;C$1&amp;"'!$A$2:$T$1000"),4,FALSE),0)</f>
        <v>0</v>
      </c>
      <c r="D340" s="37">
        <f ca="1">_xlfn.IFNA(VLOOKUP($A340,INDIRECT("'W"&amp;D$1&amp;"'!$A$2:$T$1000"),4,FALSE),0)</f>
        <v>0</v>
      </c>
      <c r="E340" s="37">
        <f ca="1">_xlfn.IFNA(VLOOKUP($A340,INDIRECT("'W"&amp;E$1&amp;"'!$A$2:$T$1000"),4,FALSE),0)</f>
        <v>0</v>
      </c>
      <c r="F340" s="37">
        <f ca="1">_xlfn.IFNA(VLOOKUP($A340,INDIRECT("'W"&amp;F$1&amp;"'!$A$2:$T$1000"),4,FALSE),0)</f>
        <v>0</v>
      </c>
      <c r="G340" s="37">
        <f ca="1">_xlfn.IFNA(VLOOKUP($A340,INDIRECT("'W"&amp;G$1&amp;"'!$A$2:$T$1000"),4,FALSE),0)</f>
        <v>0</v>
      </c>
      <c r="H340" s="37">
        <f ca="1">_xlfn.IFNA(VLOOKUP($A340,INDIRECT("'W"&amp;H$1&amp;"'!$A$2:$T$1000"),4,FALSE),0)</f>
        <v>0</v>
      </c>
      <c r="I340" s="37">
        <f ca="1">_xlfn.IFNA(VLOOKUP($A340,INDIRECT("'W"&amp;I$1&amp;"'!$A$2:$T$1000"),4,FALSE),0)</f>
        <v>1.4</v>
      </c>
      <c r="J340" s="37">
        <f ca="1">_xlfn.IFNA(VLOOKUP($A340,INDIRECT("'W"&amp;J$1&amp;"'!$A$2:$T$1000"),4,FALSE),0)</f>
        <v>5.7000000000000011</v>
      </c>
      <c r="K340" s="37">
        <f ca="1">_xlfn.IFNA(VLOOKUP($A340,INDIRECT("'W"&amp;K$1&amp;"'!$A$2:$T$1000"),4,FALSE),0)</f>
        <v>6.8000000000000007</v>
      </c>
      <c r="L340" s="37">
        <f ca="1">_xlfn.IFNA(VLOOKUP($A340,INDIRECT("'W"&amp;L$1&amp;"'!$A$2:$T$1000"),4,FALSE),0)</f>
        <v>0</v>
      </c>
      <c r="M340" s="37">
        <f ca="1">_xlfn.IFNA(VLOOKUP($A340,INDIRECT("'W"&amp;M$1&amp;"'!$A$2:$T$1000"),4,FALSE),0)</f>
        <v>0</v>
      </c>
      <c r="N340" s="37">
        <f ca="1">_xlfn.IFNA(VLOOKUP($A340,INDIRECT("'W"&amp;N$1&amp;"'!$A$2:$T$1000"),4,FALSE),0)</f>
        <v>10.3</v>
      </c>
      <c r="O340" s="37">
        <f ca="1">_xlfn.IFNA(VLOOKUP($A340,INDIRECT("'W"&amp;O$1&amp;"'!$A$2:$T$1000"),4,FALSE),0)</f>
        <v>1.1000000000000001</v>
      </c>
      <c r="P340" s="37">
        <f ca="1">_xlfn.IFNA(VLOOKUP($A340,INDIRECT("'W"&amp;P$1&amp;"'!$A$2:$T$1000"),4,FALSE),0)</f>
        <v>0</v>
      </c>
      <c r="Q340" s="37">
        <f ca="1">_xlfn.IFNA(VLOOKUP($A340,INDIRECT("'W"&amp;Q$1&amp;"'!$A$2:$T$1000"),4,FALSE),0)</f>
        <v>1.6</v>
      </c>
      <c r="R340" s="37">
        <f ca="1">_xlfn.IFNA(VLOOKUP($A340,INDIRECT("'W"&amp;R$1&amp;"'!$A$2:$T$1000"),4,FALSE),0)</f>
        <v>3.5</v>
      </c>
      <c r="S340" s="37">
        <f ca="1">_xlfn.IFNA(VLOOKUP($A340,INDIRECT("'W"&amp;S$1&amp;"'!$A$2:$T$1000"),4,FALSE),0)</f>
        <v>6.3999999999999995</v>
      </c>
      <c r="T340" s="37">
        <f ca="1">_xlfn.IFNA(VLOOKUP($A340,INDIRECT("'W"&amp;T$1&amp;"'!$A$2:$T$1000"),4,FALSE),0)</f>
        <v>4.5</v>
      </c>
      <c r="U340" s="36">
        <f ca="1">COUNTIF(C340:T340,"&gt; 15")</f>
        <v>0</v>
      </c>
      <c r="V340" s="36">
        <f ca="1">SUM(C340:T340)</f>
        <v>41.300000000000004</v>
      </c>
      <c r="W340" s="36"/>
      <c r="X340" s="38"/>
    </row>
    <row r="341" spans="1:24" ht="12.75" x14ac:dyDescent="0.2">
      <c r="A341" s="36" t="s">
        <v>222</v>
      </c>
      <c r="B341" s="36" t="s">
        <v>162</v>
      </c>
      <c r="C341" s="37">
        <f ca="1">_xlfn.IFNA(VLOOKUP($A341,INDIRECT("'W"&amp;C$1&amp;"'!$A$2:$T$1000"),4,FALSE),0)</f>
        <v>6.4</v>
      </c>
      <c r="D341" s="37">
        <f ca="1">_xlfn.IFNA(VLOOKUP($A341,INDIRECT("'W"&amp;D$1&amp;"'!$A$2:$T$1000"),4,FALSE),0)</f>
        <v>1.9</v>
      </c>
      <c r="E341" s="37">
        <f ca="1">_xlfn.IFNA(VLOOKUP($A341,INDIRECT("'W"&amp;E$1&amp;"'!$A$2:$T$1000"),4,FALSE),0)</f>
        <v>6</v>
      </c>
      <c r="F341" s="37">
        <f ca="1">_xlfn.IFNA(VLOOKUP($A341,INDIRECT("'W"&amp;F$1&amp;"'!$A$2:$T$1000"),4,FALSE),0)</f>
        <v>4.9000000000000004</v>
      </c>
      <c r="G341" s="37">
        <f ca="1">_xlfn.IFNA(VLOOKUP($A341,INDIRECT("'W"&amp;G$1&amp;"'!$A$2:$T$1000"),4,FALSE),0)</f>
        <v>0</v>
      </c>
      <c r="H341" s="37">
        <f ca="1">_xlfn.IFNA(VLOOKUP($A341,INDIRECT("'W"&amp;H$1&amp;"'!$A$2:$T$1000"),4,FALSE),0)</f>
        <v>0</v>
      </c>
      <c r="I341" s="37">
        <f ca="1">_xlfn.IFNA(VLOOKUP($A341,INDIRECT("'W"&amp;I$1&amp;"'!$A$2:$T$1000"),4,FALSE),0)</f>
        <v>1.5</v>
      </c>
      <c r="J341" s="37">
        <f ca="1">_xlfn.IFNA(VLOOKUP($A341,INDIRECT("'W"&amp;J$1&amp;"'!$A$2:$T$1000"),4,FALSE),0)</f>
        <v>5.4</v>
      </c>
      <c r="K341" s="37">
        <f ca="1">_xlfn.IFNA(VLOOKUP($A341,INDIRECT("'W"&amp;K$1&amp;"'!$A$2:$T$1000"),4,FALSE),0)</f>
        <v>2.4000000000000004</v>
      </c>
      <c r="L341" s="37">
        <f ca="1">_xlfn.IFNA(VLOOKUP($A341,INDIRECT("'W"&amp;L$1&amp;"'!$A$2:$T$1000"),4,FALSE),0)</f>
        <v>0</v>
      </c>
      <c r="M341" s="37">
        <f ca="1">_xlfn.IFNA(VLOOKUP($A341,INDIRECT("'W"&amp;M$1&amp;"'!$A$2:$T$1000"),4,FALSE),0)</f>
        <v>0</v>
      </c>
      <c r="N341" s="37">
        <f ca="1">_xlfn.IFNA(VLOOKUP($A341,INDIRECT("'W"&amp;N$1&amp;"'!$A$2:$T$1000"),4,FALSE),0)</f>
        <v>2.2999999999999998</v>
      </c>
      <c r="O341" s="37">
        <f ca="1">_xlfn.IFNA(VLOOKUP($A341,INDIRECT("'W"&amp;O$1&amp;"'!$A$2:$T$1000"),4,FALSE),0)</f>
        <v>0</v>
      </c>
      <c r="P341" s="37">
        <f ca="1">_xlfn.IFNA(VLOOKUP($A341,INDIRECT("'W"&amp;P$1&amp;"'!$A$2:$T$1000"),4,FALSE),0)</f>
        <v>0</v>
      </c>
      <c r="Q341" s="37">
        <f ca="1">_xlfn.IFNA(VLOOKUP($A341,INDIRECT("'W"&amp;Q$1&amp;"'!$A$2:$T$1000"),4,FALSE),0)</f>
        <v>0</v>
      </c>
      <c r="R341" s="37">
        <f ca="1">_xlfn.IFNA(VLOOKUP($A341,INDIRECT("'W"&amp;R$1&amp;"'!$A$2:$T$1000"),4,FALSE),0)</f>
        <v>2.2999999999999998</v>
      </c>
      <c r="S341" s="37">
        <f ca="1">_xlfn.IFNA(VLOOKUP($A341,INDIRECT("'W"&amp;S$1&amp;"'!$A$2:$T$1000"),4,FALSE),0)</f>
        <v>4.9000000000000004</v>
      </c>
      <c r="T341" s="37">
        <f ca="1">_xlfn.IFNA(VLOOKUP($A341,INDIRECT("'W"&amp;T$1&amp;"'!$A$2:$T$1000"),4,FALSE),0)</f>
        <v>3.3</v>
      </c>
      <c r="U341" s="36">
        <f ca="1">COUNTIF(C341:T341,"&gt; 15")</f>
        <v>0</v>
      </c>
      <c r="V341" s="36">
        <f ca="1">SUM(C341:T341)</f>
        <v>41.3</v>
      </c>
      <c r="W341" s="36"/>
      <c r="X341" s="38"/>
    </row>
    <row r="342" spans="1:24" ht="12.75" x14ac:dyDescent="0.2">
      <c r="A342" s="36" t="s">
        <v>380</v>
      </c>
      <c r="B342" s="36" t="s">
        <v>75</v>
      </c>
      <c r="C342" s="37">
        <f ca="1">_xlfn.IFNA(VLOOKUP($A342,INDIRECT("'W"&amp;C$1&amp;"'!$A$2:$T$1000"),4,FALSE),0)</f>
        <v>0</v>
      </c>
      <c r="D342" s="37">
        <f ca="1">_xlfn.IFNA(VLOOKUP($A342,INDIRECT("'W"&amp;D$1&amp;"'!$A$2:$T$1000"),4,FALSE),0)</f>
        <v>1.5</v>
      </c>
      <c r="E342" s="37">
        <f ca="1">_xlfn.IFNA(VLOOKUP($A342,INDIRECT("'W"&amp;E$1&amp;"'!$A$2:$T$1000"),4,FALSE),0)</f>
        <v>3.6</v>
      </c>
      <c r="F342" s="37">
        <f ca="1">_xlfn.IFNA(VLOOKUP($A342,INDIRECT("'W"&amp;F$1&amp;"'!$A$2:$T$1000"),4,FALSE),0)</f>
        <v>3.4000000000000004</v>
      </c>
      <c r="G342" s="37">
        <f ca="1">_xlfn.IFNA(VLOOKUP($A342,INDIRECT("'W"&amp;G$1&amp;"'!$A$2:$T$1000"),4,FALSE),0)</f>
        <v>2.5</v>
      </c>
      <c r="H342" s="37">
        <f ca="1">_xlfn.IFNA(VLOOKUP($A342,INDIRECT("'W"&amp;H$1&amp;"'!$A$2:$T$1000"),4,FALSE),0)</f>
        <v>0</v>
      </c>
      <c r="I342" s="37">
        <f ca="1">_xlfn.IFNA(VLOOKUP($A342,INDIRECT("'W"&amp;I$1&amp;"'!$A$2:$T$1000"),4,FALSE),0)</f>
        <v>0</v>
      </c>
      <c r="J342" s="37">
        <f ca="1">_xlfn.IFNA(VLOOKUP($A342,INDIRECT("'W"&amp;J$1&amp;"'!$A$2:$T$1000"),4,FALSE),0)</f>
        <v>2.9000000000000004</v>
      </c>
      <c r="K342" s="37">
        <f ca="1">_xlfn.IFNA(VLOOKUP($A342,INDIRECT("'W"&amp;K$1&amp;"'!$A$2:$T$1000"),4,FALSE),0)</f>
        <v>4.5</v>
      </c>
      <c r="L342" s="37">
        <f ca="1">_xlfn.IFNA(VLOOKUP($A342,INDIRECT("'W"&amp;L$1&amp;"'!$A$2:$T$1000"),4,FALSE),0)</f>
        <v>1.4</v>
      </c>
      <c r="M342" s="37">
        <f ca="1">_xlfn.IFNA(VLOOKUP($A342,INDIRECT("'W"&amp;M$1&amp;"'!$A$2:$T$1000"),4,FALSE),0)</f>
        <v>1.4</v>
      </c>
      <c r="N342" s="37">
        <f ca="1">_xlfn.IFNA(VLOOKUP($A342,INDIRECT("'W"&amp;N$1&amp;"'!$A$2:$T$1000"),4,FALSE),0)</f>
        <v>2.3000000000000003</v>
      </c>
      <c r="O342" s="37">
        <f ca="1">_xlfn.IFNA(VLOOKUP($A342,INDIRECT("'W"&amp;O$1&amp;"'!$A$2:$T$1000"),4,FALSE),0)</f>
        <v>0</v>
      </c>
      <c r="P342" s="37">
        <f ca="1">_xlfn.IFNA(VLOOKUP($A342,INDIRECT("'W"&amp;P$1&amp;"'!$A$2:$T$1000"),4,FALSE),0)</f>
        <v>3.9000000000000004</v>
      </c>
      <c r="Q342" s="37">
        <f ca="1">_xlfn.IFNA(VLOOKUP($A342,INDIRECT("'W"&amp;Q$1&amp;"'!$A$2:$T$1000"),4,FALSE),0)</f>
        <v>6.5</v>
      </c>
      <c r="R342" s="37">
        <f ca="1">_xlfn.IFNA(VLOOKUP($A342,INDIRECT("'W"&amp;R$1&amp;"'!$A$2:$T$1000"),4,FALSE),0)</f>
        <v>2.2000000000000002</v>
      </c>
      <c r="S342" s="37">
        <f ca="1">_xlfn.IFNA(VLOOKUP($A342,INDIRECT("'W"&amp;S$1&amp;"'!$A$2:$T$1000"),4,FALSE),0)</f>
        <v>3.2</v>
      </c>
      <c r="T342" s="37">
        <f ca="1">_xlfn.IFNA(VLOOKUP($A342,INDIRECT("'W"&amp;T$1&amp;"'!$A$2:$T$1000"),4,FALSE),0)</f>
        <v>1.7000000000000002</v>
      </c>
      <c r="U342" s="36">
        <f ca="1">COUNTIF(C342:T342,"&gt; 15")</f>
        <v>0</v>
      </c>
      <c r="V342" s="36">
        <f ca="1">SUM(C342:T342)</f>
        <v>41.000000000000007</v>
      </c>
      <c r="W342" s="36"/>
      <c r="X342" s="38"/>
    </row>
    <row r="343" spans="1:24" ht="12.75" x14ac:dyDescent="0.2">
      <c r="A343" s="36" t="s">
        <v>268</v>
      </c>
      <c r="B343" s="36" t="s">
        <v>162</v>
      </c>
      <c r="C343" s="37">
        <f ca="1">_xlfn.IFNA(VLOOKUP($A343,INDIRECT("'W"&amp;C$1&amp;"'!$A$2:$T$1000"),4,FALSE),0)</f>
        <v>-0.2</v>
      </c>
      <c r="D343" s="37">
        <f ca="1">_xlfn.IFNA(VLOOKUP($A343,INDIRECT("'W"&amp;D$1&amp;"'!$A$2:$T$1000"),4,FALSE),0)</f>
        <v>1.5</v>
      </c>
      <c r="E343" s="37">
        <f ca="1">_xlfn.IFNA(VLOOKUP($A343,INDIRECT("'W"&amp;E$1&amp;"'!$A$2:$T$1000"),4,FALSE),0)</f>
        <v>6.9</v>
      </c>
      <c r="F343" s="37">
        <f ca="1">_xlfn.IFNA(VLOOKUP($A343,INDIRECT("'W"&amp;F$1&amp;"'!$A$2:$T$1000"),4,FALSE),0)</f>
        <v>0</v>
      </c>
      <c r="G343" s="37">
        <f ca="1">_xlfn.IFNA(VLOOKUP($A343,INDIRECT("'W"&amp;G$1&amp;"'!$A$2:$T$1000"),4,FALSE),0)</f>
        <v>0.1</v>
      </c>
      <c r="H343" s="37">
        <f ca="1">_xlfn.IFNA(VLOOKUP($A343,INDIRECT("'W"&amp;H$1&amp;"'!$A$2:$T$1000"),4,FALSE),0)</f>
        <v>0</v>
      </c>
      <c r="I343" s="37">
        <f ca="1">_xlfn.IFNA(VLOOKUP($A343,INDIRECT("'W"&amp;I$1&amp;"'!$A$2:$T$1000"),4,FALSE),0)</f>
        <v>7.5</v>
      </c>
      <c r="J343" s="37">
        <f ca="1">_xlfn.IFNA(VLOOKUP($A343,INDIRECT("'W"&amp;J$1&amp;"'!$A$2:$T$1000"),4,FALSE),0)</f>
        <v>0</v>
      </c>
      <c r="K343" s="37">
        <f ca="1">_xlfn.IFNA(VLOOKUP($A343,INDIRECT("'W"&amp;K$1&amp;"'!$A$2:$T$1000"),4,FALSE),0)</f>
        <v>0</v>
      </c>
      <c r="L343" s="37">
        <f ca="1">_xlfn.IFNA(VLOOKUP($A343,INDIRECT("'W"&amp;L$1&amp;"'!$A$2:$T$1000"),4,FALSE),0)</f>
        <v>0</v>
      </c>
      <c r="M343" s="37">
        <f ca="1">_xlfn.IFNA(VLOOKUP($A343,INDIRECT("'W"&amp;M$1&amp;"'!$A$2:$T$1000"),4,FALSE),0)</f>
        <v>0</v>
      </c>
      <c r="N343" s="37">
        <f ca="1">_xlfn.IFNA(VLOOKUP($A343,INDIRECT("'W"&amp;N$1&amp;"'!$A$2:$T$1000"),4,FALSE),0)</f>
        <v>0</v>
      </c>
      <c r="O343" s="37">
        <f ca="1">_xlfn.IFNA(VLOOKUP($A343,INDIRECT("'W"&amp;O$1&amp;"'!$A$2:$T$1000"),4,FALSE),0)</f>
        <v>0</v>
      </c>
      <c r="P343" s="37">
        <f ca="1">_xlfn.IFNA(VLOOKUP($A343,INDIRECT("'W"&amp;P$1&amp;"'!$A$2:$T$1000"),4,FALSE),0)</f>
        <v>0</v>
      </c>
      <c r="Q343" s="37">
        <f ca="1">_xlfn.IFNA(VLOOKUP($A343,INDIRECT("'W"&amp;Q$1&amp;"'!$A$2:$T$1000"),4,FALSE),0)</f>
        <v>15</v>
      </c>
      <c r="R343" s="37">
        <f ca="1">_xlfn.IFNA(VLOOKUP($A343,INDIRECT("'W"&amp;R$1&amp;"'!$A$2:$T$1000"),4,FALSE),0)</f>
        <v>2.2000000000000002</v>
      </c>
      <c r="S343" s="37">
        <f ca="1">_xlfn.IFNA(VLOOKUP($A343,INDIRECT("'W"&amp;S$1&amp;"'!$A$2:$T$1000"),4,FALSE),0)</f>
        <v>7.3000000000000007</v>
      </c>
      <c r="T343" s="37">
        <f ca="1">_xlfn.IFNA(VLOOKUP($A343,INDIRECT("'W"&amp;T$1&amp;"'!$A$2:$T$1000"),4,FALSE),0)</f>
        <v>0</v>
      </c>
      <c r="U343" s="36">
        <f ca="1">COUNTIF(C343:T343,"&gt; 15")</f>
        <v>0</v>
      </c>
      <c r="V343" s="36">
        <f ca="1">SUM(C343:T343)</f>
        <v>40.299999999999997</v>
      </c>
      <c r="W343" s="36"/>
      <c r="X343" s="38"/>
    </row>
    <row r="344" spans="1:24" ht="12.75" x14ac:dyDescent="0.2">
      <c r="A344" s="36" t="s">
        <v>107</v>
      </c>
      <c r="B344" s="36" t="s">
        <v>75</v>
      </c>
      <c r="C344" s="37">
        <f ca="1">_xlfn.IFNA(VLOOKUP($A344,INDIRECT("'W"&amp;C$1&amp;"'!$A$2:$T$1000"),4,FALSE),0)</f>
        <v>8.9</v>
      </c>
      <c r="D344" s="37">
        <f ca="1">_xlfn.IFNA(VLOOKUP($A344,INDIRECT("'W"&amp;D$1&amp;"'!$A$2:$T$1000"),4,FALSE),0)</f>
        <v>0.20000000000000018</v>
      </c>
      <c r="E344" s="37">
        <f ca="1">_xlfn.IFNA(VLOOKUP($A344,INDIRECT("'W"&amp;E$1&amp;"'!$A$2:$T$1000"),4,FALSE),0)</f>
        <v>5.9</v>
      </c>
      <c r="F344" s="37">
        <f ca="1">_xlfn.IFNA(VLOOKUP($A344,INDIRECT("'W"&amp;F$1&amp;"'!$A$2:$T$1000"),4,FALSE),0)</f>
        <v>2.8000000000000003</v>
      </c>
      <c r="G344" s="37">
        <f ca="1">_xlfn.IFNA(VLOOKUP($A344,INDIRECT("'W"&amp;G$1&amp;"'!$A$2:$T$1000"),4,FALSE),0)</f>
        <v>2.3000000000000003</v>
      </c>
      <c r="H344" s="37">
        <f ca="1">_xlfn.IFNA(VLOOKUP($A344,INDIRECT("'W"&amp;H$1&amp;"'!$A$2:$T$1000"),4,FALSE),0)</f>
        <v>2.4000000000000004</v>
      </c>
      <c r="I344" s="37">
        <f ca="1">_xlfn.IFNA(VLOOKUP($A344,INDIRECT("'W"&amp;I$1&amp;"'!$A$2:$T$1000"),4,FALSE),0)</f>
        <v>0</v>
      </c>
      <c r="J344" s="37">
        <f ca="1">_xlfn.IFNA(VLOOKUP($A344,INDIRECT("'W"&amp;J$1&amp;"'!$A$2:$T$1000"),4,FALSE),0)</f>
        <v>0.5</v>
      </c>
      <c r="K344" s="37">
        <f ca="1">_xlfn.IFNA(VLOOKUP($A344,INDIRECT("'W"&amp;K$1&amp;"'!$A$2:$T$1000"),4,FALSE),0)</f>
        <v>1.8000000000000003</v>
      </c>
      <c r="L344" s="37">
        <f ca="1">_xlfn.IFNA(VLOOKUP($A344,INDIRECT("'W"&amp;L$1&amp;"'!$A$2:$T$1000"),4,FALSE),0)</f>
        <v>2.6</v>
      </c>
      <c r="M344" s="37">
        <f ca="1">_xlfn.IFNA(VLOOKUP($A344,INDIRECT("'W"&amp;M$1&amp;"'!$A$2:$T$1000"),4,FALSE),0)</f>
        <v>1.3</v>
      </c>
      <c r="N344" s="37">
        <f ca="1">_xlfn.IFNA(VLOOKUP($A344,INDIRECT("'W"&amp;N$1&amp;"'!$A$2:$T$1000"),4,FALSE),0)</f>
        <v>4.1000000000000005</v>
      </c>
      <c r="O344" s="37">
        <f ca="1">_xlfn.IFNA(VLOOKUP($A344,INDIRECT("'W"&amp;O$1&amp;"'!$A$2:$T$1000"),4,FALSE),0)</f>
        <v>3.5999999999999996</v>
      </c>
      <c r="P344" s="37">
        <f ca="1">_xlfn.IFNA(VLOOKUP($A344,INDIRECT("'W"&amp;P$1&amp;"'!$A$2:$T$1000"),4,FALSE),0)</f>
        <v>1.7999999999999998</v>
      </c>
      <c r="Q344" s="37">
        <f ca="1">_xlfn.IFNA(VLOOKUP($A344,INDIRECT("'W"&amp;Q$1&amp;"'!$A$2:$T$1000"),4,FALSE),0)</f>
        <v>2</v>
      </c>
      <c r="R344" s="37">
        <f ca="1">_xlfn.IFNA(VLOOKUP($A344,INDIRECT("'W"&amp;R$1&amp;"'!$A$2:$T$1000"),4,FALSE),0)</f>
        <v>0</v>
      </c>
      <c r="S344" s="37">
        <f ca="1">_xlfn.IFNA(VLOOKUP($A344,INDIRECT("'W"&amp;S$1&amp;"'!$A$2:$T$1000"),4,FALSE),0)</f>
        <v>0</v>
      </c>
      <c r="T344" s="37">
        <f ca="1">_xlfn.IFNA(VLOOKUP($A344,INDIRECT("'W"&amp;T$1&amp;"'!$A$2:$T$1000"),4,FALSE),0)</f>
        <v>0</v>
      </c>
      <c r="U344" s="36">
        <f ca="1">COUNTIF(C344:T344,"&gt; 15")</f>
        <v>0</v>
      </c>
      <c r="V344" s="36">
        <f ca="1">SUM(C344:T344)</f>
        <v>40.200000000000003</v>
      </c>
      <c r="W344" s="36"/>
      <c r="X344" s="38">
        <v>54</v>
      </c>
    </row>
    <row r="345" spans="1:24" ht="12.75" x14ac:dyDescent="0.2">
      <c r="A345" s="36" t="s">
        <v>303</v>
      </c>
      <c r="B345" s="36" t="s">
        <v>69</v>
      </c>
      <c r="C345" s="37">
        <f ca="1">_xlfn.IFNA(VLOOKUP($A345,INDIRECT("'W"&amp;C$1&amp;"'!$A$2:$T$1000"),4,FALSE),0)</f>
        <v>3.7</v>
      </c>
      <c r="D345" s="37">
        <f ca="1">_xlfn.IFNA(VLOOKUP($A345,INDIRECT("'W"&amp;D$1&amp;"'!$A$2:$T$1000"),4,FALSE),0)</f>
        <v>6.5</v>
      </c>
      <c r="E345" s="37">
        <f ca="1">_xlfn.IFNA(VLOOKUP($A345,INDIRECT("'W"&amp;E$1&amp;"'!$A$2:$T$1000"),4,FALSE),0)</f>
        <v>0</v>
      </c>
      <c r="F345" s="37">
        <f ca="1">_xlfn.IFNA(VLOOKUP($A345,INDIRECT("'W"&amp;F$1&amp;"'!$A$2:$T$1000"),4,FALSE),0)</f>
        <v>0</v>
      </c>
      <c r="G345" s="37">
        <f ca="1">_xlfn.IFNA(VLOOKUP($A345,INDIRECT("'W"&amp;G$1&amp;"'!$A$2:$T$1000"),4,FALSE),0)</f>
        <v>0</v>
      </c>
      <c r="H345" s="37">
        <f ca="1">_xlfn.IFNA(VLOOKUP($A345,INDIRECT("'W"&amp;H$1&amp;"'!$A$2:$T$1000"),4,FALSE),0)</f>
        <v>1.4</v>
      </c>
      <c r="I345" s="37">
        <f ca="1">_xlfn.IFNA(VLOOKUP($A345,INDIRECT("'W"&amp;I$1&amp;"'!$A$2:$T$1000"),4,FALSE),0)</f>
        <v>0</v>
      </c>
      <c r="J345" s="37">
        <f ca="1">_xlfn.IFNA(VLOOKUP($A345,INDIRECT("'W"&amp;J$1&amp;"'!$A$2:$T$1000"),4,FALSE),0)</f>
        <v>0</v>
      </c>
      <c r="K345" s="37">
        <f ca="1">_xlfn.IFNA(VLOOKUP($A345,INDIRECT("'W"&amp;K$1&amp;"'!$A$2:$T$1000"),4,FALSE),0)</f>
        <v>0</v>
      </c>
      <c r="L345" s="37">
        <f ca="1">_xlfn.IFNA(VLOOKUP($A345,INDIRECT("'W"&amp;L$1&amp;"'!$A$2:$T$1000"),4,FALSE),0)</f>
        <v>4.2</v>
      </c>
      <c r="M345" s="37">
        <f ca="1">_xlfn.IFNA(VLOOKUP($A345,INDIRECT("'W"&amp;M$1&amp;"'!$A$2:$T$1000"),4,FALSE),0)</f>
        <v>1.9</v>
      </c>
      <c r="N345" s="37">
        <f ca="1">_xlfn.IFNA(VLOOKUP($A345,INDIRECT("'W"&amp;N$1&amp;"'!$A$2:$T$1000"),4,FALSE),0)</f>
        <v>3.1</v>
      </c>
      <c r="O345" s="37">
        <f ca="1">_xlfn.IFNA(VLOOKUP($A345,INDIRECT("'W"&amp;O$1&amp;"'!$A$2:$T$1000"),4,FALSE),0)</f>
        <v>0</v>
      </c>
      <c r="P345" s="37">
        <f ca="1">_xlfn.IFNA(VLOOKUP($A345,INDIRECT("'W"&amp;P$1&amp;"'!$A$2:$T$1000"),4,FALSE),0)</f>
        <v>1.3</v>
      </c>
      <c r="Q345" s="37">
        <f ca="1">_xlfn.IFNA(VLOOKUP($A345,INDIRECT("'W"&amp;Q$1&amp;"'!$A$2:$T$1000"),4,FALSE),0)</f>
        <v>2.9</v>
      </c>
      <c r="R345" s="37">
        <f ca="1">_xlfn.IFNA(VLOOKUP($A345,INDIRECT("'W"&amp;R$1&amp;"'!$A$2:$T$1000"),4,FALSE),0)</f>
        <v>1.6</v>
      </c>
      <c r="S345" s="37">
        <f ca="1">_xlfn.IFNA(VLOOKUP($A345,INDIRECT("'W"&amp;S$1&amp;"'!$A$2:$T$1000"),4,FALSE),0)</f>
        <v>0</v>
      </c>
      <c r="T345" s="37">
        <f ca="1">_xlfn.IFNA(VLOOKUP($A345,INDIRECT("'W"&amp;T$1&amp;"'!$A$2:$T$1000"),4,FALSE),0)</f>
        <v>13.600000000000001</v>
      </c>
      <c r="U345" s="36">
        <f ca="1">COUNTIF(C345:T345,"&gt; 15")</f>
        <v>0</v>
      </c>
      <c r="V345" s="36">
        <f ca="1">SUM(C345:T345)</f>
        <v>40.200000000000003</v>
      </c>
      <c r="W345" s="36"/>
      <c r="X345" s="38"/>
    </row>
    <row r="346" spans="1:24" ht="12.75" x14ac:dyDescent="0.2">
      <c r="A346" s="36" t="s">
        <v>526</v>
      </c>
      <c r="B346" s="36" t="s">
        <v>69</v>
      </c>
      <c r="C346" s="37">
        <f ca="1">_xlfn.IFNA(VLOOKUP($A346,INDIRECT("'W"&amp;C$1&amp;"'!$A$2:$T$1000"),4,FALSE),0)</f>
        <v>0</v>
      </c>
      <c r="D346" s="37">
        <f ca="1">_xlfn.IFNA(VLOOKUP($A346,INDIRECT("'W"&amp;D$1&amp;"'!$A$2:$T$1000"),4,FALSE),0)</f>
        <v>0</v>
      </c>
      <c r="E346" s="37">
        <f ca="1">_xlfn.IFNA(VLOOKUP($A346,INDIRECT("'W"&amp;E$1&amp;"'!$A$2:$T$1000"),4,FALSE),0)</f>
        <v>0</v>
      </c>
      <c r="F346" s="37">
        <f ca="1">_xlfn.IFNA(VLOOKUP($A346,INDIRECT("'W"&amp;F$1&amp;"'!$A$2:$T$1000"),4,FALSE),0)</f>
        <v>0</v>
      </c>
      <c r="G346" s="37">
        <f ca="1">_xlfn.IFNA(VLOOKUP($A346,INDIRECT("'W"&amp;G$1&amp;"'!$A$2:$T$1000"),4,FALSE),0)</f>
        <v>2.1</v>
      </c>
      <c r="H346" s="37">
        <f ca="1">_xlfn.IFNA(VLOOKUP($A346,INDIRECT("'W"&amp;H$1&amp;"'!$A$2:$T$1000"),4,FALSE),0)</f>
        <v>0</v>
      </c>
      <c r="I346" s="37">
        <f ca="1">_xlfn.IFNA(VLOOKUP($A346,INDIRECT("'W"&amp;I$1&amp;"'!$A$2:$T$1000"),4,FALSE),0)</f>
        <v>0</v>
      </c>
      <c r="J346" s="37">
        <f ca="1">_xlfn.IFNA(VLOOKUP($A346,INDIRECT("'W"&amp;J$1&amp;"'!$A$2:$T$1000"),4,FALSE),0)</f>
        <v>1.8</v>
      </c>
      <c r="K346" s="37">
        <f ca="1">_xlfn.IFNA(VLOOKUP($A346,INDIRECT("'W"&amp;K$1&amp;"'!$A$2:$T$1000"),4,FALSE),0)</f>
        <v>2.8</v>
      </c>
      <c r="L346" s="37">
        <f ca="1">_xlfn.IFNA(VLOOKUP($A346,INDIRECT("'W"&amp;L$1&amp;"'!$A$2:$T$1000"),4,FALSE),0)</f>
        <v>2.8</v>
      </c>
      <c r="M346" s="37">
        <f ca="1">_xlfn.IFNA(VLOOKUP($A346,INDIRECT("'W"&amp;M$1&amp;"'!$A$2:$T$1000"),4,FALSE),0)</f>
        <v>0</v>
      </c>
      <c r="N346" s="37">
        <f ca="1">_xlfn.IFNA(VLOOKUP($A346,INDIRECT("'W"&amp;N$1&amp;"'!$A$2:$T$1000"),4,FALSE),0)</f>
        <v>0</v>
      </c>
      <c r="O346" s="37">
        <f ca="1">_xlfn.IFNA(VLOOKUP($A346,INDIRECT("'W"&amp;O$1&amp;"'!$A$2:$T$1000"),4,FALSE),0)</f>
        <v>0</v>
      </c>
      <c r="P346" s="37">
        <f ca="1">_xlfn.IFNA(VLOOKUP($A346,INDIRECT("'W"&amp;P$1&amp;"'!$A$2:$T$1000"),4,FALSE),0)</f>
        <v>1.4</v>
      </c>
      <c r="Q346" s="37">
        <f ca="1">_xlfn.IFNA(VLOOKUP($A346,INDIRECT("'W"&amp;Q$1&amp;"'!$A$2:$T$1000"),4,FALSE),0)</f>
        <v>1.3</v>
      </c>
      <c r="R346" s="37">
        <f ca="1">_xlfn.IFNA(VLOOKUP($A346,INDIRECT("'W"&amp;R$1&amp;"'!$A$2:$T$1000"),4,FALSE),0)</f>
        <v>3.3000000000000003</v>
      </c>
      <c r="S346" s="37">
        <f ca="1">_xlfn.IFNA(VLOOKUP($A346,INDIRECT("'W"&amp;S$1&amp;"'!$A$2:$T$1000"),4,FALSE),0)</f>
        <v>13.9</v>
      </c>
      <c r="T346" s="37">
        <f ca="1">_xlfn.IFNA(VLOOKUP($A346,INDIRECT("'W"&amp;T$1&amp;"'!$A$2:$T$1000"),4,FALSE),0)</f>
        <v>10.8</v>
      </c>
      <c r="U346" s="36">
        <f ca="1">COUNTIF(C346:T346,"&gt; 15")</f>
        <v>0</v>
      </c>
      <c r="V346" s="36">
        <f ca="1">SUM(C346:T346)</f>
        <v>40.200000000000003</v>
      </c>
      <c r="W346" s="36"/>
      <c r="X346" s="38"/>
    </row>
    <row r="347" spans="1:24" ht="12.75" x14ac:dyDescent="0.2">
      <c r="A347" s="36" t="s">
        <v>239</v>
      </c>
      <c r="B347" s="36" t="s">
        <v>162</v>
      </c>
      <c r="C347" s="37">
        <f ca="1">_xlfn.IFNA(VLOOKUP($A347,INDIRECT("'W"&amp;C$1&amp;"'!$A$2:$T$1000"),4,FALSE),0)</f>
        <v>4.7</v>
      </c>
      <c r="D347" s="37">
        <f ca="1">_xlfn.IFNA(VLOOKUP($A347,INDIRECT("'W"&amp;D$1&amp;"'!$A$2:$T$1000"),4,FALSE),0)</f>
        <v>10.600000000000001</v>
      </c>
      <c r="E347" s="37">
        <f ca="1">_xlfn.IFNA(VLOOKUP($A347,INDIRECT("'W"&amp;E$1&amp;"'!$A$2:$T$1000"),4,FALSE),0)</f>
        <v>1.5</v>
      </c>
      <c r="F347" s="37">
        <f ca="1">_xlfn.IFNA(VLOOKUP($A347,INDIRECT("'W"&amp;F$1&amp;"'!$A$2:$T$1000"),4,FALSE),0)</f>
        <v>0</v>
      </c>
      <c r="G347" s="37">
        <f ca="1">_xlfn.IFNA(VLOOKUP($A347,INDIRECT("'W"&amp;G$1&amp;"'!$A$2:$T$1000"),4,FALSE),0)</f>
        <v>0</v>
      </c>
      <c r="H347" s="37">
        <f ca="1">_xlfn.IFNA(VLOOKUP($A347,INDIRECT("'W"&amp;H$1&amp;"'!$A$2:$T$1000"),4,FALSE),0)</f>
        <v>0</v>
      </c>
      <c r="I347" s="37">
        <f ca="1">_xlfn.IFNA(VLOOKUP($A347,INDIRECT("'W"&amp;I$1&amp;"'!$A$2:$T$1000"),4,FALSE),0)</f>
        <v>0</v>
      </c>
      <c r="J347" s="37">
        <f ca="1">_xlfn.IFNA(VLOOKUP($A347,INDIRECT("'W"&amp;J$1&amp;"'!$A$2:$T$1000"),4,FALSE),0)</f>
        <v>0</v>
      </c>
      <c r="K347" s="37">
        <f ca="1">_xlfn.IFNA(VLOOKUP($A347,INDIRECT("'W"&amp;K$1&amp;"'!$A$2:$T$1000"),4,FALSE),0)</f>
        <v>4.8000000000000007</v>
      </c>
      <c r="L347" s="37">
        <f ca="1">_xlfn.IFNA(VLOOKUP($A347,INDIRECT("'W"&amp;L$1&amp;"'!$A$2:$T$1000"),4,FALSE),0)</f>
        <v>0</v>
      </c>
      <c r="M347" s="37">
        <f ca="1">_xlfn.IFNA(VLOOKUP($A347,INDIRECT("'W"&amp;M$1&amp;"'!$A$2:$T$1000"),4,FALSE),0)</f>
        <v>0</v>
      </c>
      <c r="N347" s="37">
        <f ca="1">_xlfn.IFNA(VLOOKUP($A347,INDIRECT("'W"&amp;N$1&amp;"'!$A$2:$T$1000"),4,FALSE),0)</f>
        <v>0</v>
      </c>
      <c r="O347" s="37">
        <f ca="1">_xlfn.IFNA(VLOOKUP($A347,INDIRECT("'W"&amp;O$1&amp;"'!$A$2:$T$1000"),4,FALSE),0)</f>
        <v>0</v>
      </c>
      <c r="P347" s="37">
        <f ca="1">_xlfn.IFNA(VLOOKUP($A347,INDIRECT("'W"&amp;P$1&amp;"'!$A$2:$T$1000"),4,FALSE),0)</f>
        <v>1.6</v>
      </c>
      <c r="Q347" s="37">
        <f ca="1">_xlfn.IFNA(VLOOKUP($A347,INDIRECT("'W"&amp;Q$1&amp;"'!$A$2:$T$1000"),4,FALSE),0)</f>
        <v>9.4</v>
      </c>
      <c r="R347" s="37">
        <f ca="1">_xlfn.IFNA(VLOOKUP($A347,INDIRECT("'W"&amp;R$1&amp;"'!$A$2:$T$1000"),4,FALSE),0)</f>
        <v>4.2</v>
      </c>
      <c r="S347" s="37">
        <f ca="1">_xlfn.IFNA(VLOOKUP($A347,INDIRECT("'W"&amp;S$1&amp;"'!$A$2:$T$1000"),4,FALSE),0)</f>
        <v>3.1</v>
      </c>
      <c r="T347" s="37">
        <f ca="1">_xlfn.IFNA(VLOOKUP($A347,INDIRECT("'W"&amp;T$1&amp;"'!$A$2:$T$1000"),4,FALSE),0)</f>
        <v>0</v>
      </c>
      <c r="U347" s="36">
        <f ca="1">COUNTIF(C347:T347,"&gt; 15")</f>
        <v>0</v>
      </c>
      <c r="V347" s="36">
        <f ca="1">SUM(C347:T347)</f>
        <v>39.900000000000006</v>
      </c>
      <c r="W347" s="36"/>
      <c r="X347" s="38"/>
    </row>
    <row r="348" spans="1:24" ht="12.75" x14ac:dyDescent="0.2">
      <c r="A348" s="36" t="s">
        <v>305</v>
      </c>
      <c r="B348" s="36" t="s">
        <v>69</v>
      </c>
      <c r="C348" s="37">
        <f ca="1">_xlfn.IFNA(VLOOKUP($A348,INDIRECT("'W"&amp;C$1&amp;"'!$A$2:$T$1000"),4,FALSE),0)</f>
        <v>3.9000000000000004</v>
      </c>
      <c r="D348" s="37">
        <f ca="1">_xlfn.IFNA(VLOOKUP($A348,INDIRECT("'W"&amp;D$1&amp;"'!$A$2:$T$1000"),4,FALSE),0)</f>
        <v>0</v>
      </c>
      <c r="E348" s="37">
        <f ca="1">_xlfn.IFNA(VLOOKUP($A348,INDIRECT("'W"&amp;E$1&amp;"'!$A$2:$T$1000"),4,FALSE),0)</f>
        <v>0</v>
      </c>
      <c r="F348" s="37">
        <f ca="1">_xlfn.IFNA(VLOOKUP($A348,INDIRECT("'W"&amp;F$1&amp;"'!$A$2:$T$1000"),4,FALSE),0)</f>
        <v>0</v>
      </c>
      <c r="G348" s="37">
        <f ca="1">_xlfn.IFNA(VLOOKUP($A348,INDIRECT("'W"&amp;G$1&amp;"'!$A$2:$T$1000"),4,FALSE),0)</f>
        <v>5.3000000000000007</v>
      </c>
      <c r="H348" s="37">
        <f ca="1">_xlfn.IFNA(VLOOKUP($A348,INDIRECT("'W"&amp;H$1&amp;"'!$A$2:$T$1000"),4,FALSE),0)</f>
        <v>0</v>
      </c>
      <c r="I348" s="37">
        <f ca="1">_xlfn.IFNA(VLOOKUP($A348,INDIRECT("'W"&amp;I$1&amp;"'!$A$2:$T$1000"),4,FALSE),0)</f>
        <v>4.3000000000000007</v>
      </c>
      <c r="J348" s="37">
        <f ca="1">_xlfn.IFNA(VLOOKUP($A348,INDIRECT("'W"&amp;J$1&amp;"'!$A$2:$T$1000"),4,FALSE),0)</f>
        <v>7.4</v>
      </c>
      <c r="K348" s="37">
        <f ca="1">_xlfn.IFNA(VLOOKUP($A348,INDIRECT("'W"&amp;K$1&amp;"'!$A$2:$T$1000"),4,FALSE),0)</f>
        <v>3.6</v>
      </c>
      <c r="L348" s="37">
        <f ca="1">_xlfn.IFNA(VLOOKUP($A348,INDIRECT("'W"&amp;L$1&amp;"'!$A$2:$T$1000"),4,FALSE),0)</f>
        <v>6.2</v>
      </c>
      <c r="M348" s="37">
        <f ca="1">_xlfn.IFNA(VLOOKUP($A348,INDIRECT("'W"&amp;M$1&amp;"'!$A$2:$T$1000"),4,FALSE),0)</f>
        <v>0</v>
      </c>
      <c r="N348" s="37">
        <f ca="1">_xlfn.IFNA(VLOOKUP($A348,INDIRECT("'W"&amp;N$1&amp;"'!$A$2:$T$1000"),4,FALSE),0)</f>
        <v>3.1</v>
      </c>
      <c r="O348" s="37">
        <f ca="1">_xlfn.IFNA(VLOOKUP($A348,INDIRECT("'W"&amp;O$1&amp;"'!$A$2:$T$1000"),4,FALSE),0)</f>
        <v>0</v>
      </c>
      <c r="P348" s="37">
        <f ca="1">_xlfn.IFNA(VLOOKUP($A348,INDIRECT("'W"&amp;P$1&amp;"'!$A$2:$T$1000"),4,FALSE),0)</f>
        <v>3.5</v>
      </c>
      <c r="Q348" s="37">
        <f ca="1">_xlfn.IFNA(VLOOKUP($A348,INDIRECT("'W"&amp;Q$1&amp;"'!$A$2:$T$1000"),4,FALSE),0)</f>
        <v>0</v>
      </c>
      <c r="R348" s="37">
        <f ca="1">_xlfn.IFNA(VLOOKUP($A348,INDIRECT("'W"&amp;R$1&amp;"'!$A$2:$T$1000"),4,FALSE),0)</f>
        <v>0</v>
      </c>
      <c r="S348" s="37">
        <f ca="1">_xlfn.IFNA(VLOOKUP($A348,INDIRECT("'W"&amp;S$1&amp;"'!$A$2:$T$1000"),4,FALSE),0)</f>
        <v>0</v>
      </c>
      <c r="T348" s="37">
        <f ca="1">_xlfn.IFNA(VLOOKUP($A348,INDIRECT("'W"&amp;T$1&amp;"'!$A$2:$T$1000"),4,FALSE),0)</f>
        <v>2.4</v>
      </c>
      <c r="U348" s="36">
        <f ca="1">COUNTIF(C348:T348,"&gt; 15")</f>
        <v>0</v>
      </c>
      <c r="V348" s="36">
        <f ca="1">SUM(C348:T348)</f>
        <v>39.700000000000003</v>
      </c>
      <c r="W348" s="36"/>
      <c r="X348" s="38"/>
    </row>
    <row r="349" spans="1:24" ht="12.75" x14ac:dyDescent="0.2">
      <c r="A349" s="36" t="s">
        <v>154</v>
      </c>
      <c r="B349" s="36" t="s">
        <v>75</v>
      </c>
      <c r="C349" s="37">
        <f ca="1">_xlfn.IFNA(VLOOKUP($A349,INDIRECT("'W"&amp;C$1&amp;"'!$A$2:$T$1000"),4,FALSE),0)</f>
        <v>0.8</v>
      </c>
      <c r="D349" s="37">
        <f ca="1">_xlfn.IFNA(VLOOKUP($A349,INDIRECT("'W"&amp;D$1&amp;"'!$A$2:$T$1000"),4,FALSE),0)</f>
        <v>1.2000000000000002</v>
      </c>
      <c r="E349" s="37">
        <f ca="1">_xlfn.IFNA(VLOOKUP($A349,INDIRECT("'W"&amp;E$1&amp;"'!$A$2:$T$1000"),4,FALSE),0)</f>
        <v>0</v>
      </c>
      <c r="F349" s="37">
        <f ca="1">_xlfn.IFNA(VLOOKUP($A349,INDIRECT("'W"&amp;F$1&amp;"'!$A$2:$T$1000"),4,FALSE),0)</f>
        <v>0</v>
      </c>
      <c r="G349" s="37">
        <f ca="1">_xlfn.IFNA(VLOOKUP($A349,INDIRECT("'W"&amp;G$1&amp;"'!$A$2:$T$1000"),4,FALSE),0)</f>
        <v>0</v>
      </c>
      <c r="H349" s="37">
        <f ca="1">_xlfn.IFNA(VLOOKUP($A349,INDIRECT("'W"&amp;H$1&amp;"'!$A$2:$T$1000"),4,FALSE),0)</f>
        <v>0</v>
      </c>
      <c r="I349" s="37">
        <f ca="1">_xlfn.IFNA(VLOOKUP($A349,INDIRECT("'W"&amp;I$1&amp;"'!$A$2:$T$1000"),4,FALSE),0)</f>
        <v>0</v>
      </c>
      <c r="J349" s="37">
        <f ca="1">_xlfn.IFNA(VLOOKUP($A349,INDIRECT("'W"&amp;J$1&amp;"'!$A$2:$T$1000"),4,FALSE),0)</f>
        <v>4.0999999999999996</v>
      </c>
      <c r="K349" s="37">
        <f ca="1">_xlfn.IFNA(VLOOKUP($A349,INDIRECT("'W"&amp;K$1&amp;"'!$A$2:$T$1000"),4,FALSE),0)</f>
        <v>0.4</v>
      </c>
      <c r="L349" s="37">
        <f ca="1">_xlfn.IFNA(VLOOKUP($A349,INDIRECT("'W"&amp;L$1&amp;"'!$A$2:$T$1000"),4,FALSE),0)</f>
        <v>1.7</v>
      </c>
      <c r="M349" s="37">
        <f ca="1">_xlfn.IFNA(VLOOKUP($A349,INDIRECT("'W"&amp;M$1&amp;"'!$A$2:$T$1000"),4,FALSE),0)</f>
        <v>2.9000000000000004</v>
      </c>
      <c r="N349" s="37">
        <f ca="1">_xlfn.IFNA(VLOOKUP($A349,INDIRECT("'W"&amp;N$1&amp;"'!$A$2:$T$1000"),4,FALSE),0)</f>
        <v>1.1000000000000001</v>
      </c>
      <c r="O349" s="37">
        <f ca="1">_xlfn.IFNA(VLOOKUP($A349,INDIRECT("'W"&amp;O$1&amp;"'!$A$2:$T$1000"),4,FALSE),0)</f>
        <v>1.9000000000000001</v>
      </c>
      <c r="P349" s="37">
        <f ca="1">_xlfn.IFNA(VLOOKUP($A349,INDIRECT("'W"&amp;P$1&amp;"'!$A$2:$T$1000"),4,FALSE),0)</f>
        <v>7.8</v>
      </c>
      <c r="Q349" s="37">
        <f ca="1">_xlfn.IFNA(VLOOKUP($A349,INDIRECT("'W"&amp;Q$1&amp;"'!$A$2:$T$1000"),4,FALSE),0)</f>
        <v>1.3</v>
      </c>
      <c r="R349" s="37">
        <f ca="1">_xlfn.IFNA(VLOOKUP($A349,INDIRECT("'W"&amp;R$1&amp;"'!$A$2:$T$1000"),4,FALSE),0)</f>
        <v>2.5</v>
      </c>
      <c r="S349" s="37">
        <f ca="1">_xlfn.IFNA(VLOOKUP($A349,INDIRECT("'W"&amp;S$1&amp;"'!$A$2:$T$1000"),4,FALSE),0)</f>
        <v>10.6</v>
      </c>
      <c r="T349" s="37">
        <f ca="1">_xlfn.IFNA(VLOOKUP($A349,INDIRECT("'W"&amp;T$1&amp;"'!$A$2:$T$1000"),4,FALSE),0)</f>
        <v>3.4000000000000004</v>
      </c>
      <c r="U349" s="36">
        <f ca="1">COUNTIF(C349:T349,"&gt; 15")</f>
        <v>0</v>
      </c>
      <c r="V349" s="36">
        <f ca="1">SUM(C349:T349)</f>
        <v>39.699999999999996</v>
      </c>
      <c r="W349" s="36"/>
      <c r="X349" s="38"/>
    </row>
    <row r="350" spans="1:24" ht="12.75" x14ac:dyDescent="0.2">
      <c r="A350" s="36" t="s">
        <v>759</v>
      </c>
      <c r="B350" s="36" t="e">
        <f ca="1">VLOOKUP(A350,CumulativePlayerList!$T$3:$U$550,2,FALSE)</f>
        <v>#NAME?</v>
      </c>
      <c r="C350" s="37">
        <f ca="1">_xlfn.IFNA(VLOOKUP($A350,INDIRECT("'W"&amp;C$1&amp;"'!$A$2:$T$1000"),4,FALSE),0)</f>
        <v>0</v>
      </c>
      <c r="D350" s="37">
        <f ca="1">_xlfn.IFNA(VLOOKUP($A350,INDIRECT("'W"&amp;D$1&amp;"'!$A$2:$T$1000"),4,FALSE),0)</f>
        <v>0</v>
      </c>
      <c r="E350" s="37">
        <f ca="1">_xlfn.IFNA(VLOOKUP($A350,INDIRECT("'W"&amp;E$1&amp;"'!$A$2:$T$1000"),4,FALSE),0)</f>
        <v>0</v>
      </c>
      <c r="F350" s="37">
        <f ca="1">_xlfn.IFNA(VLOOKUP($A350,INDIRECT("'W"&amp;F$1&amp;"'!$A$2:$T$1000"),4,FALSE),0)</f>
        <v>0</v>
      </c>
      <c r="G350" s="37">
        <f ca="1">_xlfn.IFNA(VLOOKUP($A350,INDIRECT("'W"&amp;G$1&amp;"'!$A$2:$T$1000"),4,FALSE),0)</f>
        <v>0</v>
      </c>
      <c r="H350" s="37">
        <f ca="1">_xlfn.IFNA(VLOOKUP($A350,INDIRECT("'W"&amp;H$1&amp;"'!$A$2:$T$1000"),4,FALSE),0)</f>
        <v>0</v>
      </c>
      <c r="I350" s="37">
        <f ca="1">_xlfn.IFNA(VLOOKUP($A350,INDIRECT("'W"&amp;I$1&amp;"'!$A$2:$T$1000"),4,FALSE),0)</f>
        <v>0</v>
      </c>
      <c r="J350" s="37">
        <f ca="1">_xlfn.IFNA(VLOOKUP($A350,INDIRECT("'W"&amp;J$1&amp;"'!$A$2:$T$1000"),4,FALSE),0)</f>
        <v>0</v>
      </c>
      <c r="K350" s="37">
        <f ca="1">_xlfn.IFNA(VLOOKUP($A350,INDIRECT("'W"&amp;K$1&amp;"'!$A$2:$T$1000"),4,FALSE),0)</f>
        <v>0</v>
      </c>
      <c r="L350" s="37">
        <f ca="1">_xlfn.IFNA(VLOOKUP($A350,INDIRECT("'W"&amp;L$1&amp;"'!$A$2:$T$1000"),4,FALSE),0)</f>
        <v>0</v>
      </c>
      <c r="M350" s="37">
        <f ca="1">_xlfn.IFNA(VLOOKUP($A350,INDIRECT("'W"&amp;M$1&amp;"'!$A$2:$T$1000"),4,FALSE),0)</f>
        <v>0</v>
      </c>
      <c r="N350" s="37">
        <f ca="1">_xlfn.IFNA(VLOOKUP($A350,INDIRECT("'W"&amp;N$1&amp;"'!$A$2:$T$1000"),4,FALSE),0)</f>
        <v>0</v>
      </c>
      <c r="O350" s="37">
        <f ca="1">_xlfn.IFNA(VLOOKUP($A350,INDIRECT("'W"&amp;O$1&amp;"'!$A$2:$T$1000"),4,FALSE),0)</f>
        <v>0</v>
      </c>
      <c r="P350" s="37">
        <f ca="1">_xlfn.IFNA(VLOOKUP($A350,INDIRECT("'W"&amp;P$1&amp;"'!$A$2:$T$1000"),4,FALSE),0)</f>
        <v>0</v>
      </c>
      <c r="Q350" s="37">
        <f ca="1">_xlfn.IFNA(VLOOKUP($A350,INDIRECT("'W"&amp;Q$1&amp;"'!$A$2:$T$1000"),4,FALSE),0)</f>
        <v>0.12</v>
      </c>
      <c r="R350" s="37">
        <f ca="1">_xlfn.IFNA(VLOOKUP($A350,INDIRECT("'W"&amp;R$1&amp;"'!$A$2:$T$1000"),4,FALSE),0)</f>
        <v>20</v>
      </c>
      <c r="S350" s="37">
        <f ca="1">_xlfn.IFNA(VLOOKUP($A350,INDIRECT("'W"&amp;S$1&amp;"'!$A$2:$T$1000"),4,FALSE),0)</f>
        <v>11.46</v>
      </c>
      <c r="T350" s="37">
        <f ca="1">_xlfn.IFNA(VLOOKUP($A350,INDIRECT("'W"&amp;T$1&amp;"'!$A$2:$T$1000"),4,FALSE),0)</f>
        <v>7.98</v>
      </c>
      <c r="U350" s="36">
        <f ca="1">COUNTIF(C350:T350,"&gt; 15")</f>
        <v>1</v>
      </c>
      <c r="V350" s="36">
        <f ca="1">SUM(C350:T350)</f>
        <v>39.56</v>
      </c>
      <c r="W350" s="36"/>
      <c r="X350" s="38"/>
    </row>
    <row r="351" spans="1:24" ht="12.75" x14ac:dyDescent="0.2">
      <c r="A351" s="36" t="s">
        <v>712</v>
      </c>
      <c r="B351" s="36" t="s">
        <v>162</v>
      </c>
      <c r="C351" s="37">
        <f ca="1">_xlfn.IFNA(VLOOKUP($A351,INDIRECT("'W"&amp;C$1&amp;"'!$A$2:$T$1000"),4,FALSE),0)</f>
        <v>0</v>
      </c>
      <c r="D351" s="37">
        <f ca="1">_xlfn.IFNA(VLOOKUP($A351,INDIRECT("'W"&amp;D$1&amp;"'!$A$2:$T$1000"),4,FALSE),0)</f>
        <v>0</v>
      </c>
      <c r="E351" s="37">
        <f ca="1">_xlfn.IFNA(VLOOKUP($A351,INDIRECT("'W"&amp;E$1&amp;"'!$A$2:$T$1000"),4,FALSE),0)</f>
        <v>0</v>
      </c>
      <c r="F351" s="37">
        <f ca="1">_xlfn.IFNA(VLOOKUP($A351,INDIRECT("'W"&amp;F$1&amp;"'!$A$2:$T$1000"),4,FALSE),0)</f>
        <v>0</v>
      </c>
      <c r="G351" s="37">
        <f ca="1">_xlfn.IFNA(VLOOKUP($A351,INDIRECT("'W"&amp;G$1&amp;"'!$A$2:$T$1000"),4,FALSE),0)</f>
        <v>0</v>
      </c>
      <c r="H351" s="37">
        <f ca="1">_xlfn.IFNA(VLOOKUP($A351,INDIRECT("'W"&amp;H$1&amp;"'!$A$2:$T$1000"),4,FALSE),0)</f>
        <v>0</v>
      </c>
      <c r="I351" s="37">
        <f ca="1">_xlfn.IFNA(VLOOKUP($A351,INDIRECT("'W"&amp;I$1&amp;"'!$A$2:$T$1000"),4,FALSE),0)</f>
        <v>0</v>
      </c>
      <c r="J351" s="37">
        <f ca="1">_xlfn.IFNA(VLOOKUP($A351,INDIRECT("'W"&amp;J$1&amp;"'!$A$2:$T$1000"),4,FALSE),0)</f>
        <v>0</v>
      </c>
      <c r="K351" s="37">
        <f ca="1">_xlfn.IFNA(VLOOKUP($A351,INDIRECT("'W"&amp;K$1&amp;"'!$A$2:$T$1000"),4,FALSE),0)</f>
        <v>0</v>
      </c>
      <c r="L351" s="37">
        <f ca="1">_xlfn.IFNA(VLOOKUP($A351,INDIRECT("'W"&amp;L$1&amp;"'!$A$2:$T$1000"),4,FALSE),0)</f>
        <v>0</v>
      </c>
      <c r="M351" s="37">
        <f ca="1">_xlfn.IFNA(VLOOKUP($A351,INDIRECT("'W"&amp;M$1&amp;"'!$A$2:$T$1000"),4,FALSE),0)</f>
        <v>0</v>
      </c>
      <c r="N351" s="37">
        <f ca="1">_xlfn.IFNA(VLOOKUP($A351,INDIRECT("'W"&amp;N$1&amp;"'!$A$2:$T$1000"),4,FALSE),0)</f>
        <v>0</v>
      </c>
      <c r="O351" s="37">
        <f ca="1">_xlfn.IFNA(VLOOKUP($A351,INDIRECT("'W"&amp;O$1&amp;"'!$A$2:$T$1000"),4,FALSE),0)</f>
        <v>18.100000000000001</v>
      </c>
      <c r="P351" s="37">
        <f ca="1">_xlfn.IFNA(VLOOKUP($A351,INDIRECT("'W"&amp;P$1&amp;"'!$A$2:$T$1000"),4,FALSE),0)</f>
        <v>8.6999999999999993</v>
      </c>
      <c r="Q351" s="37">
        <f ca="1">_xlfn.IFNA(VLOOKUP($A351,INDIRECT("'W"&amp;Q$1&amp;"'!$A$2:$T$1000"),4,FALSE),0)</f>
        <v>5.2</v>
      </c>
      <c r="R351" s="37">
        <f ca="1">_xlfn.IFNA(VLOOKUP($A351,INDIRECT("'W"&amp;R$1&amp;"'!$A$2:$T$1000"),4,FALSE),0)</f>
        <v>3.9000000000000004</v>
      </c>
      <c r="S351" s="37">
        <f ca="1">_xlfn.IFNA(VLOOKUP($A351,INDIRECT("'W"&amp;S$1&amp;"'!$A$2:$T$1000"),4,FALSE),0)</f>
        <v>1.2</v>
      </c>
      <c r="T351" s="37">
        <f ca="1">_xlfn.IFNA(VLOOKUP($A351,INDIRECT("'W"&amp;T$1&amp;"'!$A$2:$T$1000"),4,FALSE),0)</f>
        <v>2.1</v>
      </c>
      <c r="U351" s="36">
        <f ca="1">COUNTIF(C351:T351,"&gt; 15")</f>
        <v>1</v>
      </c>
      <c r="V351" s="36">
        <f ca="1">SUM(C351:T351)</f>
        <v>39.200000000000003</v>
      </c>
      <c r="W351" s="36"/>
      <c r="X351" s="38"/>
    </row>
    <row r="352" spans="1:24" ht="12.75" x14ac:dyDescent="0.2">
      <c r="A352" s="36" t="s">
        <v>521</v>
      </c>
      <c r="B352" s="36" t="s">
        <v>162</v>
      </c>
      <c r="C352" s="37">
        <f ca="1">_xlfn.IFNA(VLOOKUP($A352,INDIRECT("'W"&amp;C$1&amp;"'!$A$2:$T$1000"),4,FALSE),0)</f>
        <v>0</v>
      </c>
      <c r="D352" s="37">
        <f ca="1">_xlfn.IFNA(VLOOKUP($A352,INDIRECT("'W"&amp;D$1&amp;"'!$A$2:$T$1000"),4,FALSE),0)</f>
        <v>0</v>
      </c>
      <c r="E352" s="37">
        <f ca="1">_xlfn.IFNA(VLOOKUP($A352,INDIRECT("'W"&amp;E$1&amp;"'!$A$2:$T$1000"),4,FALSE),0)</f>
        <v>0</v>
      </c>
      <c r="F352" s="37">
        <f ca="1">_xlfn.IFNA(VLOOKUP($A352,INDIRECT("'W"&amp;F$1&amp;"'!$A$2:$T$1000"),4,FALSE),0)</f>
        <v>0</v>
      </c>
      <c r="G352" s="37">
        <f ca="1">_xlfn.IFNA(VLOOKUP($A352,INDIRECT("'W"&amp;G$1&amp;"'!$A$2:$T$1000"),4,FALSE),0)</f>
        <v>3</v>
      </c>
      <c r="H352" s="37">
        <f ca="1">_xlfn.IFNA(VLOOKUP($A352,INDIRECT("'W"&amp;H$1&amp;"'!$A$2:$T$1000"),4,FALSE),0)</f>
        <v>1.4</v>
      </c>
      <c r="I352" s="37">
        <f ca="1">_xlfn.IFNA(VLOOKUP($A352,INDIRECT("'W"&amp;I$1&amp;"'!$A$2:$T$1000"),4,FALSE),0)</f>
        <v>5.6000000000000005</v>
      </c>
      <c r="J352" s="37">
        <f ca="1">_xlfn.IFNA(VLOOKUP($A352,INDIRECT("'W"&amp;J$1&amp;"'!$A$2:$T$1000"),4,FALSE),0)</f>
        <v>9.4</v>
      </c>
      <c r="K352" s="37">
        <f ca="1">_xlfn.IFNA(VLOOKUP($A352,INDIRECT("'W"&amp;K$1&amp;"'!$A$2:$T$1000"),4,FALSE),0)</f>
        <v>0</v>
      </c>
      <c r="L352" s="37">
        <f ca="1">_xlfn.IFNA(VLOOKUP($A352,INDIRECT("'W"&amp;L$1&amp;"'!$A$2:$T$1000"),4,FALSE),0)</f>
        <v>7.2</v>
      </c>
      <c r="M352" s="37">
        <f ca="1">_xlfn.IFNA(VLOOKUP($A352,INDIRECT("'W"&amp;M$1&amp;"'!$A$2:$T$1000"),4,FALSE),0)</f>
        <v>0</v>
      </c>
      <c r="N352" s="37">
        <f ca="1">_xlfn.IFNA(VLOOKUP($A352,INDIRECT("'W"&amp;N$1&amp;"'!$A$2:$T$1000"),4,FALSE),0)</f>
        <v>1.4</v>
      </c>
      <c r="O352" s="37">
        <f ca="1">_xlfn.IFNA(VLOOKUP($A352,INDIRECT("'W"&amp;O$1&amp;"'!$A$2:$T$1000"),4,FALSE),0)</f>
        <v>0</v>
      </c>
      <c r="P352" s="37">
        <f ca="1">_xlfn.IFNA(VLOOKUP($A352,INDIRECT("'W"&amp;P$1&amp;"'!$A$2:$T$1000"),4,FALSE),0)</f>
        <v>0</v>
      </c>
      <c r="Q352" s="37">
        <f ca="1">_xlfn.IFNA(VLOOKUP($A352,INDIRECT("'W"&amp;Q$1&amp;"'!$A$2:$T$1000"),4,FALSE),0)</f>
        <v>0</v>
      </c>
      <c r="R352" s="37">
        <f ca="1">_xlfn.IFNA(VLOOKUP($A352,INDIRECT("'W"&amp;R$1&amp;"'!$A$2:$T$1000"),4,FALSE),0)</f>
        <v>2.5</v>
      </c>
      <c r="S352" s="37">
        <f ca="1">_xlfn.IFNA(VLOOKUP($A352,INDIRECT("'W"&amp;S$1&amp;"'!$A$2:$T$1000"),4,FALSE),0)</f>
        <v>0</v>
      </c>
      <c r="T352" s="37">
        <f ca="1">_xlfn.IFNA(VLOOKUP($A352,INDIRECT("'W"&amp;T$1&amp;"'!$A$2:$T$1000"),4,FALSE),0)</f>
        <v>8.6000000000000014</v>
      </c>
      <c r="U352" s="36">
        <f ca="1">COUNTIF(C352:T352,"&gt; 15")</f>
        <v>0</v>
      </c>
      <c r="V352" s="36">
        <f ca="1">SUM(C352:T352)</f>
        <v>39.099999999999994</v>
      </c>
      <c r="W352" s="36"/>
      <c r="X352" s="38"/>
    </row>
    <row r="353" spans="1:24" ht="12.75" x14ac:dyDescent="0.2">
      <c r="A353" s="36" t="s">
        <v>355</v>
      </c>
      <c r="B353" s="36" t="s">
        <v>69</v>
      </c>
      <c r="C353" s="37">
        <f ca="1">_xlfn.IFNA(VLOOKUP($A353,INDIRECT("'W"&amp;C$1&amp;"'!$A$2:$T$1000"),4,FALSE),0)</f>
        <v>0</v>
      </c>
      <c r="D353" s="37">
        <f ca="1">_xlfn.IFNA(VLOOKUP($A353,INDIRECT("'W"&amp;D$1&amp;"'!$A$2:$T$1000"),4,FALSE),0)</f>
        <v>6.9</v>
      </c>
      <c r="E353" s="37">
        <f ca="1">_xlfn.IFNA(VLOOKUP($A353,INDIRECT("'W"&amp;E$1&amp;"'!$A$2:$T$1000"),4,FALSE),0)</f>
        <v>0</v>
      </c>
      <c r="F353" s="37">
        <f ca="1">_xlfn.IFNA(VLOOKUP($A353,INDIRECT("'W"&amp;F$1&amp;"'!$A$2:$T$1000"),4,FALSE),0)</f>
        <v>0</v>
      </c>
      <c r="G353" s="37">
        <f ca="1">_xlfn.IFNA(VLOOKUP($A353,INDIRECT("'W"&amp;G$1&amp;"'!$A$2:$T$1000"),4,FALSE),0)</f>
        <v>0</v>
      </c>
      <c r="H353" s="37">
        <f ca="1">_xlfn.IFNA(VLOOKUP($A353,INDIRECT("'W"&amp;H$1&amp;"'!$A$2:$T$1000"),4,FALSE),0)</f>
        <v>0</v>
      </c>
      <c r="I353" s="37">
        <f ca="1">_xlfn.IFNA(VLOOKUP($A353,INDIRECT("'W"&amp;I$1&amp;"'!$A$2:$T$1000"),4,FALSE),0)</f>
        <v>0</v>
      </c>
      <c r="J353" s="37">
        <f ca="1">_xlfn.IFNA(VLOOKUP($A353,INDIRECT("'W"&amp;J$1&amp;"'!$A$2:$T$1000"),4,FALSE),0)</f>
        <v>1.6</v>
      </c>
      <c r="K353" s="37">
        <f ca="1">_xlfn.IFNA(VLOOKUP($A353,INDIRECT("'W"&amp;K$1&amp;"'!$A$2:$T$1000"),4,FALSE),0)</f>
        <v>0</v>
      </c>
      <c r="L353" s="37">
        <f ca="1">_xlfn.IFNA(VLOOKUP($A353,INDIRECT("'W"&amp;L$1&amp;"'!$A$2:$T$1000"),4,FALSE),0)</f>
        <v>1.7000000000000002</v>
      </c>
      <c r="M353" s="37">
        <f ca="1">_xlfn.IFNA(VLOOKUP($A353,INDIRECT("'W"&amp;M$1&amp;"'!$A$2:$T$1000"),4,FALSE),0)</f>
        <v>0</v>
      </c>
      <c r="N353" s="37">
        <f ca="1">_xlfn.IFNA(VLOOKUP($A353,INDIRECT("'W"&amp;N$1&amp;"'!$A$2:$T$1000"),4,FALSE),0)</f>
        <v>4.9000000000000004</v>
      </c>
      <c r="O353" s="37">
        <f ca="1">_xlfn.IFNA(VLOOKUP($A353,INDIRECT("'W"&amp;O$1&amp;"'!$A$2:$T$1000"),4,FALSE),0)</f>
        <v>2.4</v>
      </c>
      <c r="P353" s="37">
        <f ca="1">_xlfn.IFNA(VLOOKUP($A353,INDIRECT("'W"&amp;P$1&amp;"'!$A$2:$T$1000"),4,FALSE),0)</f>
        <v>9.6000000000000014</v>
      </c>
      <c r="Q353" s="37">
        <f ca="1">_xlfn.IFNA(VLOOKUP($A353,INDIRECT("'W"&amp;Q$1&amp;"'!$A$2:$T$1000"),4,FALSE),0)</f>
        <v>0</v>
      </c>
      <c r="R353" s="37">
        <f ca="1">_xlfn.IFNA(VLOOKUP($A353,INDIRECT("'W"&amp;R$1&amp;"'!$A$2:$T$1000"),4,FALSE),0)</f>
        <v>8.6999999999999993</v>
      </c>
      <c r="S353" s="37">
        <f ca="1">_xlfn.IFNA(VLOOKUP($A353,INDIRECT("'W"&amp;S$1&amp;"'!$A$2:$T$1000"),4,FALSE),0)</f>
        <v>2.9000000000000004</v>
      </c>
      <c r="T353" s="37">
        <f ca="1">_xlfn.IFNA(VLOOKUP($A353,INDIRECT("'W"&amp;T$1&amp;"'!$A$2:$T$1000"),4,FALSE),0)</f>
        <v>0</v>
      </c>
      <c r="U353" s="36">
        <f ca="1">COUNTIF(C353:T353,"&gt; 15")</f>
        <v>0</v>
      </c>
      <c r="V353" s="36">
        <f ca="1">SUM(C353:T353)</f>
        <v>38.699999999999996</v>
      </c>
      <c r="W353" s="36"/>
      <c r="X353" s="38"/>
    </row>
    <row r="354" spans="1:24" ht="12.75" x14ac:dyDescent="0.2">
      <c r="A354" s="36" t="s">
        <v>453</v>
      </c>
      <c r="B354" s="36" t="s">
        <v>75</v>
      </c>
      <c r="C354" s="37">
        <f ca="1">_xlfn.IFNA(VLOOKUP($A354,INDIRECT("'W"&amp;C$1&amp;"'!$A$2:$T$1000"),4,FALSE),0)</f>
        <v>0</v>
      </c>
      <c r="D354" s="37">
        <f ca="1">_xlfn.IFNA(VLOOKUP($A354,INDIRECT("'W"&amp;D$1&amp;"'!$A$2:$T$1000"),4,FALSE),0)</f>
        <v>0</v>
      </c>
      <c r="E354" s="37">
        <f ca="1">_xlfn.IFNA(VLOOKUP($A354,INDIRECT("'W"&amp;E$1&amp;"'!$A$2:$T$1000"),4,FALSE),0)</f>
        <v>0.30000000000000004</v>
      </c>
      <c r="F354" s="37">
        <f ca="1">_xlfn.IFNA(VLOOKUP($A354,INDIRECT("'W"&amp;F$1&amp;"'!$A$2:$T$1000"),4,FALSE),0)</f>
        <v>1.7000000000000002</v>
      </c>
      <c r="G354" s="37">
        <f ca="1">_xlfn.IFNA(VLOOKUP($A354,INDIRECT("'W"&amp;G$1&amp;"'!$A$2:$T$1000"),4,FALSE),0)</f>
        <v>12.6</v>
      </c>
      <c r="H354" s="37">
        <f ca="1">_xlfn.IFNA(VLOOKUP($A354,INDIRECT("'W"&amp;H$1&amp;"'!$A$2:$T$1000"),4,FALSE),0)</f>
        <v>1.9</v>
      </c>
      <c r="I354" s="37">
        <f ca="1">_xlfn.IFNA(VLOOKUP($A354,INDIRECT("'W"&amp;I$1&amp;"'!$A$2:$T$1000"),4,FALSE),0)</f>
        <v>0</v>
      </c>
      <c r="J354" s="37">
        <f ca="1">_xlfn.IFNA(VLOOKUP($A354,INDIRECT("'W"&amp;J$1&amp;"'!$A$2:$T$1000"),4,FALSE),0)</f>
        <v>0</v>
      </c>
      <c r="K354" s="37">
        <f ca="1">_xlfn.IFNA(VLOOKUP($A354,INDIRECT("'W"&amp;K$1&amp;"'!$A$2:$T$1000"),4,FALSE),0)</f>
        <v>0</v>
      </c>
      <c r="L354" s="37">
        <f ca="1">_xlfn.IFNA(VLOOKUP($A354,INDIRECT("'W"&amp;L$1&amp;"'!$A$2:$T$1000"),4,FALSE),0)</f>
        <v>10.6</v>
      </c>
      <c r="M354" s="37">
        <f ca="1">_xlfn.IFNA(VLOOKUP($A354,INDIRECT("'W"&amp;M$1&amp;"'!$A$2:$T$1000"),4,FALSE),0)</f>
        <v>0</v>
      </c>
      <c r="N354" s="37">
        <f ca="1">_xlfn.IFNA(VLOOKUP($A354,INDIRECT("'W"&amp;N$1&amp;"'!$A$2:$T$1000"),4,FALSE),0)</f>
        <v>0</v>
      </c>
      <c r="O354" s="37">
        <f ca="1">_xlfn.IFNA(VLOOKUP($A354,INDIRECT("'W"&amp;O$1&amp;"'!$A$2:$T$1000"),4,FALSE),0)</f>
        <v>0</v>
      </c>
      <c r="P354" s="37">
        <f ca="1">_xlfn.IFNA(VLOOKUP($A354,INDIRECT("'W"&amp;P$1&amp;"'!$A$2:$T$1000"),4,FALSE),0)</f>
        <v>0</v>
      </c>
      <c r="Q354" s="37">
        <f ca="1">_xlfn.IFNA(VLOOKUP($A354,INDIRECT("'W"&amp;Q$1&amp;"'!$A$2:$T$1000"),4,FALSE),0)</f>
        <v>4.5999999999999996</v>
      </c>
      <c r="R354" s="37">
        <f ca="1">_xlfn.IFNA(VLOOKUP($A354,INDIRECT("'W"&amp;R$1&amp;"'!$A$2:$T$1000"),4,FALSE),0)</f>
        <v>1.5</v>
      </c>
      <c r="S354" s="37">
        <f ca="1">_xlfn.IFNA(VLOOKUP($A354,INDIRECT("'W"&amp;S$1&amp;"'!$A$2:$T$1000"),4,FALSE),0)</f>
        <v>5.3000000000000007</v>
      </c>
      <c r="T354" s="37">
        <f ca="1">_xlfn.IFNA(VLOOKUP($A354,INDIRECT("'W"&amp;T$1&amp;"'!$A$2:$T$1000"),4,FALSE),0)</f>
        <v>0</v>
      </c>
      <c r="U354" s="36">
        <f ca="1">COUNTIF(C354:T354,"&gt; 15")</f>
        <v>0</v>
      </c>
      <c r="V354" s="36">
        <f ca="1">SUM(C354:T354)</f>
        <v>38.5</v>
      </c>
      <c r="W354" s="36"/>
      <c r="X354" s="38"/>
    </row>
    <row r="355" spans="1:24" ht="12.75" x14ac:dyDescent="0.2">
      <c r="A355" s="36" t="s">
        <v>420</v>
      </c>
      <c r="B355" s="36" t="s">
        <v>162</v>
      </c>
      <c r="C355" s="37">
        <f ca="1">_xlfn.IFNA(VLOOKUP($A355,INDIRECT("'W"&amp;C$1&amp;"'!$A$2:$T$1000"),4,FALSE),0)</f>
        <v>0</v>
      </c>
      <c r="D355" s="37">
        <f ca="1">_xlfn.IFNA(VLOOKUP($A355,INDIRECT("'W"&amp;D$1&amp;"'!$A$2:$T$1000"),4,FALSE),0)</f>
        <v>0</v>
      </c>
      <c r="E355" s="37">
        <f ca="1">_xlfn.IFNA(VLOOKUP($A355,INDIRECT("'W"&amp;E$1&amp;"'!$A$2:$T$1000"),4,FALSE),0)</f>
        <v>13.8</v>
      </c>
      <c r="F355" s="37">
        <f ca="1">_xlfn.IFNA(VLOOKUP($A355,INDIRECT("'W"&amp;F$1&amp;"'!$A$2:$T$1000"),4,FALSE),0)</f>
        <v>2.1</v>
      </c>
      <c r="G355" s="37">
        <f ca="1">_xlfn.IFNA(VLOOKUP($A355,INDIRECT("'W"&amp;G$1&amp;"'!$A$2:$T$1000"),4,FALSE),0)</f>
        <v>0</v>
      </c>
      <c r="H355" s="37">
        <f ca="1">_xlfn.IFNA(VLOOKUP($A355,INDIRECT("'W"&amp;H$1&amp;"'!$A$2:$T$1000"),4,FALSE),0)</f>
        <v>1.5</v>
      </c>
      <c r="I355" s="37">
        <f ca="1">_xlfn.IFNA(VLOOKUP($A355,INDIRECT("'W"&amp;I$1&amp;"'!$A$2:$T$1000"),4,FALSE),0)</f>
        <v>0</v>
      </c>
      <c r="J355" s="37">
        <f ca="1">_xlfn.IFNA(VLOOKUP($A355,INDIRECT("'W"&amp;J$1&amp;"'!$A$2:$T$1000"),4,FALSE),0)</f>
        <v>1.5</v>
      </c>
      <c r="K355" s="37">
        <f ca="1">_xlfn.IFNA(VLOOKUP($A355,INDIRECT("'W"&amp;K$1&amp;"'!$A$2:$T$1000"),4,FALSE),0)</f>
        <v>1.8</v>
      </c>
      <c r="L355" s="37">
        <f ca="1">_xlfn.IFNA(VLOOKUP($A355,INDIRECT("'W"&amp;L$1&amp;"'!$A$2:$T$1000"),4,FALSE),0)</f>
        <v>0</v>
      </c>
      <c r="M355" s="37">
        <f ca="1">_xlfn.IFNA(VLOOKUP($A355,INDIRECT("'W"&amp;M$1&amp;"'!$A$2:$T$1000"),4,FALSE),0)</f>
        <v>0</v>
      </c>
      <c r="N355" s="37">
        <f ca="1">_xlfn.IFNA(VLOOKUP($A355,INDIRECT("'W"&amp;N$1&amp;"'!$A$2:$T$1000"),4,FALSE),0)</f>
        <v>9.9</v>
      </c>
      <c r="O355" s="37">
        <f ca="1">_xlfn.IFNA(VLOOKUP($A355,INDIRECT("'W"&amp;O$1&amp;"'!$A$2:$T$1000"),4,FALSE),0)</f>
        <v>0</v>
      </c>
      <c r="P355" s="37">
        <f ca="1">_xlfn.IFNA(VLOOKUP($A355,INDIRECT("'W"&amp;P$1&amp;"'!$A$2:$T$1000"),4,FALSE),0)</f>
        <v>3.8000000000000003</v>
      </c>
      <c r="Q355" s="37">
        <f ca="1">_xlfn.IFNA(VLOOKUP($A355,INDIRECT("'W"&amp;Q$1&amp;"'!$A$2:$T$1000"),4,FALSE),0)</f>
        <v>0</v>
      </c>
      <c r="R355" s="37">
        <f ca="1">_xlfn.IFNA(VLOOKUP($A355,INDIRECT("'W"&amp;R$1&amp;"'!$A$2:$T$1000"),4,FALSE),0)</f>
        <v>0</v>
      </c>
      <c r="S355" s="37">
        <f ca="1">_xlfn.IFNA(VLOOKUP($A355,INDIRECT("'W"&amp;S$1&amp;"'!$A$2:$T$1000"),4,FALSE),0)</f>
        <v>0</v>
      </c>
      <c r="T355" s="37">
        <f ca="1">_xlfn.IFNA(VLOOKUP($A355,INDIRECT("'W"&amp;T$1&amp;"'!$A$2:$T$1000"),4,FALSE),0)</f>
        <v>4</v>
      </c>
      <c r="U355" s="36">
        <f ca="1">COUNTIF(C355:T355,"&gt; 15")</f>
        <v>0</v>
      </c>
      <c r="V355" s="36">
        <f ca="1">SUM(C355:T355)</f>
        <v>38.4</v>
      </c>
      <c r="W355" s="36"/>
      <c r="X355" s="38"/>
    </row>
    <row r="356" spans="1:24" ht="12.75" x14ac:dyDescent="0.2">
      <c r="A356" s="36" t="s">
        <v>158</v>
      </c>
      <c r="B356" s="36" t="s">
        <v>75</v>
      </c>
      <c r="C356" s="37">
        <f ca="1">_xlfn.IFNA(VLOOKUP($A356,INDIRECT("'W"&amp;C$1&amp;"'!$A$2:$T$1000"),4,FALSE),0)</f>
        <v>0.70000000000000007</v>
      </c>
      <c r="D356" s="37">
        <f ca="1">_xlfn.IFNA(VLOOKUP($A356,INDIRECT("'W"&amp;D$1&amp;"'!$A$2:$T$1000"),4,FALSE),0)</f>
        <v>0</v>
      </c>
      <c r="E356" s="37">
        <f ca="1">_xlfn.IFNA(VLOOKUP($A356,INDIRECT("'W"&amp;E$1&amp;"'!$A$2:$T$1000"),4,FALSE),0)</f>
        <v>0</v>
      </c>
      <c r="F356" s="37">
        <f ca="1">_xlfn.IFNA(VLOOKUP($A356,INDIRECT("'W"&amp;F$1&amp;"'!$A$2:$T$1000"),4,FALSE),0)</f>
        <v>0</v>
      </c>
      <c r="G356" s="37">
        <f ca="1">_xlfn.IFNA(VLOOKUP($A356,INDIRECT("'W"&amp;G$1&amp;"'!$A$2:$T$1000"),4,FALSE),0)</f>
        <v>0</v>
      </c>
      <c r="H356" s="37">
        <f ca="1">_xlfn.IFNA(VLOOKUP($A356,INDIRECT("'W"&amp;H$1&amp;"'!$A$2:$T$1000"),4,FALSE),0)</f>
        <v>2.3000000000000003</v>
      </c>
      <c r="I356" s="37">
        <f ca="1">_xlfn.IFNA(VLOOKUP($A356,INDIRECT("'W"&amp;I$1&amp;"'!$A$2:$T$1000"),4,FALSE),0)</f>
        <v>3.1</v>
      </c>
      <c r="J356" s="37">
        <f ca="1">_xlfn.IFNA(VLOOKUP($A356,INDIRECT("'W"&amp;J$1&amp;"'!$A$2:$T$1000"),4,FALSE),0)</f>
        <v>0</v>
      </c>
      <c r="K356" s="37">
        <f ca="1">_xlfn.IFNA(VLOOKUP($A356,INDIRECT("'W"&amp;K$1&amp;"'!$A$2:$T$1000"),4,FALSE),0)</f>
        <v>0</v>
      </c>
      <c r="L356" s="37">
        <f ca="1">_xlfn.IFNA(VLOOKUP($A356,INDIRECT("'W"&amp;L$1&amp;"'!$A$2:$T$1000"),4,FALSE),0)</f>
        <v>0</v>
      </c>
      <c r="M356" s="37">
        <f ca="1">_xlfn.IFNA(VLOOKUP($A356,INDIRECT("'W"&amp;M$1&amp;"'!$A$2:$T$1000"),4,FALSE),0)</f>
        <v>3.8</v>
      </c>
      <c r="N356" s="37">
        <f ca="1">_xlfn.IFNA(VLOOKUP($A356,INDIRECT("'W"&amp;N$1&amp;"'!$A$2:$T$1000"),4,FALSE),0)</f>
        <v>2.1</v>
      </c>
      <c r="O356" s="37">
        <f ca="1">_xlfn.IFNA(VLOOKUP($A356,INDIRECT("'W"&amp;O$1&amp;"'!$A$2:$T$1000"),4,FALSE),0)</f>
        <v>2.9000000000000004</v>
      </c>
      <c r="P356" s="37">
        <f ca="1">_xlfn.IFNA(VLOOKUP($A356,INDIRECT("'W"&amp;P$1&amp;"'!$A$2:$T$1000"),4,FALSE),0)</f>
        <v>0</v>
      </c>
      <c r="Q356" s="37">
        <f ca="1">_xlfn.IFNA(VLOOKUP($A356,INDIRECT("'W"&amp;Q$1&amp;"'!$A$2:$T$1000"),4,FALSE),0)</f>
        <v>3.5</v>
      </c>
      <c r="R356" s="37">
        <f ca="1">_xlfn.IFNA(VLOOKUP($A356,INDIRECT("'W"&amp;R$1&amp;"'!$A$2:$T$1000"),4,FALSE),0)</f>
        <v>19.5</v>
      </c>
      <c r="S356" s="37">
        <f ca="1">_xlfn.IFNA(VLOOKUP($A356,INDIRECT("'W"&amp;S$1&amp;"'!$A$2:$T$1000"),4,FALSE),0)</f>
        <v>0</v>
      </c>
      <c r="T356" s="37">
        <f ca="1">_xlfn.IFNA(VLOOKUP($A356,INDIRECT("'W"&amp;T$1&amp;"'!$A$2:$T$1000"),4,FALSE),0)</f>
        <v>0</v>
      </c>
      <c r="U356" s="36">
        <f ca="1">COUNTIF(C356:T356,"&gt; 15")</f>
        <v>1</v>
      </c>
      <c r="V356" s="36">
        <f ca="1">SUM(C356:T356)</f>
        <v>37.9</v>
      </c>
      <c r="W356" s="36"/>
      <c r="X356" s="38"/>
    </row>
    <row r="357" spans="1:24" ht="12.75" x14ac:dyDescent="0.2">
      <c r="A357" s="36" t="s">
        <v>278</v>
      </c>
      <c r="B357" s="36" t="s">
        <v>69</v>
      </c>
      <c r="C357" s="37">
        <f ca="1">_xlfn.IFNA(VLOOKUP($A357,INDIRECT("'W"&amp;C$1&amp;"'!$A$2:$T$1000"),4,FALSE),0)</f>
        <v>8.5</v>
      </c>
      <c r="D357" s="37">
        <f ca="1">_xlfn.IFNA(VLOOKUP($A357,INDIRECT("'W"&amp;D$1&amp;"'!$A$2:$T$1000"),4,FALSE),0)</f>
        <v>0</v>
      </c>
      <c r="E357" s="37">
        <f ca="1">_xlfn.IFNA(VLOOKUP($A357,INDIRECT("'W"&amp;E$1&amp;"'!$A$2:$T$1000"),4,FALSE),0)</f>
        <v>0.4</v>
      </c>
      <c r="F357" s="37">
        <f ca="1">_xlfn.IFNA(VLOOKUP($A357,INDIRECT("'W"&amp;F$1&amp;"'!$A$2:$T$1000"),4,FALSE),0)</f>
        <v>1.4</v>
      </c>
      <c r="G357" s="37">
        <f ca="1">_xlfn.IFNA(VLOOKUP($A357,INDIRECT("'W"&amp;G$1&amp;"'!$A$2:$T$1000"),4,FALSE),0)</f>
        <v>0</v>
      </c>
      <c r="H357" s="37">
        <f ca="1">_xlfn.IFNA(VLOOKUP($A357,INDIRECT("'W"&amp;H$1&amp;"'!$A$2:$T$1000"),4,FALSE),0)</f>
        <v>0</v>
      </c>
      <c r="I357" s="37">
        <f ca="1">_xlfn.IFNA(VLOOKUP($A357,INDIRECT("'W"&amp;I$1&amp;"'!$A$2:$T$1000"),4,FALSE),0)</f>
        <v>0</v>
      </c>
      <c r="J357" s="37">
        <f ca="1">_xlfn.IFNA(VLOOKUP($A357,INDIRECT("'W"&amp;J$1&amp;"'!$A$2:$T$1000"),4,FALSE),0)</f>
        <v>0</v>
      </c>
      <c r="K357" s="37">
        <f ca="1">_xlfn.IFNA(VLOOKUP($A357,INDIRECT("'W"&amp;K$1&amp;"'!$A$2:$T$1000"),4,FALSE),0)</f>
        <v>0</v>
      </c>
      <c r="L357" s="37">
        <f ca="1">_xlfn.IFNA(VLOOKUP($A357,INDIRECT("'W"&amp;L$1&amp;"'!$A$2:$T$1000"),4,FALSE),0)</f>
        <v>1.5</v>
      </c>
      <c r="M357" s="37">
        <f ca="1">_xlfn.IFNA(VLOOKUP($A357,INDIRECT("'W"&amp;M$1&amp;"'!$A$2:$T$1000"),4,FALSE),0)</f>
        <v>0</v>
      </c>
      <c r="N357" s="37">
        <f ca="1">_xlfn.IFNA(VLOOKUP($A357,INDIRECT("'W"&amp;N$1&amp;"'!$A$2:$T$1000"),4,FALSE),0)</f>
        <v>5.2</v>
      </c>
      <c r="O357" s="37">
        <f ca="1">_xlfn.IFNA(VLOOKUP($A357,INDIRECT("'W"&amp;O$1&amp;"'!$A$2:$T$1000"),4,FALSE),0)</f>
        <v>15.9</v>
      </c>
      <c r="P357" s="37">
        <f ca="1">_xlfn.IFNA(VLOOKUP($A357,INDIRECT("'W"&amp;P$1&amp;"'!$A$2:$T$1000"),4,FALSE),0)</f>
        <v>0</v>
      </c>
      <c r="Q357" s="37">
        <f ca="1">_xlfn.IFNA(VLOOKUP($A357,INDIRECT("'W"&amp;Q$1&amp;"'!$A$2:$T$1000"),4,FALSE),0)</f>
        <v>0</v>
      </c>
      <c r="R357" s="37">
        <f ca="1">_xlfn.IFNA(VLOOKUP($A357,INDIRECT("'W"&amp;R$1&amp;"'!$A$2:$T$1000"),4,FALSE),0)</f>
        <v>1.6</v>
      </c>
      <c r="S357" s="37">
        <f ca="1">_xlfn.IFNA(VLOOKUP($A357,INDIRECT("'W"&amp;S$1&amp;"'!$A$2:$T$1000"),4,FALSE),0)</f>
        <v>3.4000000000000004</v>
      </c>
      <c r="T357" s="37">
        <f ca="1">_xlfn.IFNA(VLOOKUP($A357,INDIRECT("'W"&amp;T$1&amp;"'!$A$2:$T$1000"),4,FALSE),0)</f>
        <v>0</v>
      </c>
      <c r="U357" s="36">
        <f ca="1">COUNTIF(C357:T357,"&gt; 15")</f>
        <v>1</v>
      </c>
      <c r="V357" s="36">
        <f ca="1">SUM(C357:T357)</f>
        <v>37.9</v>
      </c>
      <c r="W357" s="36"/>
      <c r="X357" s="38"/>
    </row>
    <row r="358" spans="1:24" ht="12.75" x14ac:dyDescent="0.2">
      <c r="A358" s="36" t="s">
        <v>417</v>
      </c>
      <c r="B358" s="36" t="s">
        <v>69</v>
      </c>
      <c r="C358" s="37">
        <f ca="1">_xlfn.IFNA(VLOOKUP($A358,INDIRECT("'W"&amp;C$1&amp;"'!$A$2:$T$1000"),4,FALSE),0)</f>
        <v>0</v>
      </c>
      <c r="D358" s="37">
        <f ca="1">_xlfn.IFNA(VLOOKUP($A358,INDIRECT("'W"&amp;D$1&amp;"'!$A$2:$T$1000"),4,FALSE),0)</f>
        <v>0</v>
      </c>
      <c r="E358" s="37">
        <f ca="1">_xlfn.IFNA(VLOOKUP($A358,INDIRECT("'W"&amp;E$1&amp;"'!$A$2:$T$1000"),4,FALSE),0)</f>
        <v>15.100000000000001</v>
      </c>
      <c r="F358" s="37">
        <f ca="1">_xlfn.IFNA(VLOOKUP($A358,INDIRECT("'W"&amp;F$1&amp;"'!$A$2:$T$1000"),4,FALSE),0)</f>
        <v>0</v>
      </c>
      <c r="G358" s="37">
        <f ca="1">_xlfn.IFNA(VLOOKUP($A358,INDIRECT("'W"&amp;G$1&amp;"'!$A$2:$T$1000"),4,FALSE),0)</f>
        <v>0</v>
      </c>
      <c r="H358" s="37">
        <f ca="1">_xlfn.IFNA(VLOOKUP($A358,INDIRECT("'W"&amp;H$1&amp;"'!$A$2:$T$1000"),4,FALSE),0)</f>
        <v>2.5</v>
      </c>
      <c r="I358" s="37">
        <f ca="1">_xlfn.IFNA(VLOOKUP($A358,INDIRECT("'W"&amp;I$1&amp;"'!$A$2:$T$1000"),4,FALSE),0)</f>
        <v>7.1000000000000005</v>
      </c>
      <c r="J358" s="37">
        <f ca="1">_xlfn.IFNA(VLOOKUP($A358,INDIRECT("'W"&amp;J$1&amp;"'!$A$2:$T$1000"),4,FALSE),0)</f>
        <v>5.3000000000000007</v>
      </c>
      <c r="K358" s="37">
        <f ca="1">_xlfn.IFNA(VLOOKUP($A358,INDIRECT("'W"&amp;K$1&amp;"'!$A$2:$T$1000"),4,FALSE),0)</f>
        <v>0</v>
      </c>
      <c r="L358" s="37">
        <f ca="1">_xlfn.IFNA(VLOOKUP($A358,INDIRECT("'W"&amp;L$1&amp;"'!$A$2:$T$1000"),4,FALSE),0)</f>
        <v>0</v>
      </c>
      <c r="M358" s="37">
        <f ca="1">_xlfn.IFNA(VLOOKUP($A358,INDIRECT("'W"&amp;M$1&amp;"'!$A$2:$T$1000"),4,FALSE),0)</f>
        <v>0</v>
      </c>
      <c r="N358" s="37">
        <f ca="1">_xlfn.IFNA(VLOOKUP($A358,INDIRECT("'W"&amp;N$1&amp;"'!$A$2:$T$1000"),4,FALSE),0)</f>
        <v>0</v>
      </c>
      <c r="O358" s="37">
        <f ca="1">_xlfn.IFNA(VLOOKUP($A358,INDIRECT("'W"&amp;O$1&amp;"'!$A$2:$T$1000"),4,FALSE),0)</f>
        <v>0</v>
      </c>
      <c r="P358" s="37">
        <f ca="1">_xlfn.IFNA(VLOOKUP($A358,INDIRECT("'W"&amp;P$1&amp;"'!$A$2:$T$1000"),4,FALSE),0)</f>
        <v>1.4</v>
      </c>
      <c r="Q358" s="37">
        <f ca="1">_xlfn.IFNA(VLOOKUP($A358,INDIRECT("'W"&amp;Q$1&amp;"'!$A$2:$T$1000"),4,FALSE),0)</f>
        <v>1.4</v>
      </c>
      <c r="R358" s="37">
        <f ca="1">_xlfn.IFNA(VLOOKUP($A358,INDIRECT("'W"&amp;R$1&amp;"'!$A$2:$T$1000"),4,FALSE),0)</f>
        <v>4.5</v>
      </c>
      <c r="S358" s="37">
        <f ca="1">_xlfn.IFNA(VLOOKUP($A358,INDIRECT("'W"&amp;S$1&amp;"'!$A$2:$T$1000"),4,FALSE),0)</f>
        <v>-0.5</v>
      </c>
      <c r="T358" s="37">
        <f ca="1">_xlfn.IFNA(VLOOKUP($A358,INDIRECT("'W"&amp;T$1&amp;"'!$A$2:$T$1000"),4,FALSE),0)</f>
        <v>1</v>
      </c>
      <c r="U358" s="36">
        <f ca="1">COUNTIF(C358:T358,"&gt; 15")</f>
        <v>1</v>
      </c>
      <c r="V358" s="36">
        <f ca="1">SUM(C358:T358)</f>
        <v>37.800000000000004</v>
      </c>
      <c r="W358" s="36"/>
      <c r="X358" s="38"/>
    </row>
    <row r="359" spans="1:24" ht="12.75" x14ac:dyDescent="0.2">
      <c r="A359" s="36" t="s">
        <v>439</v>
      </c>
      <c r="B359" s="36" t="s">
        <v>162</v>
      </c>
      <c r="C359" s="37">
        <f ca="1">_xlfn.IFNA(VLOOKUP($A359,INDIRECT("'W"&amp;C$1&amp;"'!$A$2:$T$1000"),4,FALSE),0)</f>
        <v>0</v>
      </c>
      <c r="D359" s="37">
        <f ca="1">_xlfn.IFNA(VLOOKUP($A359,INDIRECT("'W"&amp;D$1&amp;"'!$A$2:$T$1000"),4,FALSE),0)</f>
        <v>0</v>
      </c>
      <c r="E359" s="37">
        <f ca="1">_xlfn.IFNA(VLOOKUP($A359,INDIRECT("'W"&amp;E$1&amp;"'!$A$2:$T$1000"),4,FALSE),0)</f>
        <v>2.5</v>
      </c>
      <c r="F359" s="37">
        <f ca="1">_xlfn.IFNA(VLOOKUP($A359,INDIRECT("'W"&amp;F$1&amp;"'!$A$2:$T$1000"),4,FALSE),0)</f>
        <v>3.9000000000000004</v>
      </c>
      <c r="G359" s="37">
        <f ca="1">_xlfn.IFNA(VLOOKUP($A359,INDIRECT("'W"&amp;G$1&amp;"'!$A$2:$T$1000"),4,FALSE),0)</f>
        <v>2.1</v>
      </c>
      <c r="H359" s="37">
        <f ca="1">_xlfn.IFNA(VLOOKUP($A359,INDIRECT("'W"&amp;H$1&amp;"'!$A$2:$T$1000"),4,FALSE),0)</f>
        <v>0</v>
      </c>
      <c r="I359" s="37">
        <f ca="1">_xlfn.IFNA(VLOOKUP($A359,INDIRECT("'W"&amp;I$1&amp;"'!$A$2:$T$1000"),4,FALSE),0)</f>
        <v>2.9000000000000004</v>
      </c>
      <c r="J359" s="37">
        <f ca="1">_xlfn.IFNA(VLOOKUP($A359,INDIRECT("'W"&amp;J$1&amp;"'!$A$2:$T$1000"),4,FALSE),0)</f>
        <v>10.5</v>
      </c>
      <c r="K359" s="37">
        <f ca="1">_xlfn.IFNA(VLOOKUP($A359,INDIRECT("'W"&amp;K$1&amp;"'!$A$2:$T$1000"),4,FALSE),0)</f>
        <v>9</v>
      </c>
      <c r="L359" s="37">
        <f ca="1">_xlfn.IFNA(VLOOKUP($A359,INDIRECT("'W"&amp;L$1&amp;"'!$A$2:$T$1000"),4,FALSE),0)</f>
        <v>0</v>
      </c>
      <c r="M359" s="37">
        <f ca="1">_xlfn.IFNA(VLOOKUP($A359,INDIRECT("'W"&amp;M$1&amp;"'!$A$2:$T$1000"),4,FALSE),0)</f>
        <v>0</v>
      </c>
      <c r="N359" s="37">
        <f ca="1">_xlfn.IFNA(VLOOKUP($A359,INDIRECT("'W"&amp;N$1&amp;"'!$A$2:$T$1000"),4,FALSE),0)</f>
        <v>0</v>
      </c>
      <c r="O359" s="37">
        <f ca="1">_xlfn.IFNA(VLOOKUP($A359,INDIRECT("'W"&amp;O$1&amp;"'!$A$2:$T$1000"),4,FALSE),0)</f>
        <v>0</v>
      </c>
      <c r="P359" s="37">
        <f ca="1">_xlfn.IFNA(VLOOKUP($A359,INDIRECT("'W"&amp;P$1&amp;"'!$A$2:$T$1000"),4,FALSE),0)</f>
        <v>2.8</v>
      </c>
      <c r="Q359" s="37">
        <f ca="1">_xlfn.IFNA(VLOOKUP($A359,INDIRECT("'W"&amp;Q$1&amp;"'!$A$2:$T$1000"),4,FALSE),0)</f>
        <v>2</v>
      </c>
      <c r="R359" s="37">
        <f ca="1">_xlfn.IFNA(VLOOKUP($A359,INDIRECT("'W"&amp;R$1&amp;"'!$A$2:$T$1000"),4,FALSE),0)</f>
        <v>1.5</v>
      </c>
      <c r="S359" s="37">
        <f ca="1">_xlfn.IFNA(VLOOKUP($A359,INDIRECT("'W"&amp;S$1&amp;"'!$A$2:$T$1000"),4,FALSE),0)</f>
        <v>0</v>
      </c>
      <c r="T359" s="37">
        <f ca="1">_xlfn.IFNA(VLOOKUP($A359,INDIRECT("'W"&amp;T$1&amp;"'!$A$2:$T$1000"),4,FALSE),0)</f>
        <v>0</v>
      </c>
      <c r="U359" s="36">
        <f ca="1">COUNTIF(C359:T359,"&gt; 15")</f>
        <v>0</v>
      </c>
      <c r="V359" s="36">
        <f ca="1">SUM(C359:T359)</f>
        <v>37.199999999999996</v>
      </c>
      <c r="W359" s="36"/>
      <c r="X359" s="38"/>
    </row>
    <row r="360" spans="1:24" ht="12.75" x14ac:dyDescent="0.2">
      <c r="A360" s="36" t="s">
        <v>528</v>
      </c>
      <c r="B360" s="36" t="s">
        <v>75</v>
      </c>
      <c r="C360" s="37">
        <f ca="1">_xlfn.IFNA(VLOOKUP($A360,INDIRECT("'W"&amp;C$1&amp;"'!$A$2:$T$1000"),4,FALSE),0)</f>
        <v>0</v>
      </c>
      <c r="D360" s="37">
        <f ca="1">_xlfn.IFNA(VLOOKUP($A360,INDIRECT("'W"&amp;D$1&amp;"'!$A$2:$T$1000"),4,FALSE),0)</f>
        <v>0</v>
      </c>
      <c r="E360" s="37">
        <f ca="1">_xlfn.IFNA(VLOOKUP($A360,INDIRECT("'W"&amp;E$1&amp;"'!$A$2:$T$1000"),4,FALSE),0)</f>
        <v>0</v>
      </c>
      <c r="F360" s="37">
        <f ca="1">_xlfn.IFNA(VLOOKUP($A360,INDIRECT("'W"&amp;F$1&amp;"'!$A$2:$T$1000"),4,FALSE),0)</f>
        <v>0</v>
      </c>
      <c r="G360" s="37">
        <f ca="1">_xlfn.IFNA(VLOOKUP($A360,INDIRECT("'W"&amp;G$1&amp;"'!$A$2:$T$1000"),4,FALSE),0)</f>
        <v>1.7000000000000002</v>
      </c>
      <c r="H360" s="37">
        <f ca="1">_xlfn.IFNA(VLOOKUP($A360,INDIRECT("'W"&amp;H$1&amp;"'!$A$2:$T$1000"),4,FALSE),0)</f>
        <v>1.6</v>
      </c>
      <c r="I360" s="37">
        <f ca="1">_xlfn.IFNA(VLOOKUP($A360,INDIRECT("'W"&amp;I$1&amp;"'!$A$2:$T$1000"),4,FALSE),0)</f>
        <v>5.6000000000000005</v>
      </c>
      <c r="J360" s="37">
        <f ca="1">_xlfn.IFNA(VLOOKUP($A360,INDIRECT("'W"&amp;J$1&amp;"'!$A$2:$T$1000"),4,FALSE),0)</f>
        <v>0.70000000000000007</v>
      </c>
      <c r="K360" s="37">
        <f ca="1">_xlfn.IFNA(VLOOKUP($A360,INDIRECT("'W"&amp;K$1&amp;"'!$A$2:$T$1000"),4,FALSE),0)</f>
        <v>1.3</v>
      </c>
      <c r="L360" s="37">
        <f ca="1">_xlfn.IFNA(VLOOKUP($A360,INDIRECT("'W"&amp;L$1&amp;"'!$A$2:$T$1000"),4,FALSE),0)</f>
        <v>4</v>
      </c>
      <c r="M360" s="37">
        <f ca="1">_xlfn.IFNA(VLOOKUP($A360,INDIRECT("'W"&amp;M$1&amp;"'!$A$2:$T$1000"),4,FALSE),0)</f>
        <v>0</v>
      </c>
      <c r="N360" s="37">
        <f ca="1">_xlfn.IFNA(VLOOKUP($A360,INDIRECT("'W"&amp;N$1&amp;"'!$A$2:$T$1000"),4,FALSE),0)</f>
        <v>4.3</v>
      </c>
      <c r="O360" s="37">
        <f ca="1">_xlfn.IFNA(VLOOKUP($A360,INDIRECT("'W"&amp;O$1&amp;"'!$A$2:$T$1000"),4,FALSE),0)</f>
        <v>2.7</v>
      </c>
      <c r="P360" s="37">
        <f ca="1">_xlfn.IFNA(VLOOKUP($A360,INDIRECT("'W"&amp;P$1&amp;"'!$A$2:$T$1000"),4,FALSE),0)</f>
        <v>0.70000000000000007</v>
      </c>
      <c r="Q360" s="37">
        <f ca="1">_xlfn.IFNA(VLOOKUP($A360,INDIRECT("'W"&amp;Q$1&amp;"'!$A$2:$T$1000"),4,FALSE),0)</f>
        <v>7</v>
      </c>
      <c r="R360" s="37">
        <f ca="1">_xlfn.IFNA(VLOOKUP($A360,INDIRECT("'W"&amp;R$1&amp;"'!$A$2:$T$1000"),4,FALSE),0)</f>
        <v>5.3</v>
      </c>
      <c r="S360" s="37">
        <f ca="1">_xlfn.IFNA(VLOOKUP($A360,INDIRECT("'W"&amp;S$1&amp;"'!$A$2:$T$1000"),4,FALSE),0)</f>
        <v>0</v>
      </c>
      <c r="T360" s="37">
        <f ca="1">_xlfn.IFNA(VLOOKUP($A360,INDIRECT("'W"&amp;T$1&amp;"'!$A$2:$T$1000"),4,FALSE),0)</f>
        <v>2</v>
      </c>
      <c r="U360" s="36">
        <f ca="1">COUNTIF(C360:T360,"&gt; 15")</f>
        <v>0</v>
      </c>
      <c r="V360" s="36">
        <f ca="1">SUM(C360:T360)</f>
        <v>36.9</v>
      </c>
      <c r="W360" s="36"/>
      <c r="X360" s="38"/>
    </row>
    <row r="361" spans="1:24" ht="12.75" x14ac:dyDescent="0.2">
      <c r="A361" s="36" t="s">
        <v>582</v>
      </c>
      <c r="B361" s="36" t="s">
        <v>162</v>
      </c>
      <c r="C361" s="37">
        <f ca="1">_xlfn.IFNA(VLOOKUP($A361,INDIRECT("'W"&amp;C$1&amp;"'!$A$2:$T$1000"),4,FALSE),0)</f>
        <v>0</v>
      </c>
      <c r="D361" s="37">
        <f ca="1">_xlfn.IFNA(VLOOKUP($A361,INDIRECT("'W"&amp;D$1&amp;"'!$A$2:$T$1000"),4,FALSE),0)</f>
        <v>0</v>
      </c>
      <c r="E361" s="37">
        <f ca="1">_xlfn.IFNA(VLOOKUP($A361,INDIRECT("'W"&amp;E$1&amp;"'!$A$2:$T$1000"),4,FALSE),0)</f>
        <v>0</v>
      </c>
      <c r="F361" s="37">
        <f ca="1">_xlfn.IFNA(VLOOKUP($A361,INDIRECT("'W"&amp;F$1&amp;"'!$A$2:$T$1000"),4,FALSE),0)</f>
        <v>0</v>
      </c>
      <c r="G361" s="37">
        <f ca="1">_xlfn.IFNA(VLOOKUP($A361,INDIRECT("'W"&amp;G$1&amp;"'!$A$2:$T$1000"),4,FALSE),0)</f>
        <v>0</v>
      </c>
      <c r="H361" s="37">
        <f ca="1">_xlfn.IFNA(VLOOKUP($A361,INDIRECT("'W"&amp;H$1&amp;"'!$A$2:$T$1000"),4,FALSE),0)</f>
        <v>0</v>
      </c>
      <c r="I361" s="37">
        <f ca="1">_xlfn.IFNA(VLOOKUP($A361,INDIRECT("'W"&amp;I$1&amp;"'!$A$2:$T$1000"),4,FALSE),0)</f>
        <v>1.3</v>
      </c>
      <c r="J361" s="37">
        <f ca="1">_xlfn.IFNA(VLOOKUP($A361,INDIRECT("'W"&amp;J$1&amp;"'!$A$2:$T$1000"),4,FALSE),0)</f>
        <v>7.8</v>
      </c>
      <c r="K361" s="37">
        <f ca="1">_xlfn.IFNA(VLOOKUP($A361,INDIRECT("'W"&amp;K$1&amp;"'!$A$2:$T$1000"),4,FALSE),0)</f>
        <v>0</v>
      </c>
      <c r="L361" s="37">
        <f ca="1">_xlfn.IFNA(VLOOKUP($A361,INDIRECT("'W"&amp;L$1&amp;"'!$A$2:$T$1000"),4,FALSE),0)</f>
        <v>0</v>
      </c>
      <c r="M361" s="37">
        <f ca="1">_xlfn.IFNA(VLOOKUP($A361,INDIRECT("'W"&amp;M$1&amp;"'!$A$2:$T$1000"),4,FALSE),0)</f>
        <v>2.5</v>
      </c>
      <c r="N361" s="37">
        <f ca="1">_xlfn.IFNA(VLOOKUP($A361,INDIRECT("'W"&amp;N$1&amp;"'!$A$2:$T$1000"),4,FALSE),0)</f>
        <v>1</v>
      </c>
      <c r="O361" s="37">
        <f ca="1">_xlfn.IFNA(VLOOKUP($A361,INDIRECT("'W"&amp;O$1&amp;"'!$A$2:$T$1000"),4,FALSE),0)</f>
        <v>0</v>
      </c>
      <c r="P361" s="37">
        <f ca="1">_xlfn.IFNA(VLOOKUP($A361,INDIRECT("'W"&amp;P$1&amp;"'!$A$2:$T$1000"),4,FALSE),0)</f>
        <v>0</v>
      </c>
      <c r="Q361" s="37">
        <f ca="1">_xlfn.IFNA(VLOOKUP($A361,INDIRECT("'W"&amp;Q$1&amp;"'!$A$2:$T$1000"),4,FALSE),0)</f>
        <v>1.6</v>
      </c>
      <c r="R361" s="37">
        <f ca="1">_xlfn.IFNA(VLOOKUP($A361,INDIRECT("'W"&amp;R$1&amp;"'!$A$2:$T$1000"),4,FALSE),0)</f>
        <v>1.5</v>
      </c>
      <c r="S361" s="37">
        <f ca="1">_xlfn.IFNA(VLOOKUP($A361,INDIRECT("'W"&amp;S$1&amp;"'!$A$2:$T$1000"),4,FALSE),0)</f>
        <v>17.399999999999999</v>
      </c>
      <c r="T361" s="37">
        <f ca="1">_xlfn.IFNA(VLOOKUP($A361,INDIRECT("'W"&amp;T$1&amp;"'!$A$2:$T$1000"),4,FALSE),0)</f>
        <v>3.3</v>
      </c>
      <c r="U361" s="36">
        <f ca="1">COUNTIF(C361:T361,"&gt; 15")</f>
        <v>1</v>
      </c>
      <c r="V361" s="36">
        <f ca="1">SUM(C361:T361)</f>
        <v>36.399999999999991</v>
      </c>
      <c r="W361" s="36"/>
      <c r="X361" s="38"/>
    </row>
    <row r="362" spans="1:24" ht="12.75" x14ac:dyDescent="0.2">
      <c r="A362" s="36" t="s">
        <v>583</v>
      </c>
      <c r="B362" s="36" t="s">
        <v>69</v>
      </c>
      <c r="C362" s="37">
        <f ca="1">_xlfn.IFNA(VLOOKUP($A362,INDIRECT("'W"&amp;C$1&amp;"'!$A$2:$T$1000"),4,FALSE),0)</f>
        <v>0</v>
      </c>
      <c r="D362" s="37">
        <f ca="1">_xlfn.IFNA(VLOOKUP($A362,INDIRECT("'W"&amp;D$1&amp;"'!$A$2:$T$1000"),4,FALSE),0)</f>
        <v>0</v>
      </c>
      <c r="E362" s="37">
        <f ca="1">_xlfn.IFNA(VLOOKUP($A362,INDIRECT("'W"&amp;E$1&amp;"'!$A$2:$T$1000"),4,FALSE),0)</f>
        <v>0</v>
      </c>
      <c r="F362" s="37">
        <f ca="1">_xlfn.IFNA(VLOOKUP($A362,INDIRECT("'W"&amp;F$1&amp;"'!$A$2:$T$1000"),4,FALSE),0)</f>
        <v>0</v>
      </c>
      <c r="G362" s="37">
        <f ca="1">_xlfn.IFNA(VLOOKUP($A362,INDIRECT("'W"&amp;G$1&amp;"'!$A$2:$T$1000"),4,FALSE),0)</f>
        <v>0</v>
      </c>
      <c r="H362" s="37">
        <f ca="1">_xlfn.IFNA(VLOOKUP($A362,INDIRECT("'W"&amp;H$1&amp;"'!$A$2:$T$1000"),4,FALSE),0)</f>
        <v>0</v>
      </c>
      <c r="I362" s="37">
        <f ca="1">_xlfn.IFNA(VLOOKUP($A362,INDIRECT("'W"&amp;I$1&amp;"'!$A$2:$T$1000"),4,FALSE),0)</f>
        <v>1</v>
      </c>
      <c r="J362" s="37">
        <f ca="1">_xlfn.IFNA(VLOOKUP($A362,INDIRECT("'W"&amp;J$1&amp;"'!$A$2:$T$1000"),4,FALSE),0)</f>
        <v>0</v>
      </c>
      <c r="K362" s="37">
        <f ca="1">_xlfn.IFNA(VLOOKUP($A362,INDIRECT("'W"&amp;K$1&amp;"'!$A$2:$T$1000"),4,FALSE),0)</f>
        <v>0</v>
      </c>
      <c r="L362" s="37">
        <f ca="1">_xlfn.IFNA(VLOOKUP($A362,INDIRECT("'W"&amp;L$1&amp;"'!$A$2:$T$1000"),4,FALSE),0)</f>
        <v>0</v>
      </c>
      <c r="M362" s="37">
        <f ca="1">_xlfn.IFNA(VLOOKUP($A362,INDIRECT("'W"&amp;M$1&amp;"'!$A$2:$T$1000"),4,FALSE),0)</f>
        <v>1.2</v>
      </c>
      <c r="N362" s="37">
        <f ca="1">_xlfn.IFNA(VLOOKUP($A362,INDIRECT("'W"&amp;N$1&amp;"'!$A$2:$T$1000"),4,FALSE),0)</f>
        <v>3.6</v>
      </c>
      <c r="O362" s="37">
        <f ca="1">_xlfn.IFNA(VLOOKUP($A362,INDIRECT("'W"&amp;O$1&amp;"'!$A$2:$T$1000"),4,FALSE),0)</f>
        <v>3.1</v>
      </c>
      <c r="P362" s="37">
        <f ca="1">_xlfn.IFNA(VLOOKUP($A362,INDIRECT("'W"&amp;P$1&amp;"'!$A$2:$T$1000"),4,FALSE),0)</f>
        <v>0</v>
      </c>
      <c r="Q362" s="37">
        <f ca="1">_xlfn.IFNA(VLOOKUP($A362,INDIRECT("'W"&amp;Q$1&amp;"'!$A$2:$T$1000"),4,FALSE),0)</f>
        <v>14.4</v>
      </c>
      <c r="R362" s="37">
        <f ca="1">_xlfn.IFNA(VLOOKUP($A362,INDIRECT("'W"&amp;R$1&amp;"'!$A$2:$T$1000"),4,FALSE),0)</f>
        <v>3.7</v>
      </c>
      <c r="S362" s="37">
        <f ca="1">_xlfn.IFNA(VLOOKUP($A362,INDIRECT("'W"&amp;S$1&amp;"'!$A$2:$T$1000"),4,FALSE),0)</f>
        <v>4.0999999999999996</v>
      </c>
      <c r="T362" s="37">
        <f ca="1">_xlfn.IFNA(VLOOKUP($A362,INDIRECT("'W"&amp;T$1&amp;"'!$A$2:$T$1000"),4,FALSE),0)</f>
        <v>5.2</v>
      </c>
      <c r="U362" s="36">
        <f ca="1">COUNTIF(C362:T362,"&gt; 15")</f>
        <v>0</v>
      </c>
      <c r="V362" s="36">
        <f ca="1">SUM(C362:T362)</f>
        <v>36.300000000000004</v>
      </c>
      <c r="W362" s="36"/>
      <c r="X362" s="38"/>
    </row>
    <row r="363" spans="1:24" ht="12.75" x14ac:dyDescent="0.2">
      <c r="A363" s="36" t="s">
        <v>244</v>
      </c>
      <c r="B363" s="36" t="s">
        <v>162</v>
      </c>
      <c r="C363" s="37">
        <f ca="1">_xlfn.IFNA(VLOOKUP($A363,INDIRECT("'W"&amp;C$1&amp;"'!$A$2:$T$1000"),4,FALSE),0)</f>
        <v>3.4000000000000004</v>
      </c>
      <c r="D363" s="37">
        <f ca="1">_xlfn.IFNA(VLOOKUP($A363,INDIRECT("'W"&amp;D$1&amp;"'!$A$2:$T$1000"),4,FALSE),0)</f>
        <v>0</v>
      </c>
      <c r="E363" s="37">
        <f ca="1">_xlfn.IFNA(VLOOKUP($A363,INDIRECT("'W"&amp;E$1&amp;"'!$A$2:$T$1000"),4,FALSE),0)</f>
        <v>1.6</v>
      </c>
      <c r="F363" s="37">
        <f ca="1">_xlfn.IFNA(VLOOKUP($A363,INDIRECT("'W"&amp;F$1&amp;"'!$A$2:$T$1000"),4,FALSE),0)</f>
        <v>1.9000000000000001</v>
      </c>
      <c r="G363" s="37">
        <f ca="1">_xlfn.IFNA(VLOOKUP($A363,INDIRECT("'W"&amp;G$1&amp;"'!$A$2:$T$1000"),4,FALSE),0)</f>
        <v>0</v>
      </c>
      <c r="H363" s="37">
        <f ca="1">_xlfn.IFNA(VLOOKUP($A363,INDIRECT("'W"&amp;H$1&amp;"'!$A$2:$T$1000"),4,FALSE),0)</f>
        <v>3.2</v>
      </c>
      <c r="I363" s="37">
        <f ca="1">_xlfn.IFNA(VLOOKUP($A363,INDIRECT("'W"&amp;I$1&amp;"'!$A$2:$T$1000"),4,FALSE),0)</f>
        <v>5.3000000000000007</v>
      </c>
      <c r="J363" s="37">
        <f ca="1">_xlfn.IFNA(VLOOKUP($A363,INDIRECT("'W"&amp;J$1&amp;"'!$A$2:$T$1000"),4,FALSE),0)</f>
        <v>2.1</v>
      </c>
      <c r="K363" s="37">
        <f ca="1">_xlfn.IFNA(VLOOKUP($A363,INDIRECT("'W"&amp;K$1&amp;"'!$A$2:$T$1000"),4,FALSE),0)</f>
        <v>-0.5</v>
      </c>
      <c r="L363" s="37">
        <f ca="1">_xlfn.IFNA(VLOOKUP($A363,INDIRECT("'W"&amp;L$1&amp;"'!$A$2:$T$1000"),4,FALSE),0)</f>
        <v>4.0999999999999996</v>
      </c>
      <c r="M363" s="37">
        <f ca="1">_xlfn.IFNA(VLOOKUP($A363,INDIRECT("'W"&amp;M$1&amp;"'!$A$2:$T$1000"),4,FALSE),0)</f>
        <v>-0.60000000000000009</v>
      </c>
      <c r="N363" s="37">
        <f ca="1">_xlfn.IFNA(VLOOKUP($A363,INDIRECT("'W"&amp;N$1&amp;"'!$A$2:$T$1000"),4,FALSE),0)</f>
        <v>0</v>
      </c>
      <c r="O363" s="37">
        <f ca="1">_xlfn.IFNA(VLOOKUP($A363,INDIRECT("'W"&amp;O$1&amp;"'!$A$2:$T$1000"),4,FALSE),0)</f>
        <v>0</v>
      </c>
      <c r="P363" s="37">
        <f ca="1">_xlfn.IFNA(VLOOKUP($A363,INDIRECT("'W"&amp;P$1&amp;"'!$A$2:$T$1000"),4,FALSE),0)</f>
        <v>2.1</v>
      </c>
      <c r="Q363" s="37">
        <f ca="1">_xlfn.IFNA(VLOOKUP($A363,INDIRECT("'W"&amp;Q$1&amp;"'!$A$2:$T$1000"),4,FALSE),0)</f>
        <v>7.6000000000000005</v>
      </c>
      <c r="R363" s="37">
        <f ca="1">_xlfn.IFNA(VLOOKUP($A363,INDIRECT("'W"&amp;R$1&amp;"'!$A$2:$T$1000"),4,FALSE),0)</f>
        <v>0</v>
      </c>
      <c r="S363" s="37">
        <f ca="1">_xlfn.IFNA(VLOOKUP($A363,INDIRECT("'W"&amp;S$1&amp;"'!$A$2:$T$1000"),4,FALSE),0)</f>
        <v>3.5</v>
      </c>
      <c r="T363" s="37">
        <f ca="1">_xlfn.IFNA(VLOOKUP($A363,INDIRECT("'W"&amp;T$1&amp;"'!$A$2:$T$1000"),4,FALSE),0)</f>
        <v>2.2000000000000002</v>
      </c>
      <c r="U363" s="36">
        <f ca="1">COUNTIF(C363:T363,"&gt; 15")</f>
        <v>0</v>
      </c>
      <c r="V363" s="36">
        <f ca="1">SUM(C363:T363)</f>
        <v>35.900000000000006</v>
      </c>
      <c r="W363" s="36"/>
      <c r="X363" s="38"/>
    </row>
    <row r="364" spans="1:24" ht="12.75" x14ac:dyDescent="0.2">
      <c r="A364" s="36" t="s">
        <v>517</v>
      </c>
      <c r="B364" s="36" t="s">
        <v>162</v>
      </c>
      <c r="C364" s="37">
        <f ca="1">_xlfn.IFNA(VLOOKUP($A364,INDIRECT("'W"&amp;C$1&amp;"'!$A$2:$T$1000"),4,FALSE),0)</f>
        <v>0</v>
      </c>
      <c r="D364" s="37">
        <f ca="1">_xlfn.IFNA(VLOOKUP($A364,INDIRECT("'W"&amp;D$1&amp;"'!$A$2:$T$1000"),4,FALSE),0)</f>
        <v>0</v>
      </c>
      <c r="E364" s="37">
        <f ca="1">_xlfn.IFNA(VLOOKUP($A364,INDIRECT("'W"&amp;E$1&amp;"'!$A$2:$T$1000"),4,FALSE),0)</f>
        <v>0</v>
      </c>
      <c r="F364" s="37">
        <f ca="1">_xlfn.IFNA(VLOOKUP($A364,INDIRECT("'W"&amp;F$1&amp;"'!$A$2:$T$1000"),4,FALSE),0)</f>
        <v>0</v>
      </c>
      <c r="G364" s="37">
        <f ca="1">_xlfn.IFNA(VLOOKUP($A364,INDIRECT("'W"&amp;G$1&amp;"'!$A$2:$T$1000"),4,FALSE),0)</f>
        <v>4.0999999999999996</v>
      </c>
      <c r="H364" s="37">
        <f ca="1">_xlfn.IFNA(VLOOKUP($A364,INDIRECT("'W"&amp;H$1&amp;"'!$A$2:$T$1000"),4,FALSE),0)</f>
        <v>0</v>
      </c>
      <c r="I364" s="37">
        <f ca="1">_xlfn.IFNA(VLOOKUP($A364,INDIRECT("'W"&amp;I$1&amp;"'!$A$2:$T$1000"),4,FALSE),0)</f>
        <v>0</v>
      </c>
      <c r="J364" s="37">
        <f ca="1">_xlfn.IFNA(VLOOKUP($A364,INDIRECT("'W"&amp;J$1&amp;"'!$A$2:$T$1000"),4,FALSE),0)</f>
        <v>22.5</v>
      </c>
      <c r="K364" s="37">
        <f ca="1">_xlfn.IFNA(VLOOKUP($A364,INDIRECT("'W"&amp;K$1&amp;"'!$A$2:$T$1000"),4,FALSE),0)</f>
        <v>6.3000000000000007</v>
      </c>
      <c r="L364" s="37">
        <f ca="1">_xlfn.IFNA(VLOOKUP($A364,INDIRECT("'W"&amp;L$1&amp;"'!$A$2:$T$1000"),4,FALSE),0)</f>
        <v>0</v>
      </c>
      <c r="M364" s="37">
        <f ca="1">_xlfn.IFNA(VLOOKUP($A364,INDIRECT("'W"&amp;M$1&amp;"'!$A$2:$T$1000"),4,FALSE),0)</f>
        <v>3.2</v>
      </c>
      <c r="N364" s="37">
        <f ca="1">_xlfn.IFNA(VLOOKUP($A364,INDIRECT("'W"&amp;N$1&amp;"'!$A$2:$T$1000"),4,FALSE),0)</f>
        <v>0</v>
      </c>
      <c r="O364" s="37">
        <f ca="1">_xlfn.IFNA(VLOOKUP($A364,INDIRECT("'W"&amp;O$1&amp;"'!$A$2:$T$1000"),4,FALSE),0)</f>
        <v>0</v>
      </c>
      <c r="P364" s="37">
        <f ca="1">_xlfn.IFNA(VLOOKUP($A364,INDIRECT("'W"&amp;P$1&amp;"'!$A$2:$T$1000"),4,FALSE),0)</f>
        <v>0</v>
      </c>
      <c r="Q364" s="37">
        <f ca="1">_xlfn.IFNA(VLOOKUP($A364,INDIRECT("'W"&amp;Q$1&amp;"'!$A$2:$T$1000"),4,FALSE),0)</f>
        <v>0</v>
      </c>
      <c r="R364" s="37">
        <f ca="1">_xlfn.IFNA(VLOOKUP($A364,INDIRECT("'W"&amp;R$1&amp;"'!$A$2:$T$1000"),4,FALSE),0)</f>
        <v>-2</v>
      </c>
      <c r="S364" s="37">
        <f ca="1">_xlfn.IFNA(VLOOKUP($A364,INDIRECT("'W"&amp;S$1&amp;"'!$A$2:$T$1000"),4,FALSE),0)</f>
        <v>0</v>
      </c>
      <c r="T364" s="37">
        <f ca="1">_xlfn.IFNA(VLOOKUP($A364,INDIRECT("'W"&amp;T$1&amp;"'!$A$2:$T$1000"),4,FALSE),0)</f>
        <v>1.8</v>
      </c>
      <c r="U364" s="36">
        <f ca="1">COUNTIF(C364:T364,"&gt; 15")</f>
        <v>1</v>
      </c>
      <c r="V364" s="36">
        <f ca="1">SUM(C364:T364)</f>
        <v>35.900000000000006</v>
      </c>
      <c r="W364" s="36"/>
      <c r="X364" s="38"/>
    </row>
    <row r="365" spans="1:24" ht="12.75" x14ac:dyDescent="0.2">
      <c r="A365" s="36" t="s">
        <v>308</v>
      </c>
      <c r="B365" s="36" t="s">
        <v>69</v>
      </c>
      <c r="C365" s="37">
        <f ca="1">_xlfn.IFNA(VLOOKUP($A365,INDIRECT("'W"&amp;C$1&amp;"'!$A$2:$T$1000"),4,FALSE),0)</f>
        <v>3</v>
      </c>
      <c r="D365" s="37">
        <f ca="1">_xlfn.IFNA(VLOOKUP($A365,INDIRECT("'W"&amp;D$1&amp;"'!$A$2:$T$1000"),4,FALSE),0)</f>
        <v>0</v>
      </c>
      <c r="E365" s="37">
        <f ca="1">_xlfn.IFNA(VLOOKUP($A365,INDIRECT("'W"&amp;E$1&amp;"'!$A$2:$T$1000"),4,FALSE),0)</f>
        <v>2.1</v>
      </c>
      <c r="F365" s="37">
        <f ca="1">_xlfn.IFNA(VLOOKUP($A365,INDIRECT("'W"&amp;F$1&amp;"'!$A$2:$T$1000"),4,FALSE),0)</f>
        <v>13.8</v>
      </c>
      <c r="G365" s="37">
        <f ca="1">_xlfn.IFNA(VLOOKUP($A365,INDIRECT("'W"&amp;G$1&amp;"'!$A$2:$T$1000"),4,FALSE),0)</f>
        <v>3.6</v>
      </c>
      <c r="H365" s="37">
        <f ca="1">_xlfn.IFNA(VLOOKUP($A365,INDIRECT("'W"&amp;H$1&amp;"'!$A$2:$T$1000"),4,FALSE),0)</f>
        <v>0</v>
      </c>
      <c r="I365" s="37">
        <f ca="1">_xlfn.IFNA(VLOOKUP($A365,INDIRECT("'W"&amp;I$1&amp;"'!$A$2:$T$1000"),4,FALSE),0)</f>
        <v>0</v>
      </c>
      <c r="J365" s="37">
        <f ca="1">_xlfn.IFNA(VLOOKUP($A365,INDIRECT("'W"&amp;J$1&amp;"'!$A$2:$T$1000"),4,FALSE),0)</f>
        <v>10.3</v>
      </c>
      <c r="K365" s="37">
        <f ca="1">_xlfn.IFNA(VLOOKUP($A365,INDIRECT("'W"&amp;K$1&amp;"'!$A$2:$T$1000"),4,FALSE),0)</f>
        <v>2.9000000000000004</v>
      </c>
      <c r="L365" s="37">
        <f ca="1">_xlfn.IFNA(VLOOKUP($A365,INDIRECT("'W"&amp;L$1&amp;"'!$A$2:$T$1000"),4,FALSE),0)</f>
        <v>0</v>
      </c>
      <c r="M365" s="37">
        <f ca="1">_xlfn.IFNA(VLOOKUP($A365,INDIRECT("'W"&amp;M$1&amp;"'!$A$2:$T$1000"),4,FALSE),0)</f>
        <v>0</v>
      </c>
      <c r="N365" s="37">
        <f ca="1">_xlfn.IFNA(VLOOKUP($A365,INDIRECT("'W"&amp;N$1&amp;"'!$A$2:$T$1000"),4,FALSE),0)</f>
        <v>0</v>
      </c>
      <c r="O365" s="37">
        <f ca="1">_xlfn.IFNA(VLOOKUP($A365,INDIRECT("'W"&amp;O$1&amp;"'!$A$2:$T$1000"),4,FALSE),0)</f>
        <v>0</v>
      </c>
      <c r="P365" s="37">
        <f ca="1">_xlfn.IFNA(VLOOKUP($A365,INDIRECT("'W"&amp;P$1&amp;"'!$A$2:$T$1000"),4,FALSE),0)</f>
        <v>0</v>
      </c>
      <c r="Q365" s="37">
        <f ca="1">_xlfn.IFNA(VLOOKUP($A365,INDIRECT("'W"&amp;Q$1&amp;"'!$A$2:$T$1000"),4,FALSE),0)</f>
        <v>0</v>
      </c>
      <c r="R365" s="37">
        <f ca="1">_xlfn.IFNA(VLOOKUP($A365,INDIRECT("'W"&amp;R$1&amp;"'!$A$2:$T$1000"),4,FALSE),0)</f>
        <v>0</v>
      </c>
      <c r="S365" s="37">
        <f ca="1">_xlfn.IFNA(VLOOKUP($A365,INDIRECT("'W"&amp;S$1&amp;"'!$A$2:$T$1000"),4,FALSE),0)</f>
        <v>0</v>
      </c>
      <c r="T365" s="37">
        <f ca="1">_xlfn.IFNA(VLOOKUP($A365,INDIRECT("'W"&amp;T$1&amp;"'!$A$2:$T$1000"),4,FALSE),0)</f>
        <v>0</v>
      </c>
      <c r="U365" s="36">
        <f ca="1">COUNTIF(C365:T365,"&gt; 15")</f>
        <v>0</v>
      </c>
      <c r="V365" s="36">
        <f ca="1">SUM(C365:T365)</f>
        <v>35.699999999999996</v>
      </c>
      <c r="W365" s="36"/>
      <c r="X365" s="38"/>
    </row>
    <row r="366" spans="1:24" ht="12.75" x14ac:dyDescent="0.2">
      <c r="A366" s="36" t="s">
        <v>249</v>
      </c>
      <c r="B366" s="36" t="s">
        <v>162</v>
      </c>
      <c r="C366" s="37">
        <f ca="1">_xlfn.IFNA(VLOOKUP($A366,INDIRECT("'W"&amp;C$1&amp;"'!$A$2:$T$1000"),4,FALSE),0)</f>
        <v>3.7</v>
      </c>
      <c r="D366" s="37">
        <f ca="1">_xlfn.IFNA(VLOOKUP($A366,INDIRECT("'W"&amp;D$1&amp;"'!$A$2:$T$1000"),4,FALSE),0)</f>
        <v>0</v>
      </c>
      <c r="E366" s="37">
        <f ca="1">_xlfn.IFNA(VLOOKUP($A366,INDIRECT("'W"&amp;E$1&amp;"'!$A$2:$T$1000"),4,FALSE),0)</f>
        <v>0</v>
      </c>
      <c r="F366" s="37">
        <f ca="1">_xlfn.IFNA(VLOOKUP($A366,INDIRECT("'W"&amp;F$1&amp;"'!$A$2:$T$1000"),4,FALSE),0)</f>
        <v>0</v>
      </c>
      <c r="G366" s="37">
        <f ca="1">_xlfn.IFNA(VLOOKUP($A366,INDIRECT("'W"&amp;G$1&amp;"'!$A$2:$T$1000"),4,FALSE),0)</f>
        <v>2.4</v>
      </c>
      <c r="H366" s="37">
        <f ca="1">_xlfn.IFNA(VLOOKUP($A366,INDIRECT("'W"&amp;H$1&amp;"'!$A$2:$T$1000"),4,FALSE),0)</f>
        <v>0</v>
      </c>
      <c r="I366" s="37">
        <f ca="1">_xlfn.IFNA(VLOOKUP($A366,INDIRECT("'W"&amp;I$1&amp;"'!$A$2:$T$1000"),4,FALSE),0)</f>
        <v>0</v>
      </c>
      <c r="J366" s="37">
        <f ca="1">_xlfn.IFNA(VLOOKUP($A366,INDIRECT("'W"&amp;J$1&amp;"'!$A$2:$T$1000"),4,FALSE),0)</f>
        <v>0</v>
      </c>
      <c r="K366" s="37">
        <f ca="1">_xlfn.IFNA(VLOOKUP($A366,INDIRECT("'W"&amp;K$1&amp;"'!$A$2:$T$1000"),4,FALSE),0)</f>
        <v>0</v>
      </c>
      <c r="L366" s="37">
        <f ca="1">_xlfn.IFNA(VLOOKUP($A366,INDIRECT("'W"&amp;L$1&amp;"'!$A$2:$T$1000"),4,FALSE),0)</f>
        <v>0</v>
      </c>
      <c r="M366" s="37">
        <f ca="1">_xlfn.IFNA(VLOOKUP($A366,INDIRECT("'W"&amp;M$1&amp;"'!$A$2:$T$1000"),4,FALSE),0)</f>
        <v>0</v>
      </c>
      <c r="N366" s="37">
        <f ca="1">_xlfn.IFNA(VLOOKUP($A366,INDIRECT("'W"&amp;N$1&amp;"'!$A$2:$T$1000"),4,FALSE),0)</f>
        <v>0</v>
      </c>
      <c r="O366" s="37">
        <f ca="1">_xlfn.IFNA(VLOOKUP($A366,INDIRECT("'W"&amp;O$1&amp;"'!$A$2:$T$1000"),4,FALSE),0)</f>
        <v>5.8000000000000007</v>
      </c>
      <c r="P366" s="37">
        <f ca="1">_xlfn.IFNA(VLOOKUP($A366,INDIRECT("'W"&amp;P$1&amp;"'!$A$2:$T$1000"),4,FALSE),0)</f>
        <v>0</v>
      </c>
      <c r="Q366" s="37">
        <f ca="1">_xlfn.IFNA(VLOOKUP($A366,INDIRECT("'W"&amp;Q$1&amp;"'!$A$2:$T$1000"),4,FALSE),0)</f>
        <v>0</v>
      </c>
      <c r="R366" s="37">
        <f ca="1">_xlfn.IFNA(VLOOKUP($A366,INDIRECT("'W"&amp;R$1&amp;"'!$A$2:$T$1000"),4,FALSE),0)</f>
        <v>0</v>
      </c>
      <c r="S366" s="37">
        <f ca="1">_xlfn.IFNA(VLOOKUP($A366,INDIRECT("'W"&amp;S$1&amp;"'!$A$2:$T$1000"),4,FALSE),0)</f>
        <v>0</v>
      </c>
      <c r="T366" s="37">
        <f ca="1">_xlfn.IFNA(VLOOKUP($A366,INDIRECT("'W"&amp;T$1&amp;"'!$A$2:$T$1000"),4,FALSE),0)</f>
        <v>23.3</v>
      </c>
      <c r="U366" s="36">
        <f ca="1">COUNTIF(C366:T366,"&gt; 15")</f>
        <v>1</v>
      </c>
      <c r="V366" s="36">
        <f ca="1">SUM(C366:T366)</f>
        <v>35.200000000000003</v>
      </c>
      <c r="W366" s="36"/>
      <c r="X366" s="38"/>
    </row>
    <row r="367" spans="1:24" ht="12.75" x14ac:dyDescent="0.2">
      <c r="A367" s="36" t="s">
        <v>359</v>
      </c>
      <c r="B367" s="36" t="s">
        <v>162</v>
      </c>
      <c r="C367" s="37">
        <f ca="1">_xlfn.IFNA(VLOOKUP($A367,INDIRECT("'W"&amp;C$1&amp;"'!$A$2:$T$1000"),4,FALSE),0)</f>
        <v>0</v>
      </c>
      <c r="D367" s="37">
        <f ca="1">_xlfn.IFNA(VLOOKUP($A367,INDIRECT("'W"&amp;D$1&amp;"'!$A$2:$T$1000"),4,FALSE),0)</f>
        <v>5.5</v>
      </c>
      <c r="E367" s="37">
        <f ca="1">_xlfn.IFNA(VLOOKUP($A367,INDIRECT("'W"&amp;E$1&amp;"'!$A$2:$T$1000"),4,FALSE),0)</f>
        <v>0</v>
      </c>
      <c r="F367" s="37">
        <f ca="1">_xlfn.IFNA(VLOOKUP($A367,INDIRECT("'W"&amp;F$1&amp;"'!$A$2:$T$1000"),4,FALSE),0)</f>
        <v>7.1000000000000005</v>
      </c>
      <c r="G367" s="37">
        <f ca="1">_xlfn.IFNA(VLOOKUP($A367,INDIRECT("'W"&amp;G$1&amp;"'!$A$2:$T$1000"),4,FALSE),0)</f>
        <v>2.1</v>
      </c>
      <c r="H367" s="37">
        <f ca="1">_xlfn.IFNA(VLOOKUP($A367,INDIRECT("'W"&amp;H$1&amp;"'!$A$2:$T$1000"),4,FALSE),0)</f>
        <v>0</v>
      </c>
      <c r="I367" s="37">
        <f ca="1">_xlfn.IFNA(VLOOKUP($A367,INDIRECT("'W"&amp;I$1&amp;"'!$A$2:$T$1000"),4,FALSE),0)</f>
        <v>0</v>
      </c>
      <c r="J367" s="37">
        <f ca="1">_xlfn.IFNA(VLOOKUP($A367,INDIRECT("'W"&amp;J$1&amp;"'!$A$2:$T$1000"),4,FALSE),0)</f>
        <v>0</v>
      </c>
      <c r="K367" s="37">
        <f ca="1">_xlfn.IFNA(VLOOKUP($A367,INDIRECT("'W"&amp;K$1&amp;"'!$A$2:$T$1000"),4,FALSE),0)</f>
        <v>5.3000000000000007</v>
      </c>
      <c r="L367" s="37">
        <f ca="1">_xlfn.IFNA(VLOOKUP($A367,INDIRECT("'W"&amp;L$1&amp;"'!$A$2:$T$1000"),4,FALSE),0)</f>
        <v>12.100000000000001</v>
      </c>
      <c r="M367" s="37">
        <f ca="1">_xlfn.IFNA(VLOOKUP($A367,INDIRECT("'W"&amp;M$1&amp;"'!$A$2:$T$1000"),4,FALSE),0)</f>
        <v>1.7000000000000002</v>
      </c>
      <c r="N367" s="37">
        <f ca="1">_xlfn.IFNA(VLOOKUP($A367,INDIRECT("'W"&amp;N$1&amp;"'!$A$2:$T$1000"),4,FALSE),0)</f>
        <v>0</v>
      </c>
      <c r="O367" s="37">
        <f ca="1">_xlfn.IFNA(VLOOKUP($A367,INDIRECT("'W"&amp;O$1&amp;"'!$A$2:$T$1000"),4,FALSE),0)</f>
        <v>1</v>
      </c>
      <c r="P367" s="37">
        <f ca="1">_xlfn.IFNA(VLOOKUP($A367,INDIRECT("'W"&amp;P$1&amp;"'!$A$2:$T$1000"),4,FALSE),0)</f>
        <v>0</v>
      </c>
      <c r="Q367" s="37">
        <f ca="1">_xlfn.IFNA(VLOOKUP($A367,INDIRECT("'W"&amp;Q$1&amp;"'!$A$2:$T$1000"),4,FALSE),0)</f>
        <v>0</v>
      </c>
      <c r="R367" s="37">
        <f ca="1">_xlfn.IFNA(VLOOKUP($A367,INDIRECT("'W"&amp;R$1&amp;"'!$A$2:$T$1000"),4,FALSE),0)</f>
        <v>0</v>
      </c>
      <c r="S367" s="37">
        <f ca="1">_xlfn.IFNA(VLOOKUP($A367,INDIRECT("'W"&amp;S$1&amp;"'!$A$2:$T$1000"),4,FALSE),0)</f>
        <v>0</v>
      </c>
      <c r="T367" s="37">
        <f ca="1">_xlfn.IFNA(VLOOKUP($A367,INDIRECT("'W"&amp;T$1&amp;"'!$A$2:$T$1000"),4,FALSE),0)</f>
        <v>0.16</v>
      </c>
      <c r="U367" s="36">
        <f ca="1">COUNTIF(C367:T367,"&gt; 15")</f>
        <v>0</v>
      </c>
      <c r="V367" s="36">
        <f ca="1">SUM(C367:T367)</f>
        <v>34.96</v>
      </c>
      <c r="W367" s="36"/>
      <c r="X367" s="38"/>
    </row>
    <row r="368" spans="1:24" ht="12.75" x14ac:dyDescent="0.2">
      <c r="A368" s="36" t="s">
        <v>247</v>
      </c>
      <c r="B368" s="36" t="s">
        <v>162</v>
      </c>
      <c r="C368" s="37">
        <f ca="1">_xlfn.IFNA(VLOOKUP($A368,INDIRECT("'W"&amp;C$1&amp;"'!$A$2:$T$1000"),4,FALSE),0)</f>
        <v>3</v>
      </c>
      <c r="D368" s="37">
        <f ca="1">_xlfn.IFNA(VLOOKUP($A368,INDIRECT("'W"&amp;D$1&amp;"'!$A$2:$T$1000"),4,FALSE),0)</f>
        <v>1.1000000000000001</v>
      </c>
      <c r="E368" s="37">
        <f ca="1">_xlfn.IFNA(VLOOKUP($A368,INDIRECT("'W"&amp;E$1&amp;"'!$A$2:$T$1000"),4,FALSE),0)</f>
        <v>2.6</v>
      </c>
      <c r="F368" s="37">
        <f ca="1">_xlfn.IFNA(VLOOKUP($A368,INDIRECT("'W"&amp;F$1&amp;"'!$A$2:$T$1000"),4,FALSE),0)</f>
        <v>15.6</v>
      </c>
      <c r="G368" s="37">
        <f ca="1">_xlfn.IFNA(VLOOKUP($A368,INDIRECT("'W"&amp;G$1&amp;"'!$A$2:$T$1000"),4,FALSE),0)</f>
        <v>0</v>
      </c>
      <c r="H368" s="37">
        <f ca="1">_xlfn.IFNA(VLOOKUP($A368,INDIRECT("'W"&amp;H$1&amp;"'!$A$2:$T$1000"),4,FALSE),0)</f>
        <v>2.2999999999999998</v>
      </c>
      <c r="I368" s="37">
        <f ca="1">_xlfn.IFNA(VLOOKUP($A368,INDIRECT("'W"&amp;I$1&amp;"'!$A$2:$T$1000"),4,FALSE),0)</f>
        <v>2.4000000000000004</v>
      </c>
      <c r="J368" s="37">
        <f ca="1">_xlfn.IFNA(VLOOKUP($A368,INDIRECT("'W"&amp;J$1&amp;"'!$A$2:$T$1000"),4,FALSE),0)</f>
        <v>0</v>
      </c>
      <c r="K368" s="37">
        <f ca="1">_xlfn.IFNA(VLOOKUP($A368,INDIRECT("'W"&amp;K$1&amp;"'!$A$2:$T$1000"),4,FALSE),0)</f>
        <v>0</v>
      </c>
      <c r="L368" s="37">
        <f ca="1">_xlfn.IFNA(VLOOKUP($A368,INDIRECT("'W"&amp;L$1&amp;"'!$A$2:$T$1000"),4,FALSE),0)</f>
        <v>2.1</v>
      </c>
      <c r="M368" s="37">
        <f ca="1">_xlfn.IFNA(VLOOKUP($A368,INDIRECT("'W"&amp;M$1&amp;"'!$A$2:$T$1000"),4,FALSE),0)</f>
        <v>1.7000000000000002</v>
      </c>
      <c r="N368" s="37">
        <f ca="1">_xlfn.IFNA(VLOOKUP($A368,INDIRECT("'W"&amp;N$1&amp;"'!$A$2:$T$1000"),4,FALSE),0)</f>
        <v>0</v>
      </c>
      <c r="O368" s="37">
        <f ca="1">_xlfn.IFNA(VLOOKUP($A368,INDIRECT("'W"&amp;O$1&amp;"'!$A$2:$T$1000"),4,FALSE),0)</f>
        <v>2.1</v>
      </c>
      <c r="P368" s="37">
        <f ca="1">_xlfn.IFNA(VLOOKUP($A368,INDIRECT("'W"&amp;P$1&amp;"'!$A$2:$T$1000"),4,FALSE),0)</f>
        <v>0</v>
      </c>
      <c r="Q368" s="37">
        <f ca="1">_xlfn.IFNA(VLOOKUP($A368,INDIRECT("'W"&amp;Q$1&amp;"'!$A$2:$T$1000"),4,FALSE),0)</f>
        <v>-0.1</v>
      </c>
      <c r="R368" s="37">
        <f ca="1">_xlfn.IFNA(VLOOKUP($A368,INDIRECT("'W"&amp;R$1&amp;"'!$A$2:$T$1000"),4,FALSE),0)</f>
        <v>0</v>
      </c>
      <c r="S368" s="37">
        <f ca="1">_xlfn.IFNA(VLOOKUP($A368,INDIRECT("'W"&amp;S$1&amp;"'!$A$2:$T$1000"),4,FALSE),0)</f>
        <v>1</v>
      </c>
      <c r="T368" s="37">
        <f ca="1">_xlfn.IFNA(VLOOKUP($A368,INDIRECT("'W"&amp;T$1&amp;"'!$A$2:$T$1000"),4,FALSE),0)</f>
        <v>1.1000000000000001</v>
      </c>
      <c r="U368" s="36">
        <f ca="1">COUNTIF(C368:T368,"&gt; 15")</f>
        <v>1</v>
      </c>
      <c r="V368" s="36">
        <f ca="1">SUM(C368:T368)</f>
        <v>34.9</v>
      </c>
      <c r="W368" s="36"/>
      <c r="X368" s="38"/>
    </row>
    <row r="369" spans="1:24" ht="12.75" x14ac:dyDescent="0.2">
      <c r="A369" s="36" t="s">
        <v>156</v>
      </c>
      <c r="B369" s="36" t="s">
        <v>75</v>
      </c>
      <c r="C369" s="37">
        <f ca="1">_xlfn.IFNA(VLOOKUP($A369,INDIRECT("'W"&amp;C$1&amp;"'!$A$2:$T$1000"),4,FALSE),0)</f>
        <v>-0.4</v>
      </c>
      <c r="D369" s="37">
        <f ca="1">_xlfn.IFNA(VLOOKUP($A369,INDIRECT("'W"&amp;D$1&amp;"'!$A$2:$T$1000"),4,FALSE),0)</f>
        <v>2.7</v>
      </c>
      <c r="E369" s="37">
        <f ca="1">_xlfn.IFNA(VLOOKUP($A369,INDIRECT("'W"&amp;E$1&amp;"'!$A$2:$T$1000"),4,FALSE),0)</f>
        <v>3.2</v>
      </c>
      <c r="F369" s="37">
        <f ca="1">_xlfn.IFNA(VLOOKUP($A369,INDIRECT("'W"&amp;F$1&amp;"'!$A$2:$T$1000"),4,FALSE),0)</f>
        <v>-0.2</v>
      </c>
      <c r="G369" s="37">
        <f ca="1">_xlfn.IFNA(VLOOKUP($A369,INDIRECT("'W"&amp;G$1&amp;"'!$A$2:$T$1000"),4,FALSE),0)</f>
        <v>0</v>
      </c>
      <c r="H369" s="37">
        <f ca="1">_xlfn.IFNA(VLOOKUP($A369,INDIRECT("'W"&amp;H$1&amp;"'!$A$2:$T$1000"),4,FALSE),0)</f>
        <v>1.9000000000000001</v>
      </c>
      <c r="I369" s="37">
        <f ca="1">_xlfn.IFNA(VLOOKUP($A369,INDIRECT("'W"&amp;I$1&amp;"'!$A$2:$T$1000"),4,FALSE),0)</f>
        <v>0</v>
      </c>
      <c r="J369" s="37">
        <f ca="1">_xlfn.IFNA(VLOOKUP($A369,INDIRECT("'W"&amp;J$1&amp;"'!$A$2:$T$1000"),4,FALSE),0)</f>
        <v>0.8</v>
      </c>
      <c r="K369" s="37">
        <f ca="1">_xlfn.IFNA(VLOOKUP($A369,INDIRECT("'W"&amp;K$1&amp;"'!$A$2:$T$1000"),4,FALSE),0)</f>
        <v>0</v>
      </c>
      <c r="L369" s="37">
        <f ca="1">_xlfn.IFNA(VLOOKUP($A369,INDIRECT("'W"&amp;L$1&amp;"'!$A$2:$T$1000"),4,FALSE),0)</f>
        <v>6</v>
      </c>
      <c r="M369" s="37">
        <f ca="1">_xlfn.IFNA(VLOOKUP($A369,INDIRECT("'W"&amp;M$1&amp;"'!$A$2:$T$1000"),4,FALSE),0)</f>
        <v>6.4</v>
      </c>
      <c r="N369" s="37">
        <f ca="1">_xlfn.IFNA(VLOOKUP($A369,INDIRECT("'W"&amp;N$1&amp;"'!$A$2:$T$1000"),4,FALSE),0)</f>
        <v>7.1000000000000005</v>
      </c>
      <c r="O369" s="37">
        <f ca="1">_xlfn.IFNA(VLOOKUP($A369,INDIRECT("'W"&amp;O$1&amp;"'!$A$2:$T$1000"),4,FALSE),0)</f>
        <v>1.9</v>
      </c>
      <c r="P369" s="37">
        <f ca="1">_xlfn.IFNA(VLOOKUP($A369,INDIRECT("'W"&amp;P$1&amp;"'!$A$2:$T$1000"),4,FALSE),0)</f>
        <v>4.8000000000000007</v>
      </c>
      <c r="Q369" s="37">
        <f ca="1">_xlfn.IFNA(VLOOKUP($A369,INDIRECT("'W"&amp;Q$1&amp;"'!$A$2:$T$1000"),4,FALSE),0)</f>
        <v>0.5</v>
      </c>
      <c r="R369" s="37">
        <f ca="1">_xlfn.IFNA(VLOOKUP($A369,INDIRECT("'W"&amp;R$1&amp;"'!$A$2:$T$1000"),4,FALSE),0)</f>
        <v>0.2</v>
      </c>
      <c r="S369" s="37">
        <f ca="1">_xlfn.IFNA(VLOOKUP($A369,INDIRECT("'W"&amp;S$1&amp;"'!$A$2:$T$1000"),4,FALSE),0)</f>
        <v>0</v>
      </c>
      <c r="T369" s="37">
        <f ca="1">_xlfn.IFNA(VLOOKUP($A369,INDIRECT("'W"&amp;T$1&amp;"'!$A$2:$T$1000"),4,FALSE),0)</f>
        <v>-0.1</v>
      </c>
      <c r="U369" s="36">
        <f ca="1">COUNTIF(C369:T369,"&gt; 15")</f>
        <v>0</v>
      </c>
      <c r="V369" s="36">
        <f ca="1">SUM(C369:T369)</f>
        <v>34.800000000000004</v>
      </c>
      <c r="W369" s="36"/>
      <c r="X369" s="38"/>
    </row>
    <row r="370" spans="1:24" ht="12.75" x14ac:dyDescent="0.2">
      <c r="A370" s="36" t="s">
        <v>351</v>
      </c>
      <c r="B370" s="36" t="s">
        <v>69</v>
      </c>
      <c r="C370" s="37">
        <f ca="1">_xlfn.IFNA(VLOOKUP($A370,INDIRECT("'W"&amp;C$1&amp;"'!$A$2:$T$1000"),4,FALSE),0)</f>
        <v>0</v>
      </c>
      <c r="D370" s="37">
        <f ca="1">_xlfn.IFNA(VLOOKUP($A370,INDIRECT("'W"&amp;D$1&amp;"'!$A$2:$T$1000"),4,FALSE),0)</f>
        <v>7.6000000000000005</v>
      </c>
      <c r="E370" s="37">
        <f ca="1">_xlfn.IFNA(VLOOKUP($A370,INDIRECT("'W"&amp;E$1&amp;"'!$A$2:$T$1000"),4,FALSE),0)</f>
        <v>3.2</v>
      </c>
      <c r="F370" s="37">
        <f ca="1">_xlfn.IFNA(VLOOKUP($A370,INDIRECT("'W"&amp;F$1&amp;"'!$A$2:$T$1000"),4,FALSE),0)</f>
        <v>1.6</v>
      </c>
      <c r="G370" s="37">
        <f ca="1">_xlfn.IFNA(VLOOKUP($A370,INDIRECT("'W"&amp;G$1&amp;"'!$A$2:$T$1000"),4,FALSE),0)</f>
        <v>3.9000000000000004</v>
      </c>
      <c r="H370" s="37">
        <f ca="1">_xlfn.IFNA(VLOOKUP($A370,INDIRECT("'W"&amp;H$1&amp;"'!$A$2:$T$1000"),4,FALSE),0)</f>
        <v>0</v>
      </c>
      <c r="I370" s="37">
        <f ca="1">_xlfn.IFNA(VLOOKUP($A370,INDIRECT("'W"&amp;I$1&amp;"'!$A$2:$T$1000"),4,FALSE),0)</f>
        <v>0</v>
      </c>
      <c r="J370" s="37">
        <f ca="1">_xlfn.IFNA(VLOOKUP($A370,INDIRECT("'W"&amp;J$1&amp;"'!$A$2:$T$1000"),4,FALSE),0)</f>
        <v>2.7</v>
      </c>
      <c r="K370" s="37">
        <f ca="1">_xlfn.IFNA(VLOOKUP($A370,INDIRECT("'W"&amp;K$1&amp;"'!$A$2:$T$1000"),4,FALSE),0)</f>
        <v>0.5</v>
      </c>
      <c r="L370" s="37">
        <f ca="1">_xlfn.IFNA(VLOOKUP($A370,INDIRECT("'W"&amp;L$1&amp;"'!$A$2:$T$1000"),4,FALSE),0)</f>
        <v>5.0999999999999996</v>
      </c>
      <c r="M370" s="37">
        <f ca="1">_xlfn.IFNA(VLOOKUP($A370,INDIRECT("'W"&amp;M$1&amp;"'!$A$2:$T$1000"),4,FALSE),0)</f>
        <v>3.5</v>
      </c>
      <c r="N370" s="37">
        <f ca="1">_xlfn.IFNA(VLOOKUP($A370,INDIRECT("'W"&amp;N$1&amp;"'!$A$2:$T$1000"),4,FALSE),0)</f>
        <v>0</v>
      </c>
      <c r="O370" s="37">
        <f ca="1">_xlfn.IFNA(VLOOKUP($A370,INDIRECT("'W"&amp;O$1&amp;"'!$A$2:$T$1000"),4,FALSE),0)</f>
        <v>0</v>
      </c>
      <c r="P370" s="37">
        <f ca="1">_xlfn.IFNA(VLOOKUP($A370,INDIRECT("'W"&amp;P$1&amp;"'!$A$2:$T$1000"),4,FALSE),0)</f>
        <v>0</v>
      </c>
      <c r="Q370" s="37">
        <f ca="1">_xlfn.IFNA(VLOOKUP($A370,INDIRECT("'W"&amp;Q$1&amp;"'!$A$2:$T$1000"),4,FALSE),0)</f>
        <v>0</v>
      </c>
      <c r="R370" s="37">
        <f ca="1">_xlfn.IFNA(VLOOKUP($A370,INDIRECT("'W"&amp;R$1&amp;"'!$A$2:$T$1000"),4,FALSE),0)</f>
        <v>4.4000000000000004</v>
      </c>
      <c r="S370" s="37">
        <f ca="1">_xlfn.IFNA(VLOOKUP($A370,INDIRECT("'W"&amp;S$1&amp;"'!$A$2:$T$1000"),4,FALSE),0)</f>
        <v>1.6</v>
      </c>
      <c r="T370" s="37">
        <f ca="1">_xlfn.IFNA(VLOOKUP($A370,INDIRECT("'W"&amp;T$1&amp;"'!$A$2:$T$1000"),4,FALSE),0)</f>
        <v>0</v>
      </c>
      <c r="U370" s="36">
        <f ca="1">COUNTIF(C370:T370,"&gt; 15")</f>
        <v>0</v>
      </c>
      <c r="V370" s="36">
        <f ca="1">SUM(C370:T370)</f>
        <v>34.1</v>
      </c>
      <c r="W370" s="36"/>
      <c r="X370" s="38"/>
    </row>
    <row r="371" spans="1:24" ht="12.75" x14ac:dyDescent="0.2">
      <c r="A371" s="36" t="s">
        <v>240</v>
      </c>
      <c r="B371" s="36" t="s">
        <v>162</v>
      </c>
      <c r="C371" s="37">
        <f ca="1">_xlfn.IFNA(VLOOKUP($A371,INDIRECT("'W"&amp;C$1&amp;"'!$A$2:$T$1000"),4,FALSE),0)</f>
        <v>4.3</v>
      </c>
      <c r="D371" s="37">
        <f ca="1">_xlfn.IFNA(VLOOKUP($A371,INDIRECT("'W"&amp;D$1&amp;"'!$A$2:$T$1000"),4,FALSE),0)</f>
        <v>2.4</v>
      </c>
      <c r="E371" s="37">
        <f ca="1">_xlfn.IFNA(VLOOKUP($A371,INDIRECT("'W"&amp;E$1&amp;"'!$A$2:$T$1000"),4,FALSE),0)</f>
        <v>3.3</v>
      </c>
      <c r="F371" s="37">
        <f ca="1">_xlfn.IFNA(VLOOKUP($A371,INDIRECT("'W"&amp;F$1&amp;"'!$A$2:$T$1000"),4,FALSE),0)</f>
        <v>3</v>
      </c>
      <c r="G371" s="37">
        <f ca="1">_xlfn.IFNA(VLOOKUP($A371,INDIRECT("'W"&amp;G$1&amp;"'!$A$2:$T$1000"),4,FALSE),0)</f>
        <v>8.1999999999999993</v>
      </c>
      <c r="H371" s="37">
        <f ca="1">_xlfn.IFNA(VLOOKUP($A371,INDIRECT("'W"&amp;H$1&amp;"'!$A$2:$T$1000"),4,FALSE),0)</f>
        <v>7.3</v>
      </c>
      <c r="I371" s="37">
        <f ca="1">_xlfn.IFNA(VLOOKUP($A371,INDIRECT("'W"&amp;I$1&amp;"'!$A$2:$T$1000"),4,FALSE),0)</f>
        <v>2</v>
      </c>
      <c r="J371" s="37">
        <f ca="1">_xlfn.IFNA(VLOOKUP($A371,INDIRECT("'W"&amp;J$1&amp;"'!$A$2:$T$1000"),4,FALSE),0)</f>
        <v>0</v>
      </c>
      <c r="K371" s="37">
        <f ca="1">_xlfn.IFNA(VLOOKUP($A371,INDIRECT("'W"&amp;K$1&amp;"'!$A$2:$T$1000"),4,FALSE),0)</f>
        <v>0</v>
      </c>
      <c r="L371" s="37">
        <f ca="1">_xlfn.IFNA(VLOOKUP($A371,INDIRECT("'W"&amp;L$1&amp;"'!$A$2:$T$1000"),4,FALSE),0)</f>
        <v>0</v>
      </c>
      <c r="M371" s="37">
        <f ca="1">_xlfn.IFNA(VLOOKUP($A371,INDIRECT("'W"&amp;M$1&amp;"'!$A$2:$T$1000"),4,FALSE),0)</f>
        <v>-0.2</v>
      </c>
      <c r="N371" s="37">
        <f ca="1">_xlfn.IFNA(VLOOKUP($A371,INDIRECT("'W"&amp;N$1&amp;"'!$A$2:$T$1000"),4,FALSE),0)</f>
        <v>0</v>
      </c>
      <c r="O371" s="37">
        <f ca="1">_xlfn.IFNA(VLOOKUP($A371,INDIRECT("'W"&amp;O$1&amp;"'!$A$2:$T$1000"),4,FALSE),0)</f>
        <v>0</v>
      </c>
      <c r="P371" s="37">
        <f ca="1">_xlfn.IFNA(VLOOKUP($A371,INDIRECT("'W"&amp;P$1&amp;"'!$A$2:$T$1000"),4,FALSE),0)</f>
        <v>3.5</v>
      </c>
      <c r="Q371" s="37">
        <f ca="1">_xlfn.IFNA(VLOOKUP($A371,INDIRECT("'W"&amp;Q$1&amp;"'!$A$2:$T$1000"),4,FALSE),0)</f>
        <v>0</v>
      </c>
      <c r="R371" s="37">
        <f ca="1">_xlfn.IFNA(VLOOKUP($A371,INDIRECT("'W"&amp;R$1&amp;"'!$A$2:$T$1000"),4,FALSE),0)</f>
        <v>-2</v>
      </c>
      <c r="S371" s="37">
        <f ca="1">_xlfn.IFNA(VLOOKUP($A371,INDIRECT("'W"&amp;S$1&amp;"'!$A$2:$T$1000"),4,FALSE),0)</f>
        <v>0</v>
      </c>
      <c r="T371" s="37">
        <f ca="1">_xlfn.IFNA(VLOOKUP($A371,INDIRECT("'W"&amp;T$1&amp;"'!$A$2:$T$1000"),4,FALSE),0)</f>
        <v>2.2000000000000002</v>
      </c>
      <c r="U371" s="36">
        <f ca="1">COUNTIF(C371:T371,"&gt; 15")</f>
        <v>0</v>
      </c>
      <c r="V371" s="36">
        <f ca="1">SUM(C371:T371)</f>
        <v>34</v>
      </c>
      <c r="W371" s="36"/>
      <c r="X371" s="38"/>
    </row>
    <row r="372" spans="1:24" ht="12.75" x14ac:dyDescent="0.2">
      <c r="A372" s="36" t="s">
        <v>422</v>
      </c>
      <c r="B372" s="36" t="s">
        <v>69</v>
      </c>
      <c r="C372" s="37">
        <f ca="1">_xlfn.IFNA(VLOOKUP($A372,INDIRECT("'W"&amp;C$1&amp;"'!$A$2:$T$1000"),4,FALSE),0)</f>
        <v>0</v>
      </c>
      <c r="D372" s="37">
        <f ca="1">_xlfn.IFNA(VLOOKUP($A372,INDIRECT("'W"&amp;D$1&amp;"'!$A$2:$T$1000"),4,FALSE),0)</f>
        <v>0</v>
      </c>
      <c r="E372" s="37">
        <f ca="1">_xlfn.IFNA(VLOOKUP($A372,INDIRECT("'W"&amp;E$1&amp;"'!$A$2:$T$1000"),4,FALSE),0)</f>
        <v>7.8</v>
      </c>
      <c r="F372" s="37">
        <f ca="1">_xlfn.IFNA(VLOOKUP($A372,INDIRECT("'W"&amp;F$1&amp;"'!$A$2:$T$1000"),4,FALSE),0)</f>
        <v>0</v>
      </c>
      <c r="G372" s="37">
        <f ca="1">_xlfn.IFNA(VLOOKUP($A372,INDIRECT("'W"&amp;G$1&amp;"'!$A$2:$T$1000"),4,FALSE),0)</f>
        <v>0</v>
      </c>
      <c r="H372" s="37">
        <f ca="1">_xlfn.IFNA(VLOOKUP($A372,INDIRECT("'W"&amp;H$1&amp;"'!$A$2:$T$1000"),4,FALSE),0)</f>
        <v>0</v>
      </c>
      <c r="I372" s="37">
        <f ca="1">_xlfn.IFNA(VLOOKUP($A372,INDIRECT("'W"&amp;I$1&amp;"'!$A$2:$T$1000"),4,FALSE),0)</f>
        <v>0</v>
      </c>
      <c r="J372" s="37">
        <f ca="1">_xlfn.IFNA(VLOOKUP($A372,INDIRECT("'W"&amp;J$1&amp;"'!$A$2:$T$1000"),4,FALSE),0)</f>
        <v>0</v>
      </c>
      <c r="K372" s="37">
        <f ca="1">_xlfn.IFNA(VLOOKUP($A372,INDIRECT("'W"&amp;K$1&amp;"'!$A$2:$T$1000"),4,FALSE),0)</f>
        <v>0</v>
      </c>
      <c r="L372" s="37">
        <f ca="1">_xlfn.IFNA(VLOOKUP($A372,INDIRECT("'W"&amp;L$1&amp;"'!$A$2:$T$1000"),4,FALSE),0)</f>
        <v>0</v>
      </c>
      <c r="M372" s="37">
        <f ca="1">_xlfn.IFNA(VLOOKUP($A372,INDIRECT("'W"&amp;M$1&amp;"'!$A$2:$T$1000"),4,FALSE),0)</f>
        <v>0</v>
      </c>
      <c r="N372" s="37">
        <f ca="1">_xlfn.IFNA(VLOOKUP($A372,INDIRECT("'W"&amp;N$1&amp;"'!$A$2:$T$1000"),4,FALSE),0)</f>
        <v>0</v>
      </c>
      <c r="O372" s="37">
        <f ca="1">_xlfn.IFNA(VLOOKUP($A372,INDIRECT("'W"&amp;O$1&amp;"'!$A$2:$T$1000"),4,FALSE),0)</f>
        <v>7.6</v>
      </c>
      <c r="P372" s="37">
        <f ca="1">_xlfn.IFNA(VLOOKUP($A372,INDIRECT("'W"&amp;P$1&amp;"'!$A$2:$T$1000"),4,FALSE),0)</f>
        <v>9.6</v>
      </c>
      <c r="Q372" s="37">
        <f ca="1">_xlfn.IFNA(VLOOKUP($A372,INDIRECT("'W"&amp;Q$1&amp;"'!$A$2:$T$1000"),4,FALSE),0)</f>
        <v>8.9</v>
      </c>
      <c r="R372" s="37">
        <f ca="1">_xlfn.IFNA(VLOOKUP($A372,INDIRECT("'W"&amp;R$1&amp;"'!$A$2:$T$1000"),4,FALSE),0)</f>
        <v>0</v>
      </c>
      <c r="S372" s="37">
        <f ca="1">_xlfn.IFNA(VLOOKUP($A372,INDIRECT("'W"&amp;S$1&amp;"'!$A$2:$T$1000"),4,FALSE),0)</f>
        <v>0</v>
      </c>
      <c r="T372" s="37">
        <f ca="1">_xlfn.IFNA(VLOOKUP($A372,INDIRECT("'W"&amp;T$1&amp;"'!$A$2:$T$1000"),4,FALSE),0)</f>
        <v>0</v>
      </c>
      <c r="U372" s="36">
        <f ca="1">COUNTIF(C372:T372,"&gt; 15")</f>
        <v>0</v>
      </c>
      <c r="V372" s="36">
        <f ca="1">SUM(C372:T372)</f>
        <v>33.9</v>
      </c>
      <c r="W372" s="36"/>
      <c r="X372" s="38"/>
    </row>
    <row r="373" spans="1:24" ht="12.75" x14ac:dyDescent="0.2">
      <c r="A373" s="36" t="s">
        <v>301</v>
      </c>
      <c r="B373" s="36" t="s">
        <v>69</v>
      </c>
      <c r="C373" s="37">
        <f ca="1">_xlfn.IFNA(VLOOKUP($A373,INDIRECT("'W"&amp;C$1&amp;"'!$A$2:$T$1000"),4,FALSE),0)</f>
        <v>4.7</v>
      </c>
      <c r="D373" s="37">
        <f ca="1">_xlfn.IFNA(VLOOKUP($A373,INDIRECT("'W"&amp;D$1&amp;"'!$A$2:$T$1000"),4,FALSE),0)</f>
        <v>3</v>
      </c>
      <c r="E373" s="37">
        <f ca="1">_xlfn.IFNA(VLOOKUP($A373,INDIRECT("'W"&amp;E$1&amp;"'!$A$2:$T$1000"),4,FALSE),0)</f>
        <v>0</v>
      </c>
      <c r="F373" s="37">
        <f ca="1">_xlfn.IFNA(VLOOKUP($A373,INDIRECT("'W"&amp;F$1&amp;"'!$A$2:$T$1000"),4,FALSE),0)</f>
        <v>0</v>
      </c>
      <c r="G373" s="37">
        <f ca="1">_xlfn.IFNA(VLOOKUP($A373,INDIRECT("'W"&amp;G$1&amp;"'!$A$2:$T$1000"),4,FALSE),0)</f>
        <v>0</v>
      </c>
      <c r="H373" s="37">
        <f ca="1">_xlfn.IFNA(VLOOKUP($A373,INDIRECT("'W"&amp;H$1&amp;"'!$A$2:$T$1000"),4,FALSE),0)</f>
        <v>1.5</v>
      </c>
      <c r="I373" s="37">
        <f ca="1">_xlfn.IFNA(VLOOKUP($A373,INDIRECT("'W"&amp;I$1&amp;"'!$A$2:$T$1000"),4,FALSE),0)</f>
        <v>0</v>
      </c>
      <c r="J373" s="37">
        <f ca="1">_xlfn.IFNA(VLOOKUP($A373,INDIRECT("'W"&amp;J$1&amp;"'!$A$2:$T$1000"),4,FALSE),0)</f>
        <v>4.5</v>
      </c>
      <c r="K373" s="37">
        <f ca="1">_xlfn.IFNA(VLOOKUP($A373,INDIRECT("'W"&amp;K$1&amp;"'!$A$2:$T$1000"),4,FALSE),0)</f>
        <v>11.6</v>
      </c>
      <c r="L373" s="37">
        <f ca="1">_xlfn.IFNA(VLOOKUP($A373,INDIRECT("'W"&amp;L$1&amp;"'!$A$2:$T$1000"),4,FALSE),0)</f>
        <v>1.6</v>
      </c>
      <c r="M373" s="37">
        <f ca="1">_xlfn.IFNA(VLOOKUP($A373,INDIRECT("'W"&amp;M$1&amp;"'!$A$2:$T$1000"),4,FALSE),0)</f>
        <v>0</v>
      </c>
      <c r="N373" s="37">
        <f ca="1">_xlfn.IFNA(VLOOKUP($A373,INDIRECT("'W"&amp;N$1&amp;"'!$A$2:$T$1000"),4,FALSE),0)</f>
        <v>2.8</v>
      </c>
      <c r="O373" s="37">
        <f ca="1">_xlfn.IFNA(VLOOKUP($A373,INDIRECT("'W"&amp;O$1&amp;"'!$A$2:$T$1000"),4,FALSE),0)</f>
        <v>0</v>
      </c>
      <c r="P373" s="37">
        <f ca="1">_xlfn.IFNA(VLOOKUP($A373,INDIRECT("'W"&amp;P$1&amp;"'!$A$2:$T$1000"),4,FALSE),0)</f>
        <v>0</v>
      </c>
      <c r="Q373" s="37">
        <f ca="1">_xlfn.IFNA(VLOOKUP($A373,INDIRECT("'W"&amp;Q$1&amp;"'!$A$2:$T$1000"),4,FALSE),0)</f>
        <v>3.8</v>
      </c>
      <c r="R373" s="37">
        <f ca="1">_xlfn.IFNA(VLOOKUP($A373,INDIRECT("'W"&amp;R$1&amp;"'!$A$2:$T$1000"),4,FALSE),0)</f>
        <v>0</v>
      </c>
      <c r="S373" s="37">
        <f ca="1">_xlfn.IFNA(VLOOKUP($A373,INDIRECT("'W"&amp;S$1&amp;"'!$A$2:$T$1000"),4,FALSE),0)</f>
        <v>0</v>
      </c>
      <c r="T373" s="37">
        <f ca="1">_xlfn.IFNA(VLOOKUP($A373,INDIRECT("'W"&amp;T$1&amp;"'!$A$2:$T$1000"),4,FALSE),0)</f>
        <v>0</v>
      </c>
      <c r="U373" s="36">
        <f ca="1">COUNTIF(C373:T373,"&gt; 15")</f>
        <v>0</v>
      </c>
      <c r="V373" s="36">
        <f ca="1">SUM(C373:T373)</f>
        <v>33.5</v>
      </c>
      <c r="W373" s="36"/>
      <c r="X373" s="38"/>
    </row>
    <row r="374" spans="1:24" ht="12.75" x14ac:dyDescent="0.2">
      <c r="A374" s="36" t="s">
        <v>679</v>
      </c>
      <c r="B374" s="36" t="s">
        <v>162</v>
      </c>
      <c r="C374" s="37">
        <f ca="1">_xlfn.IFNA(VLOOKUP($A374,INDIRECT("'W"&amp;C$1&amp;"'!$A$2:$T$1000"),4,FALSE),0)</f>
        <v>0</v>
      </c>
      <c r="D374" s="37">
        <f ca="1">_xlfn.IFNA(VLOOKUP($A374,INDIRECT("'W"&amp;D$1&amp;"'!$A$2:$T$1000"),4,FALSE),0)</f>
        <v>0</v>
      </c>
      <c r="E374" s="37">
        <f ca="1">_xlfn.IFNA(VLOOKUP($A374,INDIRECT("'W"&amp;E$1&amp;"'!$A$2:$T$1000"),4,FALSE),0)</f>
        <v>0</v>
      </c>
      <c r="F374" s="37">
        <f ca="1">_xlfn.IFNA(VLOOKUP($A374,INDIRECT("'W"&amp;F$1&amp;"'!$A$2:$T$1000"),4,FALSE),0)</f>
        <v>0</v>
      </c>
      <c r="G374" s="37">
        <f ca="1">_xlfn.IFNA(VLOOKUP($A374,INDIRECT("'W"&amp;G$1&amp;"'!$A$2:$T$1000"),4,FALSE),0)</f>
        <v>0</v>
      </c>
      <c r="H374" s="37">
        <f ca="1">_xlfn.IFNA(VLOOKUP($A374,INDIRECT("'W"&amp;H$1&amp;"'!$A$2:$T$1000"),4,FALSE),0)</f>
        <v>0</v>
      </c>
      <c r="I374" s="37">
        <f ca="1">_xlfn.IFNA(VLOOKUP($A374,INDIRECT("'W"&amp;I$1&amp;"'!$A$2:$T$1000"),4,FALSE),0)</f>
        <v>0</v>
      </c>
      <c r="J374" s="37">
        <f ca="1">_xlfn.IFNA(VLOOKUP($A374,INDIRECT("'W"&amp;J$1&amp;"'!$A$2:$T$1000"),4,FALSE),0)</f>
        <v>0</v>
      </c>
      <c r="K374" s="37">
        <f ca="1">_xlfn.IFNA(VLOOKUP($A374,INDIRECT("'W"&amp;K$1&amp;"'!$A$2:$T$1000"),4,FALSE),0)</f>
        <v>0</v>
      </c>
      <c r="L374" s="37">
        <f ca="1">_xlfn.IFNA(VLOOKUP($A374,INDIRECT("'W"&amp;L$1&amp;"'!$A$2:$T$1000"),4,FALSE),0)</f>
        <v>0</v>
      </c>
      <c r="M374" s="37">
        <f ca="1">_xlfn.IFNA(VLOOKUP($A374,INDIRECT("'W"&amp;M$1&amp;"'!$A$2:$T$1000"),4,FALSE),0)</f>
        <v>1.7000000000000002</v>
      </c>
      <c r="N374" s="37">
        <f ca="1">_xlfn.IFNA(VLOOKUP($A374,INDIRECT("'W"&amp;N$1&amp;"'!$A$2:$T$1000"),4,FALSE),0)</f>
        <v>8.6000000000000014</v>
      </c>
      <c r="O374" s="37">
        <f ca="1">_xlfn.IFNA(VLOOKUP($A374,INDIRECT("'W"&amp;O$1&amp;"'!$A$2:$T$1000"),4,FALSE),0)</f>
        <v>2.5</v>
      </c>
      <c r="P374" s="37">
        <f ca="1">_xlfn.IFNA(VLOOKUP($A374,INDIRECT("'W"&amp;P$1&amp;"'!$A$2:$T$1000"),4,FALSE),0)</f>
        <v>7.6</v>
      </c>
      <c r="Q374" s="37">
        <f ca="1">_xlfn.IFNA(VLOOKUP($A374,INDIRECT("'W"&amp;Q$1&amp;"'!$A$2:$T$1000"),4,FALSE),0)</f>
        <v>5.9</v>
      </c>
      <c r="R374" s="37">
        <f ca="1">_xlfn.IFNA(VLOOKUP($A374,INDIRECT("'W"&amp;R$1&amp;"'!$A$2:$T$1000"),4,FALSE),0)</f>
        <v>1</v>
      </c>
      <c r="S374" s="37">
        <f ca="1">_xlfn.IFNA(VLOOKUP($A374,INDIRECT("'W"&amp;S$1&amp;"'!$A$2:$T$1000"),4,FALSE),0)</f>
        <v>2.2999999999999998</v>
      </c>
      <c r="T374" s="37">
        <f ca="1">_xlfn.IFNA(VLOOKUP($A374,INDIRECT("'W"&amp;T$1&amp;"'!$A$2:$T$1000"),4,FALSE),0)</f>
        <v>3.9</v>
      </c>
      <c r="U374" s="36">
        <f ca="1">COUNTIF(C374:T374,"&gt; 15")</f>
        <v>0</v>
      </c>
      <c r="V374" s="36">
        <f ca="1">SUM(C374:T374)</f>
        <v>33.5</v>
      </c>
      <c r="W374" s="36"/>
      <c r="X374" s="38"/>
    </row>
    <row r="375" spans="1:24" ht="12.75" x14ac:dyDescent="0.2">
      <c r="A375" s="36" t="s">
        <v>901</v>
      </c>
      <c r="B375" s="36" t="s">
        <v>851</v>
      </c>
      <c r="C375" s="37">
        <v>12</v>
      </c>
      <c r="D375" s="37">
        <v>9</v>
      </c>
      <c r="E375" s="37">
        <v>0</v>
      </c>
      <c r="F375" s="37">
        <v>-1</v>
      </c>
      <c r="G375" s="37">
        <v>-5</v>
      </c>
      <c r="H375" s="37">
        <v>7</v>
      </c>
      <c r="I375" s="37">
        <v>8</v>
      </c>
      <c r="J375" s="37">
        <v>2</v>
      </c>
      <c r="K375" s="37">
        <v>6</v>
      </c>
      <c r="L375" s="37">
        <v>-5</v>
      </c>
      <c r="M375" s="37">
        <v>11</v>
      </c>
      <c r="N375" s="37">
        <v>-6</v>
      </c>
      <c r="O375" s="37">
        <v>-6</v>
      </c>
      <c r="P375" s="37">
        <v>0</v>
      </c>
      <c r="Q375" s="37">
        <v>3</v>
      </c>
      <c r="R375" s="37">
        <v>2</v>
      </c>
      <c r="S375" s="37">
        <v>-2</v>
      </c>
      <c r="T375" s="37">
        <v>-2</v>
      </c>
      <c r="U375" s="36">
        <f>COUNTIF(C375:T375,"&gt; 9")</f>
        <v>2</v>
      </c>
      <c r="V375" s="36">
        <f>SUM(C375:T375)</f>
        <v>33</v>
      </c>
      <c r="W375" s="36"/>
      <c r="X375" s="38">
        <v>176</v>
      </c>
    </row>
    <row r="376" spans="1:24" ht="12.75" x14ac:dyDescent="0.2">
      <c r="A376" s="36" t="s">
        <v>234</v>
      </c>
      <c r="B376" s="36" t="s">
        <v>162</v>
      </c>
      <c r="C376" s="37">
        <f ca="1">_xlfn.IFNA(VLOOKUP($A376,INDIRECT("'W"&amp;C$1&amp;"'!$A$2:$T$1000"),4,FALSE),0)</f>
        <v>4.3000000000000007</v>
      </c>
      <c r="D376" s="37">
        <f ca="1">_xlfn.IFNA(VLOOKUP($A376,INDIRECT("'W"&amp;D$1&amp;"'!$A$2:$T$1000"),4,FALSE),0)</f>
        <v>0</v>
      </c>
      <c r="E376" s="37">
        <f ca="1">_xlfn.IFNA(VLOOKUP($A376,INDIRECT("'W"&amp;E$1&amp;"'!$A$2:$T$1000"),4,FALSE),0)</f>
        <v>8.5</v>
      </c>
      <c r="F376" s="37">
        <f ca="1">_xlfn.IFNA(VLOOKUP($A376,INDIRECT("'W"&amp;F$1&amp;"'!$A$2:$T$1000"),4,FALSE),0)</f>
        <v>14.600000000000001</v>
      </c>
      <c r="G376" s="37">
        <f ca="1">_xlfn.IFNA(VLOOKUP($A376,INDIRECT("'W"&amp;G$1&amp;"'!$A$2:$T$1000"),4,FALSE),0)</f>
        <v>0</v>
      </c>
      <c r="H376" s="37">
        <f ca="1">_xlfn.IFNA(VLOOKUP($A376,INDIRECT("'W"&amp;H$1&amp;"'!$A$2:$T$1000"),4,FALSE),0)</f>
        <v>0</v>
      </c>
      <c r="I376" s="37">
        <f ca="1">_xlfn.IFNA(VLOOKUP($A376,INDIRECT("'W"&amp;I$1&amp;"'!$A$2:$T$1000"),4,FALSE),0)</f>
        <v>0</v>
      </c>
      <c r="J376" s="37">
        <f ca="1">_xlfn.IFNA(VLOOKUP($A376,INDIRECT("'W"&amp;J$1&amp;"'!$A$2:$T$1000"),4,FALSE),0)</f>
        <v>1.9</v>
      </c>
      <c r="K376" s="37">
        <f ca="1">_xlfn.IFNA(VLOOKUP($A376,INDIRECT("'W"&amp;K$1&amp;"'!$A$2:$T$1000"),4,FALSE),0)</f>
        <v>0</v>
      </c>
      <c r="L376" s="37">
        <f ca="1">_xlfn.IFNA(VLOOKUP($A376,INDIRECT("'W"&amp;L$1&amp;"'!$A$2:$T$1000"),4,FALSE),0)</f>
        <v>2.1</v>
      </c>
      <c r="M376" s="37">
        <f ca="1">_xlfn.IFNA(VLOOKUP($A376,INDIRECT("'W"&amp;M$1&amp;"'!$A$2:$T$1000"),4,FALSE),0)</f>
        <v>0</v>
      </c>
      <c r="N376" s="37">
        <f ca="1">_xlfn.IFNA(VLOOKUP($A376,INDIRECT("'W"&amp;N$1&amp;"'!$A$2:$T$1000"),4,FALSE),0)</f>
        <v>0</v>
      </c>
      <c r="O376" s="37">
        <f ca="1">_xlfn.IFNA(VLOOKUP($A376,INDIRECT("'W"&amp;O$1&amp;"'!$A$2:$T$1000"),4,FALSE),0)</f>
        <v>0</v>
      </c>
      <c r="P376" s="37">
        <f ca="1">_xlfn.IFNA(VLOOKUP($A376,INDIRECT("'W"&amp;P$1&amp;"'!$A$2:$T$1000"),4,FALSE),0)</f>
        <v>0</v>
      </c>
      <c r="Q376" s="37">
        <f ca="1">_xlfn.IFNA(VLOOKUP($A376,INDIRECT("'W"&amp;Q$1&amp;"'!$A$2:$T$1000"),4,FALSE),0)</f>
        <v>0</v>
      </c>
      <c r="R376" s="37">
        <f ca="1">_xlfn.IFNA(VLOOKUP($A376,INDIRECT("'W"&amp;R$1&amp;"'!$A$2:$T$1000"),4,FALSE),0)</f>
        <v>0</v>
      </c>
      <c r="S376" s="37">
        <f ca="1">_xlfn.IFNA(VLOOKUP($A376,INDIRECT("'W"&amp;S$1&amp;"'!$A$2:$T$1000"),4,FALSE),0)</f>
        <v>0</v>
      </c>
      <c r="T376" s="37">
        <f ca="1">_xlfn.IFNA(VLOOKUP($A376,INDIRECT("'W"&amp;T$1&amp;"'!$A$2:$T$1000"),4,FALSE),0)</f>
        <v>1.5</v>
      </c>
      <c r="U376" s="36">
        <f ca="1">COUNTIF(C376:T376,"&gt; 15")</f>
        <v>0</v>
      </c>
      <c r="V376" s="36">
        <f ca="1">SUM(C376:T376)</f>
        <v>32.900000000000006</v>
      </c>
      <c r="W376" s="36"/>
      <c r="X376" s="38"/>
    </row>
    <row r="377" spans="1:24" ht="12.75" x14ac:dyDescent="0.2">
      <c r="A377" s="36" t="s">
        <v>394</v>
      </c>
      <c r="B377" s="36" t="s">
        <v>75</v>
      </c>
      <c r="C377" s="37">
        <f ca="1">_xlfn.IFNA(VLOOKUP($A377,INDIRECT("'W"&amp;C$1&amp;"'!$A$2:$T$1000"),4,FALSE),0)</f>
        <v>0</v>
      </c>
      <c r="D377" s="37">
        <f ca="1">_xlfn.IFNA(VLOOKUP($A377,INDIRECT("'W"&amp;D$1&amp;"'!$A$2:$T$1000"),4,FALSE),0)</f>
        <v>0.2</v>
      </c>
      <c r="E377" s="37">
        <f ca="1">_xlfn.IFNA(VLOOKUP($A377,INDIRECT("'W"&amp;E$1&amp;"'!$A$2:$T$1000"),4,FALSE),0)</f>
        <v>0</v>
      </c>
      <c r="F377" s="37">
        <f ca="1">_xlfn.IFNA(VLOOKUP($A377,INDIRECT("'W"&amp;F$1&amp;"'!$A$2:$T$1000"),4,FALSE),0)</f>
        <v>0</v>
      </c>
      <c r="G377" s="37">
        <f ca="1">_xlfn.IFNA(VLOOKUP($A377,INDIRECT("'W"&amp;G$1&amp;"'!$A$2:$T$1000"),4,FALSE),0)</f>
        <v>0</v>
      </c>
      <c r="H377" s="37">
        <f ca="1">_xlfn.IFNA(VLOOKUP($A377,INDIRECT("'W"&amp;H$1&amp;"'!$A$2:$T$1000"),4,FALSE),0)</f>
        <v>0</v>
      </c>
      <c r="I377" s="37">
        <f ca="1">_xlfn.IFNA(VLOOKUP($A377,INDIRECT("'W"&amp;I$1&amp;"'!$A$2:$T$1000"),4,FALSE),0)</f>
        <v>0</v>
      </c>
      <c r="J377" s="37">
        <f ca="1">_xlfn.IFNA(VLOOKUP($A377,INDIRECT("'W"&amp;J$1&amp;"'!$A$2:$T$1000"),4,FALSE),0)</f>
        <v>5.8999999999999995</v>
      </c>
      <c r="K377" s="37">
        <f ca="1">_xlfn.IFNA(VLOOKUP($A377,INDIRECT("'W"&amp;K$1&amp;"'!$A$2:$T$1000"),4,FALSE),0)</f>
        <v>2.5</v>
      </c>
      <c r="L377" s="37">
        <f ca="1">_xlfn.IFNA(VLOOKUP($A377,INDIRECT("'W"&amp;L$1&amp;"'!$A$2:$T$1000"),4,FALSE),0)</f>
        <v>0</v>
      </c>
      <c r="M377" s="37">
        <f ca="1">_xlfn.IFNA(VLOOKUP($A377,INDIRECT("'W"&amp;M$1&amp;"'!$A$2:$T$1000"),4,FALSE),0)</f>
        <v>0</v>
      </c>
      <c r="N377" s="37">
        <f ca="1">_xlfn.IFNA(VLOOKUP($A377,INDIRECT("'W"&amp;N$1&amp;"'!$A$2:$T$1000"),4,FALSE),0)</f>
        <v>1.1000000000000001</v>
      </c>
      <c r="O377" s="37">
        <f ca="1">_xlfn.IFNA(VLOOKUP($A377,INDIRECT("'W"&amp;O$1&amp;"'!$A$2:$T$1000"),4,FALSE),0)</f>
        <v>1.5</v>
      </c>
      <c r="P377" s="37">
        <f ca="1">_xlfn.IFNA(VLOOKUP($A377,INDIRECT("'W"&amp;P$1&amp;"'!$A$2:$T$1000"),4,FALSE),0)</f>
        <v>3.6</v>
      </c>
      <c r="Q377" s="37">
        <f ca="1">_xlfn.IFNA(VLOOKUP($A377,INDIRECT("'W"&amp;Q$1&amp;"'!$A$2:$T$1000"),4,FALSE),0)</f>
        <v>0.5</v>
      </c>
      <c r="R377" s="37">
        <f ca="1">_xlfn.IFNA(VLOOKUP($A377,INDIRECT("'W"&amp;R$1&amp;"'!$A$2:$T$1000"),4,FALSE),0)</f>
        <v>8.6</v>
      </c>
      <c r="S377" s="37">
        <f ca="1">_xlfn.IFNA(VLOOKUP($A377,INDIRECT("'W"&amp;S$1&amp;"'!$A$2:$T$1000"),4,FALSE),0)</f>
        <v>0</v>
      </c>
      <c r="T377" s="37">
        <f ca="1">_xlfn.IFNA(VLOOKUP($A377,INDIRECT("'W"&amp;T$1&amp;"'!$A$2:$T$1000"),4,FALSE),0)</f>
        <v>8.9</v>
      </c>
      <c r="U377" s="36">
        <f ca="1">COUNTIF(C377:T377,"&gt; 15")</f>
        <v>0</v>
      </c>
      <c r="V377" s="36">
        <f ca="1">SUM(C377:T377)</f>
        <v>32.799999999999997</v>
      </c>
      <c r="W377" s="36"/>
      <c r="X377" s="38"/>
    </row>
    <row r="378" spans="1:24" ht="12.75" x14ac:dyDescent="0.2">
      <c r="A378" s="36" t="s">
        <v>366</v>
      </c>
      <c r="B378" s="36" t="s">
        <v>69</v>
      </c>
      <c r="C378" s="37">
        <f ca="1">_xlfn.IFNA(VLOOKUP($A378,INDIRECT("'W"&amp;C$1&amp;"'!$A$2:$T$1000"),4,FALSE),0)</f>
        <v>0</v>
      </c>
      <c r="D378" s="37">
        <f ca="1">_xlfn.IFNA(VLOOKUP($A378,INDIRECT("'W"&amp;D$1&amp;"'!$A$2:$T$1000"),4,FALSE),0)</f>
        <v>3.4000000000000004</v>
      </c>
      <c r="E378" s="37">
        <f ca="1">_xlfn.IFNA(VLOOKUP($A378,INDIRECT("'W"&amp;E$1&amp;"'!$A$2:$T$1000"),4,FALSE),0)</f>
        <v>0</v>
      </c>
      <c r="F378" s="37">
        <f ca="1">_xlfn.IFNA(VLOOKUP($A378,INDIRECT("'W"&amp;F$1&amp;"'!$A$2:$T$1000"),4,FALSE),0)</f>
        <v>0</v>
      </c>
      <c r="G378" s="37">
        <f ca="1">_xlfn.IFNA(VLOOKUP($A378,INDIRECT("'W"&amp;G$1&amp;"'!$A$2:$T$1000"),4,FALSE),0)</f>
        <v>0</v>
      </c>
      <c r="H378" s="37">
        <f ca="1">_xlfn.IFNA(VLOOKUP($A378,INDIRECT("'W"&amp;H$1&amp;"'!$A$2:$T$1000"),4,FALSE),0)</f>
        <v>0</v>
      </c>
      <c r="I378" s="37">
        <f ca="1">_xlfn.IFNA(VLOOKUP($A378,INDIRECT("'W"&amp;I$1&amp;"'!$A$2:$T$1000"),4,FALSE),0)</f>
        <v>1.5</v>
      </c>
      <c r="J378" s="37">
        <f ca="1">_xlfn.IFNA(VLOOKUP($A378,INDIRECT("'W"&amp;J$1&amp;"'!$A$2:$T$1000"),4,FALSE),0)</f>
        <v>0</v>
      </c>
      <c r="K378" s="37">
        <f ca="1">_xlfn.IFNA(VLOOKUP($A378,INDIRECT("'W"&amp;K$1&amp;"'!$A$2:$T$1000"),4,FALSE),0)</f>
        <v>0</v>
      </c>
      <c r="L378" s="37">
        <f ca="1">_xlfn.IFNA(VLOOKUP($A378,INDIRECT("'W"&amp;L$1&amp;"'!$A$2:$T$1000"),4,FALSE),0)</f>
        <v>0</v>
      </c>
      <c r="M378" s="37">
        <f ca="1">_xlfn.IFNA(VLOOKUP($A378,INDIRECT("'W"&amp;M$1&amp;"'!$A$2:$T$1000"),4,FALSE),0)</f>
        <v>12.100000000000001</v>
      </c>
      <c r="N378" s="37">
        <f ca="1">_xlfn.IFNA(VLOOKUP($A378,INDIRECT("'W"&amp;N$1&amp;"'!$A$2:$T$1000"),4,FALSE),0)</f>
        <v>0</v>
      </c>
      <c r="O378" s="37">
        <f ca="1">_xlfn.IFNA(VLOOKUP($A378,INDIRECT("'W"&amp;O$1&amp;"'!$A$2:$T$1000"),4,FALSE),0)</f>
        <v>0</v>
      </c>
      <c r="P378" s="37">
        <f ca="1">_xlfn.IFNA(VLOOKUP($A378,INDIRECT("'W"&amp;P$1&amp;"'!$A$2:$T$1000"),4,FALSE),0)</f>
        <v>0</v>
      </c>
      <c r="Q378" s="37">
        <f ca="1">_xlfn.IFNA(VLOOKUP($A378,INDIRECT("'W"&amp;Q$1&amp;"'!$A$2:$T$1000"),4,FALSE),0)</f>
        <v>4.5</v>
      </c>
      <c r="R378" s="37">
        <f ca="1">_xlfn.IFNA(VLOOKUP($A378,INDIRECT("'W"&amp;R$1&amp;"'!$A$2:$T$1000"),4,FALSE),0)</f>
        <v>3.3000000000000003</v>
      </c>
      <c r="S378" s="37">
        <f ca="1">_xlfn.IFNA(VLOOKUP($A378,INDIRECT("'W"&amp;S$1&amp;"'!$A$2:$T$1000"),4,FALSE),0)</f>
        <v>4.3000000000000007</v>
      </c>
      <c r="T378" s="37">
        <f ca="1">_xlfn.IFNA(VLOOKUP($A378,INDIRECT("'W"&amp;T$1&amp;"'!$A$2:$T$1000"),4,FALSE),0)</f>
        <v>3.4000000000000004</v>
      </c>
      <c r="U378" s="36">
        <f ca="1">COUNTIF(C378:T378,"&gt; 15")</f>
        <v>0</v>
      </c>
      <c r="V378" s="36">
        <f ca="1">SUM(C378:T378)</f>
        <v>32.5</v>
      </c>
      <c r="W378" s="36"/>
      <c r="X378" s="38"/>
    </row>
    <row r="379" spans="1:24" ht="12.75" x14ac:dyDescent="0.2">
      <c r="A379" s="36" t="s">
        <v>655</v>
      </c>
      <c r="B379" s="36" t="s">
        <v>75</v>
      </c>
      <c r="C379" s="37">
        <f ca="1">_xlfn.IFNA(VLOOKUP($A379,INDIRECT("'W"&amp;C$1&amp;"'!$A$2:$T$1000"),4,FALSE),0)</f>
        <v>0</v>
      </c>
      <c r="D379" s="37">
        <f ca="1">_xlfn.IFNA(VLOOKUP($A379,INDIRECT("'W"&amp;D$1&amp;"'!$A$2:$T$1000"),4,FALSE),0)</f>
        <v>0</v>
      </c>
      <c r="E379" s="37">
        <f ca="1">_xlfn.IFNA(VLOOKUP($A379,INDIRECT("'W"&amp;E$1&amp;"'!$A$2:$T$1000"),4,FALSE),0)</f>
        <v>0</v>
      </c>
      <c r="F379" s="37">
        <f ca="1">_xlfn.IFNA(VLOOKUP($A379,INDIRECT("'W"&amp;F$1&amp;"'!$A$2:$T$1000"),4,FALSE),0)</f>
        <v>0</v>
      </c>
      <c r="G379" s="37">
        <f ca="1">_xlfn.IFNA(VLOOKUP($A379,INDIRECT("'W"&amp;G$1&amp;"'!$A$2:$T$1000"),4,FALSE),0)</f>
        <v>0</v>
      </c>
      <c r="H379" s="37">
        <f ca="1">_xlfn.IFNA(VLOOKUP($A379,INDIRECT("'W"&amp;H$1&amp;"'!$A$2:$T$1000"),4,FALSE),0)</f>
        <v>0</v>
      </c>
      <c r="I379" s="37">
        <f ca="1">_xlfn.IFNA(VLOOKUP($A379,INDIRECT("'W"&amp;I$1&amp;"'!$A$2:$T$1000"),4,FALSE),0)</f>
        <v>0</v>
      </c>
      <c r="J379" s="37">
        <f ca="1">_xlfn.IFNA(VLOOKUP($A379,INDIRECT("'W"&amp;J$1&amp;"'!$A$2:$T$1000"),4,FALSE),0)</f>
        <v>0</v>
      </c>
      <c r="K379" s="37">
        <f ca="1">_xlfn.IFNA(VLOOKUP($A379,INDIRECT("'W"&amp;K$1&amp;"'!$A$2:$T$1000"),4,FALSE),0)</f>
        <v>0</v>
      </c>
      <c r="L379" s="37">
        <f ca="1">_xlfn.IFNA(VLOOKUP($A379,INDIRECT("'W"&amp;L$1&amp;"'!$A$2:$T$1000"),4,FALSE),0)</f>
        <v>0.2</v>
      </c>
      <c r="M379" s="37">
        <f ca="1">_xlfn.IFNA(VLOOKUP($A379,INDIRECT("'W"&amp;M$1&amp;"'!$A$2:$T$1000"),4,FALSE),0)</f>
        <v>14.8</v>
      </c>
      <c r="N379" s="37">
        <f ca="1">_xlfn.IFNA(VLOOKUP($A379,INDIRECT("'W"&amp;N$1&amp;"'!$A$2:$T$1000"),4,FALSE),0)</f>
        <v>1.9000000000000001</v>
      </c>
      <c r="O379" s="37">
        <f ca="1">_xlfn.IFNA(VLOOKUP($A379,INDIRECT("'W"&amp;O$1&amp;"'!$A$2:$T$1000"),4,FALSE),0)</f>
        <v>0</v>
      </c>
      <c r="P379" s="37">
        <f ca="1">_xlfn.IFNA(VLOOKUP($A379,INDIRECT("'W"&amp;P$1&amp;"'!$A$2:$T$1000"),4,FALSE),0)</f>
        <v>4.1000000000000005</v>
      </c>
      <c r="Q379" s="37">
        <f ca="1">_xlfn.IFNA(VLOOKUP($A379,INDIRECT("'W"&amp;Q$1&amp;"'!$A$2:$T$1000"),4,FALSE),0)</f>
        <v>6.8000000000000007</v>
      </c>
      <c r="R379" s="37">
        <f ca="1">_xlfn.IFNA(VLOOKUP($A379,INDIRECT("'W"&amp;R$1&amp;"'!$A$2:$T$1000"),4,FALSE),0)</f>
        <v>0</v>
      </c>
      <c r="S379" s="37">
        <f ca="1">_xlfn.IFNA(VLOOKUP($A379,INDIRECT("'W"&amp;S$1&amp;"'!$A$2:$T$1000"),4,FALSE),0)</f>
        <v>2.2000000000000002</v>
      </c>
      <c r="T379" s="37">
        <f ca="1">_xlfn.IFNA(VLOOKUP($A379,INDIRECT("'W"&amp;T$1&amp;"'!$A$2:$T$1000"),4,FALSE),0)</f>
        <v>2.4</v>
      </c>
      <c r="U379" s="36">
        <f ca="1">COUNTIF(C379:T379,"&gt; 15")</f>
        <v>0</v>
      </c>
      <c r="V379" s="36">
        <f ca="1">SUM(C379:T379)</f>
        <v>32.4</v>
      </c>
      <c r="W379" s="36"/>
      <c r="X379" s="38"/>
    </row>
    <row r="380" spans="1:24" ht="12.75" x14ac:dyDescent="0.2">
      <c r="A380" s="36" t="s">
        <v>157</v>
      </c>
      <c r="B380" s="36" t="s">
        <v>75</v>
      </c>
      <c r="C380" s="37">
        <f ca="1">_xlfn.IFNA(VLOOKUP($A380,INDIRECT("'W"&amp;C$1&amp;"'!$A$2:$T$1000"),4,FALSE),0)</f>
        <v>0.5</v>
      </c>
      <c r="D380" s="37">
        <f ca="1">_xlfn.IFNA(VLOOKUP($A380,INDIRECT("'W"&amp;D$1&amp;"'!$A$2:$T$1000"),4,FALSE),0)</f>
        <v>15.4</v>
      </c>
      <c r="E380" s="37">
        <f ca="1">_xlfn.IFNA(VLOOKUP($A380,INDIRECT("'W"&amp;E$1&amp;"'!$A$2:$T$1000"),4,FALSE),0)</f>
        <v>9.1999999999999993</v>
      </c>
      <c r="F380" s="37">
        <f ca="1">_xlfn.IFNA(VLOOKUP($A380,INDIRECT("'W"&amp;F$1&amp;"'!$A$2:$T$1000"),4,FALSE),0)</f>
        <v>0</v>
      </c>
      <c r="G380" s="37">
        <f ca="1">_xlfn.IFNA(VLOOKUP($A380,INDIRECT("'W"&amp;G$1&amp;"'!$A$2:$T$1000"),4,FALSE),0)</f>
        <v>0</v>
      </c>
      <c r="H380" s="37">
        <f ca="1">_xlfn.IFNA(VLOOKUP($A380,INDIRECT("'W"&amp;H$1&amp;"'!$A$2:$T$1000"),4,FALSE),0)</f>
        <v>0</v>
      </c>
      <c r="I380" s="37">
        <f ca="1">_xlfn.IFNA(VLOOKUP($A380,INDIRECT("'W"&amp;I$1&amp;"'!$A$2:$T$1000"),4,FALSE),0)</f>
        <v>0</v>
      </c>
      <c r="J380" s="37">
        <f ca="1">_xlfn.IFNA(VLOOKUP($A380,INDIRECT("'W"&amp;J$1&amp;"'!$A$2:$T$1000"),4,FALSE),0)</f>
        <v>0</v>
      </c>
      <c r="K380" s="37">
        <f ca="1">_xlfn.IFNA(VLOOKUP($A380,INDIRECT("'W"&amp;K$1&amp;"'!$A$2:$T$1000"),4,FALSE),0)</f>
        <v>2.7</v>
      </c>
      <c r="L380" s="37">
        <f ca="1">_xlfn.IFNA(VLOOKUP($A380,INDIRECT("'W"&amp;L$1&amp;"'!$A$2:$T$1000"),4,FALSE),0)</f>
        <v>1.3</v>
      </c>
      <c r="M380" s="37">
        <f ca="1">_xlfn.IFNA(VLOOKUP($A380,INDIRECT("'W"&amp;M$1&amp;"'!$A$2:$T$1000"),4,FALSE),0)</f>
        <v>3.1</v>
      </c>
      <c r="N380" s="37">
        <f ca="1">_xlfn.IFNA(VLOOKUP($A380,INDIRECT("'W"&amp;N$1&amp;"'!$A$2:$T$1000"),4,FALSE),0)</f>
        <v>0</v>
      </c>
      <c r="O380" s="37">
        <f ca="1">_xlfn.IFNA(VLOOKUP($A380,INDIRECT("'W"&amp;O$1&amp;"'!$A$2:$T$1000"),4,FALSE),0)</f>
        <v>0</v>
      </c>
      <c r="P380" s="37">
        <f ca="1">_xlfn.IFNA(VLOOKUP($A380,INDIRECT("'W"&amp;P$1&amp;"'!$A$2:$T$1000"),4,FALSE),0)</f>
        <v>0</v>
      </c>
      <c r="Q380" s="37">
        <f ca="1">_xlfn.IFNA(VLOOKUP($A380,INDIRECT("'W"&amp;Q$1&amp;"'!$A$2:$T$1000"),4,FALSE),0)</f>
        <v>0</v>
      </c>
      <c r="R380" s="37">
        <f ca="1">_xlfn.IFNA(VLOOKUP($A380,INDIRECT("'W"&amp;R$1&amp;"'!$A$2:$T$1000"),4,FALSE),0)</f>
        <v>0</v>
      </c>
      <c r="S380" s="37">
        <f ca="1">_xlfn.IFNA(VLOOKUP($A380,INDIRECT("'W"&amp;S$1&amp;"'!$A$2:$T$1000"),4,FALSE),0)</f>
        <v>0</v>
      </c>
      <c r="T380" s="37">
        <f ca="1">_xlfn.IFNA(VLOOKUP($A380,INDIRECT("'W"&amp;T$1&amp;"'!$A$2:$T$1000"),4,FALSE),0)</f>
        <v>0</v>
      </c>
      <c r="U380" s="36">
        <f ca="1">COUNTIF(C380:T380,"&gt; 15")</f>
        <v>1</v>
      </c>
      <c r="V380" s="36">
        <f ca="1">SUM(C380:T380)</f>
        <v>32.200000000000003</v>
      </c>
      <c r="W380" s="36"/>
      <c r="X380" s="38"/>
    </row>
    <row r="381" spans="1:24" ht="12.75" x14ac:dyDescent="0.2">
      <c r="A381" s="36" t="s">
        <v>369</v>
      </c>
      <c r="B381" s="36" t="s">
        <v>162</v>
      </c>
      <c r="C381" s="37">
        <f ca="1">_xlfn.IFNA(VLOOKUP($A381,INDIRECT("'W"&amp;C$1&amp;"'!$A$2:$T$1000"),4,FALSE),0)</f>
        <v>0</v>
      </c>
      <c r="D381" s="37">
        <f ca="1">_xlfn.IFNA(VLOOKUP($A381,INDIRECT("'W"&amp;D$1&amp;"'!$A$2:$T$1000"),4,FALSE),0)</f>
        <v>2.7</v>
      </c>
      <c r="E381" s="37">
        <f ca="1">_xlfn.IFNA(VLOOKUP($A381,INDIRECT("'W"&amp;E$1&amp;"'!$A$2:$T$1000"),4,FALSE),0)</f>
        <v>3.3</v>
      </c>
      <c r="F381" s="37">
        <f ca="1">_xlfn.IFNA(VLOOKUP($A381,INDIRECT("'W"&amp;F$1&amp;"'!$A$2:$T$1000"),4,FALSE),0)</f>
        <v>3.2</v>
      </c>
      <c r="G381" s="37">
        <f ca="1">_xlfn.IFNA(VLOOKUP($A381,INDIRECT("'W"&amp;G$1&amp;"'!$A$2:$T$1000"),4,FALSE),0)</f>
        <v>4</v>
      </c>
      <c r="H381" s="37">
        <f ca="1">_xlfn.IFNA(VLOOKUP($A381,INDIRECT("'W"&amp;H$1&amp;"'!$A$2:$T$1000"),4,FALSE),0)</f>
        <v>0</v>
      </c>
      <c r="I381" s="37">
        <f ca="1">_xlfn.IFNA(VLOOKUP($A381,INDIRECT("'W"&amp;I$1&amp;"'!$A$2:$T$1000"),4,FALSE),0)</f>
        <v>0</v>
      </c>
      <c r="J381" s="37">
        <f ca="1">_xlfn.IFNA(VLOOKUP($A381,INDIRECT("'W"&amp;J$1&amp;"'!$A$2:$T$1000"),4,FALSE),0)</f>
        <v>0</v>
      </c>
      <c r="K381" s="37">
        <f ca="1">_xlfn.IFNA(VLOOKUP($A381,INDIRECT("'W"&amp;K$1&amp;"'!$A$2:$T$1000"),4,FALSE),0)</f>
        <v>2.4000000000000004</v>
      </c>
      <c r="L381" s="37">
        <f ca="1">_xlfn.IFNA(VLOOKUP($A381,INDIRECT("'W"&amp;L$1&amp;"'!$A$2:$T$1000"),4,FALSE),0)</f>
        <v>4.5</v>
      </c>
      <c r="M381" s="37">
        <f ca="1">_xlfn.IFNA(VLOOKUP($A381,INDIRECT("'W"&amp;M$1&amp;"'!$A$2:$T$1000"),4,FALSE),0)</f>
        <v>2.2000000000000002</v>
      </c>
      <c r="N381" s="37">
        <f ca="1">_xlfn.IFNA(VLOOKUP($A381,INDIRECT("'W"&amp;N$1&amp;"'!$A$2:$T$1000"),4,FALSE),0)</f>
        <v>1.6</v>
      </c>
      <c r="O381" s="37">
        <f ca="1">_xlfn.IFNA(VLOOKUP($A381,INDIRECT("'W"&amp;O$1&amp;"'!$A$2:$T$1000"),4,FALSE),0)</f>
        <v>1.9</v>
      </c>
      <c r="P381" s="37">
        <f ca="1">_xlfn.IFNA(VLOOKUP($A381,INDIRECT("'W"&amp;P$1&amp;"'!$A$2:$T$1000"),4,FALSE),0)</f>
        <v>1.6</v>
      </c>
      <c r="Q381" s="37">
        <f ca="1">_xlfn.IFNA(VLOOKUP($A381,INDIRECT("'W"&amp;Q$1&amp;"'!$A$2:$T$1000"),4,FALSE),0)</f>
        <v>1.1000000000000001</v>
      </c>
      <c r="R381" s="37">
        <f ca="1">_xlfn.IFNA(VLOOKUP($A381,INDIRECT("'W"&amp;R$1&amp;"'!$A$2:$T$1000"),4,FALSE),0)</f>
        <v>0</v>
      </c>
      <c r="S381" s="37">
        <f ca="1">_xlfn.IFNA(VLOOKUP($A381,INDIRECT("'W"&amp;S$1&amp;"'!$A$2:$T$1000"),4,FALSE),0)</f>
        <v>2.2000000000000002</v>
      </c>
      <c r="T381" s="37">
        <f ca="1">_xlfn.IFNA(VLOOKUP($A381,INDIRECT("'W"&amp;T$1&amp;"'!$A$2:$T$1000"),4,FALSE),0)</f>
        <v>1.5</v>
      </c>
      <c r="U381" s="36">
        <f ca="1">COUNTIF(C381:T381,"&gt; 15")</f>
        <v>0</v>
      </c>
      <c r="V381" s="36">
        <f ca="1">SUM(C381:T381)</f>
        <v>32.200000000000003</v>
      </c>
      <c r="W381" s="36"/>
      <c r="X381" s="38"/>
    </row>
    <row r="382" spans="1:24" ht="12.75" x14ac:dyDescent="0.2">
      <c r="A382" s="36" t="s">
        <v>477</v>
      </c>
      <c r="B382" s="36" t="s">
        <v>69</v>
      </c>
      <c r="C382" s="37">
        <f ca="1">_xlfn.IFNA(VLOOKUP($A382,INDIRECT("'W"&amp;C$1&amp;"'!$A$2:$T$1000"),4,FALSE),0)</f>
        <v>0</v>
      </c>
      <c r="D382" s="37">
        <f ca="1">_xlfn.IFNA(VLOOKUP($A382,INDIRECT("'W"&amp;D$1&amp;"'!$A$2:$T$1000"),4,FALSE),0)</f>
        <v>0</v>
      </c>
      <c r="E382" s="37">
        <f ca="1">_xlfn.IFNA(VLOOKUP($A382,INDIRECT("'W"&amp;E$1&amp;"'!$A$2:$T$1000"),4,FALSE),0)</f>
        <v>0</v>
      </c>
      <c r="F382" s="37">
        <f ca="1">_xlfn.IFNA(VLOOKUP($A382,INDIRECT("'W"&amp;F$1&amp;"'!$A$2:$T$1000"),4,FALSE),0)</f>
        <v>4.5999999999999996</v>
      </c>
      <c r="G382" s="37">
        <f ca="1">_xlfn.IFNA(VLOOKUP($A382,INDIRECT("'W"&amp;G$1&amp;"'!$A$2:$T$1000"),4,FALSE),0)</f>
        <v>1.2</v>
      </c>
      <c r="H382" s="37">
        <f ca="1">_xlfn.IFNA(VLOOKUP($A382,INDIRECT("'W"&amp;H$1&amp;"'!$A$2:$T$1000"),4,FALSE),0)</f>
        <v>1.8</v>
      </c>
      <c r="I382" s="37">
        <f ca="1">_xlfn.IFNA(VLOOKUP($A382,INDIRECT("'W"&amp;I$1&amp;"'!$A$2:$T$1000"),4,FALSE),0)</f>
        <v>0</v>
      </c>
      <c r="J382" s="37">
        <f ca="1">_xlfn.IFNA(VLOOKUP($A382,INDIRECT("'W"&amp;J$1&amp;"'!$A$2:$T$1000"),4,FALSE),0)</f>
        <v>0</v>
      </c>
      <c r="K382" s="37">
        <f ca="1">_xlfn.IFNA(VLOOKUP($A382,INDIRECT("'W"&amp;K$1&amp;"'!$A$2:$T$1000"),4,FALSE),0)</f>
        <v>1.7000000000000002</v>
      </c>
      <c r="L382" s="37">
        <f ca="1">_xlfn.IFNA(VLOOKUP($A382,INDIRECT("'W"&amp;L$1&amp;"'!$A$2:$T$1000"),4,FALSE),0)</f>
        <v>0</v>
      </c>
      <c r="M382" s="37">
        <f ca="1">_xlfn.IFNA(VLOOKUP($A382,INDIRECT("'W"&amp;M$1&amp;"'!$A$2:$T$1000"),4,FALSE),0)</f>
        <v>5.5</v>
      </c>
      <c r="N382" s="37">
        <f ca="1">_xlfn.IFNA(VLOOKUP($A382,INDIRECT("'W"&amp;N$1&amp;"'!$A$2:$T$1000"),4,FALSE),0)</f>
        <v>3.8</v>
      </c>
      <c r="O382" s="37">
        <f ca="1">_xlfn.IFNA(VLOOKUP($A382,INDIRECT("'W"&amp;O$1&amp;"'!$A$2:$T$1000"),4,FALSE),0)</f>
        <v>2.2000000000000002</v>
      </c>
      <c r="P382" s="37">
        <f ca="1">_xlfn.IFNA(VLOOKUP($A382,INDIRECT("'W"&amp;P$1&amp;"'!$A$2:$T$1000"),4,FALSE),0)</f>
        <v>6.7</v>
      </c>
      <c r="Q382" s="37">
        <f ca="1">_xlfn.IFNA(VLOOKUP($A382,INDIRECT("'W"&amp;Q$1&amp;"'!$A$2:$T$1000"),4,FALSE),0)</f>
        <v>3.6</v>
      </c>
      <c r="R382" s="37">
        <f ca="1">_xlfn.IFNA(VLOOKUP($A382,INDIRECT("'W"&amp;R$1&amp;"'!$A$2:$T$1000"),4,FALSE),0)</f>
        <v>0</v>
      </c>
      <c r="S382" s="37">
        <f ca="1">_xlfn.IFNA(VLOOKUP($A382,INDIRECT("'W"&amp;S$1&amp;"'!$A$2:$T$1000"),4,FALSE),0)</f>
        <v>0</v>
      </c>
      <c r="T382" s="37">
        <f ca="1">_xlfn.IFNA(VLOOKUP($A382,INDIRECT("'W"&amp;T$1&amp;"'!$A$2:$T$1000"),4,FALSE),0)</f>
        <v>0</v>
      </c>
      <c r="U382" s="36">
        <f ca="1">COUNTIF(C382:T382,"&gt; 15")</f>
        <v>0</v>
      </c>
      <c r="V382" s="36">
        <f ca="1">SUM(C382:T382)</f>
        <v>31.1</v>
      </c>
      <c r="W382" s="36"/>
      <c r="X382" s="38"/>
    </row>
    <row r="383" spans="1:24" ht="12.75" x14ac:dyDescent="0.2">
      <c r="A383" s="36" t="s">
        <v>559</v>
      </c>
      <c r="B383" s="36" t="s">
        <v>162</v>
      </c>
      <c r="C383" s="37">
        <f ca="1">_xlfn.IFNA(VLOOKUP($A383,INDIRECT("'W"&amp;C$1&amp;"'!$A$2:$T$1000"),4,FALSE),0)</f>
        <v>0</v>
      </c>
      <c r="D383" s="37">
        <f ca="1">_xlfn.IFNA(VLOOKUP($A383,INDIRECT("'W"&amp;D$1&amp;"'!$A$2:$T$1000"),4,FALSE),0)</f>
        <v>0</v>
      </c>
      <c r="E383" s="37">
        <f ca="1">_xlfn.IFNA(VLOOKUP($A383,INDIRECT("'W"&amp;E$1&amp;"'!$A$2:$T$1000"),4,FALSE),0)</f>
        <v>0</v>
      </c>
      <c r="F383" s="37">
        <f ca="1">_xlfn.IFNA(VLOOKUP($A383,INDIRECT("'W"&amp;F$1&amp;"'!$A$2:$T$1000"),4,FALSE),0)</f>
        <v>0</v>
      </c>
      <c r="G383" s="37">
        <f ca="1">_xlfn.IFNA(VLOOKUP($A383,INDIRECT("'W"&amp;G$1&amp;"'!$A$2:$T$1000"),4,FALSE),0)</f>
        <v>0</v>
      </c>
      <c r="H383" s="37">
        <f ca="1">_xlfn.IFNA(VLOOKUP($A383,INDIRECT("'W"&amp;H$1&amp;"'!$A$2:$T$1000"),4,FALSE),0)</f>
        <v>-0.39999999999999991</v>
      </c>
      <c r="I383" s="37">
        <f ca="1">_xlfn.IFNA(VLOOKUP($A383,INDIRECT("'W"&amp;I$1&amp;"'!$A$2:$T$1000"),4,FALSE),0)</f>
        <v>0</v>
      </c>
      <c r="J383" s="37">
        <f ca="1">_xlfn.IFNA(VLOOKUP($A383,INDIRECT("'W"&amp;J$1&amp;"'!$A$2:$T$1000"),4,FALSE),0)</f>
        <v>5.4</v>
      </c>
      <c r="K383" s="37">
        <f ca="1">_xlfn.IFNA(VLOOKUP($A383,INDIRECT("'W"&amp;K$1&amp;"'!$A$2:$T$1000"),4,FALSE),0)</f>
        <v>10.8</v>
      </c>
      <c r="L383" s="37">
        <f ca="1">_xlfn.IFNA(VLOOKUP($A383,INDIRECT("'W"&amp;L$1&amp;"'!$A$2:$T$1000"),4,FALSE),0)</f>
        <v>9.1000000000000014</v>
      </c>
      <c r="M383" s="37">
        <f ca="1">_xlfn.IFNA(VLOOKUP($A383,INDIRECT("'W"&amp;M$1&amp;"'!$A$2:$T$1000"),4,FALSE),0)</f>
        <v>2</v>
      </c>
      <c r="N383" s="37">
        <f ca="1">_xlfn.IFNA(VLOOKUP($A383,INDIRECT("'W"&amp;N$1&amp;"'!$A$2:$T$1000"),4,FALSE),0)</f>
        <v>0.7</v>
      </c>
      <c r="O383" s="37">
        <f ca="1">_xlfn.IFNA(VLOOKUP($A383,INDIRECT("'W"&amp;O$1&amp;"'!$A$2:$T$1000"),4,FALSE),0)</f>
        <v>0</v>
      </c>
      <c r="P383" s="37">
        <f ca="1">_xlfn.IFNA(VLOOKUP($A383,INDIRECT("'W"&amp;P$1&amp;"'!$A$2:$T$1000"),4,FALSE),0)</f>
        <v>0</v>
      </c>
      <c r="Q383" s="37">
        <f ca="1">_xlfn.IFNA(VLOOKUP($A383,INDIRECT("'W"&amp;Q$1&amp;"'!$A$2:$T$1000"),4,FALSE),0)</f>
        <v>0</v>
      </c>
      <c r="R383" s="37">
        <f ca="1">_xlfn.IFNA(VLOOKUP($A383,INDIRECT("'W"&amp;R$1&amp;"'!$A$2:$T$1000"),4,FALSE),0)</f>
        <v>0</v>
      </c>
      <c r="S383" s="37">
        <f ca="1">_xlfn.IFNA(VLOOKUP($A383,INDIRECT("'W"&amp;S$1&amp;"'!$A$2:$T$1000"),4,FALSE),0)</f>
        <v>0</v>
      </c>
      <c r="T383" s="37">
        <f ca="1">_xlfn.IFNA(VLOOKUP($A383,INDIRECT("'W"&amp;T$1&amp;"'!$A$2:$T$1000"),4,FALSE),0)</f>
        <v>3.5</v>
      </c>
      <c r="U383" s="36">
        <f ca="1">COUNTIF(C383:T383,"&gt; 15")</f>
        <v>0</v>
      </c>
      <c r="V383" s="36">
        <f ca="1">SUM(C383:T383)</f>
        <v>31.1</v>
      </c>
      <c r="W383" s="36"/>
      <c r="X383" s="38"/>
    </row>
    <row r="384" spans="1:24" ht="12.75" x14ac:dyDescent="0.2">
      <c r="A384" s="36" t="s">
        <v>421</v>
      </c>
      <c r="B384" s="36" t="s">
        <v>162</v>
      </c>
      <c r="C384" s="37">
        <f ca="1">_xlfn.IFNA(VLOOKUP($A384,INDIRECT("'W"&amp;C$1&amp;"'!$A$2:$T$1000"),4,FALSE),0)</f>
        <v>0</v>
      </c>
      <c r="D384" s="37">
        <f ca="1">_xlfn.IFNA(VLOOKUP($A384,INDIRECT("'W"&amp;D$1&amp;"'!$A$2:$T$1000"),4,FALSE),0)</f>
        <v>0</v>
      </c>
      <c r="E384" s="37">
        <f ca="1">_xlfn.IFNA(VLOOKUP($A384,INDIRECT("'W"&amp;E$1&amp;"'!$A$2:$T$1000"),4,FALSE),0)</f>
        <v>10.4</v>
      </c>
      <c r="F384" s="37">
        <f ca="1">_xlfn.IFNA(VLOOKUP($A384,INDIRECT("'W"&amp;F$1&amp;"'!$A$2:$T$1000"),4,FALSE),0)</f>
        <v>1.7000000000000002</v>
      </c>
      <c r="G384" s="37">
        <f ca="1">_xlfn.IFNA(VLOOKUP($A384,INDIRECT("'W"&amp;G$1&amp;"'!$A$2:$T$1000"),4,FALSE),0)</f>
        <v>0</v>
      </c>
      <c r="H384" s="37">
        <f ca="1">_xlfn.IFNA(VLOOKUP($A384,INDIRECT("'W"&amp;H$1&amp;"'!$A$2:$T$1000"),4,FALSE),0)</f>
        <v>0</v>
      </c>
      <c r="I384" s="37">
        <f ca="1">_xlfn.IFNA(VLOOKUP($A384,INDIRECT("'W"&amp;I$1&amp;"'!$A$2:$T$1000"),4,FALSE),0)</f>
        <v>0</v>
      </c>
      <c r="J384" s="37">
        <f ca="1">_xlfn.IFNA(VLOOKUP($A384,INDIRECT("'W"&amp;J$1&amp;"'!$A$2:$T$1000"),4,FALSE),0)</f>
        <v>0</v>
      </c>
      <c r="K384" s="37">
        <f ca="1">_xlfn.IFNA(VLOOKUP($A384,INDIRECT("'W"&amp;K$1&amp;"'!$A$2:$T$1000"),4,FALSE),0)</f>
        <v>0</v>
      </c>
      <c r="L384" s="37">
        <f ca="1">_xlfn.IFNA(VLOOKUP($A384,INDIRECT("'W"&amp;L$1&amp;"'!$A$2:$T$1000"),4,FALSE),0)</f>
        <v>3</v>
      </c>
      <c r="M384" s="37">
        <f ca="1">_xlfn.IFNA(VLOOKUP($A384,INDIRECT("'W"&amp;M$1&amp;"'!$A$2:$T$1000"),4,FALSE),0)</f>
        <v>0</v>
      </c>
      <c r="N384" s="37">
        <f ca="1">_xlfn.IFNA(VLOOKUP($A384,INDIRECT("'W"&amp;N$1&amp;"'!$A$2:$T$1000"),4,FALSE),0)</f>
        <v>0</v>
      </c>
      <c r="O384" s="37">
        <f ca="1">_xlfn.IFNA(VLOOKUP($A384,INDIRECT("'W"&amp;O$1&amp;"'!$A$2:$T$1000"),4,FALSE),0)</f>
        <v>0</v>
      </c>
      <c r="P384" s="37">
        <f ca="1">_xlfn.IFNA(VLOOKUP($A384,INDIRECT("'W"&amp;P$1&amp;"'!$A$2:$T$1000"),4,FALSE),0)</f>
        <v>0</v>
      </c>
      <c r="Q384" s="37">
        <f ca="1">_xlfn.IFNA(VLOOKUP($A384,INDIRECT("'W"&amp;Q$1&amp;"'!$A$2:$T$1000"),4,FALSE),0)</f>
        <v>0</v>
      </c>
      <c r="R384" s="37">
        <f ca="1">_xlfn.IFNA(VLOOKUP($A384,INDIRECT("'W"&amp;R$1&amp;"'!$A$2:$T$1000"),4,FALSE),0)</f>
        <v>8.1999999999999993</v>
      </c>
      <c r="S384" s="37">
        <f ca="1">_xlfn.IFNA(VLOOKUP($A384,INDIRECT("'W"&amp;S$1&amp;"'!$A$2:$T$1000"),4,FALSE),0)</f>
        <v>0</v>
      </c>
      <c r="T384" s="37">
        <f ca="1">_xlfn.IFNA(VLOOKUP($A384,INDIRECT("'W"&amp;T$1&amp;"'!$A$2:$T$1000"),4,FALSE),0)</f>
        <v>7.5</v>
      </c>
      <c r="U384" s="36">
        <f ca="1">COUNTIF(C384:T384,"&gt; 15")</f>
        <v>0</v>
      </c>
      <c r="V384" s="36">
        <f ca="1">SUM(C384:T384)</f>
        <v>30.8</v>
      </c>
      <c r="W384" s="36"/>
      <c r="X384" s="38"/>
    </row>
    <row r="385" spans="1:24" ht="12.75" x14ac:dyDescent="0.2">
      <c r="A385" s="36" t="s">
        <v>256</v>
      </c>
      <c r="B385" s="36" t="s">
        <v>162</v>
      </c>
      <c r="C385" s="37">
        <f ca="1">_xlfn.IFNA(VLOOKUP($A385,INDIRECT("'W"&amp;C$1&amp;"'!$A$2:$T$1000"),4,FALSE),0)</f>
        <v>1.2</v>
      </c>
      <c r="D385" s="37">
        <f ca="1">_xlfn.IFNA(VLOOKUP($A385,INDIRECT("'W"&amp;D$1&amp;"'!$A$2:$T$1000"),4,FALSE),0)</f>
        <v>6.1</v>
      </c>
      <c r="E385" s="37">
        <f ca="1">_xlfn.IFNA(VLOOKUP($A385,INDIRECT("'W"&amp;E$1&amp;"'!$A$2:$T$1000"),4,FALSE),0)</f>
        <v>8.4</v>
      </c>
      <c r="F385" s="37">
        <f ca="1">_xlfn.IFNA(VLOOKUP($A385,INDIRECT("'W"&amp;F$1&amp;"'!$A$2:$T$1000"),4,FALSE),0)</f>
        <v>4.5</v>
      </c>
      <c r="G385" s="37">
        <f ca="1">_xlfn.IFNA(VLOOKUP($A385,INDIRECT("'W"&amp;G$1&amp;"'!$A$2:$T$1000"),4,FALSE),0)</f>
        <v>4.3000000000000007</v>
      </c>
      <c r="H385" s="37">
        <f ca="1">_xlfn.IFNA(VLOOKUP($A385,INDIRECT("'W"&amp;H$1&amp;"'!$A$2:$T$1000"),4,FALSE),0)</f>
        <v>0</v>
      </c>
      <c r="I385" s="37">
        <f ca="1">_xlfn.IFNA(VLOOKUP($A385,INDIRECT("'W"&amp;I$1&amp;"'!$A$2:$T$1000"),4,FALSE),0)</f>
        <v>0</v>
      </c>
      <c r="J385" s="37">
        <f ca="1">_xlfn.IFNA(VLOOKUP($A385,INDIRECT("'W"&amp;J$1&amp;"'!$A$2:$T$1000"),4,FALSE),0)</f>
        <v>0</v>
      </c>
      <c r="K385" s="37">
        <f ca="1">_xlfn.IFNA(VLOOKUP($A385,INDIRECT("'W"&amp;K$1&amp;"'!$A$2:$T$1000"),4,FALSE),0)</f>
        <v>3.5</v>
      </c>
      <c r="L385" s="37">
        <f ca="1">_xlfn.IFNA(VLOOKUP($A385,INDIRECT("'W"&amp;L$1&amp;"'!$A$2:$T$1000"),4,FALSE),0)</f>
        <v>1.6</v>
      </c>
      <c r="M385" s="37">
        <f ca="1">_xlfn.IFNA(VLOOKUP($A385,INDIRECT("'W"&amp;M$1&amp;"'!$A$2:$T$1000"),4,FALSE),0)</f>
        <v>0</v>
      </c>
      <c r="N385" s="37">
        <f ca="1">_xlfn.IFNA(VLOOKUP($A385,INDIRECT("'W"&amp;N$1&amp;"'!$A$2:$T$1000"),4,FALSE),0)</f>
        <v>0.8</v>
      </c>
      <c r="O385" s="37">
        <f ca="1">_xlfn.IFNA(VLOOKUP($A385,INDIRECT("'W"&amp;O$1&amp;"'!$A$2:$T$1000"),4,FALSE),0)</f>
        <v>0</v>
      </c>
      <c r="P385" s="37">
        <f ca="1">_xlfn.IFNA(VLOOKUP($A385,INDIRECT("'W"&amp;P$1&amp;"'!$A$2:$T$1000"),4,FALSE),0)</f>
        <v>0</v>
      </c>
      <c r="Q385" s="37">
        <f ca="1">_xlfn.IFNA(VLOOKUP($A385,INDIRECT("'W"&amp;Q$1&amp;"'!$A$2:$T$1000"),4,FALSE),0)</f>
        <v>0</v>
      </c>
      <c r="R385" s="37">
        <f ca="1">_xlfn.IFNA(VLOOKUP($A385,INDIRECT("'W"&amp;R$1&amp;"'!$A$2:$T$1000"),4,FALSE),0)</f>
        <v>0</v>
      </c>
      <c r="S385" s="37">
        <f ca="1">_xlfn.IFNA(VLOOKUP($A385,INDIRECT("'W"&amp;S$1&amp;"'!$A$2:$T$1000"),4,FALSE),0)</f>
        <v>0</v>
      </c>
      <c r="T385" s="37">
        <f ca="1">_xlfn.IFNA(VLOOKUP($A385,INDIRECT("'W"&amp;T$1&amp;"'!$A$2:$T$1000"),4,FALSE),0)</f>
        <v>0</v>
      </c>
      <c r="U385" s="36">
        <f ca="1">COUNTIF(C385:T385,"&gt; 15")</f>
        <v>0</v>
      </c>
      <c r="V385" s="36">
        <f ca="1">SUM(C385:T385)</f>
        <v>30.400000000000002</v>
      </c>
      <c r="W385" s="36"/>
      <c r="X385" s="38"/>
    </row>
    <row r="386" spans="1:24" ht="12.75" x14ac:dyDescent="0.2">
      <c r="A386" s="36" t="s">
        <v>551</v>
      </c>
      <c r="B386" s="36" t="s">
        <v>75</v>
      </c>
      <c r="C386" s="37">
        <f ca="1">_xlfn.IFNA(VLOOKUP($A386,INDIRECT("'W"&amp;C$1&amp;"'!$A$2:$T$1000"),4,FALSE),0)</f>
        <v>0</v>
      </c>
      <c r="D386" s="37">
        <f ca="1">_xlfn.IFNA(VLOOKUP($A386,INDIRECT("'W"&amp;D$1&amp;"'!$A$2:$T$1000"),4,FALSE),0)</f>
        <v>0</v>
      </c>
      <c r="E386" s="37">
        <f ca="1">_xlfn.IFNA(VLOOKUP($A386,INDIRECT("'W"&amp;E$1&amp;"'!$A$2:$T$1000"),4,FALSE),0)</f>
        <v>0</v>
      </c>
      <c r="F386" s="37">
        <f ca="1">_xlfn.IFNA(VLOOKUP($A386,INDIRECT("'W"&amp;F$1&amp;"'!$A$2:$T$1000"),4,FALSE),0)</f>
        <v>0</v>
      </c>
      <c r="G386" s="37">
        <f ca="1">_xlfn.IFNA(VLOOKUP($A386,INDIRECT("'W"&amp;G$1&amp;"'!$A$2:$T$1000"),4,FALSE),0)</f>
        <v>0</v>
      </c>
      <c r="H386" s="37">
        <f ca="1">_xlfn.IFNA(VLOOKUP($A386,INDIRECT("'W"&amp;H$1&amp;"'!$A$2:$T$1000"),4,FALSE),0)</f>
        <v>4.4000000000000004</v>
      </c>
      <c r="I386" s="37">
        <f ca="1">_xlfn.IFNA(VLOOKUP($A386,INDIRECT("'W"&amp;I$1&amp;"'!$A$2:$T$1000"),4,FALSE),0)</f>
        <v>6.4</v>
      </c>
      <c r="J386" s="37">
        <f ca="1">_xlfn.IFNA(VLOOKUP($A386,INDIRECT("'W"&amp;J$1&amp;"'!$A$2:$T$1000"),4,FALSE),0)</f>
        <v>13</v>
      </c>
      <c r="K386" s="37">
        <f ca="1">_xlfn.IFNA(VLOOKUP($A386,INDIRECT("'W"&amp;K$1&amp;"'!$A$2:$T$1000"),4,FALSE),0)</f>
        <v>4.1000000000000005</v>
      </c>
      <c r="L386" s="37">
        <f ca="1">_xlfn.IFNA(VLOOKUP($A386,INDIRECT("'W"&amp;L$1&amp;"'!$A$2:$T$1000"),4,FALSE),0)</f>
        <v>0.5</v>
      </c>
      <c r="M386" s="37">
        <f ca="1">_xlfn.IFNA(VLOOKUP($A386,INDIRECT("'W"&amp;M$1&amp;"'!$A$2:$T$1000"),4,FALSE),0)</f>
        <v>0</v>
      </c>
      <c r="N386" s="37">
        <f ca="1">_xlfn.IFNA(VLOOKUP($A386,INDIRECT("'W"&amp;N$1&amp;"'!$A$2:$T$1000"),4,FALSE),0)</f>
        <v>1.6</v>
      </c>
      <c r="O386" s="37">
        <f ca="1">_xlfn.IFNA(VLOOKUP($A386,INDIRECT("'W"&amp;O$1&amp;"'!$A$2:$T$1000"),4,FALSE),0)</f>
        <v>0</v>
      </c>
      <c r="P386" s="37">
        <f ca="1">_xlfn.IFNA(VLOOKUP($A386,INDIRECT("'W"&amp;P$1&amp;"'!$A$2:$T$1000"),4,FALSE),0)</f>
        <v>0</v>
      </c>
      <c r="Q386" s="37">
        <f ca="1">_xlfn.IFNA(VLOOKUP($A386,INDIRECT("'W"&amp;Q$1&amp;"'!$A$2:$T$1000"),4,FALSE),0)</f>
        <v>0</v>
      </c>
      <c r="R386" s="37">
        <f ca="1">_xlfn.IFNA(VLOOKUP($A386,INDIRECT("'W"&amp;R$1&amp;"'!$A$2:$T$1000"),4,FALSE),0)</f>
        <v>0</v>
      </c>
      <c r="S386" s="37">
        <f ca="1">_xlfn.IFNA(VLOOKUP($A386,INDIRECT("'W"&amp;S$1&amp;"'!$A$2:$T$1000"),4,FALSE),0)</f>
        <v>0</v>
      </c>
      <c r="T386" s="37">
        <f ca="1">_xlfn.IFNA(VLOOKUP($A386,INDIRECT("'W"&amp;T$1&amp;"'!$A$2:$T$1000"),4,FALSE),0)</f>
        <v>0</v>
      </c>
      <c r="U386" s="36">
        <f ca="1">COUNTIF(C386:T386,"&gt; 15")</f>
        <v>0</v>
      </c>
      <c r="V386" s="36">
        <f ca="1">SUM(C386:T386)</f>
        <v>30.000000000000004</v>
      </c>
      <c r="W386" s="36"/>
      <c r="X386" s="38"/>
    </row>
    <row r="387" spans="1:24" ht="12.75" x14ac:dyDescent="0.2">
      <c r="A387" s="36" t="s">
        <v>140</v>
      </c>
      <c r="B387" s="36" t="s">
        <v>75</v>
      </c>
      <c r="C387" s="37">
        <f ca="1">_xlfn.IFNA(VLOOKUP($A387,INDIRECT("'W"&amp;C$1&amp;"'!$A$2:$T$1000"),4,FALSE),0)</f>
        <v>2.2000000000000002</v>
      </c>
      <c r="D387" s="37">
        <f ca="1">_xlfn.IFNA(VLOOKUP($A387,INDIRECT("'W"&amp;D$1&amp;"'!$A$2:$T$1000"),4,FALSE),0)</f>
        <v>0.1</v>
      </c>
      <c r="E387" s="37">
        <f ca="1">_xlfn.IFNA(VLOOKUP($A387,INDIRECT("'W"&amp;E$1&amp;"'!$A$2:$T$1000"),4,FALSE),0)</f>
        <v>5.9</v>
      </c>
      <c r="F387" s="37">
        <f ca="1">_xlfn.IFNA(VLOOKUP($A387,INDIRECT("'W"&amp;F$1&amp;"'!$A$2:$T$1000"),4,FALSE),0)</f>
        <v>0</v>
      </c>
      <c r="G387" s="37">
        <f ca="1">_xlfn.IFNA(VLOOKUP($A387,INDIRECT("'W"&amp;G$1&amp;"'!$A$2:$T$1000"),4,FALSE),0)</f>
        <v>2.7</v>
      </c>
      <c r="H387" s="37">
        <f ca="1">_xlfn.IFNA(VLOOKUP($A387,INDIRECT("'W"&amp;H$1&amp;"'!$A$2:$T$1000"),4,FALSE),0)</f>
        <v>0</v>
      </c>
      <c r="I387" s="37">
        <f ca="1">_xlfn.IFNA(VLOOKUP($A387,INDIRECT("'W"&amp;I$1&amp;"'!$A$2:$T$1000"),4,FALSE),0)</f>
        <v>0</v>
      </c>
      <c r="J387" s="37">
        <f ca="1">_xlfn.IFNA(VLOOKUP($A387,INDIRECT("'W"&amp;J$1&amp;"'!$A$2:$T$1000"),4,FALSE),0)</f>
        <v>0</v>
      </c>
      <c r="K387" s="37">
        <f ca="1">_xlfn.IFNA(VLOOKUP($A387,INDIRECT("'W"&amp;K$1&amp;"'!$A$2:$T$1000"),4,FALSE),0)</f>
        <v>0</v>
      </c>
      <c r="L387" s="37">
        <f ca="1">_xlfn.IFNA(VLOOKUP($A387,INDIRECT("'W"&amp;L$1&amp;"'!$A$2:$T$1000"),4,FALSE),0)</f>
        <v>0</v>
      </c>
      <c r="M387" s="37">
        <f ca="1">_xlfn.IFNA(VLOOKUP($A387,INDIRECT("'W"&amp;M$1&amp;"'!$A$2:$T$1000"),4,FALSE),0)</f>
        <v>0</v>
      </c>
      <c r="N387" s="37">
        <f ca="1">_xlfn.IFNA(VLOOKUP($A387,INDIRECT("'W"&amp;N$1&amp;"'!$A$2:$T$1000"),4,FALSE),0)</f>
        <v>2.5</v>
      </c>
      <c r="O387" s="37">
        <f ca="1">_xlfn.IFNA(VLOOKUP($A387,INDIRECT("'W"&amp;O$1&amp;"'!$A$2:$T$1000"),4,FALSE),0)</f>
        <v>2.9000000000000004</v>
      </c>
      <c r="P387" s="37">
        <f ca="1">_xlfn.IFNA(VLOOKUP($A387,INDIRECT("'W"&amp;P$1&amp;"'!$A$2:$T$1000"),4,FALSE),0)</f>
        <v>7.2</v>
      </c>
      <c r="Q387" s="37">
        <f ca="1">_xlfn.IFNA(VLOOKUP($A387,INDIRECT("'W"&amp;Q$1&amp;"'!$A$2:$T$1000"),4,FALSE),0)</f>
        <v>2.2000000000000002</v>
      </c>
      <c r="R387" s="37">
        <f ca="1">_xlfn.IFNA(VLOOKUP($A387,INDIRECT("'W"&amp;R$1&amp;"'!$A$2:$T$1000"),4,FALSE),0)</f>
        <v>1.2999999999999998</v>
      </c>
      <c r="S387" s="37">
        <f ca="1">_xlfn.IFNA(VLOOKUP($A387,INDIRECT("'W"&amp;S$1&amp;"'!$A$2:$T$1000"),4,FALSE),0)</f>
        <v>3</v>
      </c>
      <c r="T387" s="37">
        <f ca="1">_xlfn.IFNA(VLOOKUP($A387,INDIRECT("'W"&amp;T$1&amp;"'!$A$2:$T$1000"),4,FALSE),0)</f>
        <v>0</v>
      </c>
      <c r="U387" s="36">
        <f ca="1">COUNTIF(C387:T387,"&gt; 15")</f>
        <v>0</v>
      </c>
      <c r="V387" s="36">
        <f ca="1">SUM(C387:T387)</f>
        <v>30.000000000000004</v>
      </c>
      <c r="W387" s="36"/>
      <c r="X387" s="38"/>
    </row>
    <row r="388" spans="1:24" ht="12.75" x14ac:dyDescent="0.2">
      <c r="A388" s="36" t="s">
        <v>258</v>
      </c>
      <c r="B388" s="36" t="s">
        <v>162</v>
      </c>
      <c r="C388" s="37">
        <f ca="1">_xlfn.IFNA(VLOOKUP($A388,INDIRECT("'W"&amp;C$1&amp;"'!$A$2:$T$1000"),4,FALSE),0)</f>
        <v>1.5</v>
      </c>
      <c r="D388" s="37">
        <f ca="1">_xlfn.IFNA(VLOOKUP($A388,INDIRECT("'W"&amp;D$1&amp;"'!$A$2:$T$1000"),4,FALSE),0)</f>
        <v>1</v>
      </c>
      <c r="E388" s="37">
        <f ca="1">_xlfn.IFNA(VLOOKUP($A388,INDIRECT("'W"&amp;E$1&amp;"'!$A$2:$T$1000"),4,FALSE),0)</f>
        <v>1.3</v>
      </c>
      <c r="F388" s="37">
        <f ca="1">_xlfn.IFNA(VLOOKUP($A388,INDIRECT("'W"&amp;F$1&amp;"'!$A$2:$T$1000"),4,FALSE),0)</f>
        <v>8.7000000000000011</v>
      </c>
      <c r="G388" s="37">
        <f ca="1">_xlfn.IFNA(VLOOKUP($A388,INDIRECT("'W"&amp;G$1&amp;"'!$A$2:$T$1000"),4,FALSE),0)</f>
        <v>0</v>
      </c>
      <c r="H388" s="37">
        <f ca="1">_xlfn.IFNA(VLOOKUP($A388,INDIRECT("'W"&amp;H$1&amp;"'!$A$2:$T$1000"),4,FALSE),0)</f>
        <v>0</v>
      </c>
      <c r="I388" s="37">
        <f ca="1">_xlfn.IFNA(VLOOKUP($A388,INDIRECT("'W"&amp;I$1&amp;"'!$A$2:$T$1000"),4,FALSE),0)</f>
        <v>3.4000000000000004</v>
      </c>
      <c r="J388" s="37">
        <f ca="1">_xlfn.IFNA(VLOOKUP($A388,INDIRECT("'W"&amp;J$1&amp;"'!$A$2:$T$1000"),4,FALSE),0)</f>
        <v>2.4</v>
      </c>
      <c r="K388" s="37">
        <f ca="1">_xlfn.IFNA(VLOOKUP($A388,INDIRECT("'W"&amp;K$1&amp;"'!$A$2:$T$1000"),4,FALSE),0)</f>
        <v>1</v>
      </c>
      <c r="L388" s="37">
        <f ca="1">_xlfn.IFNA(VLOOKUP($A388,INDIRECT("'W"&amp;L$1&amp;"'!$A$2:$T$1000"),4,FALSE),0)</f>
        <v>2.7</v>
      </c>
      <c r="M388" s="37">
        <f ca="1">_xlfn.IFNA(VLOOKUP($A388,INDIRECT("'W"&amp;M$1&amp;"'!$A$2:$T$1000"),4,FALSE),0)</f>
        <v>0.7</v>
      </c>
      <c r="N388" s="37">
        <f ca="1">_xlfn.IFNA(VLOOKUP($A388,INDIRECT("'W"&amp;N$1&amp;"'!$A$2:$T$1000"),4,FALSE),0)</f>
        <v>1.1000000000000001</v>
      </c>
      <c r="O388" s="37">
        <f ca="1">_xlfn.IFNA(VLOOKUP($A388,INDIRECT("'W"&amp;O$1&amp;"'!$A$2:$T$1000"),4,FALSE),0)</f>
        <v>0</v>
      </c>
      <c r="P388" s="37">
        <f ca="1">_xlfn.IFNA(VLOOKUP($A388,INDIRECT("'W"&amp;P$1&amp;"'!$A$2:$T$1000"),4,FALSE),0)</f>
        <v>0</v>
      </c>
      <c r="Q388" s="37">
        <f ca="1">_xlfn.IFNA(VLOOKUP($A388,INDIRECT("'W"&amp;Q$1&amp;"'!$A$2:$T$1000"),4,FALSE),0)</f>
        <v>-1.2</v>
      </c>
      <c r="R388" s="37">
        <f ca="1">_xlfn.IFNA(VLOOKUP($A388,INDIRECT("'W"&amp;R$1&amp;"'!$A$2:$T$1000"),4,FALSE),0)</f>
        <v>2.4000000000000004</v>
      </c>
      <c r="S388" s="37">
        <f ca="1">_xlfn.IFNA(VLOOKUP($A388,INDIRECT("'W"&amp;S$1&amp;"'!$A$2:$T$1000"),4,FALSE),0)</f>
        <v>0.2</v>
      </c>
      <c r="T388" s="37">
        <f ca="1">_xlfn.IFNA(VLOOKUP($A388,INDIRECT("'W"&amp;T$1&amp;"'!$A$2:$T$1000"),4,FALSE),0)</f>
        <v>4.5</v>
      </c>
      <c r="U388" s="36">
        <f ca="1">COUNTIF(C388:T388,"&gt; 15")</f>
        <v>0</v>
      </c>
      <c r="V388" s="36">
        <f ca="1">SUM(C388:T388)</f>
        <v>29.7</v>
      </c>
      <c r="W388" s="36"/>
      <c r="X388" s="38"/>
    </row>
    <row r="389" spans="1:24" ht="12.75" x14ac:dyDescent="0.2">
      <c r="A389" s="36" t="s">
        <v>379</v>
      </c>
      <c r="B389" s="36" t="s">
        <v>75</v>
      </c>
      <c r="C389" s="37">
        <f ca="1">_xlfn.IFNA(VLOOKUP($A389,INDIRECT("'W"&amp;C$1&amp;"'!$A$2:$T$1000"),4,FALSE),0)</f>
        <v>0</v>
      </c>
      <c r="D389" s="37">
        <f ca="1">_xlfn.IFNA(VLOOKUP($A389,INDIRECT("'W"&amp;D$1&amp;"'!$A$2:$T$1000"),4,FALSE),0)</f>
        <v>1.5000000000000002</v>
      </c>
      <c r="E389" s="37">
        <f ca="1">_xlfn.IFNA(VLOOKUP($A389,INDIRECT("'W"&amp;E$1&amp;"'!$A$2:$T$1000"),4,FALSE),0)</f>
        <v>1.5</v>
      </c>
      <c r="F389" s="37">
        <f ca="1">_xlfn.IFNA(VLOOKUP($A389,INDIRECT("'W"&amp;F$1&amp;"'!$A$2:$T$1000"),4,FALSE),0)</f>
        <v>0</v>
      </c>
      <c r="G389" s="37">
        <f ca="1">_xlfn.IFNA(VLOOKUP($A389,INDIRECT("'W"&amp;G$1&amp;"'!$A$2:$T$1000"),4,FALSE),0)</f>
        <v>11.2</v>
      </c>
      <c r="H389" s="37">
        <f ca="1">_xlfn.IFNA(VLOOKUP($A389,INDIRECT("'W"&amp;H$1&amp;"'!$A$2:$T$1000"),4,FALSE),0)</f>
        <v>6.3000000000000007</v>
      </c>
      <c r="I389" s="37">
        <f ca="1">_xlfn.IFNA(VLOOKUP($A389,INDIRECT("'W"&amp;I$1&amp;"'!$A$2:$T$1000"),4,FALSE),0)</f>
        <v>3.5</v>
      </c>
      <c r="J389" s="37">
        <f ca="1">_xlfn.IFNA(VLOOKUP($A389,INDIRECT("'W"&amp;J$1&amp;"'!$A$2:$T$1000"),4,FALSE),0)</f>
        <v>7.6000000000000014</v>
      </c>
      <c r="K389" s="37">
        <f ca="1">_xlfn.IFNA(VLOOKUP($A389,INDIRECT("'W"&amp;K$1&amp;"'!$A$2:$T$1000"),4,FALSE),0)</f>
        <v>0</v>
      </c>
      <c r="L389" s="37">
        <f ca="1">_xlfn.IFNA(VLOOKUP($A389,INDIRECT("'W"&amp;L$1&amp;"'!$A$2:$T$1000"),4,FALSE),0)</f>
        <v>0</v>
      </c>
      <c r="M389" s="37">
        <f ca="1">_xlfn.IFNA(VLOOKUP($A389,INDIRECT("'W"&amp;M$1&amp;"'!$A$2:$T$1000"),4,FALSE),0)</f>
        <v>-2</v>
      </c>
      <c r="N389" s="37">
        <f ca="1">_xlfn.IFNA(VLOOKUP($A389,INDIRECT("'W"&amp;N$1&amp;"'!$A$2:$T$1000"),4,FALSE),0)</f>
        <v>0</v>
      </c>
      <c r="O389" s="37">
        <f ca="1">_xlfn.IFNA(VLOOKUP($A389,INDIRECT("'W"&amp;O$1&amp;"'!$A$2:$T$1000"),4,FALSE),0)</f>
        <v>0</v>
      </c>
      <c r="P389" s="37">
        <f ca="1">_xlfn.IFNA(VLOOKUP($A389,INDIRECT("'W"&amp;P$1&amp;"'!$A$2:$T$1000"),4,FALSE),0)</f>
        <v>0</v>
      </c>
      <c r="Q389" s="37">
        <f ca="1">_xlfn.IFNA(VLOOKUP($A389,INDIRECT("'W"&amp;Q$1&amp;"'!$A$2:$T$1000"),4,FALSE),0)</f>
        <v>0</v>
      </c>
      <c r="R389" s="37">
        <f ca="1">_xlfn.IFNA(VLOOKUP($A389,INDIRECT("'W"&amp;R$1&amp;"'!$A$2:$T$1000"),4,FALSE),0)</f>
        <v>0</v>
      </c>
      <c r="S389" s="37">
        <f ca="1">_xlfn.IFNA(VLOOKUP($A389,INDIRECT("'W"&amp;S$1&amp;"'!$A$2:$T$1000"),4,FALSE),0)</f>
        <v>0</v>
      </c>
      <c r="T389" s="37">
        <f ca="1">_xlfn.IFNA(VLOOKUP($A389,INDIRECT("'W"&amp;T$1&amp;"'!$A$2:$T$1000"),4,FALSE),0)</f>
        <v>0</v>
      </c>
      <c r="U389" s="36">
        <f ca="1">COUNTIF(C389:T389,"&gt; 15")</f>
        <v>0</v>
      </c>
      <c r="V389" s="36">
        <f ca="1">SUM(C389:T389)</f>
        <v>29.6</v>
      </c>
      <c r="W389" s="36"/>
      <c r="X389" s="38"/>
    </row>
    <row r="390" spans="1:24" ht="12.75" x14ac:dyDescent="0.2">
      <c r="A390" s="36" t="s">
        <v>480</v>
      </c>
      <c r="B390" s="36" t="s">
        <v>17</v>
      </c>
      <c r="C390" s="37">
        <f ca="1">_xlfn.IFNA(VLOOKUP($A390,INDIRECT("'W"&amp;C$1&amp;"'!$A$2:$T$1000"),4,FALSE),0)</f>
        <v>0</v>
      </c>
      <c r="D390" s="37">
        <f ca="1">_xlfn.IFNA(VLOOKUP($A390,INDIRECT("'W"&amp;D$1&amp;"'!$A$2:$T$1000"),4,FALSE),0)</f>
        <v>0</v>
      </c>
      <c r="E390" s="37">
        <f ca="1">_xlfn.IFNA(VLOOKUP($A390,INDIRECT("'W"&amp;E$1&amp;"'!$A$2:$T$1000"),4,FALSE),0)</f>
        <v>0</v>
      </c>
      <c r="F390" s="37">
        <f ca="1">_xlfn.IFNA(VLOOKUP($A390,INDIRECT("'W"&amp;F$1&amp;"'!$A$2:$T$1000"),4,FALSE),0)</f>
        <v>3.62</v>
      </c>
      <c r="G390" s="37">
        <f ca="1">_xlfn.IFNA(VLOOKUP($A390,INDIRECT("'W"&amp;G$1&amp;"'!$A$2:$T$1000"),4,FALSE),0)</f>
        <v>0</v>
      </c>
      <c r="H390" s="37">
        <f ca="1">_xlfn.IFNA(VLOOKUP($A390,INDIRECT("'W"&amp;H$1&amp;"'!$A$2:$T$1000"),4,FALSE),0)</f>
        <v>0</v>
      </c>
      <c r="I390" s="37">
        <f ca="1">_xlfn.IFNA(VLOOKUP($A390,INDIRECT("'W"&amp;I$1&amp;"'!$A$2:$T$1000"),4,FALSE),0)</f>
        <v>0</v>
      </c>
      <c r="J390" s="37">
        <f ca="1">_xlfn.IFNA(VLOOKUP($A390,INDIRECT("'W"&amp;J$1&amp;"'!$A$2:$T$1000"),4,FALSE),0)</f>
        <v>0</v>
      </c>
      <c r="K390" s="37">
        <f ca="1">_xlfn.IFNA(VLOOKUP($A390,INDIRECT("'W"&amp;K$1&amp;"'!$A$2:$T$1000"),4,FALSE),0)</f>
        <v>0</v>
      </c>
      <c r="L390" s="37">
        <f ca="1">_xlfn.IFNA(VLOOKUP($A390,INDIRECT("'W"&amp;L$1&amp;"'!$A$2:$T$1000"),4,FALSE),0)</f>
        <v>0</v>
      </c>
      <c r="M390" s="37">
        <f ca="1">_xlfn.IFNA(VLOOKUP($A390,INDIRECT("'W"&amp;M$1&amp;"'!$A$2:$T$1000"),4,FALSE),0)</f>
        <v>-1.88</v>
      </c>
      <c r="N390" s="37">
        <f ca="1">_xlfn.IFNA(VLOOKUP($A390,INDIRECT("'W"&amp;N$1&amp;"'!$A$2:$T$1000"),4,FALSE),0)</f>
        <v>0</v>
      </c>
      <c r="O390" s="37">
        <f ca="1">_xlfn.IFNA(VLOOKUP($A390,INDIRECT("'W"&amp;O$1&amp;"'!$A$2:$T$1000"),4,FALSE),0)</f>
        <v>0</v>
      </c>
      <c r="P390" s="37">
        <f ca="1">_xlfn.IFNA(VLOOKUP($A390,INDIRECT("'W"&amp;P$1&amp;"'!$A$2:$T$1000"),4,FALSE),0)</f>
        <v>15.259999999999998</v>
      </c>
      <c r="Q390" s="37">
        <f ca="1">_xlfn.IFNA(VLOOKUP($A390,INDIRECT("'W"&amp;Q$1&amp;"'!$A$2:$T$1000"),4,FALSE),0)</f>
        <v>12.120000000000001</v>
      </c>
      <c r="R390" s="37">
        <f ca="1">_xlfn.IFNA(VLOOKUP($A390,INDIRECT("'W"&amp;R$1&amp;"'!$A$2:$T$1000"),4,FALSE),0)</f>
        <v>0</v>
      </c>
      <c r="S390" s="37">
        <f ca="1">_xlfn.IFNA(VLOOKUP($A390,INDIRECT("'W"&amp;S$1&amp;"'!$A$2:$T$1000"),4,FALSE),0)</f>
        <v>0</v>
      </c>
      <c r="T390" s="37">
        <f ca="1">_xlfn.IFNA(VLOOKUP($A390,INDIRECT("'W"&amp;T$1&amp;"'!$A$2:$T$1000"),4,FALSE),0)</f>
        <v>0</v>
      </c>
      <c r="U390" s="36">
        <f ca="1">COUNTIF(C390:T390,"&gt; 15")</f>
        <v>1</v>
      </c>
      <c r="V390" s="36">
        <f ca="1">SUM(C390:T390)</f>
        <v>29.12</v>
      </c>
      <c r="W390" s="36"/>
      <c r="X390" s="38"/>
    </row>
    <row r="391" spans="1:24" ht="12.75" x14ac:dyDescent="0.2">
      <c r="A391" s="36" t="s">
        <v>449</v>
      </c>
      <c r="B391" s="36" t="s">
        <v>69</v>
      </c>
      <c r="C391" s="37">
        <f ca="1">_xlfn.IFNA(VLOOKUP($A391,INDIRECT("'W"&amp;C$1&amp;"'!$A$2:$T$1000"),4,FALSE),0)</f>
        <v>0</v>
      </c>
      <c r="D391" s="37">
        <f ca="1">_xlfn.IFNA(VLOOKUP($A391,INDIRECT("'W"&amp;D$1&amp;"'!$A$2:$T$1000"),4,FALSE),0)</f>
        <v>0</v>
      </c>
      <c r="E391" s="37">
        <f ca="1">_xlfn.IFNA(VLOOKUP($A391,INDIRECT("'W"&amp;E$1&amp;"'!$A$2:$T$1000"),4,FALSE),0)</f>
        <v>1.4</v>
      </c>
      <c r="F391" s="37">
        <f ca="1">_xlfn.IFNA(VLOOKUP($A391,INDIRECT("'W"&amp;F$1&amp;"'!$A$2:$T$1000"),4,FALSE),0)</f>
        <v>3</v>
      </c>
      <c r="G391" s="37">
        <f ca="1">_xlfn.IFNA(VLOOKUP($A391,INDIRECT("'W"&amp;G$1&amp;"'!$A$2:$T$1000"),4,FALSE),0)</f>
        <v>2.6</v>
      </c>
      <c r="H391" s="37">
        <f ca="1">_xlfn.IFNA(VLOOKUP($A391,INDIRECT("'W"&amp;H$1&amp;"'!$A$2:$T$1000"),4,FALSE),0)</f>
        <v>0</v>
      </c>
      <c r="I391" s="37">
        <f ca="1">_xlfn.IFNA(VLOOKUP($A391,INDIRECT("'W"&amp;I$1&amp;"'!$A$2:$T$1000"),4,FALSE),0)</f>
        <v>0</v>
      </c>
      <c r="J391" s="37">
        <f ca="1">_xlfn.IFNA(VLOOKUP($A391,INDIRECT("'W"&amp;J$1&amp;"'!$A$2:$T$1000"),4,FALSE),0)</f>
        <v>1.5</v>
      </c>
      <c r="K391" s="37">
        <f ca="1">_xlfn.IFNA(VLOOKUP($A391,INDIRECT("'W"&amp;K$1&amp;"'!$A$2:$T$1000"),4,FALSE),0)</f>
        <v>0</v>
      </c>
      <c r="L391" s="37">
        <f ca="1">_xlfn.IFNA(VLOOKUP($A391,INDIRECT("'W"&amp;L$1&amp;"'!$A$2:$T$1000"),4,FALSE),0)</f>
        <v>0</v>
      </c>
      <c r="M391" s="37">
        <f ca="1">_xlfn.IFNA(VLOOKUP($A391,INDIRECT("'W"&amp;M$1&amp;"'!$A$2:$T$1000"),4,FALSE),0)</f>
        <v>4.0999999999999996</v>
      </c>
      <c r="N391" s="37">
        <f ca="1">_xlfn.IFNA(VLOOKUP($A391,INDIRECT("'W"&amp;N$1&amp;"'!$A$2:$T$1000"),4,FALSE),0)</f>
        <v>8.5</v>
      </c>
      <c r="O391" s="37">
        <f ca="1">_xlfn.IFNA(VLOOKUP($A391,INDIRECT("'W"&amp;O$1&amp;"'!$A$2:$T$1000"),4,FALSE),0)</f>
        <v>1.9</v>
      </c>
      <c r="P391" s="37">
        <f ca="1">_xlfn.IFNA(VLOOKUP($A391,INDIRECT("'W"&amp;P$1&amp;"'!$A$2:$T$1000"),4,FALSE),0)</f>
        <v>0</v>
      </c>
      <c r="Q391" s="37">
        <f ca="1">_xlfn.IFNA(VLOOKUP($A391,INDIRECT("'W"&amp;Q$1&amp;"'!$A$2:$T$1000"),4,FALSE),0)</f>
        <v>3.8000000000000003</v>
      </c>
      <c r="R391" s="37">
        <f ca="1">_xlfn.IFNA(VLOOKUP($A391,INDIRECT("'W"&amp;R$1&amp;"'!$A$2:$T$1000"),4,FALSE),0)</f>
        <v>0</v>
      </c>
      <c r="S391" s="37">
        <f ca="1">_xlfn.IFNA(VLOOKUP($A391,INDIRECT("'W"&amp;S$1&amp;"'!$A$2:$T$1000"),4,FALSE),0)</f>
        <v>1.7000000000000002</v>
      </c>
      <c r="T391" s="37">
        <f ca="1">_xlfn.IFNA(VLOOKUP($A391,INDIRECT("'W"&amp;T$1&amp;"'!$A$2:$T$1000"),4,FALSE),0)</f>
        <v>0</v>
      </c>
      <c r="U391" s="36">
        <f ca="1">COUNTIF(C391:T391,"&gt; 15")</f>
        <v>0</v>
      </c>
      <c r="V391" s="36">
        <f ca="1">SUM(C391:T391)</f>
        <v>28.5</v>
      </c>
      <c r="W391" s="36"/>
      <c r="X391" s="38"/>
    </row>
    <row r="392" spans="1:24" ht="12.75" x14ac:dyDescent="0.2">
      <c r="A392" s="36" t="s">
        <v>255</v>
      </c>
      <c r="B392" s="36" t="s">
        <v>162</v>
      </c>
      <c r="C392" s="37">
        <f ca="1">_xlfn.IFNA(VLOOKUP($A392,INDIRECT("'W"&amp;C$1&amp;"'!$A$2:$T$1000"),4,FALSE),0)</f>
        <v>2.2000000000000002</v>
      </c>
      <c r="D392" s="37">
        <f ca="1">_xlfn.IFNA(VLOOKUP($A392,INDIRECT("'W"&amp;D$1&amp;"'!$A$2:$T$1000"),4,FALSE),0)</f>
        <v>1.7000000000000002</v>
      </c>
      <c r="E392" s="37">
        <f ca="1">_xlfn.IFNA(VLOOKUP($A392,INDIRECT("'W"&amp;E$1&amp;"'!$A$2:$T$1000"),4,FALSE),0)</f>
        <v>7.9</v>
      </c>
      <c r="F392" s="37">
        <f ca="1">_xlfn.IFNA(VLOOKUP($A392,INDIRECT("'W"&amp;F$1&amp;"'!$A$2:$T$1000"),4,FALSE),0)</f>
        <v>1.7000000000000002</v>
      </c>
      <c r="G392" s="37">
        <f ca="1">_xlfn.IFNA(VLOOKUP($A392,INDIRECT("'W"&amp;G$1&amp;"'!$A$2:$T$1000"),4,FALSE),0)</f>
        <v>0</v>
      </c>
      <c r="H392" s="37">
        <f ca="1">_xlfn.IFNA(VLOOKUP($A392,INDIRECT("'W"&amp;H$1&amp;"'!$A$2:$T$1000"),4,FALSE),0)</f>
        <v>0</v>
      </c>
      <c r="I392" s="37">
        <f ca="1">_xlfn.IFNA(VLOOKUP($A392,INDIRECT("'W"&amp;I$1&amp;"'!$A$2:$T$1000"),4,FALSE),0)</f>
        <v>4.2</v>
      </c>
      <c r="J392" s="37">
        <f ca="1">_xlfn.IFNA(VLOOKUP($A392,INDIRECT("'W"&amp;J$1&amp;"'!$A$2:$T$1000"),4,FALSE),0)</f>
        <v>0</v>
      </c>
      <c r="K392" s="37">
        <f ca="1">_xlfn.IFNA(VLOOKUP($A392,INDIRECT("'W"&amp;K$1&amp;"'!$A$2:$T$1000"),4,FALSE),0)</f>
        <v>0</v>
      </c>
      <c r="L392" s="37">
        <f ca="1">_xlfn.IFNA(VLOOKUP($A392,INDIRECT("'W"&amp;L$1&amp;"'!$A$2:$T$1000"),4,FALSE),0)</f>
        <v>0</v>
      </c>
      <c r="M392" s="37">
        <f ca="1">_xlfn.IFNA(VLOOKUP($A392,INDIRECT("'W"&amp;M$1&amp;"'!$A$2:$T$1000"),4,FALSE),0)</f>
        <v>0</v>
      </c>
      <c r="N392" s="37">
        <f ca="1">_xlfn.IFNA(VLOOKUP($A392,INDIRECT("'W"&amp;N$1&amp;"'!$A$2:$T$1000"),4,FALSE),0)</f>
        <v>0</v>
      </c>
      <c r="O392" s="37">
        <f ca="1">_xlfn.IFNA(VLOOKUP($A392,INDIRECT("'W"&amp;O$1&amp;"'!$A$2:$T$1000"),4,FALSE),0)</f>
        <v>0</v>
      </c>
      <c r="P392" s="37">
        <f ca="1">_xlfn.IFNA(VLOOKUP($A392,INDIRECT("'W"&amp;P$1&amp;"'!$A$2:$T$1000"),4,FALSE),0)</f>
        <v>2.7</v>
      </c>
      <c r="Q392" s="37">
        <f ca="1">_xlfn.IFNA(VLOOKUP($A392,INDIRECT("'W"&amp;Q$1&amp;"'!$A$2:$T$1000"),4,FALSE),0)</f>
        <v>1.5</v>
      </c>
      <c r="R392" s="37">
        <f ca="1">_xlfn.IFNA(VLOOKUP($A392,INDIRECT("'W"&amp;R$1&amp;"'!$A$2:$T$1000"),4,FALSE),0)</f>
        <v>2.1</v>
      </c>
      <c r="S392" s="37">
        <f ca="1">_xlfn.IFNA(VLOOKUP($A392,INDIRECT("'W"&amp;S$1&amp;"'!$A$2:$T$1000"),4,FALSE),0)</f>
        <v>0</v>
      </c>
      <c r="T392" s="37">
        <f ca="1">_xlfn.IFNA(VLOOKUP($A392,INDIRECT("'W"&amp;T$1&amp;"'!$A$2:$T$1000"),4,FALSE),0)</f>
        <v>4.5</v>
      </c>
      <c r="U392" s="36">
        <f ca="1">COUNTIF(C392:T392,"&gt; 15")</f>
        <v>0</v>
      </c>
      <c r="V392" s="36">
        <f ca="1">SUM(C392:T392)</f>
        <v>28.5</v>
      </c>
      <c r="W392" s="36"/>
      <c r="X392" s="38"/>
    </row>
    <row r="393" spans="1:24" ht="12.75" x14ac:dyDescent="0.2">
      <c r="A393" s="36" t="s">
        <v>478</v>
      </c>
      <c r="B393" s="36" t="s">
        <v>162</v>
      </c>
      <c r="C393" s="37">
        <f ca="1">_xlfn.IFNA(VLOOKUP($A393,INDIRECT("'W"&amp;C$1&amp;"'!$A$2:$T$1000"),4,FALSE),0)</f>
        <v>0</v>
      </c>
      <c r="D393" s="37">
        <f ca="1">_xlfn.IFNA(VLOOKUP($A393,INDIRECT("'W"&amp;D$1&amp;"'!$A$2:$T$1000"),4,FALSE),0)</f>
        <v>0</v>
      </c>
      <c r="E393" s="37">
        <f ca="1">_xlfn.IFNA(VLOOKUP($A393,INDIRECT("'W"&amp;E$1&amp;"'!$A$2:$T$1000"),4,FALSE),0)</f>
        <v>0</v>
      </c>
      <c r="F393" s="37">
        <f ca="1">_xlfn.IFNA(VLOOKUP($A393,INDIRECT("'W"&amp;F$1&amp;"'!$A$2:$T$1000"),4,FALSE),0)</f>
        <v>4.2</v>
      </c>
      <c r="G393" s="37">
        <f ca="1">_xlfn.IFNA(VLOOKUP($A393,INDIRECT("'W"&amp;G$1&amp;"'!$A$2:$T$1000"),4,FALSE),0)</f>
        <v>1.1000000000000001</v>
      </c>
      <c r="H393" s="37">
        <f ca="1">_xlfn.IFNA(VLOOKUP($A393,INDIRECT("'W"&amp;H$1&amp;"'!$A$2:$T$1000"),4,FALSE),0)</f>
        <v>3.7</v>
      </c>
      <c r="I393" s="37">
        <f ca="1">_xlfn.IFNA(VLOOKUP($A393,INDIRECT("'W"&amp;I$1&amp;"'!$A$2:$T$1000"),4,FALSE),0)</f>
        <v>4</v>
      </c>
      <c r="J393" s="37">
        <f ca="1">_xlfn.IFNA(VLOOKUP($A393,INDIRECT("'W"&amp;J$1&amp;"'!$A$2:$T$1000"),4,FALSE),0)</f>
        <v>6.3</v>
      </c>
      <c r="K393" s="37">
        <f ca="1">_xlfn.IFNA(VLOOKUP($A393,INDIRECT("'W"&amp;K$1&amp;"'!$A$2:$T$1000"),4,FALSE),0)</f>
        <v>0</v>
      </c>
      <c r="L393" s="37">
        <f ca="1">_xlfn.IFNA(VLOOKUP($A393,INDIRECT("'W"&amp;L$1&amp;"'!$A$2:$T$1000"),4,FALSE),0)</f>
        <v>0</v>
      </c>
      <c r="M393" s="37">
        <f ca="1">_xlfn.IFNA(VLOOKUP($A393,INDIRECT("'W"&amp;M$1&amp;"'!$A$2:$T$1000"),4,FALSE),0)</f>
        <v>0</v>
      </c>
      <c r="N393" s="37">
        <f ca="1">_xlfn.IFNA(VLOOKUP($A393,INDIRECT("'W"&amp;N$1&amp;"'!$A$2:$T$1000"),4,FALSE),0)</f>
        <v>3.3000000000000003</v>
      </c>
      <c r="O393" s="37">
        <f ca="1">_xlfn.IFNA(VLOOKUP($A393,INDIRECT("'W"&amp;O$1&amp;"'!$A$2:$T$1000"),4,FALSE),0)</f>
        <v>0</v>
      </c>
      <c r="P393" s="37">
        <f ca="1">_xlfn.IFNA(VLOOKUP($A393,INDIRECT("'W"&amp;P$1&amp;"'!$A$2:$T$1000"),4,FALSE),0)</f>
        <v>0</v>
      </c>
      <c r="Q393" s="37">
        <f ca="1">_xlfn.IFNA(VLOOKUP($A393,INDIRECT("'W"&amp;Q$1&amp;"'!$A$2:$T$1000"),4,FALSE),0)</f>
        <v>0</v>
      </c>
      <c r="R393" s="37">
        <f ca="1">_xlfn.IFNA(VLOOKUP($A393,INDIRECT("'W"&amp;R$1&amp;"'!$A$2:$T$1000"),4,FALSE),0)</f>
        <v>0</v>
      </c>
      <c r="S393" s="37">
        <f ca="1">_xlfn.IFNA(VLOOKUP($A393,INDIRECT("'W"&amp;S$1&amp;"'!$A$2:$T$1000"),4,FALSE),0)</f>
        <v>0</v>
      </c>
      <c r="T393" s="37">
        <f ca="1">_xlfn.IFNA(VLOOKUP($A393,INDIRECT("'W"&amp;T$1&amp;"'!$A$2:$T$1000"),4,FALSE),0)</f>
        <v>5.9</v>
      </c>
      <c r="U393" s="36">
        <f ca="1">COUNTIF(C393:T393,"&gt; 15")</f>
        <v>0</v>
      </c>
      <c r="V393" s="36">
        <f ca="1">SUM(C393:T393)</f>
        <v>28.5</v>
      </c>
      <c r="W393" s="36"/>
      <c r="X393" s="38"/>
    </row>
    <row r="394" spans="1:24" ht="12.75" x14ac:dyDescent="0.2">
      <c r="A394" s="36" t="s">
        <v>311</v>
      </c>
      <c r="B394" s="36" t="s">
        <v>69</v>
      </c>
      <c r="C394" s="37">
        <f ca="1">_xlfn.IFNA(VLOOKUP($A394,INDIRECT("'W"&amp;C$1&amp;"'!$A$2:$T$1000"),4,FALSE),0)</f>
        <v>2.2000000000000002</v>
      </c>
      <c r="D394" s="37">
        <f ca="1">_xlfn.IFNA(VLOOKUP($A394,INDIRECT("'W"&amp;D$1&amp;"'!$A$2:$T$1000"),4,FALSE),0)</f>
        <v>1.2</v>
      </c>
      <c r="E394" s="37">
        <f ca="1">_xlfn.IFNA(VLOOKUP($A394,INDIRECT("'W"&amp;E$1&amp;"'!$A$2:$T$1000"),4,FALSE),0)</f>
        <v>0</v>
      </c>
      <c r="F394" s="37">
        <f ca="1">_xlfn.IFNA(VLOOKUP($A394,INDIRECT("'W"&amp;F$1&amp;"'!$A$2:$T$1000"),4,FALSE),0)</f>
        <v>1.6</v>
      </c>
      <c r="G394" s="37">
        <f ca="1">_xlfn.IFNA(VLOOKUP($A394,INDIRECT("'W"&amp;G$1&amp;"'!$A$2:$T$1000"),4,FALSE),0)</f>
        <v>0</v>
      </c>
      <c r="H394" s="37">
        <f ca="1">_xlfn.IFNA(VLOOKUP($A394,INDIRECT("'W"&amp;H$1&amp;"'!$A$2:$T$1000"),4,FALSE),0)</f>
        <v>0</v>
      </c>
      <c r="I394" s="37">
        <f ca="1">_xlfn.IFNA(VLOOKUP($A394,INDIRECT("'W"&amp;I$1&amp;"'!$A$2:$T$1000"),4,FALSE),0)</f>
        <v>0</v>
      </c>
      <c r="J394" s="37">
        <f ca="1">_xlfn.IFNA(VLOOKUP($A394,INDIRECT("'W"&amp;J$1&amp;"'!$A$2:$T$1000"),4,FALSE),0)</f>
        <v>1.6</v>
      </c>
      <c r="K394" s="37">
        <f ca="1">_xlfn.IFNA(VLOOKUP($A394,INDIRECT("'W"&amp;K$1&amp;"'!$A$2:$T$1000"),4,FALSE),0)</f>
        <v>2.1</v>
      </c>
      <c r="L394" s="37">
        <f ca="1">_xlfn.IFNA(VLOOKUP($A394,INDIRECT("'W"&amp;L$1&amp;"'!$A$2:$T$1000"),4,FALSE),0)</f>
        <v>1.8</v>
      </c>
      <c r="M394" s="37">
        <f ca="1">_xlfn.IFNA(VLOOKUP($A394,INDIRECT("'W"&amp;M$1&amp;"'!$A$2:$T$1000"),4,FALSE),0)</f>
        <v>0</v>
      </c>
      <c r="N394" s="37">
        <f ca="1">_xlfn.IFNA(VLOOKUP($A394,INDIRECT("'W"&amp;N$1&amp;"'!$A$2:$T$1000"),4,FALSE),0)</f>
        <v>0</v>
      </c>
      <c r="O394" s="37">
        <f ca="1">_xlfn.IFNA(VLOOKUP($A394,INDIRECT("'W"&amp;O$1&amp;"'!$A$2:$T$1000"),4,FALSE),0)</f>
        <v>1.6</v>
      </c>
      <c r="P394" s="37">
        <f ca="1">_xlfn.IFNA(VLOOKUP($A394,INDIRECT("'W"&amp;P$1&amp;"'!$A$2:$T$1000"),4,FALSE),0)</f>
        <v>1.3</v>
      </c>
      <c r="Q394" s="37">
        <f ca="1">_xlfn.IFNA(VLOOKUP($A394,INDIRECT("'W"&amp;Q$1&amp;"'!$A$2:$T$1000"),4,FALSE),0)</f>
        <v>1.8</v>
      </c>
      <c r="R394" s="37">
        <f ca="1">_xlfn.IFNA(VLOOKUP($A394,INDIRECT("'W"&amp;R$1&amp;"'!$A$2:$T$1000"),4,FALSE),0)</f>
        <v>3.8</v>
      </c>
      <c r="S394" s="37">
        <f ca="1">_xlfn.IFNA(VLOOKUP($A394,INDIRECT("'W"&amp;S$1&amp;"'!$A$2:$T$1000"),4,FALSE),0)</f>
        <v>3.8000000000000003</v>
      </c>
      <c r="T394" s="37">
        <f ca="1">_xlfn.IFNA(VLOOKUP($A394,INDIRECT("'W"&amp;T$1&amp;"'!$A$2:$T$1000"),4,FALSE),0)</f>
        <v>5.4</v>
      </c>
      <c r="U394" s="36">
        <f ca="1">COUNTIF(C394:T394,"&gt; 15")</f>
        <v>0</v>
      </c>
      <c r="V394" s="36">
        <f ca="1">SUM(C394:T394)</f>
        <v>28.200000000000003</v>
      </c>
      <c r="W394" s="36"/>
      <c r="X394" s="38"/>
    </row>
    <row r="395" spans="1:24" ht="12.75" x14ac:dyDescent="0.2">
      <c r="A395" s="36" t="s">
        <v>310</v>
      </c>
      <c r="B395" s="36" t="s">
        <v>69</v>
      </c>
      <c r="C395" s="37">
        <f ca="1">_xlfn.IFNA(VLOOKUP($A395,INDIRECT("'W"&amp;C$1&amp;"'!$A$2:$T$1000"),4,FALSE),0)</f>
        <v>3.7</v>
      </c>
      <c r="D395" s="37">
        <f ca="1">_xlfn.IFNA(VLOOKUP($A395,INDIRECT("'W"&amp;D$1&amp;"'!$A$2:$T$1000"),4,FALSE),0)</f>
        <v>0</v>
      </c>
      <c r="E395" s="37">
        <f ca="1">_xlfn.IFNA(VLOOKUP($A395,INDIRECT("'W"&amp;E$1&amp;"'!$A$2:$T$1000"),4,FALSE),0)</f>
        <v>0</v>
      </c>
      <c r="F395" s="37">
        <f ca="1">_xlfn.IFNA(VLOOKUP($A395,INDIRECT("'W"&amp;F$1&amp;"'!$A$2:$T$1000"),4,FALSE),0)</f>
        <v>0</v>
      </c>
      <c r="G395" s="37">
        <f ca="1">_xlfn.IFNA(VLOOKUP($A395,INDIRECT("'W"&amp;G$1&amp;"'!$A$2:$T$1000"),4,FALSE),0)</f>
        <v>4.5999999999999996</v>
      </c>
      <c r="H395" s="37">
        <f ca="1">_xlfn.IFNA(VLOOKUP($A395,INDIRECT("'W"&amp;H$1&amp;"'!$A$2:$T$1000"),4,FALSE),0)</f>
        <v>1.7000000000000002</v>
      </c>
      <c r="I395" s="37">
        <f ca="1">_xlfn.IFNA(VLOOKUP($A395,INDIRECT("'W"&amp;I$1&amp;"'!$A$2:$T$1000"),4,FALSE),0)</f>
        <v>0</v>
      </c>
      <c r="J395" s="37">
        <f ca="1">_xlfn.IFNA(VLOOKUP($A395,INDIRECT("'W"&amp;J$1&amp;"'!$A$2:$T$1000"),4,FALSE),0)</f>
        <v>1.5</v>
      </c>
      <c r="K395" s="37">
        <f ca="1">_xlfn.IFNA(VLOOKUP($A395,INDIRECT("'W"&amp;K$1&amp;"'!$A$2:$T$1000"),4,FALSE),0)</f>
        <v>0</v>
      </c>
      <c r="L395" s="37">
        <f ca="1">_xlfn.IFNA(VLOOKUP($A395,INDIRECT("'W"&amp;L$1&amp;"'!$A$2:$T$1000"),4,FALSE),0)</f>
        <v>10.3</v>
      </c>
      <c r="M395" s="37">
        <f ca="1">_xlfn.IFNA(VLOOKUP($A395,INDIRECT("'W"&amp;M$1&amp;"'!$A$2:$T$1000"),4,FALSE),0)</f>
        <v>0</v>
      </c>
      <c r="N395" s="37">
        <f ca="1">_xlfn.IFNA(VLOOKUP($A395,INDIRECT("'W"&amp;N$1&amp;"'!$A$2:$T$1000"),4,FALSE),0)</f>
        <v>1.9</v>
      </c>
      <c r="O395" s="37">
        <f ca="1">_xlfn.IFNA(VLOOKUP($A395,INDIRECT("'W"&amp;O$1&amp;"'!$A$2:$T$1000"),4,FALSE),0)</f>
        <v>1.8</v>
      </c>
      <c r="P395" s="37">
        <f ca="1">_xlfn.IFNA(VLOOKUP($A395,INDIRECT("'W"&amp;P$1&amp;"'!$A$2:$T$1000"),4,FALSE),0)</f>
        <v>2.6</v>
      </c>
      <c r="Q395" s="37">
        <f ca="1">_xlfn.IFNA(VLOOKUP($A395,INDIRECT("'W"&amp;Q$1&amp;"'!$A$2:$T$1000"),4,FALSE),0)</f>
        <v>0</v>
      </c>
      <c r="R395" s="37">
        <f ca="1">_xlfn.IFNA(VLOOKUP($A395,INDIRECT("'W"&amp;R$1&amp;"'!$A$2:$T$1000"),4,FALSE),0)</f>
        <v>0</v>
      </c>
      <c r="S395" s="37">
        <f ca="1">_xlfn.IFNA(VLOOKUP($A395,INDIRECT("'W"&amp;S$1&amp;"'!$A$2:$T$1000"),4,FALSE),0)</f>
        <v>0</v>
      </c>
      <c r="T395" s="37">
        <f ca="1">_xlfn.IFNA(VLOOKUP($A395,INDIRECT("'W"&amp;T$1&amp;"'!$A$2:$T$1000"),4,FALSE),0)</f>
        <v>0</v>
      </c>
      <c r="U395" s="36">
        <f ca="1">COUNTIF(C395:T395,"&gt; 15")</f>
        <v>0</v>
      </c>
      <c r="V395" s="36">
        <f ca="1">SUM(C395:T395)</f>
        <v>28.1</v>
      </c>
      <c r="W395" s="36"/>
      <c r="X395" s="38"/>
    </row>
    <row r="396" spans="1:24" ht="12.75" x14ac:dyDescent="0.2">
      <c r="A396" s="36" t="s">
        <v>384</v>
      </c>
      <c r="B396" s="36" t="s">
        <v>162</v>
      </c>
      <c r="C396" s="37">
        <f ca="1">_xlfn.IFNA(VLOOKUP($A396,INDIRECT("'W"&amp;C$1&amp;"'!$A$2:$T$1000"),4,FALSE),0)</f>
        <v>0</v>
      </c>
      <c r="D396" s="37">
        <f ca="1">_xlfn.IFNA(VLOOKUP($A396,INDIRECT("'W"&amp;D$1&amp;"'!$A$2:$T$1000"),4,FALSE),0)</f>
        <v>1.4</v>
      </c>
      <c r="E396" s="37">
        <f ca="1">_xlfn.IFNA(VLOOKUP($A396,INDIRECT("'W"&amp;E$1&amp;"'!$A$2:$T$1000"),4,FALSE),0)</f>
        <v>0</v>
      </c>
      <c r="F396" s="37">
        <f ca="1">_xlfn.IFNA(VLOOKUP($A396,INDIRECT("'W"&amp;F$1&amp;"'!$A$2:$T$1000"),4,FALSE),0)</f>
        <v>2.5</v>
      </c>
      <c r="G396" s="37">
        <f ca="1">_xlfn.IFNA(VLOOKUP($A396,INDIRECT("'W"&amp;G$1&amp;"'!$A$2:$T$1000"),4,FALSE),0)</f>
        <v>2</v>
      </c>
      <c r="H396" s="37">
        <f ca="1">_xlfn.IFNA(VLOOKUP($A396,INDIRECT("'W"&amp;H$1&amp;"'!$A$2:$T$1000"),4,FALSE),0)</f>
        <v>0</v>
      </c>
      <c r="I396" s="37">
        <f ca="1">_xlfn.IFNA(VLOOKUP($A396,INDIRECT("'W"&amp;I$1&amp;"'!$A$2:$T$1000"),4,FALSE),0)</f>
        <v>2.6</v>
      </c>
      <c r="J396" s="37">
        <f ca="1">_xlfn.IFNA(VLOOKUP($A396,INDIRECT("'W"&amp;J$1&amp;"'!$A$2:$T$1000"),4,FALSE),0)</f>
        <v>0</v>
      </c>
      <c r="K396" s="37">
        <f ca="1">_xlfn.IFNA(VLOOKUP($A396,INDIRECT("'W"&amp;K$1&amp;"'!$A$2:$T$1000"),4,FALSE),0)</f>
        <v>8.5</v>
      </c>
      <c r="L396" s="37">
        <f ca="1">_xlfn.IFNA(VLOOKUP($A396,INDIRECT("'W"&amp;L$1&amp;"'!$A$2:$T$1000"),4,FALSE),0)</f>
        <v>1.7000000000000002</v>
      </c>
      <c r="M396" s="37">
        <f ca="1">_xlfn.IFNA(VLOOKUP($A396,INDIRECT("'W"&amp;M$1&amp;"'!$A$2:$T$1000"),4,FALSE),0)</f>
        <v>3.2</v>
      </c>
      <c r="N396" s="37">
        <f ca="1">_xlfn.IFNA(VLOOKUP($A396,INDIRECT("'W"&amp;N$1&amp;"'!$A$2:$T$1000"),4,FALSE),0)</f>
        <v>4.7</v>
      </c>
      <c r="O396" s="37">
        <f ca="1">_xlfn.IFNA(VLOOKUP($A396,INDIRECT("'W"&amp;O$1&amp;"'!$A$2:$T$1000"),4,FALSE),0)</f>
        <v>0</v>
      </c>
      <c r="P396" s="37">
        <f ca="1">_xlfn.IFNA(VLOOKUP($A396,INDIRECT("'W"&amp;P$1&amp;"'!$A$2:$T$1000"),4,FALSE),0)</f>
        <v>0</v>
      </c>
      <c r="Q396" s="37">
        <f ca="1">_xlfn.IFNA(VLOOKUP($A396,INDIRECT("'W"&amp;Q$1&amp;"'!$A$2:$T$1000"),4,FALSE),0)</f>
        <v>1.5</v>
      </c>
      <c r="R396" s="37">
        <f ca="1">_xlfn.IFNA(VLOOKUP($A396,INDIRECT("'W"&amp;R$1&amp;"'!$A$2:$T$1000"),4,FALSE),0)</f>
        <v>0</v>
      </c>
      <c r="S396" s="37">
        <f ca="1">_xlfn.IFNA(VLOOKUP($A396,INDIRECT("'W"&amp;S$1&amp;"'!$A$2:$T$1000"),4,FALSE),0)</f>
        <v>0</v>
      </c>
      <c r="T396" s="37">
        <f ca="1">_xlfn.IFNA(VLOOKUP($A396,INDIRECT("'W"&amp;T$1&amp;"'!$A$2:$T$1000"),4,FALSE),0)</f>
        <v>0</v>
      </c>
      <c r="U396" s="36">
        <f ca="1">COUNTIF(C396:T396,"&gt; 15")</f>
        <v>0</v>
      </c>
      <c r="V396" s="36">
        <f ca="1">SUM(C396:T396)</f>
        <v>28.099999999999998</v>
      </c>
      <c r="W396" s="36"/>
      <c r="X396" s="38"/>
    </row>
    <row r="397" spans="1:24" ht="12.75" x14ac:dyDescent="0.2">
      <c r="A397" s="36" t="s">
        <v>557</v>
      </c>
      <c r="B397" s="36" t="s">
        <v>162</v>
      </c>
      <c r="C397" s="37">
        <f ca="1">_xlfn.IFNA(VLOOKUP($A397,INDIRECT("'W"&amp;C$1&amp;"'!$A$2:$T$1000"),4,FALSE),0)</f>
        <v>0</v>
      </c>
      <c r="D397" s="37">
        <f ca="1">_xlfn.IFNA(VLOOKUP($A397,INDIRECT("'W"&amp;D$1&amp;"'!$A$2:$T$1000"),4,FALSE),0)</f>
        <v>0</v>
      </c>
      <c r="E397" s="37">
        <f ca="1">_xlfn.IFNA(VLOOKUP($A397,INDIRECT("'W"&amp;E$1&amp;"'!$A$2:$T$1000"),4,FALSE),0)</f>
        <v>0</v>
      </c>
      <c r="F397" s="37">
        <f ca="1">_xlfn.IFNA(VLOOKUP($A397,INDIRECT("'W"&amp;F$1&amp;"'!$A$2:$T$1000"),4,FALSE),0)</f>
        <v>0</v>
      </c>
      <c r="G397" s="37">
        <f ca="1">_xlfn.IFNA(VLOOKUP($A397,INDIRECT("'W"&amp;G$1&amp;"'!$A$2:$T$1000"),4,FALSE),0)</f>
        <v>0</v>
      </c>
      <c r="H397" s="37">
        <f ca="1">_xlfn.IFNA(VLOOKUP($A397,INDIRECT("'W"&amp;H$1&amp;"'!$A$2:$T$1000"),4,FALSE),0)</f>
        <v>1.6</v>
      </c>
      <c r="I397" s="37">
        <f ca="1">_xlfn.IFNA(VLOOKUP($A397,INDIRECT("'W"&amp;I$1&amp;"'!$A$2:$T$1000"),4,FALSE),0)</f>
        <v>1.2</v>
      </c>
      <c r="J397" s="37">
        <f ca="1">_xlfn.IFNA(VLOOKUP($A397,INDIRECT("'W"&amp;J$1&amp;"'!$A$2:$T$1000"),4,FALSE),0)</f>
        <v>0</v>
      </c>
      <c r="K397" s="37">
        <f ca="1">_xlfn.IFNA(VLOOKUP($A397,INDIRECT("'W"&amp;K$1&amp;"'!$A$2:$T$1000"),4,FALSE),0)</f>
        <v>1.7000000000000002</v>
      </c>
      <c r="L397" s="37">
        <f ca="1">_xlfn.IFNA(VLOOKUP($A397,INDIRECT("'W"&amp;L$1&amp;"'!$A$2:$T$1000"),4,FALSE),0)</f>
        <v>0</v>
      </c>
      <c r="M397" s="37">
        <f ca="1">_xlfn.IFNA(VLOOKUP($A397,INDIRECT("'W"&amp;M$1&amp;"'!$A$2:$T$1000"),4,FALSE),0)</f>
        <v>0</v>
      </c>
      <c r="N397" s="37">
        <f ca="1">_xlfn.IFNA(VLOOKUP($A397,INDIRECT("'W"&amp;N$1&amp;"'!$A$2:$T$1000"),4,FALSE),0)</f>
        <v>4.2</v>
      </c>
      <c r="O397" s="37">
        <f ca="1">_xlfn.IFNA(VLOOKUP($A397,INDIRECT("'W"&amp;O$1&amp;"'!$A$2:$T$1000"),4,FALSE),0)</f>
        <v>3.9000000000000004</v>
      </c>
      <c r="P397" s="37">
        <f ca="1">_xlfn.IFNA(VLOOKUP($A397,INDIRECT("'W"&amp;P$1&amp;"'!$A$2:$T$1000"),4,FALSE),0)</f>
        <v>4.7</v>
      </c>
      <c r="Q397" s="37">
        <f ca="1">_xlfn.IFNA(VLOOKUP($A397,INDIRECT("'W"&amp;Q$1&amp;"'!$A$2:$T$1000"),4,FALSE),0)</f>
        <v>1.5</v>
      </c>
      <c r="R397" s="37">
        <f ca="1">_xlfn.IFNA(VLOOKUP($A397,INDIRECT("'W"&amp;R$1&amp;"'!$A$2:$T$1000"),4,FALSE),0)</f>
        <v>3</v>
      </c>
      <c r="S397" s="37">
        <f ca="1">_xlfn.IFNA(VLOOKUP($A397,INDIRECT("'W"&amp;S$1&amp;"'!$A$2:$T$1000"),4,FALSE),0)</f>
        <v>5.4</v>
      </c>
      <c r="T397" s="37">
        <f ca="1">_xlfn.IFNA(VLOOKUP($A397,INDIRECT("'W"&amp;T$1&amp;"'!$A$2:$T$1000"),4,FALSE),0)</f>
        <v>0</v>
      </c>
      <c r="U397" s="36">
        <f ca="1">COUNTIF(C397:T397,"&gt; 15")</f>
        <v>0</v>
      </c>
      <c r="V397" s="36">
        <f ca="1">SUM(C397:T397)</f>
        <v>27.200000000000003</v>
      </c>
      <c r="W397" s="36"/>
      <c r="X397" s="38"/>
    </row>
    <row r="398" spans="1:24" ht="12.75" x14ac:dyDescent="0.2">
      <c r="A398" s="36" t="s">
        <v>186</v>
      </c>
      <c r="B398" s="36" t="s">
        <v>162</v>
      </c>
      <c r="C398" s="37">
        <f ca="1">_xlfn.IFNA(VLOOKUP($A398,INDIRECT("'W"&amp;C$1&amp;"'!$A$2:$T$1000"),4,FALSE),0)</f>
        <v>13</v>
      </c>
      <c r="D398" s="37">
        <f ca="1">_xlfn.IFNA(VLOOKUP($A398,INDIRECT("'W"&amp;D$1&amp;"'!$A$2:$T$1000"),4,FALSE),0)</f>
        <v>5.4</v>
      </c>
      <c r="E398" s="37">
        <f ca="1">_xlfn.IFNA(VLOOKUP($A398,INDIRECT("'W"&amp;E$1&amp;"'!$A$2:$T$1000"),4,FALSE),0)</f>
        <v>2.2999999999999998</v>
      </c>
      <c r="F398" s="37">
        <f ca="1">_xlfn.IFNA(VLOOKUP($A398,INDIRECT("'W"&amp;F$1&amp;"'!$A$2:$T$1000"),4,FALSE),0)</f>
        <v>0</v>
      </c>
      <c r="G398" s="37">
        <f ca="1">_xlfn.IFNA(VLOOKUP($A398,INDIRECT("'W"&amp;G$1&amp;"'!$A$2:$T$1000"),4,FALSE),0)</f>
        <v>0</v>
      </c>
      <c r="H398" s="37">
        <f ca="1">_xlfn.IFNA(VLOOKUP($A398,INDIRECT("'W"&amp;H$1&amp;"'!$A$2:$T$1000"),4,FALSE),0)</f>
        <v>0</v>
      </c>
      <c r="I398" s="37">
        <f ca="1">_xlfn.IFNA(VLOOKUP($A398,INDIRECT("'W"&amp;I$1&amp;"'!$A$2:$T$1000"),4,FALSE),0)</f>
        <v>0</v>
      </c>
      <c r="J398" s="37">
        <f ca="1">_xlfn.IFNA(VLOOKUP($A398,INDIRECT("'W"&amp;J$1&amp;"'!$A$2:$T$1000"),4,FALSE),0)</f>
        <v>0</v>
      </c>
      <c r="K398" s="37">
        <f ca="1">_xlfn.IFNA(VLOOKUP($A398,INDIRECT("'W"&amp;K$1&amp;"'!$A$2:$T$1000"),4,FALSE),0)</f>
        <v>0</v>
      </c>
      <c r="L398" s="37">
        <f ca="1">_xlfn.IFNA(VLOOKUP($A398,INDIRECT("'W"&amp;L$1&amp;"'!$A$2:$T$1000"),4,FALSE),0)</f>
        <v>0</v>
      </c>
      <c r="M398" s="37">
        <f ca="1">_xlfn.IFNA(VLOOKUP($A398,INDIRECT("'W"&amp;M$1&amp;"'!$A$2:$T$1000"),4,FALSE),0)</f>
        <v>0</v>
      </c>
      <c r="N398" s="37">
        <f ca="1">_xlfn.IFNA(VLOOKUP($A398,INDIRECT("'W"&amp;N$1&amp;"'!$A$2:$T$1000"),4,FALSE),0)</f>
        <v>0</v>
      </c>
      <c r="O398" s="37">
        <f ca="1">_xlfn.IFNA(VLOOKUP($A398,INDIRECT("'W"&amp;O$1&amp;"'!$A$2:$T$1000"),4,FALSE),0)</f>
        <v>3.6</v>
      </c>
      <c r="P398" s="37">
        <f ca="1">_xlfn.IFNA(VLOOKUP($A398,INDIRECT("'W"&amp;P$1&amp;"'!$A$2:$T$1000"),4,FALSE),0)</f>
        <v>0</v>
      </c>
      <c r="Q398" s="37">
        <f ca="1">_xlfn.IFNA(VLOOKUP($A398,INDIRECT("'W"&amp;Q$1&amp;"'!$A$2:$T$1000"),4,FALSE),0)</f>
        <v>0</v>
      </c>
      <c r="R398" s="37">
        <f ca="1">_xlfn.IFNA(VLOOKUP($A398,INDIRECT("'W"&amp;R$1&amp;"'!$A$2:$T$1000"),4,FALSE),0)</f>
        <v>0</v>
      </c>
      <c r="S398" s="37">
        <f ca="1">_xlfn.IFNA(VLOOKUP($A398,INDIRECT("'W"&amp;S$1&amp;"'!$A$2:$T$1000"),4,FALSE),0)</f>
        <v>0</v>
      </c>
      <c r="T398" s="37">
        <f ca="1">_xlfn.IFNA(VLOOKUP($A398,INDIRECT("'W"&amp;T$1&amp;"'!$A$2:$T$1000"),4,FALSE),0)</f>
        <v>2.8</v>
      </c>
      <c r="U398" s="36">
        <f ca="1">COUNTIF(C398:T398,"&gt; 15")</f>
        <v>0</v>
      </c>
      <c r="V398" s="36">
        <f ca="1">SUM(C398:T398)</f>
        <v>27.1</v>
      </c>
      <c r="W398" s="36"/>
      <c r="X398" s="38"/>
    </row>
    <row r="399" spans="1:24" ht="12.75" x14ac:dyDescent="0.2">
      <c r="A399" s="36" t="s">
        <v>718</v>
      </c>
      <c r="B399" s="36" t="s">
        <v>17</v>
      </c>
      <c r="C399" s="37">
        <f ca="1">_xlfn.IFNA(VLOOKUP($A399,INDIRECT("'W"&amp;C$1&amp;"'!$A$2:$T$1000"),4,FALSE),0)</f>
        <v>0</v>
      </c>
      <c r="D399" s="37">
        <f ca="1">_xlfn.IFNA(VLOOKUP($A399,INDIRECT("'W"&amp;D$1&amp;"'!$A$2:$T$1000"),4,FALSE),0)</f>
        <v>0</v>
      </c>
      <c r="E399" s="37">
        <f ca="1">_xlfn.IFNA(VLOOKUP($A399,INDIRECT("'W"&amp;E$1&amp;"'!$A$2:$T$1000"),4,FALSE),0)</f>
        <v>0</v>
      </c>
      <c r="F399" s="37">
        <f ca="1">_xlfn.IFNA(VLOOKUP($A399,INDIRECT("'W"&amp;F$1&amp;"'!$A$2:$T$1000"),4,FALSE),0)</f>
        <v>0</v>
      </c>
      <c r="G399" s="37">
        <f ca="1">_xlfn.IFNA(VLOOKUP($A399,INDIRECT("'W"&amp;G$1&amp;"'!$A$2:$T$1000"),4,FALSE),0)</f>
        <v>0</v>
      </c>
      <c r="H399" s="37">
        <f ca="1">_xlfn.IFNA(VLOOKUP($A399,INDIRECT("'W"&amp;H$1&amp;"'!$A$2:$T$1000"),4,FALSE),0)</f>
        <v>0</v>
      </c>
      <c r="I399" s="37">
        <f ca="1">_xlfn.IFNA(VLOOKUP($A399,INDIRECT("'W"&amp;I$1&amp;"'!$A$2:$T$1000"),4,FALSE),0)</f>
        <v>0</v>
      </c>
      <c r="J399" s="37">
        <f ca="1">_xlfn.IFNA(VLOOKUP($A399,INDIRECT("'W"&amp;J$1&amp;"'!$A$2:$T$1000"),4,FALSE),0)</f>
        <v>0</v>
      </c>
      <c r="K399" s="37">
        <f ca="1">_xlfn.IFNA(VLOOKUP($A399,INDIRECT("'W"&amp;K$1&amp;"'!$A$2:$T$1000"),4,FALSE),0)</f>
        <v>0</v>
      </c>
      <c r="L399" s="37">
        <f ca="1">_xlfn.IFNA(VLOOKUP($A399,INDIRECT("'W"&amp;L$1&amp;"'!$A$2:$T$1000"),4,FALSE),0)</f>
        <v>0</v>
      </c>
      <c r="M399" s="37">
        <f ca="1">_xlfn.IFNA(VLOOKUP($A399,INDIRECT("'W"&amp;M$1&amp;"'!$A$2:$T$1000"),4,FALSE),0)</f>
        <v>0</v>
      </c>
      <c r="N399" s="37">
        <f ca="1">_xlfn.IFNA(VLOOKUP($A399,INDIRECT("'W"&amp;N$1&amp;"'!$A$2:$T$1000"),4,FALSE),0)</f>
        <v>0</v>
      </c>
      <c r="O399" s="37">
        <f ca="1">_xlfn.IFNA(VLOOKUP($A399,INDIRECT("'W"&amp;O$1&amp;"'!$A$2:$T$1000"),4,FALSE),0)</f>
        <v>1.4400000000000004</v>
      </c>
      <c r="P399" s="37">
        <f ca="1">_xlfn.IFNA(VLOOKUP($A399,INDIRECT("'W"&amp;P$1&amp;"'!$A$2:$T$1000"),4,FALSE),0)</f>
        <v>0</v>
      </c>
      <c r="Q399" s="37">
        <f ca="1">_xlfn.IFNA(VLOOKUP($A399,INDIRECT("'W"&amp;Q$1&amp;"'!$A$2:$T$1000"),4,FALSE),0)</f>
        <v>-1.5999999999999996</v>
      </c>
      <c r="R399" s="37">
        <f ca="1">_xlfn.IFNA(VLOOKUP($A399,INDIRECT("'W"&amp;R$1&amp;"'!$A$2:$T$1000"),4,FALSE),0)</f>
        <v>10.48</v>
      </c>
      <c r="S399" s="37">
        <f ca="1">_xlfn.IFNA(VLOOKUP($A399,INDIRECT("'W"&amp;S$1&amp;"'!$A$2:$T$1000"),4,FALSE),0)</f>
        <v>13.74</v>
      </c>
      <c r="T399" s="37">
        <f ca="1">_xlfn.IFNA(VLOOKUP($A399,INDIRECT("'W"&amp;T$1&amp;"'!$A$2:$T$1000"),4,FALSE),0)</f>
        <v>2.9000000000000004</v>
      </c>
      <c r="U399" s="36">
        <f ca="1">COUNTIF(C399:T399,"&gt; 15")</f>
        <v>0</v>
      </c>
      <c r="V399" s="36">
        <f ca="1">SUM(C399:T399)</f>
        <v>26.96</v>
      </c>
      <c r="W399" s="36"/>
      <c r="X399" s="38"/>
    </row>
    <row r="400" spans="1:24" ht="12.75" x14ac:dyDescent="0.2">
      <c r="A400" s="36" t="s">
        <v>803</v>
      </c>
      <c r="B400" s="36" t="e">
        <f ca="1">VLOOKUP(A400,CumulativePlayerList!$T$3:$U$550,2,FALSE)</f>
        <v>#NAME?</v>
      </c>
      <c r="C400" s="37">
        <f ca="1">_xlfn.IFNA(VLOOKUP($A400,INDIRECT("'W"&amp;C$1&amp;"'!$A$2:$T$1000"),4,FALSE),0)</f>
        <v>0</v>
      </c>
      <c r="D400" s="37">
        <f ca="1">_xlfn.IFNA(VLOOKUP($A400,INDIRECT("'W"&amp;D$1&amp;"'!$A$2:$T$1000"),4,FALSE),0)</f>
        <v>0</v>
      </c>
      <c r="E400" s="37">
        <f ca="1">_xlfn.IFNA(VLOOKUP($A400,INDIRECT("'W"&amp;E$1&amp;"'!$A$2:$T$1000"),4,FALSE),0)</f>
        <v>0</v>
      </c>
      <c r="F400" s="37">
        <f ca="1">_xlfn.IFNA(VLOOKUP($A400,INDIRECT("'W"&amp;F$1&amp;"'!$A$2:$T$1000"),4,FALSE),0)</f>
        <v>0</v>
      </c>
      <c r="G400" s="37">
        <f ca="1">_xlfn.IFNA(VLOOKUP($A400,INDIRECT("'W"&amp;G$1&amp;"'!$A$2:$T$1000"),4,FALSE),0)</f>
        <v>0</v>
      </c>
      <c r="H400" s="37">
        <f ca="1">_xlfn.IFNA(VLOOKUP($A400,INDIRECT("'W"&amp;H$1&amp;"'!$A$2:$T$1000"),4,FALSE),0)</f>
        <v>0</v>
      </c>
      <c r="I400" s="37">
        <f ca="1">_xlfn.IFNA(VLOOKUP($A400,INDIRECT("'W"&amp;I$1&amp;"'!$A$2:$T$1000"),4,FALSE),0)</f>
        <v>0</v>
      </c>
      <c r="J400" s="37">
        <f ca="1">_xlfn.IFNA(VLOOKUP($A400,INDIRECT("'W"&amp;J$1&amp;"'!$A$2:$T$1000"),4,FALSE),0)</f>
        <v>0</v>
      </c>
      <c r="K400" s="37">
        <f ca="1">_xlfn.IFNA(VLOOKUP($A400,INDIRECT("'W"&amp;K$1&amp;"'!$A$2:$T$1000"),4,FALSE),0)</f>
        <v>0</v>
      </c>
      <c r="L400" s="37">
        <f ca="1">_xlfn.IFNA(VLOOKUP($A400,INDIRECT("'W"&amp;L$1&amp;"'!$A$2:$T$1000"),4,FALSE),0)</f>
        <v>0</v>
      </c>
      <c r="M400" s="37">
        <f ca="1">_xlfn.IFNA(VLOOKUP($A400,INDIRECT("'W"&amp;M$1&amp;"'!$A$2:$T$1000"),4,FALSE),0)</f>
        <v>0</v>
      </c>
      <c r="N400" s="37">
        <f ca="1">_xlfn.IFNA(VLOOKUP($A400,INDIRECT("'W"&amp;N$1&amp;"'!$A$2:$T$1000"),4,FALSE),0)</f>
        <v>0</v>
      </c>
      <c r="O400" s="37">
        <f ca="1">_xlfn.IFNA(VLOOKUP($A400,INDIRECT("'W"&amp;O$1&amp;"'!$A$2:$T$1000"),4,FALSE),0)</f>
        <v>0</v>
      </c>
      <c r="P400" s="37">
        <f ca="1">_xlfn.IFNA(VLOOKUP($A400,INDIRECT("'W"&amp;P$1&amp;"'!$A$2:$T$1000"),4,FALSE),0)</f>
        <v>0</v>
      </c>
      <c r="Q400" s="37">
        <f ca="1">_xlfn.IFNA(VLOOKUP($A400,INDIRECT("'W"&amp;Q$1&amp;"'!$A$2:$T$1000"),4,FALSE),0)</f>
        <v>0</v>
      </c>
      <c r="R400" s="37">
        <f ca="1">_xlfn.IFNA(VLOOKUP($A400,INDIRECT("'W"&amp;R$1&amp;"'!$A$2:$T$1000"),4,FALSE),0)</f>
        <v>0</v>
      </c>
      <c r="S400" s="37">
        <f ca="1">_xlfn.IFNA(VLOOKUP($A400,INDIRECT("'W"&amp;S$1&amp;"'!$A$2:$T$1000"),4,FALSE),0)</f>
        <v>13.56</v>
      </c>
      <c r="T400" s="37">
        <f ca="1">_xlfn.IFNA(VLOOKUP($A400,INDIRECT("'W"&amp;T$1&amp;"'!$A$2:$T$1000"),4,FALSE),0)</f>
        <v>13.08</v>
      </c>
      <c r="U400" s="36">
        <f ca="1">COUNTIF(C400:T400,"&gt; 15")</f>
        <v>0</v>
      </c>
      <c r="V400" s="36">
        <f ca="1">SUM(C400:T400)</f>
        <v>26.64</v>
      </c>
      <c r="W400" s="36"/>
      <c r="X400" s="38"/>
    </row>
    <row r="401" spans="1:24" ht="12.75" x14ac:dyDescent="0.2">
      <c r="A401" s="36" t="s">
        <v>698</v>
      </c>
      <c r="B401" s="36" t="s">
        <v>162</v>
      </c>
      <c r="C401" s="37">
        <f ca="1">_xlfn.IFNA(VLOOKUP($A401,INDIRECT("'W"&amp;C$1&amp;"'!$A$2:$T$1000"),4,FALSE),0)</f>
        <v>0</v>
      </c>
      <c r="D401" s="37">
        <f ca="1">_xlfn.IFNA(VLOOKUP($A401,INDIRECT("'W"&amp;D$1&amp;"'!$A$2:$T$1000"),4,FALSE),0)</f>
        <v>0</v>
      </c>
      <c r="E401" s="37">
        <f ca="1">_xlfn.IFNA(VLOOKUP($A401,INDIRECT("'W"&amp;E$1&amp;"'!$A$2:$T$1000"),4,FALSE),0)</f>
        <v>0</v>
      </c>
      <c r="F401" s="37">
        <f ca="1">_xlfn.IFNA(VLOOKUP($A401,INDIRECT("'W"&amp;F$1&amp;"'!$A$2:$T$1000"),4,FALSE),0)</f>
        <v>0</v>
      </c>
      <c r="G401" s="37">
        <f ca="1">_xlfn.IFNA(VLOOKUP($A401,INDIRECT("'W"&amp;G$1&amp;"'!$A$2:$T$1000"),4,FALSE),0)</f>
        <v>0</v>
      </c>
      <c r="H401" s="37">
        <f ca="1">_xlfn.IFNA(VLOOKUP($A401,INDIRECT("'W"&amp;H$1&amp;"'!$A$2:$T$1000"),4,FALSE),0)</f>
        <v>0</v>
      </c>
      <c r="I401" s="37">
        <f ca="1">_xlfn.IFNA(VLOOKUP($A401,INDIRECT("'W"&amp;I$1&amp;"'!$A$2:$T$1000"),4,FALSE),0)</f>
        <v>0</v>
      </c>
      <c r="J401" s="37">
        <f ca="1">_xlfn.IFNA(VLOOKUP($A401,INDIRECT("'W"&amp;J$1&amp;"'!$A$2:$T$1000"),4,FALSE),0)</f>
        <v>0</v>
      </c>
      <c r="K401" s="37">
        <f ca="1">_xlfn.IFNA(VLOOKUP($A401,INDIRECT("'W"&amp;K$1&amp;"'!$A$2:$T$1000"),4,FALSE),0)</f>
        <v>0</v>
      </c>
      <c r="L401" s="37">
        <f ca="1">_xlfn.IFNA(VLOOKUP($A401,INDIRECT("'W"&amp;L$1&amp;"'!$A$2:$T$1000"),4,FALSE),0)</f>
        <v>0</v>
      </c>
      <c r="M401" s="37">
        <f ca="1">_xlfn.IFNA(VLOOKUP($A401,INDIRECT("'W"&amp;M$1&amp;"'!$A$2:$T$1000"),4,FALSE),0)</f>
        <v>0</v>
      </c>
      <c r="N401" s="37">
        <f ca="1">_xlfn.IFNA(VLOOKUP($A401,INDIRECT("'W"&amp;N$1&amp;"'!$A$2:$T$1000"),4,FALSE),0)</f>
        <v>2.4000000000000004</v>
      </c>
      <c r="O401" s="37">
        <f ca="1">_xlfn.IFNA(VLOOKUP($A401,INDIRECT("'W"&amp;O$1&amp;"'!$A$2:$T$1000"),4,FALSE),0)</f>
        <v>0</v>
      </c>
      <c r="P401" s="37">
        <f ca="1">_xlfn.IFNA(VLOOKUP($A401,INDIRECT("'W"&amp;P$1&amp;"'!$A$2:$T$1000"),4,FALSE),0)</f>
        <v>1</v>
      </c>
      <c r="Q401" s="37">
        <f ca="1">_xlfn.IFNA(VLOOKUP($A401,INDIRECT("'W"&amp;Q$1&amp;"'!$A$2:$T$1000"),4,FALSE),0)</f>
        <v>5.1999999999999993</v>
      </c>
      <c r="R401" s="37">
        <f ca="1">_xlfn.IFNA(VLOOKUP($A401,INDIRECT("'W"&amp;R$1&amp;"'!$A$2:$T$1000"),4,FALSE),0)</f>
        <v>12.100000000000001</v>
      </c>
      <c r="S401" s="37">
        <f ca="1">_xlfn.IFNA(VLOOKUP($A401,INDIRECT("'W"&amp;S$1&amp;"'!$A$2:$T$1000"),4,FALSE),0)</f>
        <v>4.2</v>
      </c>
      <c r="T401" s="37">
        <f ca="1">_xlfn.IFNA(VLOOKUP($A401,INDIRECT("'W"&amp;T$1&amp;"'!$A$2:$T$1000"),4,FALSE),0)</f>
        <v>1.6</v>
      </c>
      <c r="U401" s="36">
        <f ca="1">COUNTIF(C401:T401,"&gt; 15")</f>
        <v>0</v>
      </c>
      <c r="V401" s="36">
        <f ca="1">SUM(C401:T401)</f>
        <v>26.500000000000004</v>
      </c>
      <c r="W401" s="36"/>
      <c r="X401" s="38"/>
    </row>
    <row r="402" spans="1:24" ht="12.75" x14ac:dyDescent="0.2">
      <c r="A402" s="36" t="s">
        <v>354</v>
      </c>
      <c r="B402" s="36" t="s">
        <v>69</v>
      </c>
      <c r="C402" s="37">
        <f ca="1">_xlfn.IFNA(VLOOKUP($A402,INDIRECT("'W"&amp;C$1&amp;"'!$A$2:$T$1000"),4,FALSE),0)</f>
        <v>0</v>
      </c>
      <c r="D402" s="37">
        <f ca="1">_xlfn.IFNA(VLOOKUP($A402,INDIRECT("'W"&amp;D$1&amp;"'!$A$2:$T$1000"),4,FALSE),0)</f>
        <v>7.1</v>
      </c>
      <c r="E402" s="37">
        <f ca="1">_xlfn.IFNA(VLOOKUP($A402,INDIRECT("'W"&amp;E$1&amp;"'!$A$2:$T$1000"),4,FALSE),0)</f>
        <v>0</v>
      </c>
      <c r="F402" s="37">
        <f ca="1">_xlfn.IFNA(VLOOKUP($A402,INDIRECT("'W"&amp;F$1&amp;"'!$A$2:$T$1000"),4,FALSE),0)</f>
        <v>0</v>
      </c>
      <c r="G402" s="37">
        <f ca="1">_xlfn.IFNA(VLOOKUP($A402,INDIRECT("'W"&amp;G$1&amp;"'!$A$2:$T$1000"),4,FALSE),0)</f>
        <v>0</v>
      </c>
      <c r="H402" s="37">
        <f ca="1">_xlfn.IFNA(VLOOKUP($A402,INDIRECT("'W"&amp;H$1&amp;"'!$A$2:$T$1000"),4,FALSE),0)</f>
        <v>0</v>
      </c>
      <c r="I402" s="37">
        <f ca="1">_xlfn.IFNA(VLOOKUP($A402,INDIRECT("'W"&amp;I$1&amp;"'!$A$2:$T$1000"),4,FALSE),0)</f>
        <v>0</v>
      </c>
      <c r="J402" s="37">
        <f ca="1">_xlfn.IFNA(VLOOKUP($A402,INDIRECT("'W"&amp;J$1&amp;"'!$A$2:$T$1000"),4,FALSE),0)</f>
        <v>2.2999999999999998</v>
      </c>
      <c r="K402" s="37">
        <f ca="1">_xlfn.IFNA(VLOOKUP($A402,INDIRECT("'W"&amp;K$1&amp;"'!$A$2:$T$1000"),4,FALSE),0)</f>
        <v>1</v>
      </c>
      <c r="L402" s="37">
        <f ca="1">_xlfn.IFNA(VLOOKUP($A402,INDIRECT("'W"&amp;L$1&amp;"'!$A$2:$T$1000"),4,FALSE),0)</f>
        <v>0</v>
      </c>
      <c r="M402" s="37">
        <f ca="1">_xlfn.IFNA(VLOOKUP($A402,INDIRECT("'W"&amp;M$1&amp;"'!$A$2:$T$1000"),4,FALSE),0)</f>
        <v>10.3</v>
      </c>
      <c r="N402" s="37">
        <f ca="1">_xlfn.IFNA(VLOOKUP($A402,INDIRECT("'W"&amp;N$1&amp;"'!$A$2:$T$1000"),4,FALSE),0)</f>
        <v>2.2000000000000002</v>
      </c>
      <c r="O402" s="37">
        <f ca="1">_xlfn.IFNA(VLOOKUP($A402,INDIRECT("'W"&amp;O$1&amp;"'!$A$2:$T$1000"),4,FALSE),0)</f>
        <v>2.2000000000000002</v>
      </c>
      <c r="P402" s="37">
        <f ca="1">_xlfn.IFNA(VLOOKUP($A402,INDIRECT("'W"&amp;P$1&amp;"'!$A$2:$T$1000"),4,FALSE),0)</f>
        <v>0</v>
      </c>
      <c r="Q402" s="37">
        <f ca="1">_xlfn.IFNA(VLOOKUP($A402,INDIRECT("'W"&amp;Q$1&amp;"'!$A$2:$T$1000"),4,FALSE),0)</f>
        <v>0</v>
      </c>
      <c r="R402" s="37">
        <f ca="1">_xlfn.IFNA(VLOOKUP($A402,INDIRECT("'W"&amp;R$1&amp;"'!$A$2:$T$1000"),4,FALSE),0)</f>
        <v>1.4</v>
      </c>
      <c r="S402" s="37">
        <f ca="1">_xlfn.IFNA(VLOOKUP($A402,INDIRECT("'W"&amp;S$1&amp;"'!$A$2:$T$1000"),4,FALSE),0)</f>
        <v>0</v>
      </c>
      <c r="T402" s="37">
        <f ca="1">_xlfn.IFNA(VLOOKUP($A402,INDIRECT("'W"&amp;T$1&amp;"'!$A$2:$T$1000"),4,FALSE),0)</f>
        <v>0</v>
      </c>
      <c r="U402" s="36">
        <f ca="1">COUNTIF(C402:T402,"&gt; 15")</f>
        <v>0</v>
      </c>
      <c r="V402" s="36">
        <f ca="1">SUM(C402:T402)</f>
        <v>26.499999999999996</v>
      </c>
      <c r="W402" s="36"/>
      <c r="X402" s="38"/>
    </row>
    <row r="403" spans="1:24" ht="12.75" x14ac:dyDescent="0.2">
      <c r="A403" s="36" t="s">
        <v>816</v>
      </c>
      <c r="B403" s="36" t="e">
        <f ca="1">VLOOKUP(A403,CumulativePlayerList!$T$3:$U$550,2,FALSE)</f>
        <v>#NAME?</v>
      </c>
      <c r="C403" s="37">
        <f ca="1">_xlfn.IFNA(VLOOKUP($A403,INDIRECT("'W"&amp;C$1&amp;"'!$A$2:$T$1000"),4,FALSE),0)</f>
        <v>0</v>
      </c>
      <c r="D403" s="37">
        <f ca="1">_xlfn.IFNA(VLOOKUP($A403,INDIRECT("'W"&amp;D$1&amp;"'!$A$2:$T$1000"),4,FALSE),0)</f>
        <v>0</v>
      </c>
      <c r="E403" s="37">
        <f ca="1">_xlfn.IFNA(VLOOKUP($A403,INDIRECT("'W"&amp;E$1&amp;"'!$A$2:$T$1000"),4,FALSE),0)</f>
        <v>0</v>
      </c>
      <c r="F403" s="37">
        <f ca="1">_xlfn.IFNA(VLOOKUP($A403,INDIRECT("'W"&amp;F$1&amp;"'!$A$2:$T$1000"),4,FALSE),0)</f>
        <v>0</v>
      </c>
      <c r="G403" s="37">
        <f ca="1">_xlfn.IFNA(VLOOKUP($A403,INDIRECT("'W"&amp;G$1&amp;"'!$A$2:$T$1000"),4,FALSE),0)</f>
        <v>0</v>
      </c>
      <c r="H403" s="37">
        <f ca="1">_xlfn.IFNA(VLOOKUP($A403,INDIRECT("'W"&amp;H$1&amp;"'!$A$2:$T$1000"),4,FALSE),0)</f>
        <v>0</v>
      </c>
      <c r="I403" s="37">
        <f ca="1">_xlfn.IFNA(VLOOKUP($A403,INDIRECT("'W"&amp;I$1&amp;"'!$A$2:$T$1000"),4,FALSE),0)</f>
        <v>0</v>
      </c>
      <c r="J403" s="37">
        <f ca="1">_xlfn.IFNA(VLOOKUP($A403,INDIRECT("'W"&amp;J$1&amp;"'!$A$2:$T$1000"),4,FALSE),0)</f>
        <v>0</v>
      </c>
      <c r="K403" s="37">
        <f ca="1">_xlfn.IFNA(VLOOKUP($A403,INDIRECT("'W"&amp;K$1&amp;"'!$A$2:$T$1000"),4,FALSE),0)</f>
        <v>0</v>
      </c>
      <c r="L403" s="37">
        <f ca="1">_xlfn.IFNA(VLOOKUP($A403,INDIRECT("'W"&amp;L$1&amp;"'!$A$2:$T$1000"),4,FALSE),0)</f>
        <v>0</v>
      </c>
      <c r="M403" s="37">
        <f ca="1">_xlfn.IFNA(VLOOKUP($A403,INDIRECT("'W"&amp;M$1&amp;"'!$A$2:$T$1000"),4,FALSE),0)</f>
        <v>0</v>
      </c>
      <c r="N403" s="37">
        <f ca="1">_xlfn.IFNA(VLOOKUP($A403,INDIRECT("'W"&amp;N$1&amp;"'!$A$2:$T$1000"),4,FALSE),0)</f>
        <v>0</v>
      </c>
      <c r="O403" s="37">
        <f ca="1">_xlfn.IFNA(VLOOKUP($A403,INDIRECT("'W"&amp;O$1&amp;"'!$A$2:$T$1000"),4,FALSE),0)</f>
        <v>0</v>
      </c>
      <c r="P403" s="37">
        <f ca="1">_xlfn.IFNA(VLOOKUP($A403,INDIRECT("'W"&amp;P$1&amp;"'!$A$2:$T$1000"),4,FALSE),0)</f>
        <v>0</v>
      </c>
      <c r="Q403" s="37">
        <f ca="1">_xlfn.IFNA(VLOOKUP($A403,INDIRECT("'W"&amp;Q$1&amp;"'!$A$2:$T$1000"),4,FALSE),0)</f>
        <v>0</v>
      </c>
      <c r="R403" s="37">
        <f ca="1">_xlfn.IFNA(VLOOKUP($A403,INDIRECT("'W"&amp;R$1&amp;"'!$A$2:$T$1000"),4,FALSE),0)</f>
        <v>0</v>
      </c>
      <c r="S403" s="37">
        <f ca="1">_xlfn.IFNA(VLOOKUP($A403,INDIRECT("'W"&amp;S$1&amp;"'!$A$2:$T$1000"),4,FALSE),0)</f>
        <v>0</v>
      </c>
      <c r="T403" s="37">
        <f ca="1">_xlfn.IFNA(VLOOKUP($A403,INDIRECT("'W"&amp;T$1&amp;"'!$A$2:$T$1000"),4,FALSE),0)</f>
        <v>26.12</v>
      </c>
      <c r="U403" s="36">
        <f ca="1">COUNTIF(C403:T403,"&gt; 15")</f>
        <v>1</v>
      </c>
      <c r="V403" s="36">
        <f ca="1">SUM(C403:T403)</f>
        <v>26.12</v>
      </c>
      <c r="W403" s="36"/>
      <c r="X403" s="38"/>
    </row>
    <row r="404" spans="1:24" ht="12.75" x14ac:dyDescent="0.2">
      <c r="A404" s="36" t="s">
        <v>443</v>
      </c>
      <c r="B404" s="36" t="s">
        <v>69</v>
      </c>
      <c r="C404" s="37">
        <f ca="1">_xlfn.IFNA(VLOOKUP($A404,INDIRECT("'W"&amp;C$1&amp;"'!$A$2:$T$1000"),4,FALSE),0)</f>
        <v>0</v>
      </c>
      <c r="D404" s="37">
        <f ca="1">_xlfn.IFNA(VLOOKUP($A404,INDIRECT("'W"&amp;D$1&amp;"'!$A$2:$T$1000"),4,FALSE),0)</f>
        <v>0</v>
      </c>
      <c r="E404" s="37">
        <f ca="1">_xlfn.IFNA(VLOOKUP($A404,INDIRECT("'W"&amp;E$1&amp;"'!$A$2:$T$1000"),4,FALSE),0)</f>
        <v>2</v>
      </c>
      <c r="F404" s="37">
        <f ca="1">_xlfn.IFNA(VLOOKUP($A404,INDIRECT("'W"&amp;F$1&amp;"'!$A$2:$T$1000"),4,FALSE),0)</f>
        <v>0</v>
      </c>
      <c r="G404" s="37">
        <f ca="1">_xlfn.IFNA(VLOOKUP($A404,INDIRECT("'W"&amp;G$1&amp;"'!$A$2:$T$1000"),4,FALSE),0)</f>
        <v>3.2</v>
      </c>
      <c r="H404" s="37">
        <f ca="1">_xlfn.IFNA(VLOOKUP($A404,INDIRECT("'W"&amp;H$1&amp;"'!$A$2:$T$1000"),4,FALSE),0)</f>
        <v>1.9</v>
      </c>
      <c r="I404" s="37">
        <f ca="1">_xlfn.IFNA(VLOOKUP($A404,INDIRECT("'W"&amp;I$1&amp;"'!$A$2:$T$1000"),4,FALSE),0)</f>
        <v>0</v>
      </c>
      <c r="J404" s="37">
        <f ca="1">_xlfn.IFNA(VLOOKUP($A404,INDIRECT("'W"&amp;J$1&amp;"'!$A$2:$T$1000"),4,FALSE),0)</f>
        <v>1.3</v>
      </c>
      <c r="K404" s="37">
        <f ca="1">_xlfn.IFNA(VLOOKUP($A404,INDIRECT("'W"&amp;K$1&amp;"'!$A$2:$T$1000"),4,FALSE),0)</f>
        <v>0</v>
      </c>
      <c r="L404" s="37">
        <f ca="1">_xlfn.IFNA(VLOOKUP($A404,INDIRECT("'W"&amp;L$1&amp;"'!$A$2:$T$1000"),4,FALSE),0)</f>
        <v>0</v>
      </c>
      <c r="M404" s="37">
        <f ca="1">_xlfn.IFNA(VLOOKUP($A404,INDIRECT("'W"&amp;M$1&amp;"'!$A$2:$T$1000"),4,FALSE),0)</f>
        <v>0</v>
      </c>
      <c r="N404" s="37">
        <f ca="1">_xlfn.IFNA(VLOOKUP($A404,INDIRECT("'W"&amp;N$1&amp;"'!$A$2:$T$1000"),4,FALSE),0)</f>
        <v>0</v>
      </c>
      <c r="O404" s="37">
        <f ca="1">_xlfn.IFNA(VLOOKUP($A404,INDIRECT("'W"&amp;O$1&amp;"'!$A$2:$T$1000"),4,FALSE),0)</f>
        <v>9</v>
      </c>
      <c r="P404" s="37">
        <f ca="1">_xlfn.IFNA(VLOOKUP($A404,INDIRECT("'W"&amp;P$1&amp;"'!$A$2:$T$1000"),4,FALSE),0)</f>
        <v>3.5</v>
      </c>
      <c r="Q404" s="37">
        <f ca="1">_xlfn.IFNA(VLOOKUP($A404,INDIRECT("'W"&amp;Q$1&amp;"'!$A$2:$T$1000"),4,FALSE),0)</f>
        <v>0</v>
      </c>
      <c r="R404" s="37">
        <f ca="1">_xlfn.IFNA(VLOOKUP($A404,INDIRECT("'W"&amp;R$1&amp;"'!$A$2:$T$1000"),4,FALSE),0)</f>
        <v>0</v>
      </c>
      <c r="S404" s="37">
        <f ca="1">_xlfn.IFNA(VLOOKUP($A404,INDIRECT("'W"&amp;S$1&amp;"'!$A$2:$T$1000"),4,FALSE),0)</f>
        <v>2.4000000000000004</v>
      </c>
      <c r="T404" s="37">
        <f ca="1">_xlfn.IFNA(VLOOKUP($A404,INDIRECT("'W"&amp;T$1&amp;"'!$A$2:$T$1000"),4,FALSE),0)</f>
        <v>2.7</v>
      </c>
      <c r="U404" s="36">
        <f ca="1">COUNTIF(C404:T404,"&gt; 15")</f>
        <v>0</v>
      </c>
      <c r="V404" s="36">
        <f ca="1">SUM(C404:T404)</f>
        <v>25.999999999999996</v>
      </c>
      <c r="W404" s="36"/>
      <c r="X404" s="38"/>
    </row>
    <row r="405" spans="1:24" ht="12.75" x14ac:dyDescent="0.2">
      <c r="A405" s="36" t="s">
        <v>378</v>
      </c>
      <c r="B405" s="36" t="s">
        <v>162</v>
      </c>
      <c r="C405" s="37">
        <f ca="1">_xlfn.IFNA(VLOOKUP($A405,INDIRECT("'W"&amp;C$1&amp;"'!$A$2:$T$1000"),4,FALSE),0)</f>
        <v>0</v>
      </c>
      <c r="D405" s="37">
        <f ca="1">_xlfn.IFNA(VLOOKUP($A405,INDIRECT("'W"&amp;D$1&amp;"'!$A$2:$T$1000"),4,FALSE),0)</f>
        <v>1.6</v>
      </c>
      <c r="E405" s="37">
        <f ca="1">_xlfn.IFNA(VLOOKUP($A405,INDIRECT("'W"&amp;E$1&amp;"'!$A$2:$T$1000"),4,FALSE),0)</f>
        <v>0</v>
      </c>
      <c r="F405" s="37">
        <f ca="1">_xlfn.IFNA(VLOOKUP($A405,INDIRECT("'W"&amp;F$1&amp;"'!$A$2:$T$1000"),4,FALSE),0)</f>
        <v>0</v>
      </c>
      <c r="G405" s="37">
        <f ca="1">_xlfn.IFNA(VLOOKUP($A405,INDIRECT("'W"&amp;G$1&amp;"'!$A$2:$T$1000"),4,FALSE),0)</f>
        <v>0</v>
      </c>
      <c r="H405" s="37">
        <f ca="1">_xlfn.IFNA(VLOOKUP($A405,INDIRECT("'W"&amp;H$1&amp;"'!$A$2:$T$1000"),4,FALSE),0)</f>
        <v>0</v>
      </c>
      <c r="I405" s="37">
        <f ca="1">_xlfn.IFNA(VLOOKUP($A405,INDIRECT("'W"&amp;I$1&amp;"'!$A$2:$T$1000"),4,FALSE),0)</f>
        <v>1.6</v>
      </c>
      <c r="J405" s="37">
        <f ca="1">_xlfn.IFNA(VLOOKUP($A405,INDIRECT("'W"&amp;J$1&amp;"'!$A$2:$T$1000"),4,FALSE),0)</f>
        <v>1.5999999999999996</v>
      </c>
      <c r="K405" s="37">
        <f ca="1">_xlfn.IFNA(VLOOKUP($A405,INDIRECT("'W"&amp;K$1&amp;"'!$A$2:$T$1000"),4,FALSE),0)</f>
        <v>4</v>
      </c>
      <c r="L405" s="37">
        <f ca="1">_xlfn.IFNA(VLOOKUP($A405,INDIRECT("'W"&amp;L$1&amp;"'!$A$2:$T$1000"),4,FALSE),0)</f>
        <v>0</v>
      </c>
      <c r="M405" s="37">
        <f ca="1">_xlfn.IFNA(VLOOKUP($A405,INDIRECT("'W"&amp;M$1&amp;"'!$A$2:$T$1000"),4,FALSE),0)</f>
        <v>3.2</v>
      </c>
      <c r="N405" s="37">
        <f ca="1">_xlfn.IFNA(VLOOKUP($A405,INDIRECT("'W"&amp;N$1&amp;"'!$A$2:$T$1000"),4,FALSE),0)</f>
        <v>0</v>
      </c>
      <c r="O405" s="37">
        <f ca="1">_xlfn.IFNA(VLOOKUP($A405,INDIRECT("'W"&amp;O$1&amp;"'!$A$2:$T$1000"),4,FALSE),0)</f>
        <v>0</v>
      </c>
      <c r="P405" s="37">
        <f ca="1">_xlfn.IFNA(VLOOKUP($A405,INDIRECT("'W"&amp;P$1&amp;"'!$A$2:$T$1000"),4,FALSE),0)</f>
        <v>0</v>
      </c>
      <c r="Q405" s="37">
        <f ca="1">_xlfn.IFNA(VLOOKUP($A405,INDIRECT("'W"&amp;Q$1&amp;"'!$A$2:$T$1000"),4,FALSE),0)</f>
        <v>0</v>
      </c>
      <c r="R405" s="37">
        <f ca="1">_xlfn.IFNA(VLOOKUP($A405,INDIRECT("'W"&amp;R$1&amp;"'!$A$2:$T$1000"),4,FALSE),0)</f>
        <v>0</v>
      </c>
      <c r="S405" s="37">
        <f ca="1">_xlfn.IFNA(VLOOKUP($A405,INDIRECT("'W"&amp;S$1&amp;"'!$A$2:$T$1000"),4,FALSE),0)</f>
        <v>0</v>
      </c>
      <c r="T405" s="37">
        <f ca="1">_xlfn.IFNA(VLOOKUP($A405,INDIRECT("'W"&amp;T$1&amp;"'!$A$2:$T$1000"),4,FALSE),0)</f>
        <v>13.7</v>
      </c>
      <c r="U405" s="36">
        <f ca="1">COUNTIF(C405:T405,"&gt; 15")</f>
        <v>0</v>
      </c>
      <c r="V405" s="36">
        <f ca="1">SUM(C405:T405)</f>
        <v>25.7</v>
      </c>
      <c r="W405" s="36"/>
      <c r="X405" s="38"/>
    </row>
    <row r="406" spans="1:24" ht="12.75" x14ac:dyDescent="0.2">
      <c r="A406" s="36" t="s">
        <v>497</v>
      </c>
      <c r="B406" s="36" t="s">
        <v>17</v>
      </c>
      <c r="C406" s="37">
        <f ca="1">_xlfn.IFNA(VLOOKUP($A406,INDIRECT("'W"&amp;C$1&amp;"'!$A$2:$T$1000"),4,FALSE),0)</f>
        <v>0</v>
      </c>
      <c r="D406" s="37">
        <f ca="1">_xlfn.IFNA(VLOOKUP($A406,INDIRECT("'W"&amp;D$1&amp;"'!$A$2:$T$1000"),4,FALSE),0)</f>
        <v>0</v>
      </c>
      <c r="E406" s="37">
        <f ca="1">_xlfn.IFNA(VLOOKUP($A406,INDIRECT("'W"&amp;E$1&amp;"'!$A$2:$T$1000"),4,FALSE),0)</f>
        <v>0</v>
      </c>
      <c r="F406" s="37">
        <f ca="1">_xlfn.IFNA(VLOOKUP($A406,INDIRECT("'W"&amp;F$1&amp;"'!$A$2:$T$1000"),4,FALSE),0)</f>
        <v>0.8</v>
      </c>
      <c r="G406" s="37">
        <f ca="1">_xlfn.IFNA(VLOOKUP($A406,INDIRECT("'W"&amp;G$1&amp;"'!$A$2:$T$1000"),4,FALSE),0)</f>
        <v>0</v>
      </c>
      <c r="H406" s="37">
        <f ca="1">_xlfn.IFNA(VLOOKUP($A406,INDIRECT("'W"&amp;H$1&amp;"'!$A$2:$T$1000"),4,FALSE),0)</f>
        <v>0</v>
      </c>
      <c r="I406" s="37">
        <f ca="1">_xlfn.IFNA(VLOOKUP($A406,INDIRECT("'W"&amp;I$1&amp;"'!$A$2:$T$1000"),4,FALSE),0)</f>
        <v>0</v>
      </c>
      <c r="J406" s="37">
        <f ca="1">_xlfn.IFNA(VLOOKUP($A406,INDIRECT("'W"&amp;J$1&amp;"'!$A$2:$T$1000"),4,FALSE),0)</f>
        <v>0</v>
      </c>
      <c r="K406" s="37">
        <f ca="1">_xlfn.IFNA(VLOOKUP($A406,INDIRECT("'W"&amp;K$1&amp;"'!$A$2:$T$1000"),4,FALSE),0)</f>
        <v>6.3199999999999994</v>
      </c>
      <c r="L406" s="37">
        <f ca="1">_xlfn.IFNA(VLOOKUP($A406,INDIRECT("'W"&amp;L$1&amp;"'!$A$2:$T$1000"),4,FALSE),0)</f>
        <v>0</v>
      </c>
      <c r="M406" s="37">
        <f ca="1">_xlfn.IFNA(VLOOKUP($A406,INDIRECT("'W"&amp;M$1&amp;"'!$A$2:$T$1000"),4,FALSE),0)</f>
        <v>0</v>
      </c>
      <c r="N406" s="37">
        <f ca="1">_xlfn.IFNA(VLOOKUP($A406,INDIRECT("'W"&amp;N$1&amp;"'!$A$2:$T$1000"),4,FALSE),0)</f>
        <v>0</v>
      </c>
      <c r="O406" s="37">
        <f ca="1">_xlfn.IFNA(VLOOKUP($A406,INDIRECT("'W"&amp;O$1&amp;"'!$A$2:$T$1000"),4,FALSE),0)</f>
        <v>0</v>
      </c>
      <c r="P406" s="37">
        <f ca="1">_xlfn.IFNA(VLOOKUP($A406,INDIRECT("'W"&amp;P$1&amp;"'!$A$2:$T$1000"),4,FALSE),0)</f>
        <v>0</v>
      </c>
      <c r="Q406" s="37">
        <f ca="1">_xlfn.IFNA(VLOOKUP($A406,INDIRECT("'W"&amp;Q$1&amp;"'!$A$2:$T$1000"),4,FALSE),0)</f>
        <v>0</v>
      </c>
      <c r="R406" s="37">
        <f ca="1">_xlfn.IFNA(VLOOKUP($A406,INDIRECT("'W"&amp;R$1&amp;"'!$A$2:$T$1000"),4,FALSE),0)</f>
        <v>0</v>
      </c>
      <c r="S406" s="37">
        <f ca="1">_xlfn.IFNA(VLOOKUP($A406,INDIRECT("'W"&amp;S$1&amp;"'!$A$2:$T$1000"),4,FALSE),0)</f>
        <v>4.66</v>
      </c>
      <c r="T406" s="37">
        <f ca="1">_xlfn.IFNA(VLOOKUP($A406,INDIRECT("'W"&amp;T$1&amp;"'!$A$2:$T$1000"),4,FALSE),0)</f>
        <v>13.84</v>
      </c>
      <c r="U406" s="36">
        <f ca="1">COUNTIF(C406:T406,"&gt; 15")</f>
        <v>0</v>
      </c>
      <c r="V406" s="36">
        <f ca="1">SUM(C406:T406)</f>
        <v>25.619999999999997</v>
      </c>
      <c r="W406" s="36"/>
      <c r="X406" s="38"/>
    </row>
    <row r="407" spans="1:24" ht="12.75" x14ac:dyDescent="0.2">
      <c r="A407" s="36" t="s">
        <v>432</v>
      </c>
      <c r="B407" s="36" t="s">
        <v>162</v>
      </c>
      <c r="C407" s="37">
        <f ca="1">_xlfn.IFNA(VLOOKUP($A407,INDIRECT("'W"&amp;C$1&amp;"'!$A$2:$T$1000"),4,FALSE),0)</f>
        <v>0</v>
      </c>
      <c r="D407" s="37">
        <f ca="1">_xlfn.IFNA(VLOOKUP($A407,INDIRECT("'W"&amp;D$1&amp;"'!$A$2:$T$1000"),4,FALSE),0)</f>
        <v>0</v>
      </c>
      <c r="E407" s="37">
        <f ca="1">_xlfn.IFNA(VLOOKUP($A407,INDIRECT("'W"&amp;E$1&amp;"'!$A$2:$T$1000"),4,FALSE),0)</f>
        <v>3.8</v>
      </c>
      <c r="F407" s="37">
        <f ca="1">_xlfn.IFNA(VLOOKUP($A407,INDIRECT("'W"&amp;F$1&amp;"'!$A$2:$T$1000"),4,FALSE),0)</f>
        <v>3.8</v>
      </c>
      <c r="G407" s="37">
        <f ca="1">_xlfn.IFNA(VLOOKUP($A407,INDIRECT("'W"&amp;G$1&amp;"'!$A$2:$T$1000"),4,FALSE),0)</f>
        <v>1.3</v>
      </c>
      <c r="H407" s="37">
        <f ca="1">_xlfn.IFNA(VLOOKUP($A407,INDIRECT("'W"&amp;H$1&amp;"'!$A$2:$T$1000"),4,FALSE),0)</f>
        <v>0</v>
      </c>
      <c r="I407" s="37">
        <f ca="1">_xlfn.IFNA(VLOOKUP($A407,INDIRECT("'W"&amp;I$1&amp;"'!$A$2:$T$1000"),4,FALSE),0)</f>
        <v>1.5</v>
      </c>
      <c r="J407" s="37">
        <f ca="1">_xlfn.IFNA(VLOOKUP($A407,INDIRECT("'W"&amp;J$1&amp;"'!$A$2:$T$1000"),4,FALSE),0)</f>
        <v>0</v>
      </c>
      <c r="K407" s="37">
        <f ca="1">_xlfn.IFNA(VLOOKUP($A407,INDIRECT("'W"&amp;K$1&amp;"'!$A$2:$T$1000"),4,FALSE),0)</f>
        <v>1.9</v>
      </c>
      <c r="L407" s="37">
        <f ca="1">_xlfn.IFNA(VLOOKUP($A407,INDIRECT("'W"&amp;L$1&amp;"'!$A$2:$T$1000"),4,FALSE),0)</f>
        <v>0</v>
      </c>
      <c r="M407" s="37">
        <f ca="1">_xlfn.IFNA(VLOOKUP($A407,INDIRECT("'W"&amp;M$1&amp;"'!$A$2:$T$1000"),4,FALSE),0)</f>
        <v>0</v>
      </c>
      <c r="N407" s="37">
        <f ca="1">_xlfn.IFNA(VLOOKUP($A407,INDIRECT("'W"&amp;N$1&amp;"'!$A$2:$T$1000"),4,FALSE),0)</f>
        <v>0</v>
      </c>
      <c r="O407" s="37">
        <f ca="1">_xlfn.IFNA(VLOOKUP($A407,INDIRECT("'W"&amp;O$1&amp;"'!$A$2:$T$1000"),4,FALSE),0)</f>
        <v>0</v>
      </c>
      <c r="P407" s="37">
        <f ca="1">_xlfn.IFNA(VLOOKUP($A407,INDIRECT("'W"&amp;P$1&amp;"'!$A$2:$T$1000"),4,FALSE),0)</f>
        <v>1.9</v>
      </c>
      <c r="Q407" s="37">
        <f ca="1">_xlfn.IFNA(VLOOKUP($A407,INDIRECT("'W"&amp;Q$1&amp;"'!$A$2:$T$1000"),4,FALSE),0)</f>
        <v>0</v>
      </c>
      <c r="R407" s="37">
        <f ca="1">_xlfn.IFNA(VLOOKUP($A407,INDIRECT("'W"&amp;R$1&amp;"'!$A$2:$T$1000"),4,FALSE),0)</f>
        <v>0</v>
      </c>
      <c r="S407" s="37">
        <f ca="1">_xlfn.IFNA(VLOOKUP($A407,INDIRECT("'W"&amp;S$1&amp;"'!$A$2:$T$1000"),4,FALSE),0)</f>
        <v>0</v>
      </c>
      <c r="T407" s="37">
        <f ca="1">_xlfn.IFNA(VLOOKUP($A407,INDIRECT("'W"&amp;T$1&amp;"'!$A$2:$T$1000"),4,FALSE),0)</f>
        <v>11.4</v>
      </c>
      <c r="U407" s="36">
        <f ca="1">COUNTIF(C407:T407,"&gt; 15")</f>
        <v>0</v>
      </c>
      <c r="V407" s="36">
        <f ca="1">SUM(C407:T407)</f>
        <v>25.6</v>
      </c>
      <c r="W407" s="36"/>
      <c r="X407" s="38"/>
    </row>
    <row r="408" spans="1:24" ht="12.75" x14ac:dyDescent="0.2">
      <c r="A408" s="36" t="s">
        <v>699</v>
      </c>
      <c r="B408" s="36" t="s">
        <v>69</v>
      </c>
      <c r="C408" s="37">
        <f ca="1">_xlfn.IFNA(VLOOKUP($A408,INDIRECT("'W"&amp;C$1&amp;"'!$A$2:$T$1000"),4,FALSE),0)</f>
        <v>0</v>
      </c>
      <c r="D408" s="37">
        <f ca="1">_xlfn.IFNA(VLOOKUP($A408,INDIRECT("'W"&amp;D$1&amp;"'!$A$2:$T$1000"),4,FALSE),0)</f>
        <v>0</v>
      </c>
      <c r="E408" s="37">
        <f ca="1">_xlfn.IFNA(VLOOKUP($A408,INDIRECT("'W"&amp;E$1&amp;"'!$A$2:$T$1000"),4,FALSE),0)</f>
        <v>0</v>
      </c>
      <c r="F408" s="37">
        <f ca="1">_xlfn.IFNA(VLOOKUP($A408,INDIRECT("'W"&amp;F$1&amp;"'!$A$2:$T$1000"),4,FALSE),0)</f>
        <v>0</v>
      </c>
      <c r="G408" s="37">
        <f ca="1">_xlfn.IFNA(VLOOKUP($A408,INDIRECT("'W"&amp;G$1&amp;"'!$A$2:$T$1000"),4,FALSE),0)</f>
        <v>0</v>
      </c>
      <c r="H408" s="37">
        <f ca="1">_xlfn.IFNA(VLOOKUP($A408,INDIRECT("'W"&amp;H$1&amp;"'!$A$2:$T$1000"),4,FALSE),0)</f>
        <v>0</v>
      </c>
      <c r="I408" s="37">
        <f ca="1">_xlfn.IFNA(VLOOKUP($A408,INDIRECT("'W"&amp;I$1&amp;"'!$A$2:$T$1000"),4,FALSE),0)</f>
        <v>0</v>
      </c>
      <c r="J408" s="37">
        <f ca="1">_xlfn.IFNA(VLOOKUP($A408,INDIRECT("'W"&amp;J$1&amp;"'!$A$2:$T$1000"),4,FALSE),0)</f>
        <v>0</v>
      </c>
      <c r="K408" s="37">
        <f ca="1">_xlfn.IFNA(VLOOKUP($A408,INDIRECT("'W"&amp;K$1&amp;"'!$A$2:$T$1000"),4,FALSE),0)</f>
        <v>0</v>
      </c>
      <c r="L408" s="37">
        <f ca="1">_xlfn.IFNA(VLOOKUP($A408,INDIRECT("'W"&amp;L$1&amp;"'!$A$2:$T$1000"),4,FALSE),0)</f>
        <v>0</v>
      </c>
      <c r="M408" s="37">
        <f ca="1">_xlfn.IFNA(VLOOKUP($A408,INDIRECT("'W"&amp;M$1&amp;"'!$A$2:$T$1000"),4,FALSE),0)</f>
        <v>0</v>
      </c>
      <c r="N408" s="37">
        <f ca="1">_xlfn.IFNA(VLOOKUP($A408,INDIRECT("'W"&amp;N$1&amp;"'!$A$2:$T$1000"),4,FALSE),0)</f>
        <v>1.6</v>
      </c>
      <c r="O408" s="37">
        <f ca="1">_xlfn.IFNA(VLOOKUP($A408,INDIRECT("'W"&amp;O$1&amp;"'!$A$2:$T$1000"),4,FALSE),0)</f>
        <v>0</v>
      </c>
      <c r="P408" s="37">
        <f ca="1">_xlfn.IFNA(VLOOKUP($A408,INDIRECT("'W"&amp;P$1&amp;"'!$A$2:$T$1000"),4,FALSE),0)</f>
        <v>15</v>
      </c>
      <c r="Q408" s="37">
        <f ca="1">_xlfn.IFNA(VLOOKUP($A408,INDIRECT("'W"&amp;Q$1&amp;"'!$A$2:$T$1000"),4,FALSE),0)</f>
        <v>2.4000000000000004</v>
      </c>
      <c r="R408" s="37">
        <f ca="1">_xlfn.IFNA(VLOOKUP($A408,INDIRECT("'W"&amp;R$1&amp;"'!$A$2:$T$1000"),4,FALSE),0)</f>
        <v>0</v>
      </c>
      <c r="S408" s="37">
        <f ca="1">_xlfn.IFNA(VLOOKUP($A408,INDIRECT("'W"&amp;S$1&amp;"'!$A$2:$T$1000"),4,FALSE),0)</f>
        <v>0</v>
      </c>
      <c r="T408" s="37">
        <f ca="1">_xlfn.IFNA(VLOOKUP($A408,INDIRECT("'W"&amp;T$1&amp;"'!$A$2:$T$1000"),4,FALSE),0)</f>
        <v>6.5</v>
      </c>
      <c r="U408" s="36">
        <f ca="1">COUNTIF(C408:T408,"&gt; 15")</f>
        <v>0</v>
      </c>
      <c r="V408" s="36">
        <f ca="1">SUM(C408:T408)</f>
        <v>25.5</v>
      </c>
      <c r="W408" s="36"/>
      <c r="X408" s="38"/>
    </row>
    <row r="409" spans="1:24" ht="12.75" x14ac:dyDescent="0.2">
      <c r="A409" s="36" t="s">
        <v>118</v>
      </c>
      <c r="B409" s="36" t="s">
        <v>75</v>
      </c>
      <c r="C409" s="37">
        <f ca="1">_xlfn.IFNA(VLOOKUP($A409,INDIRECT("'W"&amp;C$1&amp;"'!$A$2:$T$1000"),4,FALSE),0)</f>
        <v>5.4</v>
      </c>
      <c r="D409" s="37">
        <f ca="1">_xlfn.IFNA(VLOOKUP($A409,INDIRECT("'W"&amp;D$1&amp;"'!$A$2:$T$1000"),4,FALSE),0)</f>
        <v>0</v>
      </c>
      <c r="E409" s="37">
        <f ca="1">_xlfn.IFNA(VLOOKUP($A409,INDIRECT("'W"&amp;E$1&amp;"'!$A$2:$T$1000"),4,FALSE),0)</f>
        <v>0</v>
      </c>
      <c r="F409" s="37">
        <f ca="1">_xlfn.IFNA(VLOOKUP($A409,INDIRECT("'W"&amp;F$1&amp;"'!$A$2:$T$1000"),4,FALSE),0)</f>
        <v>3.3000000000000003</v>
      </c>
      <c r="G409" s="37">
        <f ca="1">_xlfn.IFNA(VLOOKUP($A409,INDIRECT("'W"&amp;G$1&amp;"'!$A$2:$T$1000"),4,FALSE),0)</f>
        <v>0</v>
      </c>
      <c r="H409" s="37">
        <f ca="1">_xlfn.IFNA(VLOOKUP($A409,INDIRECT("'W"&amp;H$1&amp;"'!$A$2:$T$1000"),4,FALSE),0)</f>
        <v>0</v>
      </c>
      <c r="I409" s="37">
        <f ca="1">_xlfn.IFNA(VLOOKUP($A409,INDIRECT("'W"&amp;I$1&amp;"'!$A$2:$T$1000"),4,FALSE),0)</f>
        <v>0</v>
      </c>
      <c r="J409" s="37">
        <f ca="1">_xlfn.IFNA(VLOOKUP($A409,INDIRECT("'W"&amp;J$1&amp;"'!$A$2:$T$1000"),4,FALSE),0)</f>
        <v>1.5</v>
      </c>
      <c r="K409" s="37">
        <f ca="1">_xlfn.IFNA(VLOOKUP($A409,INDIRECT("'W"&amp;K$1&amp;"'!$A$2:$T$1000"),4,FALSE),0)</f>
        <v>1.1000000000000001</v>
      </c>
      <c r="L409" s="37">
        <f ca="1">_xlfn.IFNA(VLOOKUP($A409,INDIRECT("'W"&amp;L$1&amp;"'!$A$2:$T$1000"),4,FALSE),0)</f>
        <v>0</v>
      </c>
      <c r="M409" s="37">
        <f ca="1">_xlfn.IFNA(VLOOKUP($A409,INDIRECT("'W"&amp;M$1&amp;"'!$A$2:$T$1000"),4,FALSE),0)</f>
        <v>4.5999999999999996</v>
      </c>
      <c r="N409" s="37">
        <f ca="1">_xlfn.IFNA(VLOOKUP($A409,INDIRECT("'W"&amp;N$1&amp;"'!$A$2:$T$1000"),4,FALSE),0)</f>
        <v>0</v>
      </c>
      <c r="O409" s="37">
        <f ca="1">_xlfn.IFNA(VLOOKUP($A409,INDIRECT("'W"&amp;O$1&amp;"'!$A$2:$T$1000"),4,FALSE),0)</f>
        <v>0.7</v>
      </c>
      <c r="P409" s="37">
        <f ca="1">_xlfn.IFNA(VLOOKUP($A409,INDIRECT("'W"&amp;P$1&amp;"'!$A$2:$T$1000"),4,FALSE),0)</f>
        <v>2.2999999999999998</v>
      </c>
      <c r="Q409" s="37">
        <f ca="1">_xlfn.IFNA(VLOOKUP($A409,INDIRECT("'W"&amp;Q$1&amp;"'!$A$2:$T$1000"),4,FALSE),0)</f>
        <v>0</v>
      </c>
      <c r="R409" s="37">
        <f ca="1">_xlfn.IFNA(VLOOKUP($A409,INDIRECT("'W"&amp;R$1&amp;"'!$A$2:$T$1000"),4,FALSE),0)</f>
        <v>3.2</v>
      </c>
      <c r="S409" s="37">
        <f ca="1">_xlfn.IFNA(VLOOKUP($A409,INDIRECT("'W"&amp;S$1&amp;"'!$A$2:$T$1000"),4,FALSE),0)</f>
        <v>2.8</v>
      </c>
      <c r="T409" s="37">
        <f ca="1">_xlfn.IFNA(VLOOKUP($A409,INDIRECT("'W"&amp;T$1&amp;"'!$A$2:$T$1000"),4,FALSE),0)</f>
        <v>0</v>
      </c>
      <c r="U409" s="36">
        <f ca="1">COUNTIF(C409:T409,"&gt; 15")</f>
        <v>0</v>
      </c>
      <c r="V409" s="36">
        <f ca="1">SUM(C409:T409)</f>
        <v>24.900000000000002</v>
      </c>
      <c r="W409" s="36"/>
      <c r="X409" s="38"/>
    </row>
    <row r="410" spans="1:24" ht="12.75" x14ac:dyDescent="0.2">
      <c r="A410" s="36" t="s">
        <v>646</v>
      </c>
      <c r="B410" s="36" t="s">
        <v>162</v>
      </c>
      <c r="C410" s="37">
        <f ca="1">_xlfn.IFNA(VLOOKUP($A410,INDIRECT("'W"&amp;C$1&amp;"'!$A$2:$T$1000"),4,FALSE),0)</f>
        <v>0</v>
      </c>
      <c r="D410" s="37">
        <f ca="1">_xlfn.IFNA(VLOOKUP($A410,INDIRECT("'W"&amp;D$1&amp;"'!$A$2:$T$1000"),4,FALSE),0)</f>
        <v>0</v>
      </c>
      <c r="E410" s="37">
        <f ca="1">_xlfn.IFNA(VLOOKUP($A410,INDIRECT("'W"&amp;E$1&amp;"'!$A$2:$T$1000"),4,FALSE),0)</f>
        <v>0</v>
      </c>
      <c r="F410" s="37">
        <f ca="1">_xlfn.IFNA(VLOOKUP($A410,INDIRECT("'W"&amp;F$1&amp;"'!$A$2:$T$1000"),4,FALSE),0)</f>
        <v>0</v>
      </c>
      <c r="G410" s="37">
        <f ca="1">_xlfn.IFNA(VLOOKUP($A410,INDIRECT("'W"&amp;G$1&amp;"'!$A$2:$T$1000"),4,FALSE),0)</f>
        <v>0</v>
      </c>
      <c r="H410" s="37">
        <f ca="1">_xlfn.IFNA(VLOOKUP($A410,INDIRECT("'W"&amp;H$1&amp;"'!$A$2:$T$1000"),4,FALSE),0)</f>
        <v>0</v>
      </c>
      <c r="I410" s="37">
        <f ca="1">_xlfn.IFNA(VLOOKUP($A410,INDIRECT("'W"&amp;I$1&amp;"'!$A$2:$T$1000"),4,FALSE),0)</f>
        <v>0</v>
      </c>
      <c r="J410" s="37">
        <f ca="1">_xlfn.IFNA(VLOOKUP($A410,INDIRECT("'W"&amp;J$1&amp;"'!$A$2:$T$1000"),4,FALSE),0)</f>
        <v>0</v>
      </c>
      <c r="K410" s="37">
        <f ca="1">_xlfn.IFNA(VLOOKUP($A410,INDIRECT("'W"&amp;K$1&amp;"'!$A$2:$T$1000"),4,FALSE),0)</f>
        <v>0</v>
      </c>
      <c r="L410" s="37">
        <f ca="1">_xlfn.IFNA(VLOOKUP($A410,INDIRECT("'W"&amp;L$1&amp;"'!$A$2:$T$1000"),4,FALSE),0)</f>
        <v>14.100000000000001</v>
      </c>
      <c r="M410" s="37">
        <f ca="1">_xlfn.IFNA(VLOOKUP($A410,INDIRECT("'W"&amp;M$1&amp;"'!$A$2:$T$1000"),4,FALSE),0)</f>
        <v>0</v>
      </c>
      <c r="N410" s="37">
        <f ca="1">_xlfn.IFNA(VLOOKUP($A410,INDIRECT("'W"&amp;N$1&amp;"'!$A$2:$T$1000"),4,FALSE),0)</f>
        <v>1.4</v>
      </c>
      <c r="O410" s="37">
        <f ca="1">_xlfn.IFNA(VLOOKUP($A410,INDIRECT("'W"&amp;O$1&amp;"'!$A$2:$T$1000"),4,FALSE),0)</f>
        <v>1.5</v>
      </c>
      <c r="P410" s="37">
        <f ca="1">_xlfn.IFNA(VLOOKUP($A410,INDIRECT("'W"&amp;P$1&amp;"'!$A$2:$T$1000"),4,FALSE),0)</f>
        <v>1.8</v>
      </c>
      <c r="Q410" s="37">
        <f ca="1">_xlfn.IFNA(VLOOKUP($A410,INDIRECT("'W"&amp;Q$1&amp;"'!$A$2:$T$1000"),4,FALSE),0)</f>
        <v>3.9000000000000004</v>
      </c>
      <c r="R410" s="37">
        <f ca="1">_xlfn.IFNA(VLOOKUP($A410,INDIRECT("'W"&amp;R$1&amp;"'!$A$2:$T$1000"),4,FALSE),0)</f>
        <v>2.2000000000000002</v>
      </c>
      <c r="S410" s="37">
        <f ca="1">_xlfn.IFNA(VLOOKUP($A410,INDIRECT("'W"&amp;S$1&amp;"'!$A$2:$T$1000"),4,FALSE),0)</f>
        <v>0</v>
      </c>
      <c r="T410" s="37">
        <f ca="1">_xlfn.IFNA(VLOOKUP($A410,INDIRECT("'W"&amp;T$1&amp;"'!$A$2:$T$1000"),4,FALSE),0)</f>
        <v>0</v>
      </c>
      <c r="U410" s="36">
        <f ca="1">COUNTIF(C410:T410,"&gt; 15")</f>
        <v>0</v>
      </c>
      <c r="V410" s="36">
        <f ca="1">SUM(C410:T410)</f>
        <v>24.900000000000002</v>
      </c>
      <c r="W410" s="36"/>
      <c r="X410" s="38"/>
    </row>
    <row r="411" spans="1:24" ht="12.75" x14ac:dyDescent="0.2">
      <c r="A411" s="36" t="s">
        <v>606</v>
      </c>
      <c r="B411" s="36" t="s">
        <v>69</v>
      </c>
      <c r="C411" s="37">
        <f ca="1">_xlfn.IFNA(VLOOKUP($A411,INDIRECT("'W"&amp;C$1&amp;"'!$A$2:$T$1000"),4,FALSE),0)</f>
        <v>0</v>
      </c>
      <c r="D411" s="37">
        <f ca="1">_xlfn.IFNA(VLOOKUP($A411,INDIRECT("'W"&amp;D$1&amp;"'!$A$2:$T$1000"),4,FALSE),0)</f>
        <v>0</v>
      </c>
      <c r="E411" s="37">
        <f ca="1">_xlfn.IFNA(VLOOKUP($A411,INDIRECT("'W"&amp;E$1&amp;"'!$A$2:$T$1000"),4,FALSE),0)</f>
        <v>0</v>
      </c>
      <c r="F411" s="37">
        <f ca="1">_xlfn.IFNA(VLOOKUP($A411,INDIRECT("'W"&amp;F$1&amp;"'!$A$2:$T$1000"),4,FALSE),0)</f>
        <v>0</v>
      </c>
      <c r="G411" s="37">
        <f ca="1">_xlfn.IFNA(VLOOKUP($A411,INDIRECT("'W"&amp;G$1&amp;"'!$A$2:$T$1000"),4,FALSE),0)</f>
        <v>0</v>
      </c>
      <c r="H411" s="37">
        <f ca="1">_xlfn.IFNA(VLOOKUP($A411,INDIRECT("'W"&amp;H$1&amp;"'!$A$2:$T$1000"),4,FALSE),0)</f>
        <v>0</v>
      </c>
      <c r="I411" s="37">
        <f ca="1">_xlfn.IFNA(VLOOKUP($A411,INDIRECT("'W"&amp;I$1&amp;"'!$A$2:$T$1000"),4,FALSE),0)</f>
        <v>0</v>
      </c>
      <c r="J411" s="37">
        <f ca="1">_xlfn.IFNA(VLOOKUP($A411,INDIRECT("'W"&amp;J$1&amp;"'!$A$2:$T$1000"),4,FALSE),0)</f>
        <v>2.2999999999999998</v>
      </c>
      <c r="K411" s="37">
        <f ca="1">_xlfn.IFNA(VLOOKUP($A411,INDIRECT("'W"&amp;K$1&amp;"'!$A$2:$T$1000"),4,FALSE),0)</f>
        <v>6.8000000000000007</v>
      </c>
      <c r="L411" s="37">
        <f ca="1">_xlfn.IFNA(VLOOKUP($A411,INDIRECT("'W"&amp;L$1&amp;"'!$A$2:$T$1000"),4,FALSE),0)</f>
        <v>0</v>
      </c>
      <c r="M411" s="37">
        <f ca="1">_xlfn.IFNA(VLOOKUP($A411,INDIRECT("'W"&amp;M$1&amp;"'!$A$2:$T$1000"),4,FALSE),0)</f>
        <v>3</v>
      </c>
      <c r="N411" s="37">
        <f ca="1">_xlfn.IFNA(VLOOKUP($A411,INDIRECT("'W"&amp;N$1&amp;"'!$A$2:$T$1000"),4,FALSE),0)</f>
        <v>2.2999999999999998</v>
      </c>
      <c r="O411" s="37">
        <f ca="1">_xlfn.IFNA(VLOOKUP($A411,INDIRECT("'W"&amp;O$1&amp;"'!$A$2:$T$1000"),4,FALSE),0)</f>
        <v>2.6</v>
      </c>
      <c r="P411" s="37">
        <f ca="1">_xlfn.IFNA(VLOOKUP($A411,INDIRECT("'W"&amp;P$1&amp;"'!$A$2:$T$1000"),4,FALSE),0)</f>
        <v>0</v>
      </c>
      <c r="Q411" s="37">
        <f ca="1">_xlfn.IFNA(VLOOKUP($A411,INDIRECT("'W"&amp;Q$1&amp;"'!$A$2:$T$1000"),4,FALSE),0)</f>
        <v>2.4000000000000004</v>
      </c>
      <c r="R411" s="37">
        <f ca="1">_xlfn.IFNA(VLOOKUP($A411,INDIRECT("'W"&amp;R$1&amp;"'!$A$2:$T$1000"),4,FALSE),0)</f>
        <v>5.0999999999999996</v>
      </c>
      <c r="S411" s="37">
        <f ca="1">_xlfn.IFNA(VLOOKUP($A411,INDIRECT("'W"&amp;S$1&amp;"'!$A$2:$T$1000"),4,FALSE),0)</f>
        <v>0</v>
      </c>
      <c r="T411" s="37">
        <f ca="1">_xlfn.IFNA(VLOOKUP($A411,INDIRECT("'W"&amp;T$1&amp;"'!$A$2:$T$1000"),4,FALSE),0)</f>
        <v>0</v>
      </c>
      <c r="U411" s="36">
        <f ca="1">COUNTIF(C411:T411,"&gt; 15")</f>
        <v>0</v>
      </c>
      <c r="V411" s="36">
        <f ca="1">SUM(C411:T411)</f>
        <v>24.500000000000007</v>
      </c>
      <c r="W411" s="36"/>
      <c r="X411" s="38"/>
    </row>
    <row r="412" spans="1:24" ht="12.75" x14ac:dyDescent="0.2">
      <c r="A412" s="36" t="s">
        <v>474</v>
      </c>
      <c r="B412" s="36" t="s">
        <v>69</v>
      </c>
      <c r="C412" s="37">
        <f ca="1">_xlfn.IFNA(VLOOKUP($A412,INDIRECT("'W"&amp;C$1&amp;"'!$A$2:$T$1000"),4,FALSE),0)</f>
        <v>0</v>
      </c>
      <c r="D412" s="37">
        <f ca="1">_xlfn.IFNA(VLOOKUP($A412,INDIRECT("'W"&amp;D$1&amp;"'!$A$2:$T$1000"),4,FALSE),0)</f>
        <v>0</v>
      </c>
      <c r="E412" s="37">
        <f ca="1">_xlfn.IFNA(VLOOKUP($A412,INDIRECT("'W"&amp;E$1&amp;"'!$A$2:$T$1000"),4,FALSE),0)</f>
        <v>0</v>
      </c>
      <c r="F412" s="37">
        <f ca="1">_xlfn.IFNA(VLOOKUP($A412,INDIRECT("'W"&amp;F$1&amp;"'!$A$2:$T$1000"),4,FALSE),0)</f>
        <v>10.6</v>
      </c>
      <c r="G412" s="37">
        <f ca="1">_xlfn.IFNA(VLOOKUP($A412,INDIRECT("'W"&amp;G$1&amp;"'!$A$2:$T$1000"),4,FALSE),0)</f>
        <v>1.7000000000000002</v>
      </c>
      <c r="H412" s="37">
        <f ca="1">_xlfn.IFNA(VLOOKUP($A412,INDIRECT("'W"&amp;H$1&amp;"'!$A$2:$T$1000"),4,FALSE),0)</f>
        <v>2.1</v>
      </c>
      <c r="I412" s="37">
        <f ca="1">_xlfn.IFNA(VLOOKUP($A412,INDIRECT("'W"&amp;I$1&amp;"'!$A$2:$T$1000"),4,FALSE),0)</f>
        <v>0</v>
      </c>
      <c r="J412" s="37">
        <f ca="1">_xlfn.IFNA(VLOOKUP($A412,INDIRECT("'W"&amp;J$1&amp;"'!$A$2:$T$1000"),4,FALSE),0)</f>
        <v>0</v>
      </c>
      <c r="K412" s="37">
        <f ca="1">_xlfn.IFNA(VLOOKUP($A412,INDIRECT("'W"&amp;K$1&amp;"'!$A$2:$T$1000"),4,FALSE),0)</f>
        <v>0</v>
      </c>
      <c r="L412" s="37">
        <f ca="1">_xlfn.IFNA(VLOOKUP($A412,INDIRECT("'W"&amp;L$1&amp;"'!$A$2:$T$1000"),4,FALSE),0)</f>
        <v>3.6</v>
      </c>
      <c r="M412" s="37">
        <f ca="1">_xlfn.IFNA(VLOOKUP($A412,INDIRECT("'W"&amp;M$1&amp;"'!$A$2:$T$1000"),4,FALSE),0)</f>
        <v>1.7000000000000002</v>
      </c>
      <c r="N412" s="37">
        <f ca="1">_xlfn.IFNA(VLOOKUP($A412,INDIRECT("'W"&amp;N$1&amp;"'!$A$2:$T$1000"),4,FALSE),0)</f>
        <v>2.1</v>
      </c>
      <c r="O412" s="37">
        <f ca="1">_xlfn.IFNA(VLOOKUP($A412,INDIRECT("'W"&amp;O$1&amp;"'!$A$2:$T$1000"),4,FALSE),0)</f>
        <v>2.6</v>
      </c>
      <c r="P412" s="37">
        <f ca="1">_xlfn.IFNA(VLOOKUP($A412,INDIRECT("'W"&amp;P$1&amp;"'!$A$2:$T$1000"),4,FALSE),0)</f>
        <v>0</v>
      </c>
      <c r="Q412" s="37">
        <f ca="1">_xlfn.IFNA(VLOOKUP($A412,INDIRECT("'W"&amp;Q$1&amp;"'!$A$2:$T$1000"),4,FALSE),0)</f>
        <v>0</v>
      </c>
      <c r="R412" s="37">
        <f ca="1">_xlfn.IFNA(VLOOKUP($A412,INDIRECT("'W"&amp;R$1&amp;"'!$A$2:$T$1000"),4,FALSE),0)</f>
        <v>0</v>
      </c>
      <c r="S412" s="37">
        <f ca="1">_xlfn.IFNA(VLOOKUP($A412,INDIRECT("'W"&amp;S$1&amp;"'!$A$2:$T$1000"),4,FALSE),0)</f>
        <v>0</v>
      </c>
      <c r="T412" s="37">
        <f ca="1">_xlfn.IFNA(VLOOKUP($A412,INDIRECT("'W"&amp;T$1&amp;"'!$A$2:$T$1000"),4,FALSE),0)</f>
        <v>0</v>
      </c>
      <c r="U412" s="36">
        <f ca="1">COUNTIF(C412:T412,"&gt; 15")</f>
        <v>0</v>
      </c>
      <c r="V412" s="36">
        <f ca="1">SUM(C412:T412)</f>
        <v>24.400000000000002</v>
      </c>
      <c r="W412" s="36"/>
      <c r="X412" s="38"/>
    </row>
    <row r="413" spans="1:24" ht="12.75" x14ac:dyDescent="0.2">
      <c r="A413" s="36" t="s">
        <v>412</v>
      </c>
      <c r="B413" s="36" t="s">
        <v>17</v>
      </c>
      <c r="C413" s="37">
        <f ca="1">_xlfn.IFNA(VLOOKUP($A413,INDIRECT("'W"&amp;C$1&amp;"'!$A$2:$T$1000"),4,FALSE),0)</f>
        <v>0</v>
      </c>
      <c r="D413" s="37">
        <f ca="1">_xlfn.IFNA(VLOOKUP($A413,INDIRECT("'W"&amp;D$1&amp;"'!$A$2:$T$1000"),4,FALSE),0)</f>
        <v>0</v>
      </c>
      <c r="E413" s="37">
        <f ca="1">_xlfn.IFNA(VLOOKUP($A413,INDIRECT("'W"&amp;E$1&amp;"'!$A$2:$T$1000"),4,FALSE),0)</f>
        <v>23.54</v>
      </c>
      <c r="F413" s="37">
        <f ca="1">_xlfn.IFNA(VLOOKUP($A413,INDIRECT("'W"&amp;F$1&amp;"'!$A$2:$T$1000"),4,FALSE),0)</f>
        <v>0</v>
      </c>
      <c r="G413" s="37">
        <f ca="1">_xlfn.IFNA(VLOOKUP($A413,INDIRECT("'W"&amp;G$1&amp;"'!$A$2:$T$1000"),4,FALSE),0)</f>
        <v>0.1</v>
      </c>
      <c r="H413" s="37">
        <f ca="1">_xlfn.IFNA(VLOOKUP($A413,INDIRECT("'W"&amp;H$1&amp;"'!$A$2:$T$1000"),4,FALSE),0)</f>
        <v>0</v>
      </c>
      <c r="I413" s="37">
        <f ca="1">_xlfn.IFNA(VLOOKUP($A413,INDIRECT("'W"&amp;I$1&amp;"'!$A$2:$T$1000"),4,FALSE),0)</f>
        <v>0</v>
      </c>
      <c r="J413" s="37">
        <f ca="1">_xlfn.IFNA(VLOOKUP($A413,INDIRECT("'W"&amp;J$1&amp;"'!$A$2:$T$1000"),4,FALSE),0)</f>
        <v>0</v>
      </c>
      <c r="K413" s="37">
        <f ca="1">_xlfn.IFNA(VLOOKUP($A413,INDIRECT("'W"&amp;K$1&amp;"'!$A$2:$T$1000"),4,FALSE),0)</f>
        <v>0</v>
      </c>
      <c r="L413" s="37">
        <f ca="1">_xlfn.IFNA(VLOOKUP($A413,INDIRECT("'W"&amp;L$1&amp;"'!$A$2:$T$1000"),4,FALSE),0)</f>
        <v>0</v>
      </c>
      <c r="M413" s="37">
        <f ca="1">_xlfn.IFNA(VLOOKUP($A413,INDIRECT("'W"&amp;M$1&amp;"'!$A$2:$T$1000"),4,FALSE),0)</f>
        <v>0</v>
      </c>
      <c r="N413" s="37">
        <f ca="1">_xlfn.IFNA(VLOOKUP($A413,INDIRECT("'W"&amp;N$1&amp;"'!$A$2:$T$1000"),4,FALSE),0)</f>
        <v>0</v>
      </c>
      <c r="O413" s="37">
        <f ca="1">_xlfn.IFNA(VLOOKUP($A413,INDIRECT("'W"&amp;O$1&amp;"'!$A$2:$T$1000"),4,FALSE),0)</f>
        <v>0</v>
      </c>
      <c r="P413" s="37">
        <f ca="1">_xlfn.IFNA(VLOOKUP($A413,INDIRECT("'W"&amp;P$1&amp;"'!$A$2:$T$1000"),4,FALSE),0)</f>
        <v>0</v>
      </c>
      <c r="Q413" s="37">
        <f ca="1">_xlfn.IFNA(VLOOKUP($A413,INDIRECT("'W"&amp;Q$1&amp;"'!$A$2:$T$1000"),4,FALSE),0)</f>
        <v>0</v>
      </c>
      <c r="R413" s="37">
        <f ca="1">_xlfn.IFNA(VLOOKUP($A413,INDIRECT("'W"&amp;R$1&amp;"'!$A$2:$T$1000"),4,FALSE),0)</f>
        <v>0</v>
      </c>
      <c r="S413" s="37">
        <f ca="1">_xlfn.IFNA(VLOOKUP($A413,INDIRECT("'W"&amp;S$1&amp;"'!$A$2:$T$1000"),4,FALSE),0)</f>
        <v>0</v>
      </c>
      <c r="T413" s="37">
        <f ca="1">_xlfn.IFNA(VLOOKUP($A413,INDIRECT("'W"&amp;T$1&amp;"'!$A$2:$T$1000"),4,FALSE),0)</f>
        <v>0</v>
      </c>
      <c r="U413" s="36">
        <f ca="1">COUNTIF(C413:T413,"&gt; 15")</f>
        <v>1</v>
      </c>
      <c r="V413" s="36">
        <f ca="1">SUM(C413:T413)</f>
        <v>23.64</v>
      </c>
      <c r="W413" s="36"/>
      <c r="X413" s="38"/>
    </row>
    <row r="414" spans="1:24" ht="12.75" x14ac:dyDescent="0.2">
      <c r="A414" s="36" t="s">
        <v>737</v>
      </c>
      <c r="B414" s="36" t="s">
        <v>69</v>
      </c>
      <c r="C414" s="37">
        <f ca="1">_xlfn.IFNA(VLOOKUP($A414,INDIRECT("'W"&amp;C$1&amp;"'!$A$2:$T$1000"),4,FALSE),0)</f>
        <v>0</v>
      </c>
      <c r="D414" s="37">
        <f ca="1">_xlfn.IFNA(VLOOKUP($A414,INDIRECT("'W"&amp;D$1&amp;"'!$A$2:$T$1000"),4,FALSE),0)</f>
        <v>0</v>
      </c>
      <c r="E414" s="37">
        <f ca="1">_xlfn.IFNA(VLOOKUP($A414,INDIRECT("'W"&amp;E$1&amp;"'!$A$2:$T$1000"),4,FALSE),0)</f>
        <v>0</v>
      </c>
      <c r="F414" s="37">
        <f ca="1">_xlfn.IFNA(VLOOKUP($A414,INDIRECT("'W"&amp;F$1&amp;"'!$A$2:$T$1000"),4,FALSE),0)</f>
        <v>0</v>
      </c>
      <c r="G414" s="37">
        <f ca="1">_xlfn.IFNA(VLOOKUP($A414,INDIRECT("'W"&amp;G$1&amp;"'!$A$2:$T$1000"),4,FALSE),0)</f>
        <v>0</v>
      </c>
      <c r="H414" s="37">
        <f ca="1">_xlfn.IFNA(VLOOKUP($A414,INDIRECT("'W"&amp;H$1&amp;"'!$A$2:$T$1000"),4,FALSE),0)</f>
        <v>0</v>
      </c>
      <c r="I414" s="37">
        <f ca="1">_xlfn.IFNA(VLOOKUP($A414,INDIRECT("'W"&amp;I$1&amp;"'!$A$2:$T$1000"),4,FALSE),0)</f>
        <v>0</v>
      </c>
      <c r="J414" s="37">
        <f ca="1">_xlfn.IFNA(VLOOKUP($A414,INDIRECT("'W"&amp;J$1&amp;"'!$A$2:$T$1000"),4,FALSE),0)</f>
        <v>0</v>
      </c>
      <c r="K414" s="37">
        <f ca="1">_xlfn.IFNA(VLOOKUP($A414,INDIRECT("'W"&amp;K$1&amp;"'!$A$2:$T$1000"),4,FALSE),0)</f>
        <v>0</v>
      </c>
      <c r="L414" s="37">
        <f ca="1">_xlfn.IFNA(VLOOKUP($A414,INDIRECT("'W"&amp;L$1&amp;"'!$A$2:$T$1000"),4,FALSE),0)</f>
        <v>0</v>
      </c>
      <c r="M414" s="37">
        <f ca="1">_xlfn.IFNA(VLOOKUP($A414,INDIRECT("'W"&amp;M$1&amp;"'!$A$2:$T$1000"),4,FALSE),0)</f>
        <v>0</v>
      </c>
      <c r="N414" s="37">
        <f ca="1">_xlfn.IFNA(VLOOKUP($A414,INDIRECT("'W"&amp;N$1&amp;"'!$A$2:$T$1000"),4,FALSE),0)</f>
        <v>0</v>
      </c>
      <c r="O414" s="37">
        <f ca="1">_xlfn.IFNA(VLOOKUP($A414,INDIRECT("'W"&amp;O$1&amp;"'!$A$2:$T$1000"),4,FALSE),0)</f>
        <v>0</v>
      </c>
      <c r="P414" s="37">
        <f ca="1">_xlfn.IFNA(VLOOKUP($A414,INDIRECT("'W"&amp;P$1&amp;"'!$A$2:$T$1000"),4,FALSE),0)</f>
        <v>4.5</v>
      </c>
      <c r="Q414" s="37">
        <f ca="1">_xlfn.IFNA(VLOOKUP($A414,INDIRECT("'W"&amp;Q$1&amp;"'!$A$2:$T$1000"),4,FALSE),0)</f>
        <v>2.8</v>
      </c>
      <c r="R414" s="37">
        <f ca="1">_xlfn.IFNA(VLOOKUP($A414,INDIRECT("'W"&amp;R$1&amp;"'!$A$2:$T$1000"),4,FALSE),0)</f>
        <v>12.8</v>
      </c>
      <c r="S414" s="37">
        <f ca="1">_xlfn.IFNA(VLOOKUP($A414,INDIRECT("'W"&amp;S$1&amp;"'!$A$2:$T$1000"),4,FALSE),0)</f>
        <v>3.4000000000000004</v>
      </c>
      <c r="T414" s="37">
        <f ca="1">_xlfn.IFNA(VLOOKUP($A414,INDIRECT("'W"&amp;T$1&amp;"'!$A$2:$T$1000"),4,FALSE),0)</f>
        <v>0</v>
      </c>
      <c r="U414" s="36">
        <f ca="1">COUNTIF(C414:T414,"&gt; 15")</f>
        <v>0</v>
      </c>
      <c r="V414" s="36">
        <f ca="1">SUM(C414:T414)</f>
        <v>23.5</v>
      </c>
      <c r="W414" s="36"/>
      <c r="X414" s="38"/>
    </row>
    <row r="415" spans="1:24" ht="12.75" x14ac:dyDescent="0.2">
      <c r="A415" s="36" t="s">
        <v>67</v>
      </c>
      <c r="B415" s="36" t="s">
        <v>17</v>
      </c>
      <c r="C415" s="37">
        <f ca="1">_xlfn.IFNA(VLOOKUP($A415,INDIRECT("'W"&amp;C$1&amp;"'!$A$2:$T$1000"),4,FALSE),0)</f>
        <v>-0.2</v>
      </c>
      <c r="D415" s="37">
        <f ca="1">_xlfn.IFNA(VLOOKUP($A415,INDIRECT("'W"&amp;D$1&amp;"'!$A$2:$T$1000"),4,FALSE),0)</f>
        <v>0</v>
      </c>
      <c r="E415" s="37">
        <f ca="1">_xlfn.IFNA(VLOOKUP($A415,INDIRECT("'W"&amp;E$1&amp;"'!$A$2:$T$1000"),4,FALSE),0)</f>
        <v>-0.1</v>
      </c>
      <c r="F415" s="37">
        <f ca="1">_xlfn.IFNA(VLOOKUP($A415,INDIRECT("'W"&amp;F$1&amp;"'!$A$2:$T$1000"),4,FALSE),0)</f>
        <v>-0.1</v>
      </c>
      <c r="G415" s="37">
        <f ca="1">_xlfn.IFNA(VLOOKUP($A415,INDIRECT("'W"&amp;G$1&amp;"'!$A$2:$T$1000"),4,FALSE),0)</f>
        <v>-6.0000000000000005E-2</v>
      </c>
      <c r="H415" s="37">
        <f ca="1">_xlfn.IFNA(VLOOKUP($A415,INDIRECT("'W"&amp;H$1&amp;"'!$A$2:$T$1000"),4,FALSE),0)</f>
        <v>0</v>
      </c>
      <c r="I415" s="37">
        <f ca="1">_xlfn.IFNA(VLOOKUP($A415,INDIRECT("'W"&amp;I$1&amp;"'!$A$2:$T$1000"),4,FALSE),0)</f>
        <v>0</v>
      </c>
      <c r="J415" s="37">
        <f ca="1">_xlfn.IFNA(VLOOKUP($A415,INDIRECT("'W"&amp;J$1&amp;"'!$A$2:$T$1000"),4,FALSE),0)</f>
        <v>0</v>
      </c>
      <c r="K415" s="37">
        <f ca="1">_xlfn.IFNA(VLOOKUP($A415,INDIRECT("'W"&amp;K$1&amp;"'!$A$2:$T$1000"),4,FALSE),0)</f>
        <v>0</v>
      </c>
      <c r="L415" s="37">
        <f ca="1">_xlfn.IFNA(VLOOKUP($A415,INDIRECT("'W"&amp;L$1&amp;"'!$A$2:$T$1000"),4,FALSE),0)</f>
        <v>-6.0000000000000053E-2</v>
      </c>
      <c r="M415" s="37">
        <f ca="1">_xlfn.IFNA(VLOOKUP($A415,INDIRECT("'W"&amp;M$1&amp;"'!$A$2:$T$1000"),4,FALSE),0)</f>
        <v>0</v>
      </c>
      <c r="N415" s="37">
        <f ca="1">_xlfn.IFNA(VLOOKUP($A415,INDIRECT("'W"&amp;N$1&amp;"'!$A$2:$T$1000"),4,FALSE),0)</f>
        <v>0</v>
      </c>
      <c r="O415" s="37">
        <f ca="1">_xlfn.IFNA(VLOOKUP($A415,INDIRECT("'W"&amp;O$1&amp;"'!$A$2:$T$1000"),4,FALSE),0)</f>
        <v>-0.1</v>
      </c>
      <c r="P415" s="37">
        <f ca="1">_xlfn.IFNA(VLOOKUP($A415,INDIRECT("'W"&amp;P$1&amp;"'!$A$2:$T$1000"),4,FALSE),0)</f>
        <v>0</v>
      </c>
      <c r="Q415" s="37">
        <f ca="1">_xlfn.IFNA(VLOOKUP($A415,INDIRECT("'W"&amp;Q$1&amp;"'!$A$2:$T$1000"),4,FALSE),0)</f>
        <v>0.60000000000000009</v>
      </c>
      <c r="R415" s="37">
        <f ca="1">_xlfn.IFNA(VLOOKUP($A415,INDIRECT("'W"&amp;R$1&amp;"'!$A$2:$T$1000"),4,FALSE),0)</f>
        <v>6.1400000000000006</v>
      </c>
      <c r="S415" s="37">
        <f ca="1">_xlfn.IFNA(VLOOKUP($A415,INDIRECT("'W"&amp;S$1&amp;"'!$A$2:$T$1000"),4,FALSE),0)</f>
        <v>-0.2</v>
      </c>
      <c r="T415" s="37">
        <f ca="1">_xlfn.IFNA(VLOOKUP($A415,INDIRECT("'W"&amp;T$1&amp;"'!$A$2:$T$1000"),4,FALSE),0)</f>
        <v>17.46</v>
      </c>
      <c r="U415" s="36">
        <f ca="1">COUNTIF(C415:T415,"&gt; 15")</f>
        <v>1</v>
      </c>
      <c r="V415" s="36">
        <f ca="1">SUM(C415:T415)</f>
        <v>23.380000000000003</v>
      </c>
      <c r="W415" s="36"/>
      <c r="X415" s="38"/>
    </row>
    <row r="416" spans="1:24" ht="12.75" x14ac:dyDescent="0.2">
      <c r="A416" s="36" t="s">
        <v>84</v>
      </c>
      <c r="B416" s="36" t="s">
        <v>75</v>
      </c>
      <c r="C416" s="37">
        <f ca="1">_xlfn.IFNA(VLOOKUP($A416,INDIRECT("'W"&amp;C$1&amp;"'!$A$2:$T$1000"),4,FALSE),0)</f>
        <v>16.700000000000003</v>
      </c>
      <c r="D416" s="37">
        <f ca="1">_xlfn.IFNA(VLOOKUP($A416,INDIRECT("'W"&amp;D$1&amp;"'!$A$2:$T$1000"),4,FALSE),0)</f>
        <v>6.4</v>
      </c>
      <c r="E416" s="37">
        <f ca="1">_xlfn.IFNA(VLOOKUP($A416,INDIRECT("'W"&amp;E$1&amp;"'!$A$2:$T$1000"),4,FALSE),0)</f>
        <v>0</v>
      </c>
      <c r="F416" s="37">
        <f ca="1">_xlfn.IFNA(VLOOKUP($A416,INDIRECT("'W"&amp;F$1&amp;"'!$A$2:$T$1000"),4,FALSE),0)</f>
        <v>0</v>
      </c>
      <c r="G416" s="37">
        <f ca="1">_xlfn.IFNA(VLOOKUP($A416,INDIRECT("'W"&amp;G$1&amp;"'!$A$2:$T$1000"),4,FALSE),0)</f>
        <v>0</v>
      </c>
      <c r="H416" s="37">
        <f ca="1">_xlfn.IFNA(VLOOKUP($A416,INDIRECT("'W"&amp;H$1&amp;"'!$A$2:$T$1000"),4,FALSE),0)</f>
        <v>0</v>
      </c>
      <c r="I416" s="37">
        <f ca="1">_xlfn.IFNA(VLOOKUP($A416,INDIRECT("'W"&amp;I$1&amp;"'!$A$2:$T$1000"),4,FALSE),0)</f>
        <v>0</v>
      </c>
      <c r="J416" s="37">
        <f ca="1">_xlfn.IFNA(VLOOKUP($A416,INDIRECT("'W"&amp;J$1&amp;"'!$A$2:$T$1000"),4,FALSE),0)</f>
        <v>0</v>
      </c>
      <c r="K416" s="37">
        <f ca="1">_xlfn.IFNA(VLOOKUP($A416,INDIRECT("'W"&amp;K$1&amp;"'!$A$2:$T$1000"),4,FALSE),0)</f>
        <v>0</v>
      </c>
      <c r="L416" s="37">
        <f ca="1">_xlfn.IFNA(VLOOKUP($A416,INDIRECT("'W"&amp;L$1&amp;"'!$A$2:$T$1000"),4,FALSE),0)</f>
        <v>0</v>
      </c>
      <c r="M416" s="37">
        <f ca="1">_xlfn.IFNA(VLOOKUP($A416,INDIRECT("'W"&amp;M$1&amp;"'!$A$2:$T$1000"),4,FALSE),0)</f>
        <v>0</v>
      </c>
      <c r="N416" s="37">
        <f ca="1">_xlfn.IFNA(VLOOKUP($A416,INDIRECT("'W"&amp;N$1&amp;"'!$A$2:$T$1000"),4,FALSE),0)</f>
        <v>0</v>
      </c>
      <c r="O416" s="37">
        <f ca="1">_xlfn.IFNA(VLOOKUP($A416,INDIRECT("'W"&amp;O$1&amp;"'!$A$2:$T$1000"),4,FALSE),0)</f>
        <v>0</v>
      </c>
      <c r="P416" s="37">
        <f ca="1">_xlfn.IFNA(VLOOKUP($A416,INDIRECT("'W"&amp;P$1&amp;"'!$A$2:$T$1000"),4,FALSE),0)</f>
        <v>0</v>
      </c>
      <c r="Q416" s="37">
        <f ca="1">_xlfn.IFNA(VLOOKUP($A416,INDIRECT("'W"&amp;Q$1&amp;"'!$A$2:$T$1000"),4,FALSE),0)</f>
        <v>0</v>
      </c>
      <c r="R416" s="37">
        <f ca="1">_xlfn.IFNA(VLOOKUP($A416,INDIRECT("'W"&amp;R$1&amp;"'!$A$2:$T$1000"),4,FALSE),0)</f>
        <v>0</v>
      </c>
      <c r="S416" s="37">
        <f ca="1">_xlfn.IFNA(VLOOKUP($A416,INDIRECT("'W"&amp;S$1&amp;"'!$A$2:$T$1000"),4,FALSE),0)</f>
        <v>0</v>
      </c>
      <c r="T416" s="37">
        <f ca="1">_xlfn.IFNA(VLOOKUP($A416,INDIRECT("'W"&amp;T$1&amp;"'!$A$2:$T$1000"),4,FALSE),0)</f>
        <v>0</v>
      </c>
      <c r="U416" s="36">
        <f ca="1">COUNTIF(C416:T416,"&gt; 15")</f>
        <v>1</v>
      </c>
      <c r="V416" s="36">
        <f ca="1">SUM(C416:T416)</f>
        <v>23.1</v>
      </c>
      <c r="W416" s="36"/>
      <c r="X416" s="38">
        <v>11</v>
      </c>
    </row>
    <row r="417" spans="1:24" ht="12.75" x14ac:dyDescent="0.2">
      <c r="A417" s="36" t="s">
        <v>314</v>
      </c>
      <c r="B417" s="36" t="s">
        <v>69</v>
      </c>
      <c r="C417" s="37">
        <f ca="1">_xlfn.IFNA(VLOOKUP($A417,INDIRECT("'W"&amp;C$1&amp;"'!$A$2:$T$1000"),4,FALSE),0)</f>
        <v>2.7</v>
      </c>
      <c r="D417" s="37">
        <f ca="1">_xlfn.IFNA(VLOOKUP($A417,INDIRECT("'W"&amp;D$1&amp;"'!$A$2:$T$1000"),4,FALSE),0)</f>
        <v>4.0999999999999996</v>
      </c>
      <c r="E417" s="37">
        <f ca="1">_xlfn.IFNA(VLOOKUP($A417,INDIRECT("'W"&amp;E$1&amp;"'!$A$2:$T$1000"),4,FALSE),0)</f>
        <v>7.5</v>
      </c>
      <c r="F417" s="37">
        <f ca="1">_xlfn.IFNA(VLOOKUP($A417,INDIRECT("'W"&amp;F$1&amp;"'!$A$2:$T$1000"),4,FALSE),0)</f>
        <v>0</v>
      </c>
      <c r="G417" s="37">
        <f ca="1">_xlfn.IFNA(VLOOKUP($A417,INDIRECT("'W"&amp;G$1&amp;"'!$A$2:$T$1000"),4,FALSE),0)</f>
        <v>1.9</v>
      </c>
      <c r="H417" s="37">
        <f ca="1">_xlfn.IFNA(VLOOKUP($A417,INDIRECT("'W"&amp;H$1&amp;"'!$A$2:$T$1000"),4,FALSE),0)</f>
        <v>0</v>
      </c>
      <c r="I417" s="37">
        <f ca="1">_xlfn.IFNA(VLOOKUP($A417,INDIRECT("'W"&amp;I$1&amp;"'!$A$2:$T$1000"),4,FALSE),0)</f>
        <v>0</v>
      </c>
      <c r="J417" s="37">
        <f ca="1">_xlfn.IFNA(VLOOKUP($A417,INDIRECT("'W"&amp;J$1&amp;"'!$A$2:$T$1000"),4,FALSE),0)</f>
        <v>0</v>
      </c>
      <c r="K417" s="37">
        <f ca="1">_xlfn.IFNA(VLOOKUP($A417,INDIRECT("'W"&amp;K$1&amp;"'!$A$2:$T$1000"),4,FALSE),0)</f>
        <v>0</v>
      </c>
      <c r="L417" s="37">
        <f ca="1">_xlfn.IFNA(VLOOKUP($A417,INDIRECT("'W"&amp;L$1&amp;"'!$A$2:$T$1000"),4,FALSE),0)</f>
        <v>0</v>
      </c>
      <c r="M417" s="37">
        <f ca="1">_xlfn.IFNA(VLOOKUP($A417,INDIRECT("'W"&amp;M$1&amp;"'!$A$2:$T$1000"),4,FALSE),0)</f>
        <v>1.7000000000000002</v>
      </c>
      <c r="N417" s="37">
        <f ca="1">_xlfn.IFNA(VLOOKUP($A417,INDIRECT("'W"&amp;N$1&amp;"'!$A$2:$T$1000"),4,FALSE),0)</f>
        <v>3.9000000000000004</v>
      </c>
      <c r="O417" s="37">
        <f ca="1">_xlfn.IFNA(VLOOKUP($A417,INDIRECT("'W"&amp;O$1&amp;"'!$A$2:$T$1000"),4,FALSE),0)</f>
        <v>1.2</v>
      </c>
      <c r="P417" s="37">
        <f ca="1">_xlfn.IFNA(VLOOKUP($A417,INDIRECT("'W"&amp;P$1&amp;"'!$A$2:$T$1000"),4,FALSE),0)</f>
        <v>0</v>
      </c>
      <c r="Q417" s="37">
        <f ca="1">_xlfn.IFNA(VLOOKUP($A417,INDIRECT("'W"&amp;Q$1&amp;"'!$A$2:$T$1000"),4,FALSE),0)</f>
        <v>0</v>
      </c>
      <c r="R417" s="37">
        <f ca="1">_xlfn.IFNA(VLOOKUP($A417,INDIRECT("'W"&amp;R$1&amp;"'!$A$2:$T$1000"),4,FALSE),0)</f>
        <v>0</v>
      </c>
      <c r="S417" s="37">
        <f ca="1">_xlfn.IFNA(VLOOKUP($A417,INDIRECT("'W"&amp;S$1&amp;"'!$A$2:$T$1000"),4,FALSE),0)</f>
        <v>0</v>
      </c>
      <c r="T417" s="37">
        <f ca="1">_xlfn.IFNA(VLOOKUP($A417,INDIRECT("'W"&amp;T$1&amp;"'!$A$2:$T$1000"),4,FALSE),0)</f>
        <v>0</v>
      </c>
      <c r="U417" s="36">
        <f ca="1">COUNTIF(C417:T417,"&gt; 15")</f>
        <v>0</v>
      </c>
      <c r="V417" s="36">
        <f ca="1">SUM(C417:T417)</f>
        <v>22.999999999999996</v>
      </c>
      <c r="W417" s="36"/>
      <c r="X417" s="38"/>
    </row>
    <row r="418" spans="1:24" ht="12.75" x14ac:dyDescent="0.2">
      <c r="A418" s="36" t="s">
        <v>754</v>
      </c>
      <c r="B418" s="36" t="e">
        <f ca="1">VLOOKUP(A418,CumulativePlayerList!$T$3:$U$550,2,FALSE)</f>
        <v>#NAME?</v>
      </c>
      <c r="C418" s="37">
        <f ca="1">_xlfn.IFNA(VLOOKUP($A418,INDIRECT("'W"&amp;C$1&amp;"'!$A$2:$T$1000"),4,FALSE),0)</f>
        <v>0</v>
      </c>
      <c r="D418" s="37">
        <f ca="1">_xlfn.IFNA(VLOOKUP($A418,INDIRECT("'W"&amp;D$1&amp;"'!$A$2:$T$1000"),4,FALSE),0)</f>
        <v>0</v>
      </c>
      <c r="E418" s="37">
        <f ca="1">_xlfn.IFNA(VLOOKUP($A418,INDIRECT("'W"&amp;E$1&amp;"'!$A$2:$T$1000"),4,FALSE),0)</f>
        <v>0</v>
      </c>
      <c r="F418" s="37">
        <f ca="1">_xlfn.IFNA(VLOOKUP($A418,INDIRECT("'W"&amp;F$1&amp;"'!$A$2:$T$1000"),4,FALSE),0)</f>
        <v>0</v>
      </c>
      <c r="G418" s="37">
        <f ca="1">_xlfn.IFNA(VLOOKUP($A418,INDIRECT("'W"&amp;G$1&amp;"'!$A$2:$T$1000"),4,FALSE),0)</f>
        <v>0</v>
      </c>
      <c r="H418" s="37">
        <f ca="1">_xlfn.IFNA(VLOOKUP($A418,INDIRECT("'W"&amp;H$1&amp;"'!$A$2:$T$1000"),4,FALSE),0)</f>
        <v>0</v>
      </c>
      <c r="I418" s="37">
        <f ca="1">_xlfn.IFNA(VLOOKUP($A418,INDIRECT("'W"&amp;I$1&amp;"'!$A$2:$T$1000"),4,FALSE),0)</f>
        <v>0</v>
      </c>
      <c r="J418" s="37">
        <f ca="1">_xlfn.IFNA(VLOOKUP($A418,INDIRECT("'W"&amp;J$1&amp;"'!$A$2:$T$1000"),4,FALSE),0)</f>
        <v>0</v>
      </c>
      <c r="K418" s="37">
        <f ca="1">_xlfn.IFNA(VLOOKUP($A418,INDIRECT("'W"&amp;K$1&amp;"'!$A$2:$T$1000"),4,FALSE),0)</f>
        <v>0</v>
      </c>
      <c r="L418" s="37">
        <f ca="1">_xlfn.IFNA(VLOOKUP($A418,INDIRECT("'W"&amp;L$1&amp;"'!$A$2:$T$1000"),4,FALSE),0)</f>
        <v>0</v>
      </c>
      <c r="M418" s="37">
        <f ca="1">_xlfn.IFNA(VLOOKUP($A418,INDIRECT("'W"&amp;M$1&amp;"'!$A$2:$T$1000"),4,FALSE),0)</f>
        <v>0</v>
      </c>
      <c r="N418" s="37">
        <f ca="1">_xlfn.IFNA(VLOOKUP($A418,INDIRECT("'W"&amp;N$1&amp;"'!$A$2:$T$1000"),4,FALSE),0)</f>
        <v>0</v>
      </c>
      <c r="O418" s="37">
        <f ca="1">_xlfn.IFNA(VLOOKUP($A418,INDIRECT("'W"&amp;O$1&amp;"'!$A$2:$T$1000"),4,FALSE),0)</f>
        <v>0</v>
      </c>
      <c r="P418" s="37">
        <f ca="1">_xlfn.IFNA(VLOOKUP($A418,INDIRECT("'W"&amp;P$1&amp;"'!$A$2:$T$1000"),4,FALSE),0)</f>
        <v>0</v>
      </c>
      <c r="Q418" s="37">
        <f ca="1">_xlfn.IFNA(VLOOKUP($A418,INDIRECT("'W"&amp;Q$1&amp;"'!$A$2:$T$1000"),4,FALSE),0)</f>
        <v>13.860000000000001</v>
      </c>
      <c r="R418" s="37">
        <f ca="1">_xlfn.IFNA(VLOOKUP($A418,INDIRECT("'W"&amp;R$1&amp;"'!$A$2:$T$1000"),4,FALSE),0)</f>
        <v>9</v>
      </c>
      <c r="S418" s="37">
        <f ca="1">_xlfn.IFNA(VLOOKUP($A418,INDIRECT("'W"&amp;S$1&amp;"'!$A$2:$T$1000"),4,FALSE),0)</f>
        <v>0</v>
      </c>
      <c r="T418" s="37">
        <f ca="1">_xlfn.IFNA(VLOOKUP($A418,INDIRECT("'W"&amp;T$1&amp;"'!$A$2:$T$1000"),4,FALSE),0)</f>
        <v>0</v>
      </c>
      <c r="U418" s="36">
        <f ca="1">COUNTIF(C418:T418,"&gt; 15")</f>
        <v>0</v>
      </c>
      <c r="V418" s="36">
        <f ca="1">SUM(C418:T418)</f>
        <v>22.86</v>
      </c>
      <c r="W418" s="36"/>
      <c r="X418" s="38"/>
    </row>
    <row r="419" spans="1:24" ht="12.75" x14ac:dyDescent="0.2">
      <c r="A419" s="36" t="s">
        <v>112</v>
      </c>
      <c r="B419" s="36" t="s">
        <v>75</v>
      </c>
      <c r="C419" s="37">
        <f ca="1">_xlfn.IFNA(VLOOKUP($A419,INDIRECT("'W"&amp;C$1&amp;"'!$A$2:$T$1000"),4,FALSE),0)</f>
        <v>5.3</v>
      </c>
      <c r="D419" s="37">
        <f ca="1">_xlfn.IFNA(VLOOKUP($A419,INDIRECT("'W"&amp;D$1&amp;"'!$A$2:$T$1000"),4,FALSE),0)</f>
        <v>0</v>
      </c>
      <c r="E419" s="37">
        <f ca="1">_xlfn.IFNA(VLOOKUP($A419,INDIRECT("'W"&amp;E$1&amp;"'!$A$2:$T$1000"),4,FALSE),0)</f>
        <v>7</v>
      </c>
      <c r="F419" s="37">
        <f ca="1">_xlfn.IFNA(VLOOKUP($A419,INDIRECT("'W"&amp;F$1&amp;"'!$A$2:$T$1000"),4,FALSE),0)</f>
        <v>1</v>
      </c>
      <c r="G419" s="37">
        <f ca="1">_xlfn.IFNA(VLOOKUP($A419,INDIRECT("'W"&amp;G$1&amp;"'!$A$2:$T$1000"),4,FALSE),0)</f>
        <v>0.8</v>
      </c>
      <c r="H419" s="37">
        <f ca="1">_xlfn.IFNA(VLOOKUP($A419,INDIRECT("'W"&amp;H$1&amp;"'!$A$2:$T$1000"),4,FALSE),0)</f>
        <v>1.8</v>
      </c>
      <c r="I419" s="37">
        <f ca="1">_xlfn.IFNA(VLOOKUP($A419,INDIRECT("'W"&amp;I$1&amp;"'!$A$2:$T$1000"),4,FALSE),0)</f>
        <v>0.2</v>
      </c>
      <c r="J419" s="37">
        <f ca="1">_xlfn.IFNA(VLOOKUP($A419,INDIRECT("'W"&amp;J$1&amp;"'!$A$2:$T$1000"),4,FALSE),0)</f>
        <v>-1.1000000000000001</v>
      </c>
      <c r="K419" s="37">
        <f ca="1">_xlfn.IFNA(VLOOKUP($A419,INDIRECT("'W"&amp;K$1&amp;"'!$A$2:$T$1000"),4,FALSE),0)</f>
        <v>0</v>
      </c>
      <c r="L419" s="37">
        <f ca="1">_xlfn.IFNA(VLOOKUP($A419,INDIRECT("'W"&amp;L$1&amp;"'!$A$2:$T$1000"),4,FALSE),0)</f>
        <v>0.5</v>
      </c>
      <c r="M419" s="37">
        <f ca="1">_xlfn.IFNA(VLOOKUP($A419,INDIRECT("'W"&amp;M$1&amp;"'!$A$2:$T$1000"),4,FALSE),0)</f>
        <v>2.1</v>
      </c>
      <c r="N419" s="37">
        <f ca="1">_xlfn.IFNA(VLOOKUP($A419,INDIRECT("'W"&amp;N$1&amp;"'!$A$2:$T$1000"),4,FALSE),0)</f>
        <v>0.60000000000000009</v>
      </c>
      <c r="O419" s="37">
        <f ca="1">_xlfn.IFNA(VLOOKUP($A419,INDIRECT("'W"&amp;O$1&amp;"'!$A$2:$T$1000"),4,FALSE),0)</f>
        <v>0</v>
      </c>
      <c r="P419" s="37">
        <f ca="1">_xlfn.IFNA(VLOOKUP($A419,INDIRECT("'W"&amp;P$1&amp;"'!$A$2:$T$1000"),4,FALSE),0)</f>
        <v>0</v>
      </c>
      <c r="Q419" s="37">
        <f ca="1">_xlfn.IFNA(VLOOKUP($A419,INDIRECT("'W"&amp;Q$1&amp;"'!$A$2:$T$1000"),4,FALSE),0)</f>
        <v>-0.2</v>
      </c>
      <c r="R419" s="37">
        <f ca="1">_xlfn.IFNA(VLOOKUP($A419,INDIRECT("'W"&amp;R$1&amp;"'!$A$2:$T$1000"),4,FALSE),0)</f>
        <v>0</v>
      </c>
      <c r="S419" s="37">
        <f ca="1">_xlfn.IFNA(VLOOKUP($A419,INDIRECT("'W"&amp;S$1&amp;"'!$A$2:$T$1000"),4,FALSE),0)</f>
        <v>3.2</v>
      </c>
      <c r="T419" s="37">
        <f ca="1">_xlfn.IFNA(VLOOKUP($A419,INDIRECT("'W"&amp;T$1&amp;"'!$A$2:$T$1000"),4,FALSE),0)</f>
        <v>1.6</v>
      </c>
      <c r="U419" s="36">
        <f ca="1">COUNTIF(C419:T419,"&gt; 15")</f>
        <v>0</v>
      </c>
      <c r="V419" s="36">
        <f ca="1">SUM(C419:T419)</f>
        <v>22.800000000000004</v>
      </c>
      <c r="W419" s="36"/>
      <c r="X419" s="38"/>
    </row>
    <row r="420" spans="1:24" ht="12.75" x14ac:dyDescent="0.2">
      <c r="A420" s="36" t="s">
        <v>419</v>
      </c>
      <c r="B420" s="36" t="s">
        <v>162</v>
      </c>
      <c r="C420" s="37">
        <f ca="1">_xlfn.IFNA(VLOOKUP($A420,INDIRECT("'W"&amp;C$1&amp;"'!$A$2:$T$1000"),4,FALSE),0)</f>
        <v>0</v>
      </c>
      <c r="D420" s="37">
        <f ca="1">_xlfn.IFNA(VLOOKUP($A420,INDIRECT("'W"&amp;D$1&amp;"'!$A$2:$T$1000"),4,FALSE),0)</f>
        <v>0</v>
      </c>
      <c r="E420" s="37">
        <f ca="1">_xlfn.IFNA(VLOOKUP($A420,INDIRECT("'W"&amp;E$1&amp;"'!$A$2:$T$1000"),4,FALSE),0)</f>
        <v>13.8</v>
      </c>
      <c r="F420" s="37">
        <f ca="1">_xlfn.IFNA(VLOOKUP($A420,INDIRECT("'W"&amp;F$1&amp;"'!$A$2:$T$1000"),4,FALSE),0)</f>
        <v>0</v>
      </c>
      <c r="G420" s="37">
        <f ca="1">_xlfn.IFNA(VLOOKUP($A420,INDIRECT("'W"&amp;G$1&amp;"'!$A$2:$T$1000"),4,FALSE),0)</f>
        <v>0</v>
      </c>
      <c r="H420" s="37">
        <f ca="1">_xlfn.IFNA(VLOOKUP($A420,INDIRECT("'W"&amp;H$1&amp;"'!$A$2:$T$1000"),4,FALSE),0)</f>
        <v>0</v>
      </c>
      <c r="I420" s="37">
        <f ca="1">_xlfn.IFNA(VLOOKUP($A420,INDIRECT("'W"&amp;I$1&amp;"'!$A$2:$T$1000"),4,FALSE),0)</f>
        <v>0</v>
      </c>
      <c r="J420" s="37">
        <f ca="1">_xlfn.IFNA(VLOOKUP($A420,INDIRECT("'W"&amp;J$1&amp;"'!$A$2:$T$1000"),4,FALSE),0)</f>
        <v>0</v>
      </c>
      <c r="K420" s="37">
        <f ca="1">_xlfn.IFNA(VLOOKUP($A420,INDIRECT("'W"&amp;K$1&amp;"'!$A$2:$T$1000"),4,FALSE),0)</f>
        <v>0</v>
      </c>
      <c r="L420" s="37">
        <f ca="1">_xlfn.IFNA(VLOOKUP($A420,INDIRECT("'W"&amp;L$1&amp;"'!$A$2:$T$1000"),4,FALSE),0)</f>
        <v>0</v>
      </c>
      <c r="M420" s="37">
        <f ca="1">_xlfn.IFNA(VLOOKUP($A420,INDIRECT("'W"&amp;M$1&amp;"'!$A$2:$T$1000"),4,FALSE),0)</f>
        <v>5.9</v>
      </c>
      <c r="N420" s="37">
        <f ca="1">_xlfn.IFNA(VLOOKUP($A420,INDIRECT("'W"&amp;N$1&amp;"'!$A$2:$T$1000"),4,FALSE),0)</f>
        <v>0</v>
      </c>
      <c r="O420" s="37">
        <f ca="1">_xlfn.IFNA(VLOOKUP($A420,INDIRECT("'W"&amp;O$1&amp;"'!$A$2:$T$1000"),4,FALSE),0)</f>
        <v>0</v>
      </c>
      <c r="P420" s="37">
        <f ca="1">_xlfn.IFNA(VLOOKUP($A420,INDIRECT("'W"&amp;P$1&amp;"'!$A$2:$T$1000"),4,FALSE),0)</f>
        <v>0</v>
      </c>
      <c r="Q420" s="37">
        <f ca="1">_xlfn.IFNA(VLOOKUP($A420,INDIRECT("'W"&amp;Q$1&amp;"'!$A$2:$T$1000"),4,FALSE),0)</f>
        <v>0</v>
      </c>
      <c r="R420" s="37">
        <f ca="1">_xlfn.IFNA(VLOOKUP($A420,INDIRECT("'W"&amp;R$1&amp;"'!$A$2:$T$1000"),4,FALSE),0)</f>
        <v>2.9000000000000004</v>
      </c>
      <c r="S420" s="37">
        <f ca="1">_xlfn.IFNA(VLOOKUP($A420,INDIRECT("'W"&amp;S$1&amp;"'!$A$2:$T$1000"),4,FALSE),0)</f>
        <v>0</v>
      </c>
      <c r="T420" s="37">
        <f ca="1">_xlfn.IFNA(VLOOKUP($A420,INDIRECT("'W"&amp;T$1&amp;"'!$A$2:$T$1000"),4,FALSE),0)</f>
        <v>0</v>
      </c>
      <c r="U420" s="36">
        <f ca="1">COUNTIF(C420:T420,"&gt; 15")</f>
        <v>0</v>
      </c>
      <c r="V420" s="36">
        <f ca="1">SUM(C420:T420)</f>
        <v>22.6</v>
      </c>
      <c r="W420" s="36"/>
      <c r="X420" s="38"/>
    </row>
    <row r="421" spans="1:24" ht="12.75" x14ac:dyDescent="0.2">
      <c r="A421" s="36" t="s">
        <v>652</v>
      </c>
      <c r="B421" s="36" t="s">
        <v>162</v>
      </c>
      <c r="C421" s="37">
        <f ca="1">_xlfn.IFNA(VLOOKUP($A421,INDIRECT("'W"&amp;C$1&amp;"'!$A$2:$T$1000"),4,FALSE),0)</f>
        <v>0</v>
      </c>
      <c r="D421" s="37">
        <f ca="1">_xlfn.IFNA(VLOOKUP($A421,INDIRECT("'W"&amp;D$1&amp;"'!$A$2:$T$1000"),4,FALSE),0)</f>
        <v>0</v>
      </c>
      <c r="E421" s="37">
        <f ca="1">_xlfn.IFNA(VLOOKUP($A421,INDIRECT("'W"&amp;E$1&amp;"'!$A$2:$T$1000"),4,FALSE),0)</f>
        <v>0</v>
      </c>
      <c r="F421" s="37">
        <f ca="1">_xlfn.IFNA(VLOOKUP($A421,INDIRECT("'W"&amp;F$1&amp;"'!$A$2:$T$1000"),4,FALSE),0)</f>
        <v>0</v>
      </c>
      <c r="G421" s="37">
        <f ca="1">_xlfn.IFNA(VLOOKUP($A421,INDIRECT("'W"&amp;G$1&amp;"'!$A$2:$T$1000"),4,FALSE),0)</f>
        <v>0</v>
      </c>
      <c r="H421" s="37">
        <f ca="1">_xlfn.IFNA(VLOOKUP($A421,INDIRECT("'W"&amp;H$1&amp;"'!$A$2:$T$1000"),4,FALSE),0)</f>
        <v>0</v>
      </c>
      <c r="I421" s="37">
        <f ca="1">_xlfn.IFNA(VLOOKUP($A421,INDIRECT("'W"&amp;I$1&amp;"'!$A$2:$T$1000"),4,FALSE),0)</f>
        <v>0</v>
      </c>
      <c r="J421" s="37">
        <f ca="1">_xlfn.IFNA(VLOOKUP($A421,INDIRECT("'W"&amp;J$1&amp;"'!$A$2:$T$1000"),4,FALSE),0)</f>
        <v>0</v>
      </c>
      <c r="K421" s="37">
        <f ca="1">_xlfn.IFNA(VLOOKUP($A421,INDIRECT("'W"&amp;K$1&amp;"'!$A$2:$T$1000"),4,FALSE),0)</f>
        <v>0</v>
      </c>
      <c r="L421" s="37">
        <f ca="1">_xlfn.IFNA(VLOOKUP($A421,INDIRECT("'W"&amp;L$1&amp;"'!$A$2:$T$1000"),4,FALSE),0)</f>
        <v>2.2000000000000002</v>
      </c>
      <c r="M421" s="37">
        <f ca="1">_xlfn.IFNA(VLOOKUP($A421,INDIRECT("'W"&amp;M$1&amp;"'!$A$2:$T$1000"),4,FALSE),0)</f>
        <v>0</v>
      </c>
      <c r="N421" s="37">
        <f ca="1">_xlfn.IFNA(VLOOKUP($A421,INDIRECT("'W"&amp;N$1&amp;"'!$A$2:$T$1000"),4,FALSE),0)</f>
        <v>4</v>
      </c>
      <c r="O421" s="37">
        <f ca="1">_xlfn.IFNA(VLOOKUP($A421,INDIRECT("'W"&amp;O$1&amp;"'!$A$2:$T$1000"),4,FALSE),0)</f>
        <v>0.89999999999999991</v>
      </c>
      <c r="P421" s="37">
        <f ca="1">_xlfn.IFNA(VLOOKUP($A421,INDIRECT("'W"&amp;P$1&amp;"'!$A$2:$T$1000"),4,FALSE),0)</f>
        <v>6.4</v>
      </c>
      <c r="Q421" s="37">
        <f ca="1">_xlfn.IFNA(VLOOKUP($A421,INDIRECT("'W"&amp;Q$1&amp;"'!$A$2:$T$1000"),4,FALSE),0)</f>
        <v>6.1</v>
      </c>
      <c r="R421" s="37">
        <f ca="1">_xlfn.IFNA(VLOOKUP($A421,INDIRECT("'W"&amp;R$1&amp;"'!$A$2:$T$1000"),4,FALSE),0)</f>
        <v>0</v>
      </c>
      <c r="S421" s="37">
        <f ca="1">_xlfn.IFNA(VLOOKUP($A421,INDIRECT("'W"&amp;S$1&amp;"'!$A$2:$T$1000"),4,FALSE),0)</f>
        <v>1.6</v>
      </c>
      <c r="T421" s="37">
        <f ca="1">_xlfn.IFNA(VLOOKUP($A421,INDIRECT("'W"&amp;T$1&amp;"'!$A$2:$T$1000"),4,FALSE),0)</f>
        <v>1.3</v>
      </c>
      <c r="U421" s="36">
        <f ca="1">COUNTIF(C421:T421,"&gt; 15")</f>
        <v>0</v>
      </c>
      <c r="V421" s="36">
        <f ca="1">SUM(C421:T421)</f>
        <v>22.500000000000004</v>
      </c>
      <c r="W421" s="36"/>
      <c r="X421" s="38"/>
    </row>
    <row r="422" spans="1:24" ht="12.75" x14ac:dyDescent="0.2">
      <c r="A422" s="36" t="s">
        <v>577</v>
      </c>
      <c r="B422" s="36" t="s">
        <v>162</v>
      </c>
      <c r="C422" s="37">
        <f ca="1">_xlfn.IFNA(VLOOKUP($A422,INDIRECT("'W"&amp;C$1&amp;"'!$A$2:$T$1000"),4,FALSE),0)</f>
        <v>0</v>
      </c>
      <c r="D422" s="37">
        <f ca="1">_xlfn.IFNA(VLOOKUP($A422,INDIRECT("'W"&amp;D$1&amp;"'!$A$2:$T$1000"),4,FALSE),0)</f>
        <v>0</v>
      </c>
      <c r="E422" s="37">
        <f ca="1">_xlfn.IFNA(VLOOKUP($A422,INDIRECT("'W"&amp;E$1&amp;"'!$A$2:$T$1000"),4,FALSE),0)</f>
        <v>0</v>
      </c>
      <c r="F422" s="37">
        <f ca="1">_xlfn.IFNA(VLOOKUP($A422,INDIRECT("'W"&amp;F$1&amp;"'!$A$2:$T$1000"),4,FALSE),0)</f>
        <v>0</v>
      </c>
      <c r="G422" s="37">
        <f ca="1">_xlfn.IFNA(VLOOKUP($A422,INDIRECT("'W"&amp;G$1&amp;"'!$A$2:$T$1000"),4,FALSE),0)</f>
        <v>0</v>
      </c>
      <c r="H422" s="37">
        <f ca="1">_xlfn.IFNA(VLOOKUP($A422,INDIRECT("'W"&amp;H$1&amp;"'!$A$2:$T$1000"),4,FALSE),0)</f>
        <v>0</v>
      </c>
      <c r="I422" s="37">
        <f ca="1">_xlfn.IFNA(VLOOKUP($A422,INDIRECT("'W"&amp;I$1&amp;"'!$A$2:$T$1000"),4,FALSE),0)</f>
        <v>2.1</v>
      </c>
      <c r="J422" s="37">
        <f ca="1">_xlfn.IFNA(VLOOKUP($A422,INDIRECT("'W"&amp;J$1&amp;"'!$A$2:$T$1000"),4,FALSE),0)</f>
        <v>0</v>
      </c>
      <c r="K422" s="37">
        <f ca="1">_xlfn.IFNA(VLOOKUP($A422,INDIRECT("'W"&amp;K$1&amp;"'!$A$2:$T$1000"),4,FALSE),0)</f>
        <v>2.1</v>
      </c>
      <c r="L422" s="37">
        <f ca="1">_xlfn.IFNA(VLOOKUP($A422,INDIRECT("'W"&amp;L$1&amp;"'!$A$2:$T$1000"),4,FALSE),0)</f>
        <v>0</v>
      </c>
      <c r="M422" s="37">
        <f ca="1">_xlfn.IFNA(VLOOKUP($A422,INDIRECT("'W"&amp;M$1&amp;"'!$A$2:$T$1000"),4,FALSE),0)</f>
        <v>0</v>
      </c>
      <c r="N422" s="37">
        <f ca="1">_xlfn.IFNA(VLOOKUP($A422,INDIRECT("'W"&amp;N$1&amp;"'!$A$2:$T$1000"),4,FALSE),0)</f>
        <v>0</v>
      </c>
      <c r="O422" s="37">
        <f ca="1">_xlfn.IFNA(VLOOKUP($A422,INDIRECT("'W"&amp;O$1&amp;"'!$A$2:$T$1000"),4,FALSE),0)</f>
        <v>2.1</v>
      </c>
      <c r="P422" s="37">
        <f ca="1">_xlfn.IFNA(VLOOKUP($A422,INDIRECT("'W"&amp;P$1&amp;"'!$A$2:$T$1000"),4,FALSE),0)</f>
        <v>0</v>
      </c>
      <c r="Q422" s="37">
        <f ca="1">_xlfn.IFNA(VLOOKUP($A422,INDIRECT("'W"&amp;Q$1&amp;"'!$A$2:$T$1000"),4,FALSE),0)</f>
        <v>0</v>
      </c>
      <c r="R422" s="37">
        <f ca="1">_xlfn.IFNA(VLOOKUP($A422,INDIRECT("'W"&amp;R$1&amp;"'!$A$2:$T$1000"),4,FALSE),0)</f>
        <v>5.3000000000000007</v>
      </c>
      <c r="S422" s="37">
        <f ca="1">_xlfn.IFNA(VLOOKUP($A422,INDIRECT("'W"&amp;S$1&amp;"'!$A$2:$T$1000"),4,FALSE),0)</f>
        <v>4.9000000000000004</v>
      </c>
      <c r="T422" s="37">
        <f ca="1">_xlfn.IFNA(VLOOKUP($A422,INDIRECT("'W"&amp;T$1&amp;"'!$A$2:$T$1000"),4,FALSE),0)</f>
        <v>6</v>
      </c>
      <c r="U422" s="36">
        <f ca="1">COUNTIF(C422:T422,"&gt; 15")</f>
        <v>0</v>
      </c>
      <c r="V422" s="36">
        <f ca="1">SUM(C422:T422)</f>
        <v>22.5</v>
      </c>
      <c r="W422" s="36"/>
      <c r="X422" s="38"/>
    </row>
    <row r="423" spans="1:24" ht="12.75" x14ac:dyDescent="0.2">
      <c r="A423" s="36" t="s">
        <v>479</v>
      </c>
      <c r="B423" s="36" t="s">
        <v>69</v>
      </c>
      <c r="C423" s="37">
        <f ca="1">_xlfn.IFNA(VLOOKUP($A423,INDIRECT("'W"&amp;C$1&amp;"'!$A$2:$T$1000"),4,FALSE),0)</f>
        <v>0</v>
      </c>
      <c r="D423" s="37">
        <f ca="1">_xlfn.IFNA(VLOOKUP($A423,INDIRECT("'W"&amp;D$1&amp;"'!$A$2:$T$1000"),4,FALSE),0)</f>
        <v>0</v>
      </c>
      <c r="E423" s="37">
        <f ca="1">_xlfn.IFNA(VLOOKUP($A423,INDIRECT("'W"&amp;E$1&amp;"'!$A$2:$T$1000"),4,FALSE),0)</f>
        <v>0</v>
      </c>
      <c r="F423" s="37">
        <f ca="1">_xlfn.IFNA(VLOOKUP($A423,INDIRECT("'W"&amp;F$1&amp;"'!$A$2:$T$1000"),4,FALSE),0)</f>
        <v>3.8</v>
      </c>
      <c r="G423" s="37">
        <f ca="1">_xlfn.IFNA(VLOOKUP($A423,INDIRECT("'W"&amp;G$1&amp;"'!$A$2:$T$1000"),4,FALSE),0)</f>
        <v>3</v>
      </c>
      <c r="H423" s="37">
        <f ca="1">_xlfn.IFNA(VLOOKUP($A423,INDIRECT("'W"&amp;H$1&amp;"'!$A$2:$T$1000"),4,FALSE),0)</f>
        <v>2.1</v>
      </c>
      <c r="I423" s="37">
        <f ca="1">_xlfn.IFNA(VLOOKUP($A423,INDIRECT("'W"&amp;I$1&amp;"'!$A$2:$T$1000"),4,FALSE),0)</f>
        <v>0</v>
      </c>
      <c r="J423" s="37">
        <f ca="1">_xlfn.IFNA(VLOOKUP($A423,INDIRECT("'W"&amp;J$1&amp;"'!$A$2:$T$1000"),4,FALSE),0)</f>
        <v>1.8</v>
      </c>
      <c r="K423" s="37">
        <f ca="1">_xlfn.IFNA(VLOOKUP($A423,INDIRECT("'W"&amp;K$1&amp;"'!$A$2:$T$1000"),4,FALSE),0)</f>
        <v>2.1</v>
      </c>
      <c r="L423" s="37">
        <f ca="1">_xlfn.IFNA(VLOOKUP($A423,INDIRECT("'W"&amp;L$1&amp;"'!$A$2:$T$1000"),4,FALSE),0)</f>
        <v>0</v>
      </c>
      <c r="M423" s="37">
        <f ca="1">_xlfn.IFNA(VLOOKUP($A423,INDIRECT("'W"&amp;M$1&amp;"'!$A$2:$T$1000"),4,FALSE),0)</f>
        <v>0</v>
      </c>
      <c r="N423" s="37">
        <f ca="1">_xlfn.IFNA(VLOOKUP($A423,INDIRECT("'W"&amp;N$1&amp;"'!$A$2:$T$1000"),4,FALSE),0)</f>
        <v>0</v>
      </c>
      <c r="O423" s="37">
        <f ca="1">_xlfn.IFNA(VLOOKUP($A423,INDIRECT("'W"&amp;O$1&amp;"'!$A$2:$T$1000"),4,FALSE),0)</f>
        <v>0</v>
      </c>
      <c r="P423" s="37">
        <f ca="1">_xlfn.IFNA(VLOOKUP($A423,INDIRECT("'W"&amp;P$1&amp;"'!$A$2:$T$1000"),4,FALSE),0)</f>
        <v>0</v>
      </c>
      <c r="Q423" s="37">
        <f ca="1">_xlfn.IFNA(VLOOKUP($A423,INDIRECT("'W"&amp;Q$1&amp;"'!$A$2:$T$1000"),4,FALSE),0)</f>
        <v>0</v>
      </c>
      <c r="R423" s="37">
        <f ca="1">_xlfn.IFNA(VLOOKUP($A423,INDIRECT("'W"&amp;R$1&amp;"'!$A$2:$T$1000"),4,FALSE),0)</f>
        <v>2.4000000000000004</v>
      </c>
      <c r="S423" s="37">
        <f ca="1">_xlfn.IFNA(VLOOKUP($A423,INDIRECT("'W"&amp;S$1&amp;"'!$A$2:$T$1000"),4,FALSE),0)</f>
        <v>7</v>
      </c>
      <c r="T423" s="37">
        <f ca="1">_xlfn.IFNA(VLOOKUP($A423,INDIRECT("'W"&amp;T$1&amp;"'!$A$2:$T$1000"),4,FALSE),0)</f>
        <v>0</v>
      </c>
      <c r="U423" s="36">
        <f ca="1">COUNTIF(C423:T423,"&gt; 15")</f>
        <v>0</v>
      </c>
      <c r="V423" s="36">
        <f ca="1">SUM(C423:T423)</f>
        <v>22.200000000000003</v>
      </c>
      <c r="W423" s="36"/>
      <c r="X423" s="38"/>
    </row>
    <row r="424" spans="1:24" ht="12.75" x14ac:dyDescent="0.2">
      <c r="A424" s="36" t="s">
        <v>496</v>
      </c>
      <c r="B424" s="36" t="s">
        <v>17</v>
      </c>
      <c r="C424" s="37">
        <f ca="1">_xlfn.IFNA(VLOOKUP($A424,INDIRECT("'W"&amp;C$1&amp;"'!$A$2:$T$1000"),4,FALSE),0)</f>
        <v>0</v>
      </c>
      <c r="D424" s="37">
        <f ca="1">_xlfn.IFNA(VLOOKUP($A424,INDIRECT("'W"&amp;D$1&amp;"'!$A$2:$T$1000"),4,FALSE),0)</f>
        <v>0</v>
      </c>
      <c r="E424" s="37">
        <f ca="1">_xlfn.IFNA(VLOOKUP($A424,INDIRECT("'W"&amp;E$1&amp;"'!$A$2:$T$1000"),4,FALSE),0)</f>
        <v>0</v>
      </c>
      <c r="F424" s="37">
        <f ca="1">_xlfn.IFNA(VLOOKUP($A424,INDIRECT("'W"&amp;F$1&amp;"'!$A$2:$T$1000"),4,FALSE),0)</f>
        <v>1.2400000000000002</v>
      </c>
      <c r="G424" s="37">
        <f ca="1">_xlfn.IFNA(VLOOKUP($A424,INDIRECT("'W"&amp;G$1&amp;"'!$A$2:$T$1000"),4,FALSE),0)</f>
        <v>0</v>
      </c>
      <c r="H424" s="37">
        <f ca="1">_xlfn.IFNA(VLOOKUP($A424,INDIRECT("'W"&amp;H$1&amp;"'!$A$2:$T$1000"),4,FALSE),0)</f>
        <v>0</v>
      </c>
      <c r="I424" s="37">
        <f ca="1">_xlfn.IFNA(VLOOKUP($A424,INDIRECT("'W"&amp;I$1&amp;"'!$A$2:$T$1000"),4,FALSE),0)</f>
        <v>0</v>
      </c>
      <c r="J424" s="37">
        <f ca="1">_xlfn.IFNA(VLOOKUP($A424,INDIRECT("'W"&amp;J$1&amp;"'!$A$2:$T$1000"),4,FALSE),0)</f>
        <v>0.36</v>
      </c>
      <c r="K424" s="37">
        <f ca="1">_xlfn.IFNA(VLOOKUP($A424,INDIRECT("'W"&amp;K$1&amp;"'!$A$2:$T$1000"),4,FALSE),0)</f>
        <v>0</v>
      </c>
      <c r="L424" s="37">
        <f ca="1">_xlfn.IFNA(VLOOKUP($A424,INDIRECT("'W"&amp;L$1&amp;"'!$A$2:$T$1000"),4,FALSE),0)</f>
        <v>0</v>
      </c>
      <c r="M424" s="37">
        <f ca="1">_xlfn.IFNA(VLOOKUP($A424,INDIRECT("'W"&amp;M$1&amp;"'!$A$2:$T$1000"),4,FALSE),0)</f>
        <v>6.6000000000000005</v>
      </c>
      <c r="N424" s="37">
        <f ca="1">_xlfn.IFNA(VLOOKUP($A424,INDIRECT("'W"&amp;N$1&amp;"'!$A$2:$T$1000"),4,FALSE),0)</f>
        <v>11.459999999999999</v>
      </c>
      <c r="O424" s="37">
        <f ca="1">_xlfn.IFNA(VLOOKUP($A424,INDIRECT("'W"&amp;O$1&amp;"'!$A$2:$T$1000"),4,FALSE),0)</f>
        <v>0</v>
      </c>
      <c r="P424" s="37">
        <f ca="1">_xlfn.IFNA(VLOOKUP($A424,INDIRECT("'W"&amp;P$1&amp;"'!$A$2:$T$1000"),4,FALSE),0)</f>
        <v>0.5</v>
      </c>
      <c r="Q424" s="37">
        <f ca="1">_xlfn.IFNA(VLOOKUP($A424,INDIRECT("'W"&amp;Q$1&amp;"'!$A$2:$T$1000"),4,FALSE),0)</f>
        <v>0.2</v>
      </c>
      <c r="R424" s="37">
        <f ca="1">_xlfn.IFNA(VLOOKUP($A424,INDIRECT("'W"&amp;R$1&amp;"'!$A$2:$T$1000"),4,FALSE),0)</f>
        <v>1.74</v>
      </c>
      <c r="S424" s="37">
        <f ca="1">_xlfn.IFNA(VLOOKUP($A424,INDIRECT("'W"&amp;S$1&amp;"'!$A$2:$T$1000"),4,FALSE),0)</f>
        <v>0</v>
      </c>
      <c r="T424" s="37">
        <f ca="1">_xlfn.IFNA(VLOOKUP($A424,INDIRECT("'W"&amp;T$1&amp;"'!$A$2:$T$1000"),4,FALSE),0)</f>
        <v>0</v>
      </c>
      <c r="U424" s="36">
        <f ca="1">COUNTIF(C424:T424,"&gt; 15")</f>
        <v>0</v>
      </c>
      <c r="V424" s="36">
        <f ca="1">SUM(C424:T424)</f>
        <v>22.099999999999998</v>
      </c>
      <c r="W424" s="36"/>
      <c r="X424" s="38"/>
    </row>
    <row r="425" spans="1:24" ht="12.75" x14ac:dyDescent="0.2">
      <c r="A425" s="36" t="s">
        <v>260</v>
      </c>
      <c r="B425" s="36" t="s">
        <v>162</v>
      </c>
      <c r="C425" s="37">
        <f ca="1">_xlfn.IFNA(VLOOKUP($A425,INDIRECT("'W"&amp;C$1&amp;"'!$A$2:$T$1000"),4,FALSE),0)</f>
        <v>1.9</v>
      </c>
      <c r="D425" s="37">
        <f ca="1">_xlfn.IFNA(VLOOKUP($A425,INDIRECT("'W"&amp;D$1&amp;"'!$A$2:$T$1000"),4,FALSE),0)</f>
        <v>0</v>
      </c>
      <c r="E425" s="37">
        <f ca="1">_xlfn.IFNA(VLOOKUP($A425,INDIRECT("'W"&amp;E$1&amp;"'!$A$2:$T$1000"),4,FALSE),0)</f>
        <v>0</v>
      </c>
      <c r="F425" s="37">
        <f ca="1">_xlfn.IFNA(VLOOKUP($A425,INDIRECT("'W"&amp;F$1&amp;"'!$A$2:$T$1000"),4,FALSE),0)</f>
        <v>0</v>
      </c>
      <c r="G425" s="37">
        <f ca="1">_xlfn.IFNA(VLOOKUP($A425,INDIRECT("'W"&amp;G$1&amp;"'!$A$2:$T$1000"),4,FALSE),0)</f>
        <v>0</v>
      </c>
      <c r="H425" s="37">
        <f ca="1">_xlfn.IFNA(VLOOKUP($A425,INDIRECT("'W"&amp;H$1&amp;"'!$A$2:$T$1000"),4,FALSE),0)</f>
        <v>1.5</v>
      </c>
      <c r="I425" s="37">
        <f ca="1">_xlfn.IFNA(VLOOKUP($A425,INDIRECT("'W"&amp;I$1&amp;"'!$A$2:$T$1000"),4,FALSE),0)</f>
        <v>0</v>
      </c>
      <c r="J425" s="37">
        <f ca="1">_xlfn.IFNA(VLOOKUP($A425,INDIRECT("'W"&amp;J$1&amp;"'!$A$2:$T$1000"),4,FALSE),0)</f>
        <v>0</v>
      </c>
      <c r="K425" s="37">
        <f ca="1">_xlfn.IFNA(VLOOKUP($A425,INDIRECT("'W"&amp;K$1&amp;"'!$A$2:$T$1000"),4,FALSE),0)</f>
        <v>1.2000000000000002</v>
      </c>
      <c r="L425" s="37">
        <f ca="1">_xlfn.IFNA(VLOOKUP($A425,INDIRECT("'W"&amp;L$1&amp;"'!$A$2:$T$1000"),4,FALSE),0)</f>
        <v>1.7000000000000002</v>
      </c>
      <c r="M425" s="37">
        <f ca="1">_xlfn.IFNA(VLOOKUP($A425,INDIRECT("'W"&amp;M$1&amp;"'!$A$2:$T$1000"),4,FALSE),0)</f>
        <v>0</v>
      </c>
      <c r="N425" s="37">
        <f ca="1">_xlfn.IFNA(VLOOKUP($A425,INDIRECT("'W"&amp;N$1&amp;"'!$A$2:$T$1000"),4,FALSE),0)</f>
        <v>4.4000000000000004</v>
      </c>
      <c r="O425" s="37">
        <f ca="1">_xlfn.IFNA(VLOOKUP($A425,INDIRECT("'W"&amp;O$1&amp;"'!$A$2:$T$1000"),4,FALSE),0)</f>
        <v>0</v>
      </c>
      <c r="P425" s="37">
        <f ca="1">_xlfn.IFNA(VLOOKUP($A425,INDIRECT("'W"&amp;P$1&amp;"'!$A$2:$T$1000"),4,FALSE),0)</f>
        <v>3.5</v>
      </c>
      <c r="Q425" s="37">
        <f ca="1">_xlfn.IFNA(VLOOKUP($A425,INDIRECT("'W"&amp;Q$1&amp;"'!$A$2:$T$1000"),4,FALSE),0)</f>
        <v>0.5</v>
      </c>
      <c r="R425" s="37">
        <f ca="1">_xlfn.IFNA(VLOOKUP($A425,INDIRECT("'W"&amp;R$1&amp;"'!$A$2:$T$1000"),4,FALSE),0)</f>
        <v>2.8</v>
      </c>
      <c r="S425" s="37">
        <f ca="1">_xlfn.IFNA(VLOOKUP($A425,INDIRECT("'W"&amp;S$1&amp;"'!$A$2:$T$1000"),4,FALSE),0)</f>
        <v>2.8</v>
      </c>
      <c r="T425" s="37">
        <f ca="1">_xlfn.IFNA(VLOOKUP($A425,INDIRECT("'W"&amp;T$1&amp;"'!$A$2:$T$1000"),4,FALSE),0)</f>
        <v>1.6</v>
      </c>
      <c r="U425" s="36">
        <f ca="1">COUNTIF(C425:T425,"&gt; 15")</f>
        <v>0</v>
      </c>
      <c r="V425" s="36">
        <f ca="1">SUM(C425:T425)</f>
        <v>21.900000000000002</v>
      </c>
      <c r="W425" s="36"/>
      <c r="X425" s="38"/>
    </row>
    <row r="426" spans="1:24" ht="12.75" x14ac:dyDescent="0.2">
      <c r="A426" s="36" t="s">
        <v>342</v>
      </c>
      <c r="B426" s="36" t="s">
        <v>162</v>
      </c>
      <c r="C426" s="37">
        <f ca="1">_xlfn.IFNA(VLOOKUP($A426,INDIRECT("'W"&amp;C$1&amp;"'!$A$2:$T$1000"),4,FALSE),0)</f>
        <v>0</v>
      </c>
      <c r="D426" s="37">
        <f ca="1">_xlfn.IFNA(VLOOKUP($A426,INDIRECT("'W"&amp;D$1&amp;"'!$A$2:$T$1000"),4,FALSE),0)</f>
        <v>12.6</v>
      </c>
      <c r="E426" s="37">
        <f ca="1">_xlfn.IFNA(VLOOKUP($A426,INDIRECT("'W"&amp;E$1&amp;"'!$A$2:$T$1000"),4,FALSE),0)</f>
        <v>2.5</v>
      </c>
      <c r="F426" s="37">
        <f ca="1">_xlfn.IFNA(VLOOKUP($A426,INDIRECT("'W"&amp;F$1&amp;"'!$A$2:$T$1000"),4,FALSE),0)</f>
        <v>0</v>
      </c>
      <c r="G426" s="37">
        <f ca="1">_xlfn.IFNA(VLOOKUP($A426,INDIRECT("'W"&amp;G$1&amp;"'!$A$2:$T$1000"),4,FALSE),0)</f>
        <v>0</v>
      </c>
      <c r="H426" s="37">
        <f ca="1">_xlfn.IFNA(VLOOKUP($A426,INDIRECT("'W"&amp;H$1&amp;"'!$A$2:$T$1000"),4,FALSE),0)</f>
        <v>0</v>
      </c>
      <c r="I426" s="37">
        <f ca="1">_xlfn.IFNA(VLOOKUP($A426,INDIRECT("'W"&amp;I$1&amp;"'!$A$2:$T$1000"),4,FALSE),0)</f>
        <v>0</v>
      </c>
      <c r="J426" s="37">
        <f ca="1">_xlfn.IFNA(VLOOKUP($A426,INDIRECT("'W"&amp;J$1&amp;"'!$A$2:$T$1000"),4,FALSE),0)</f>
        <v>2.5</v>
      </c>
      <c r="K426" s="37">
        <f ca="1">_xlfn.IFNA(VLOOKUP($A426,INDIRECT("'W"&amp;K$1&amp;"'!$A$2:$T$1000"),4,FALSE),0)</f>
        <v>0</v>
      </c>
      <c r="L426" s="37">
        <f ca="1">_xlfn.IFNA(VLOOKUP($A426,INDIRECT("'W"&amp;L$1&amp;"'!$A$2:$T$1000"),4,FALSE),0)</f>
        <v>0</v>
      </c>
      <c r="M426" s="37">
        <f ca="1">_xlfn.IFNA(VLOOKUP($A426,INDIRECT("'W"&amp;M$1&amp;"'!$A$2:$T$1000"),4,FALSE),0)</f>
        <v>0</v>
      </c>
      <c r="N426" s="37">
        <f ca="1">_xlfn.IFNA(VLOOKUP($A426,INDIRECT("'W"&amp;N$1&amp;"'!$A$2:$T$1000"),4,FALSE),0)</f>
        <v>0</v>
      </c>
      <c r="O426" s="37">
        <f ca="1">_xlfn.IFNA(VLOOKUP($A426,INDIRECT("'W"&amp;O$1&amp;"'!$A$2:$T$1000"),4,FALSE),0)</f>
        <v>0</v>
      </c>
      <c r="P426" s="37">
        <f ca="1">_xlfn.IFNA(VLOOKUP($A426,INDIRECT("'W"&amp;P$1&amp;"'!$A$2:$T$1000"),4,FALSE),0)</f>
        <v>0</v>
      </c>
      <c r="Q426" s="37">
        <f ca="1">_xlfn.IFNA(VLOOKUP($A426,INDIRECT("'W"&amp;Q$1&amp;"'!$A$2:$T$1000"),4,FALSE),0)</f>
        <v>2.8</v>
      </c>
      <c r="R426" s="37">
        <f ca="1">_xlfn.IFNA(VLOOKUP($A426,INDIRECT("'W"&amp;R$1&amp;"'!$A$2:$T$1000"),4,FALSE),0)</f>
        <v>0</v>
      </c>
      <c r="S426" s="37">
        <f ca="1">_xlfn.IFNA(VLOOKUP($A426,INDIRECT("'W"&amp;S$1&amp;"'!$A$2:$T$1000"),4,FALSE),0)</f>
        <v>0</v>
      </c>
      <c r="T426" s="37">
        <f ca="1">_xlfn.IFNA(VLOOKUP($A426,INDIRECT("'W"&amp;T$1&amp;"'!$A$2:$T$1000"),4,FALSE),0)</f>
        <v>1.3</v>
      </c>
      <c r="U426" s="36">
        <f ca="1">COUNTIF(C426:T426,"&gt; 15")</f>
        <v>0</v>
      </c>
      <c r="V426" s="36">
        <f ca="1">SUM(C426:T426)</f>
        <v>21.700000000000003</v>
      </c>
      <c r="W426" s="36"/>
      <c r="X426" s="38"/>
    </row>
    <row r="427" spans="1:24" ht="12.75" x14ac:dyDescent="0.2">
      <c r="A427" s="36" t="s">
        <v>680</v>
      </c>
      <c r="B427" s="36" t="s">
        <v>69</v>
      </c>
      <c r="C427" s="37">
        <f ca="1">_xlfn.IFNA(VLOOKUP($A427,INDIRECT("'W"&amp;C$1&amp;"'!$A$2:$T$1000"),4,FALSE),0)</f>
        <v>0</v>
      </c>
      <c r="D427" s="37">
        <f ca="1">_xlfn.IFNA(VLOOKUP($A427,INDIRECT("'W"&amp;D$1&amp;"'!$A$2:$T$1000"),4,FALSE),0)</f>
        <v>0</v>
      </c>
      <c r="E427" s="37">
        <f ca="1">_xlfn.IFNA(VLOOKUP($A427,INDIRECT("'W"&amp;E$1&amp;"'!$A$2:$T$1000"),4,FALSE),0)</f>
        <v>0</v>
      </c>
      <c r="F427" s="37">
        <f ca="1">_xlfn.IFNA(VLOOKUP($A427,INDIRECT("'W"&amp;F$1&amp;"'!$A$2:$T$1000"),4,FALSE),0)</f>
        <v>0</v>
      </c>
      <c r="G427" s="37">
        <f ca="1">_xlfn.IFNA(VLOOKUP($A427,INDIRECT("'W"&amp;G$1&amp;"'!$A$2:$T$1000"),4,FALSE),0)</f>
        <v>0</v>
      </c>
      <c r="H427" s="37">
        <f ca="1">_xlfn.IFNA(VLOOKUP($A427,INDIRECT("'W"&amp;H$1&amp;"'!$A$2:$T$1000"),4,FALSE),0)</f>
        <v>0</v>
      </c>
      <c r="I427" s="37">
        <f ca="1">_xlfn.IFNA(VLOOKUP($A427,INDIRECT("'W"&amp;I$1&amp;"'!$A$2:$T$1000"),4,FALSE),0)</f>
        <v>0</v>
      </c>
      <c r="J427" s="37">
        <f ca="1">_xlfn.IFNA(VLOOKUP($A427,INDIRECT("'W"&amp;J$1&amp;"'!$A$2:$T$1000"),4,FALSE),0)</f>
        <v>0</v>
      </c>
      <c r="K427" s="37">
        <f ca="1">_xlfn.IFNA(VLOOKUP($A427,INDIRECT("'W"&amp;K$1&amp;"'!$A$2:$T$1000"),4,FALSE),0)</f>
        <v>0</v>
      </c>
      <c r="L427" s="37">
        <f ca="1">_xlfn.IFNA(VLOOKUP($A427,INDIRECT("'W"&amp;L$1&amp;"'!$A$2:$T$1000"),4,FALSE),0)</f>
        <v>0</v>
      </c>
      <c r="M427" s="37">
        <f ca="1">_xlfn.IFNA(VLOOKUP($A427,INDIRECT("'W"&amp;M$1&amp;"'!$A$2:$T$1000"),4,FALSE),0)</f>
        <v>2.2999999999999998</v>
      </c>
      <c r="N427" s="37">
        <f ca="1">_xlfn.IFNA(VLOOKUP($A427,INDIRECT("'W"&amp;N$1&amp;"'!$A$2:$T$1000"),4,FALSE),0)</f>
        <v>0</v>
      </c>
      <c r="O427" s="37">
        <f ca="1">_xlfn.IFNA(VLOOKUP($A427,INDIRECT("'W"&amp;O$1&amp;"'!$A$2:$T$1000"),4,FALSE),0)</f>
        <v>0</v>
      </c>
      <c r="P427" s="37">
        <f ca="1">_xlfn.IFNA(VLOOKUP($A427,INDIRECT("'W"&amp;P$1&amp;"'!$A$2:$T$1000"),4,FALSE),0)</f>
        <v>0</v>
      </c>
      <c r="Q427" s="37">
        <f ca="1">_xlfn.IFNA(VLOOKUP($A427,INDIRECT("'W"&amp;Q$1&amp;"'!$A$2:$T$1000"),4,FALSE),0)</f>
        <v>2.5</v>
      </c>
      <c r="R427" s="37">
        <f ca="1">_xlfn.IFNA(VLOOKUP($A427,INDIRECT("'W"&amp;R$1&amp;"'!$A$2:$T$1000"),4,FALSE),0)</f>
        <v>2.7</v>
      </c>
      <c r="S427" s="37">
        <f ca="1">_xlfn.IFNA(VLOOKUP($A427,INDIRECT("'W"&amp;S$1&amp;"'!$A$2:$T$1000"),4,FALSE),0)</f>
        <v>8.9</v>
      </c>
      <c r="T427" s="37">
        <f ca="1">_xlfn.IFNA(VLOOKUP($A427,INDIRECT("'W"&amp;T$1&amp;"'!$A$2:$T$1000"),4,FALSE),0)</f>
        <v>5.3000000000000007</v>
      </c>
      <c r="U427" s="36">
        <f ca="1">COUNTIF(C427:T427,"&gt; 15")</f>
        <v>0</v>
      </c>
      <c r="V427" s="36">
        <f ca="1">SUM(C427:T427)</f>
        <v>21.7</v>
      </c>
      <c r="W427" s="36"/>
      <c r="X427" s="38"/>
    </row>
    <row r="428" spans="1:24" ht="12.75" x14ac:dyDescent="0.2">
      <c r="A428" s="36" t="s">
        <v>245</v>
      </c>
      <c r="B428" s="36" t="s">
        <v>162</v>
      </c>
      <c r="C428" s="37">
        <f ca="1">_xlfn.IFNA(VLOOKUP($A428,INDIRECT("'W"&amp;C$1&amp;"'!$A$2:$T$1000"),4,FALSE),0)</f>
        <v>4.0999999999999996</v>
      </c>
      <c r="D428" s="37">
        <f ca="1">_xlfn.IFNA(VLOOKUP($A428,INDIRECT("'W"&amp;D$1&amp;"'!$A$2:$T$1000"),4,FALSE),0)</f>
        <v>0.70000000000000007</v>
      </c>
      <c r="E428" s="37">
        <f ca="1">_xlfn.IFNA(VLOOKUP($A428,INDIRECT("'W"&amp;E$1&amp;"'!$A$2:$T$1000"),4,FALSE),0)</f>
        <v>1.7000000000000002</v>
      </c>
      <c r="F428" s="37">
        <f ca="1">_xlfn.IFNA(VLOOKUP($A428,INDIRECT("'W"&amp;F$1&amp;"'!$A$2:$T$1000"),4,FALSE),0)</f>
        <v>2.9000000000000004</v>
      </c>
      <c r="G428" s="37">
        <f ca="1">_xlfn.IFNA(VLOOKUP($A428,INDIRECT("'W"&amp;G$1&amp;"'!$A$2:$T$1000"),4,FALSE),0)</f>
        <v>2.7</v>
      </c>
      <c r="H428" s="37">
        <f ca="1">_xlfn.IFNA(VLOOKUP($A428,INDIRECT("'W"&amp;H$1&amp;"'!$A$2:$T$1000"),4,FALSE),0)</f>
        <v>4.7</v>
      </c>
      <c r="I428" s="37">
        <f ca="1">_xlfn.IFNA(VLOOKUP($A428,INDIRECT("'W"&amp;I$1&amp;"'!$A$2:$T$1000"),4,FALSE),0)</f>
        <v>0</v>
      </c>
      <c r="J428" s="37">
        <f ca="1">_xlfn.IFNA(VLOOKUP($A428,INDIRECT("'W"&amp;J$1&amp;"'!$A$2:$T$1000"),4,FALSE),0)</f>
        <v>0</v>
      </c>
      <c r="K428" s="37">
        <f ca="1">_xlfn.IFNA(VLOOKUP($A428,INDIRECT("'W"&amp;K$1&amp;"'!$A$2:$T$1000"),4,FALSE),0)</f>
        <v>0</v>
      </c>
      <c r="L428" s="37">
        <f ca="1">_xlfn.IFNA(VLOOKUP($A428,INDIRECT("'W"&amp;L$1&amp;"'!$A$2:$T$1000"),4,FALSE),0)</f>
        <v>0</v>
      </c>
      <c r="M428" s="37">
        <f ca="1">_xlfn.IFNA(VLOOKUP($A428,INDIRECT("'W"&amp;M$1&amp;"'!$A$2:$T$1000"),4,FALSE),0)</f>
        <v>2.9</v>
      </c>
      <c r="N428" s="37">
        <f ca="1">_xlfn.IFNA(VLOOKUP($A428,INDIRECT("'W"&amp;N$1&amp;"'!$A$2:$T$1000"),4,FALSE),0)</f>
        <v>1.8</v>
      </c>
      <c r="O428" s="37">
        <f ca="1">_xlfn.IFNA(VLOOKUP($A428,INDIRECT("'W"&amp;O$1&amp;"'!$A$2:$T$1000"),4,FALSE),0)</f>
        <v>0</v>
      </c>
      <c r="P428" s="37">
        <f ca="1">_xlfn.IFNA(VLOOKUP($A428,INDIRECT("'W"&amp;P$1&amp;"'!$A$2:$T$1000"),4,FALSE),0)</f>
        <v>0</v>
      </c>
      <c r="Q428" s="37">
        <f ca="1">_xlfn.IFNA(VLOOKUP($A428,INDIRECT("'W"&amp;Q$1&amp;"'!$A$2:$T$1000"),4,FALSE),0)</f>
        <v>0</v>
      </c>
      <c r="R428" s="37">
        <f ca="1">_xlfn.IFNA(VLOOKUP($A428,INDIRECT("'W"&amp;R$1&amp;"'!$A$2:$T$1000"),4,FALSE),0)</f>
        <v>0</v>
      </c>
      <c r="S428" s="37">
        <f ca="1">_xlfn.IFNA(VLOOKUP($A428,INDIRECT("'W"&amp;S$1&amp;"'!$A$2:$T$1000"),4,FALSE),0)</f>
        <v>0</v>
      </c>
      <c r="T428" s="37">
        <f ca="1">_xlfn.IFNA(VLOOKUP($A428,INDIRECT("'W"&amp;T$1&amp;"'!$A$2:$T$1000"),4,FALSE),0)</f>
        <v>0</v>
      </c>
      <c r="U428" s="36">
        <f ca="1">COUNTIF(C428:T428,"&gt; 15")</f>
        <v>0</v>
      </c>
      <c r="V428" s="36">
        <f ca="1">SUM(C428:T428)</f>
        <v>21.5</v>
      </c>
      <c r="W428" s="36"/>
      <c r="X428" s="38"/>
    </row>
    <row r="429" spans="1:24" ht="12.75" x14ac:dyDescent="0.2">
      <c r="A429" s="36" t="s">
        <v>368</v>
      </c>
      <c r="B429" s="36" t="s">
        <v>162</v>
      </c>
      <c r="C429" s="37">
        <f ca="1">_xlfn.IFNA(VLOOKUP($A429,INDIRECT("'W"&amp;C$1&amp;"'!$A$2:$T$1000"),4,FALSE),0)</f>
        <v>0</v>
      </c>
      <c r="D429" s="37">
        <f ca="1">_xlfn.IFNA(VLOOKUP($A429,INDIRECT("'W"&amp;D$1&amp;"'!$A$2:$T$1000"),4,FALSE),0)</f>
        <v>3.1</v>
      </c>
      <c r="E429" s="37">
        <f ca="1">_xlfn.IFNA(VLOOKUP($A429,INDIRECT("'W"&amp;E$1&amp;"'!$A$2:$T$1000"),4,FALSE),0)</f>
        <v>1.3</v>
      </c>
      <c r="F429" s="37">
        <f ca="1">_xlfn.IFNA(VLOOKUP($A429,INDIRECT("'W"&amp;F$1&amp;"'!$A$2:$T$1000"),4,FALSE),0)</f>
        <v>0</v>
      </c>
      <c r="G429" s="37">
        <f ca="1">_xlfn.IFNA(VLOOKUP($A429,INDIRECT("'W"&amp;G$1&amp;"'!$A$2:$T$1000"),4,FALSE),0)</f>
        <v>0</v>
      </c>
      <c r="H429" s="37">
        <f ca="1">_xlfn.IFNA(VLOOKUP($A429,INDIRECT("'W"&amp;H$1&amp;"'!$A$2:$T$1000"),4,FALSE),0)</f>
        <v>0</v>
      </c>
      <c r="I429" s="37">
        <f ca="1">_xlfn.IFNA(VLOOKUP($A429,INDIRECT("'W"&amp;I$1&amp;"'!$A$2:$T$1000"),4,FALSE),0)</f>
        <v>0</v>
      </c>
      <c r="J429" s="37">
        <f ca="1">_xlfn.IFNA(VLOOKUP($A429,INDIRECT("'W"&amp;J$1&amp;"'!$A$2:$T$1000"),4,FALSE),0)</f>
        <v>9</v>
      </c>
      <c r="K429" s="37">
        <f ca="1">_xlfn.IFNA(VLOOKUP($A429,INDIRECT("'W"&amp;K$1&amp;"'!$A$2:$T$1000"),4,FALSE),0)</f>
        <v>-0.2</v>
      </c>
      <c r="L429" s="37">
        <f ca="1">_xlfn.IFNA(VLOOKUP($A429,INDIRECT("'W"&amp;L$1&amp;"'!$A$2:$T$1000"),4,FALSE),0)</f>
        <v>0</v>
      </c>
      <c r="M429" s="37">
        <f ca="1">_xlfn.IFNA(VLOOKUP($A429,INDIRECT("'W"&amp;M$1&amp;"'!$A$2:$T$1000"),4,FALSE),0)</f>
        <v>0</v>
      </c>
      <c r="N429" s="37">
        <f ca="1">_xlfn.IFNA(VLOOKUP($A429,INDIRECT("'W"&amp;N$1&amp;"'!$A$2:$T$1000"),4,FALSE),0)</f>
        <v>0.9</v>
      </c>
      <c r="O429" s="37">
        <f ca="1">_xlfn.IFNA(VLOOKUP($A429,INDIRECT("'W"&amp;O$1&amp;"'!$A$2:$T$1000"),4,FALSE),0)</f>
        <v>3.2</v>
      </c>
      <c r="P429" s="37">
        <f ca="1">_xlfn.IFNA(VLOOKUP($A429,INDIRECT("'W"&amp;P$1&amp;"'!$A$2:$T$1000"),4,FALSE),0)</f>
        <v>0</v>
      </c>
      <c r="Q429" s="37">
        <f ca="1">_xlfn.IFNA(VLOOKUP($A429,INDIRECT("'W"&amp;Q$1&amp;"'!$A$2:$T$1000"),4,FALSE),0)</f>
        <v>0</v>
      </c>
      <c r="R429" s="37">
        <f ca="1">_xlfn.IFNA(VLOOKUP($A429,INDIRECT("'W"&amp;R$1&amp;"'!$A$2:$T$1000"),4,FALSE),0)</f>
        <v>0</v>
      </c>
      <c r="S429" s="37">
        <f ca="1">_xlfn.IFNA(VLOOKUP($A429,INDIRECT("'W"&amp;S$1&amp;"'!$A$2:$T$1000"),4,FALSE),0)</f>
        <v>0</v>
      </c>
      <c r="T429" s="37">
        <f ca="1">_xlfn.IFNA(VLOOKUP($A429,INDIRECT("'W"&amp;T$1&amp;"'!$A$2:$T$1000"),4,FALSE),0)</f>
        <v>4.2</v>
      </c>
      <c r="U429" s="36">
        <f ca="1">COUNTIF(C429:T429,"&gt; 15")</f>
        <v>0</v>
      </c>
      <c r="V429" s="36">
        <f ca="1">SUM(C429:T429)</f>
        <v>21.5</v>
      </c>
      <c r="W429" s="36"/>
      <c r="X429" s="38"/>
    </row>
    <row r="430" spans="1:24" ht="12.75" x14ac:dyDescent="0.2">
      <c r="A430" s="36" t="s">
        <v>452</v>
      </c>
      <c r="B430" s="36" t="s">
        <v>17</v>
      </c>
      <c r="C430" s="37">
        <f ca="1">_xlfn.IFNA(VLOOKUP($A430,INDIRECT("'W"&amp;C$1&amp;"'!$A$2:$T$1000"),4,FALSE),0)</f>
        <v>0</v>
      </c>
      <c r="D430" s="37">
        <f ca="1">_xlfn.IFNA(VLOOKUP($A430,INDIRECT("'W"&amp;D$1&amp;"'!$A$2:$T$1000"),4,FALSE),0)</f>
        <v>0</v>
      </c>
      <c r="E430" s="37">
        <f ca="1">_xlfn.IFNA(VLOOKUP($A430,INDIRECT("'W"&amp;E$1&amp;"'!$A$2:$T$1000"),4,FALSE),0)</f>
        <v>0.36</v>
      </c>
      <c r="F430" s="37">
        <f ca="1">_xlfn.IFNA(VLOOKUP($A430,INDIRECT("'W"&amp;F$1&amp;"'!$A$2:$T$1000"),4,FALSE),0)</f>
        <v>0</v>
      </c>
      <c r="G430" s="37">
        <f ca="1">_xlfn.IFNA(VLOOKUP($A430,INDIRECT("'W"&amp;G$1&amp;"'!$A$2:$T$1000"),4,FALSE),0)</f>
        <v>0</v>
      </c>
      <c r="H430" s="37">
        <f ca="1">_xlfn.IFNA(VLOOKUP($A430,INDIRECT("'W"&amp;H$1&amp;"'!$A$2:$T$1000"),4,FALSE),0)</f>
        <v>-0.2</v>
      </c>
      <c r="I430" s="37">
        <f ca="1">_xlfn.IFNA(VLOOKUP($A430,INDIRECT("'W"&amp;I$1&amp;"'!$A$2:$T$1000"),4,FALSE),0)</f>
        <v>0</v>
      </c>
      <c r="J430" s="37">
        <f ca="1">_xlfn.IFNA(VLOOKUP($A430,INDIRECT("'W"&amp;J$1&amp;"'!$A$2:$T$1000"),4,FALSE),0)</f>
        <v>0</v>
      </c>
      <c r="K430" s="37">
        <f ca="1">_xlfn.IFNA(VLOOKUP($A430,INDIRECT("'W"&amp;K$1&amp;"'!$A$2:$T$1000"),4,FALSE),0)</f>
        <v>0</v>
      </c>
      <c r="L430" s="37">
        <f ca="1">_xlfn.IFNA(VLOOKUP($A430,INDIRECT("'W"&amp;L$1&amp;"'!$A$2:$T$1000"),4,FALSE),0)</f>
        <v>0.2</v>
      </c>
      <c r="M430" s="37">
        <f ca="1">_xlfn.IFNA(VLOOKUP($A430,INDIRECT("'W"&amp;M$1&amp;"'!$A$2:$T$1000"),4,FALSE),0)</f>
        <v>0</v>
      </c>
      <c r="N430" s="37">
        <f ca="1">_xlfn.IFNA(VLOOKUP($A430,INDIRECT("'W"&amp;N$1&amp;"'!$A$2:$T$1000"),4,FALSE),0)</f>
        <v>0</v>
      </c>
      <c r="O430" s="37">
        <f ca="1">_xlfn.IFNA(VLOOKUP($A430,INDIRECT("'W"&amp;O$1&amp;"'!$A$2:$T$1000"),4,FALSE),0)</f>
        <v>3.22</v>
      </c>
      <c r="P430" s="37">
        <f ca="1">_xlfn.IFNA(VLOOKUP($A430,INDIRECT("'W"&amp;P$1&amp;"'!$A$2:$T$1000"),4,FALSE),0)</f>
        <v>0</v>
      </c>
      <c r="Q430" s="37">
        <f ca="1">_xlfn.IFNA(VLOOKUP($A430,INDIRECT("'W"&amp;Q$1&amp;"'!$A$2:$T$1000"),4,FALSE),0)</f>
        <v>0</v>
      </c>
      <c r="R430" s="37">
        <f ca="1">_xlfn.IFNA(VLOOKUP($A430,INDIRECT("'W"&amp;R$1&amp;"'!$A$2:$T$1000"),4,FALSE),0)</f>
        <v>8.36</v>
      </c>
      <c r="S430" s="37">
        <f ca="1">_xlfn.IFNA(VLOOKUP($A430,INDIRECT("'W"&amp;S$1&amp;"'!$A$2:$T$1000"),4,FALSE),0)</f>
        <v>9.52</v>
      </c>
      <c r="T430" s="37">
        <f ca="1">_xlfn.IFNA(VLOOKUP($A430,INDIRECT("'W"&amp;T$1&amp;"'!$A$2:$T$1000"),4,FALSE),0)</f>
        <v>0</v>
      </c>
      <c r="U430" s="36">
        <f ca="1">COUNTIF(C430:T430,"&gt; 15")</f>
        <v>0</v>
      </c>
      <c r="V430" s="36">
        <f ca="1">SUM(C430:T430)</f>
        <v>21.46</v>
      </c>
      <c r="W430" s="36"/>
      <c r="X430" s="38"/>
    </row>
    <row r="431" spans="1:24" ht="12.75" x14ac:dyDescent="0.2">
      <c r="A431" s="36" t="s">
        <v>761</v>
      </c>
      <c r="B431" s="36" t="e">
        <f ca="1">VLOOKUP(A431,CumulativePlayerList!$T$3:$U$550,2,FALSE)</f>
        <v>#NAME?</v>
      </c>
      <c r="C431" s="37">
        <f ca="1">_xlfn.IFNA(VLOOKUP($A431,INDIRECT("'W"&amp;C$1&amp;"'!$A$2:$T$1000"),4,FALSE),0)</f>
        <v>0</v>
      </c>
      <c r="D431" s="37">
        <f ca="1">_xlfn.IFNA(VLOOKUP($A431,INDIRECT("'W"&amp;D$1&amp;"'!$A$2:$T$1000"),4,FALSE),0)</f>
        <v>0</v>
      </c>
      <c r="E431" s="37">
        <f ca="1">_xlfn.IFNA(VLOOKUP($A431,INDIRECT("'W"&amp;E$1&amp;"'!$A$2:$T$1000"),4,FALSE),0)</f>
        <v>0</v>
      </c>
      <c r="F431" s="37">
        <f ca="1">_xlfn.IFNA(VLOOKUP($A431,INDIRECT("'W"&amp;F$1&amp;"'!$A$2:$T$1000"),4,FALSE),0)</f>
        <v>0</v>
      </c>
      <c r="G431" s="37">
        <f ca="1">_xlfn.IFNA(VLOOKUP($A431,INDIRECT("'W"&amp;G$1&amp;"'!$A$2:$T$1000"),4,FALSE),0)</f>
        <v>0</v>
      </c>
      <c r="H431" s="37">
        <f ca="1">_xlfn.IFNA(VLOOKUP($A431,INDIRECT("'W"&amp;H$1&amp;"'!$A$2:$T$1000"),4,FALSE),0)</f>
        <v>0</v>
      </c>
      <c r="I431" s="37">
        <f ca="1">_xlfn.IFNA(VLOOKUP($A431,INDIRECT("'W"&amp;I$1&amp;"'!$A$2:$T$1000"),4,FALSE),0)</f>
        <v>0</v>
      </c>
      <c r="J431" s="37">
        <f ca="1">_xlfn.IFNA(VLOOKUP($A431,INDIRECT("'W"&amp;J$1&amp;"'!$A$2:$T$1000"),4,FALSE),0)</f>
        <v>0</v>
      </c>
      <c r="K431" s="37">
        <f ca="1">_xlfn.IFNA(VLOOKUP($A431,INDIRECT("'W"&amp;K$1&amp;"'!$A$2:$T$1000"),4,FALSE),0)</f>
        <v>0</v>
      </c>
      <c r="L431" s="37">
        <f ca="1">_xlfn.IFNA(VLOOKUP($A431,INDIRECT("'W"&amp;L$1&amp;"'!$A$2:$T$1000"),4,FALSE),0)</f>
        <v>0</v>
      </c>
      <c r="M431" s="37">
        <f ca="1">_xlfn.IFNA(VLOOKUP($A431,INDIRECT("'W"&amp;M$1&amp;"'!$A$2:$T$1000"),4,FALSE),0)</f>
        <v>0</v>
      </c>
      <c r="N431" s="37">
        <f ca="1">_xlfn.IFNA(VLOOKUP($A431,INDIRECT("'W"&amp;N$1&amp;"'!$A$2:$T$1000"),4,FALSE),0)</f>
        <v>0</v>
      </c>
      <c r="O431" s="37">
        <f ca="1">_xlfn.IFNA(VLOOKUP($A431,INDIRECT("'W"&amp;O$1&amp;"'!$A$2:$T$1000"),4,FALSE),0)</f>
        <v>0</v>
      </c>
      <c r="P431" s="37">
        <f ca="1">_xlfn.IFNA(VLOOKUP($A431,INDIRECT("'W"&amp;P$1&amp;"'!$A$2:$T$1000"),4,FALSE),0)</f>
        <v>0</v>
      </c>
      <c r="Q431" s="37">
        <f ca="1">_xlfn.IFNA(VLOOKUP($A431,INDIRECT("'W"&amp;Q$1&amp;"'!$A$2:$T$1000"),4,FALSE),0)</f>
        <v>8.5</v>
      </c>
      <c r="R431" s="37">
        <f ca="1">_xlfn.IFNA(VLOOKUP($A431,INDIRECT("'W"&amp;R$1&amp;"'!$A$2:$T$1000"),4,FALSE),0)</f>
        <v>2.1</v>
      </c>
      <c r="S431" s="37">
        <f ca="1">_xlfn.IFNA(VLOOKUP($A431,INDIRECT("'W"&amp;S$1&amp;"'!$A$2:$T$1000"),4,FALSE),0)</f>
        <v>8.9</v>
      </c>
      <c r="T431" s="37">
        <f ca="1">_xlfn.IFNA(VLOOKUP($A431,INDIRECT("'W"&amp;T$1&amp;"'!$A$2:$T$1000"),4,FALSE),0)</f>
        <v>1.7999999999999998</v>
      </c>
      <c r="U431" s="36">
        <f ca="1">COUNTIF(C431:T431,"&gt; 15")</f>
        <v>0</v>
      </c>
      <c r="V431" s="36">
        <f ca="1">SUM(C431:T431)</f>
        <v>21.3</v>
      </c>
      <c r="W431" s="36"/>
      <c r="X431" s="38"/>
    </row>
    <row r="432" spans="1:24" ht="12.75" x14ac:dyDescent="0.2">
      <c r="A432" s="36" t="s">
        <v>739</v>
      </c>
      <c r="B432" s="36" t="s">
        <v>162</v>
      </c>
      <c r="C432" s="37">
        <f ca="1">_xlfn.IFNA(VLOOKUP($A432,INDIRECT("'W"&amp;C$1&amp;"'!$A$2:$T$1000"),4,FALSE),0)</f>
        <v>0</v>
      </c>
      <c r="D432" s="37">
        <f ca="1">_xlfn.IFNA(VLOOKUP($A432,INDIRECT("'W"&amp;D$1&amp;"'!$A$2:$T$1000"),4,FALSE),0)</f>
        <v>0</v>
      </c>
      <c r="E432" s="37">
        <f ca="1">_xlfn.IFNA(VLOOKUP($A432,INDIRECT("'W"&amp;E$1&amp;"'!$A$2:$T$1000"),4,FALSE),0)</f>
        <v>0</v>
      </c>
      <c r="F432" s="37">
        <f ca="1">_xlfn.IFNA(VLOOKUP($A432,INDIRECT("'W"&amp;F$1&amp;"'!$A$2:$T$1000"),4,FALSE),0)</f>
        <v>0</v>
      </c>
      <c r="G432" s="37">
        <f ca="1">_xlfn.IFNA(VLOOKUP($A432,INDIRECT("'W"&amp;G$1&amp;"'!$A$2:$T$1000"),4,FALSE),0)</f>
        <v>0</v>
      </c>
      <c r="H432" s="37">
        <f ca="1">_xlfn.IFNA(VLOOKUP($A432,INDIRECT("'W"&amp;H$1&amp;"'!$A$2:$T$1000"),4,FALSE),0)</f>
        <v>0</v>
      </c>
      <c r="I432" s="37">
        <f ca="1">_xlfn.IFNA(VLOOKUP($A432,INDIRECT("'W"&amp;I$1&amp;"'!$A$2:$T$1000"),4,FALSE),0)</f>
        <v>0</v>
      </c>
      <c r="J432" s="37">
        <f ca="1">_xlfn.IFNA(VLOOKUP($A432,INDIRECT("'W"&amp;J$1&amp;"'!$A$2:$T$1000"),4,FALSE),0)</f>
        <v>0</v>
      </c>
      <c r="K432" s="37">
        <f ca="1">_xlfn.IFNA(VLOOKUP($A432,INDIRECT("'W"&amp;K$1&amp;"'!$A$2:$T$1000"),4,FALSE),0)</f>
        <v>0</v>
      </c>
      <c r="L432" s="37">
        <f ca="1">_xlfn.IFNA(VLOOKUP($A432,INDIRECT("'W"&amp;L$1&amp;"'!$A$2:$T$1000"),4,FALSE),0)</f>
        <v>0</v>
      </c>
      <c r="M432" s="37">
        <f ca="1">_xlfn.IFNA(VLOOKUP($A432,INDIRECT("'W"&amp;M$1&amp;"'!$A$2:$T$1000"),4,FALSE),0)</f>
        <v>0</v>
      </c>
      <c r="N432" s="37">
        <f ca="1">_xlfn.IFNA(VLOOKUP($A432,INDIRECT("'W"&amp;N$1&amp;"'!$A$2:$T$1000"),4,FALSE),0)</f>
        <v>0</v>
      </c>
      <c r="O432" s="37">
        <f ca="1">_xlfn.IFNA(VLOOKUP($A432,INDIRECT("'W"&amp;O$1&amp;"'!$A$2:$T$1000"),4,FALSE),0)</f>
        <v>0</v>
      </c>
      <c r="P432" s="37">
        <f ca="1">_xlfn.IFNA(VLOOKUP($A432,INDIRECT("'W"&amp;P$1&amp;"'!$A$2:$T$1000"),4,FALSE),0)</f>
        <v>2.1</v>
      </c>
      <c r="Q432" s="37">
        <f ca="1">_xlfn.IFNA(VLOOKUP($A432,INDIRECT("'W"&amp;Q$1&amp;"'!$A$2:$T$1000"),4,FALSE),0)</f>
        <v>14.8</v>
      </c>
      <c r="R432" s="37">
        <f ca="1">_xlfn.IFNA(VLOOKUP($A432,INDIRECT("'W"&amp;R$1&amp;"'!$A$2:$T$1000"),4,FALSE),0)</f>
        <v>1.7000000000000002</v>
      </c>
      <c r="S432" s="37">
        <f ca="1">_xlfn.IFNA(VLOOKUP($A432,INDIRECT("'W"&amp;S$1&amp;"'!$A$2:$T$1000"),4,FALSE),0)</f>
        <v>0</v>
      </c>
      <c r="T432" s="37">
        <f ca="1">_xlfn.IFNA(VLOOKUP($A432,INDIRECT("'W"&amp;T$1&amp;"'!$A$2:$T$1000"),4,FALSE),0)</f>
        <v>1.8</v>
      </c>
      <c r="U432" s="36">
        <f ca="1">COUNTIF(C432:T432,"&gt; 15")</f>
        <v>0</v>
      </c>
      <c r="V432" s="36">
        <f ca="1">SUM(C432:T432)</f>
        <v>20.400000000000002</v>
      </c>
      <c r="W432" s="36"/>
      <c r="X432" s="38"/>
    </row>
    <row r="433" spans="1:24" ht="12.75" x14ac:dyDescent="0.2">
      <c r="A433" s="36" t="s">
        <v>434</v>
      </c>
      <c r="B433" s="36" t="s">
        <v>75</v>
      </c>
      <c r="C433" s="37">
        <f ca="1">_xlfn.IFNA(VLOOKUP($A433,INDIRECT("'W"&amp;C$1&amp;"'!$A$2:$T$1000"),4,FALSE),0)</f>
        <v>0</v>
      </c>
      <c r="D433" s="37">
        <f ca="1">_xlfn.IFNA(VLOOKUP($A433,INDIRECT("'W"&amp;D$1&amp;"'!$A$2:$T$1000"),4,FALSE),0)</f>
        <v>0</v>
      </c>
      <c r="E433" s="37">
        <f ca="1">_xlfn.IFNA(VLOOKUP($A433,INDIRECT("'W"&amp;E$1&amp;"'!$A$2:$T$1000"),4,FALSE),0)</f>
        <v>3.1</v>
      </c>
      <c r="F433" s="37">
        <f ca="1">_xlfn.IFNA(VLOOKUP($A433,INDIRECT("'W"&amp;F$1&amp;"'!$A$2:$T$1000"),4,FALSE),0)</f>
        <v>0.70000000000000007</v>
      </c>
      <c r="G433" s="37">
        <f ca="1">_xlfn.IFNA(VLOOKUP($A433,INDIRECT("'W"&amp;G$1&amp;"'!$A$2:$T$1000"),4,FALSE),0)</f>
        <v>0</v>
      </c>
      <c r="H433" s="37">
        <f ca="1">_xlfn.IFNA(VLOOKUP($A433,INDIRECT("'W"&amp;H$1&amp;"'!$A$2:$T$1000"),4,FALSE),0)</f>
        <v>0</v>
      </c>
      <c r="I433" s="37">
        <f ca="1">_xlfn.IFNA(VLOOKUP($A433,INDIRECT("'W"&amp;I$1&amp;"'!$A$2:$T$1000"),4,FALSE),0)</f>
        <v>0</v>
      </c>
      <c r="J433" s="37">
        <f ca="1">_xlfn.IFNA(VLOOKUP($A433,INDIRECT("'W"&amp;J$1&amp;"'!$A$2:$T$1000"),4,FALSE),0)</f>
        <v>0</v>
      </c>
      <c r="K433" s="37">
        <f ca="1">_xlfn.IFNA(VLOOKUP($A433,INDIRECT("'W"&amp;K$1&amp;"'!$A$2:$T$1000"),4,FALSE),0)</f>
        <v>0</v>
      </c>
      <c r="L433" s="37">
        <f ca="1">_xlfn.IFNA(VLOOKUP($A433,INDIRECT("'W"&amp;L$1&amp;"'!$A$2:$T$1000"),4,FALSE),0)</f>
        <v>0</v>
      </c>
      <c r="M433" s="37">
        <f ca="1">_xlfn.IFNA(VLOOKUP($A433,INDIRECT("'W"&amp;M$1&amp;"'!$A$2:$T$1000"),4,FALSE),0)</f>
        <v>0</v>
      </c>
      <c r="N433" s="37">
        <f ca="1">_xlfn.IFNA(VLOOKUP($A433,INDIRECT("'W"&amp;N$1&amp;"'!$A$2:$T$1000"),4,FALSE),0)</f>
        <v>0</v>
      </c>
      <c r="O433" s="37">
        <f ca="1">_xlfn.IFNA(VLOOKUP($A433,INDIRECT("'W"&amp;O$1&amp;"'!$A$2:$T$1000"),4,FALSE),0)</f>
        <v>0</v>
      </c>
      <c r="P433" s="37">
        <f ca="1">_xlfn.IFNA(VLOOKUP($A433,INDIRECT("'W"&amp;P$1&amp;"'!$A$2:$T$1000"),4,FALSE),0)</f>
        <v>1.3</v>
      </c>
      <c r="Q433" s="37">
        <f ca="1">_xlfn.IFNA(VLOOKUP($A433,INDIRECT("'W"&amp;Q$1&amp;"'!$A$2:$T$1000"),4,FALSE),0)</f>
        <v>8.8000000000000007</v>
      </c>
      <c r="R433" s="37">
        <f ca="1">_xlfn.IFNA(VLOOKUP($A433,INDIRECT("'W"&amp;R$1&amp;"'!$A$2:$T$1000"),4,FALSE),0)</f>
        <v>0.30000000000000004</v>
      </c>
      <c r="S433" s="37">
        <f ca="1">_xlfn.IFNA(VLOOKUP($A433,INDIRECT("'W"&amp;S$1&amp;"'!$A$2:$T$1000"),4,FALSE),0)</f>
        <v>6.1000000000000005</v>
      </c>
      <c r="T433" s="37">
        <f ca="1">_xlfn.IFNA(VLOOKUP($A433,INDIRECT("'W"&amp;T$1&amp;"'!$A$2:$T$1000"),4,FALSE),0)</f>
        <v>0</v>
      </c>
      <c r="U433" s="36">
        <f ca="1">COUNTIF(C433:T433,"&gt; 15")</f>
        <v>0</v>
      </c>
      <c r="V433" s="36">
        <f ca="1">SUM(C433:T433)</f>
        <v>20.300000000000004</v>
      </c>
      <c r="W433" s="36"/>
      <c r="X433" s="38"/>
    </row>
    <row r="434" spans="1:24" ht="12.75" x14ac:dyDescent="0.2">
      <c r="A434" s="36" t="s">
        <v>385</v>
      </c>
      <c r="B434" s="36" t="s">
        <v>162</v>
      </c>
      <c r="C434" s="37">
        <f ca="1">_xlfn.IFNA(VLOOKUP($A434,INDIRECT("'W"&amp;C$1&amp;"'!$A$2:$T$1000"),4,FALSE),0)</f>
        <v>0</v>
      </c>
      <c r="D434" s="37">
        <f ca="1">_xlfn.IFNA(VLOOKUP($A434,INDIRECT("'W"&amp;D$1&amp;"'!$A$2:$T$1000"),4,FALSE),0)</f>
        <v>1.4</v>
      </c>
      <c r="E434" s="37">
        <f ca="1">_xlfn.IFNA(VLOOKUP($A434,INDIRECT("'W"&amp;E$1&amp;"'!$A$2:$T$1000"),4,FALSE),0)</f>
        <v>0</v>
      </c>
      <c r="F434" s="37">
        <f ca="1">_xlfn.IFNA(VLOOKUP($A434,INDIRECT("'W"&amp;F$1&amp;"'!$A$2:$T$1000"),4,FALSE),0)</f>
        <v>1.6</v>
      </c>
      <c r="G434" s="37">
        <f ca="1">_xlfn.IFNA(VLOOKUP($A434,INDIRECT("'W"&amp;G$1&amp;"'!$A$2:$T$1000"),4,FALSE),0)</f>
        <v>2.2999999999999998</v>
      </c>
      <c r="H434" s="37">
        <f ca="1">_xlfn.IFNA(VLOOKUP($A434,INDIRECT("'W"&amp;H$1&amp;"'!$A$2:$T$1000"),4,FALSE),0)</f>
        <v>0</v>
      </c>
      <c r="I434" s="37">
        <f ca="1">_xlfn.IFNA(VLOOKUP($A434,INDIRECT("'W"&amp;I$1&amp;"'!$A$2:$T$1000"),4,FALSE),0)</f>
        <v>-0.7</v>
      </c>
      <c r="J434" s="37">
        <f ca="1">_xlfn.IFNA(VLOOKUP($A434,INDIRECT("'W"&amp;J$1&amp;"'!$A$2:$T$1000"),4,FALSE),0)</f>
        <v>0</v>
      </c>
      <c r="K434" s="37">
        <f ca="1">_xlfn.IFNA(VLOOKUP($A434,INDIRECT("'W"&amp;K$1&amp;"'!$A$2:$T$1000"),4,FALSE),0)</f>
        <v>0</v>
      </c>
      <c r="L434" s="37">
        <f ca="1">_xlfn.IFNA(VLOOKUP($A434,INDIRECT("'W"&amp;L$1&amp;"'!$A$2:$T$1000"),4,FALSE),0)</f>
        <v>7.2</v>
      </c>
      <c r="M434" s="37">
        <f ca="1">_xlfn.IFNA(VLOOKUP($A434,INDIRECT("'W"&amp;M$1&amp;"'!$A$2:$T$1000"),4,FALSE),0)</f>
        <v>1.5</v>
      </c>
      <c r="N434" s="37">
        <f ca="1">_xlfn.IFNA(VLOOKUP($A434,INDIRECT("'W"&amp;N$1&amp;"'!$A$2:$T$1000"),4,FALSE),0)</f>
        <v>1.6</v>
      </c>
      <c r="O434" s="37">
        <f ca="1">_xlfn.IFNA(VLOOKUP($A434,INDIRECT("'W"&amp;O$1&amp;"'!$A$2:$T$1000"),4,FALSE),0)</f>
        <v>0</v>
      </c>
      <c r="P434" s="37">
        <f ca="1">_xlfn.IFNA(VLOOKUP($A434,INDIRECT("'W"&amp;P$1&amp;"'!$A$2:$T$1000"),4,FALSE),0)</f>
        <v>0</v>
      </c>
      <c r="Q434" s="37">
        <f ca="1">_xlfn.IFNA(VLOOKUP($A434,INDIRECT("'W"&amp;Q$1&amp;"'!$A$2:$T$1000"),4,FALSE),0)</f>
        <v>0</v>
      </c>
      <c r="R434" s="37">
        <f ca="1">_xlfn.IFNA(VLOOKUP($A434,INDIRECT("'W"&amp;R$1&amp;"'!$A$2:$T$1000"),4,FALSE),0)</f>
        <v>0</v>
      </c>
      <c r="S434" s="37">
        <f ca="1">_xlfn.IFNA(VLOOKUP($A434,INDIRECT("'W"&amp;S$1&amp;"'!$A$2:$T$1000"),4,FALSE),0)</f>
        <v>0</v>
      </c>
      <c r="T434" s="37">
        <f ca="1">_xlfn.IFNA(VLOOKUP($A434,INDIRECT("'W"&amp;T$1&amp;"'!$A$2:$T$1000"),4,FALSE),0)</f>
        <v>5.4</v>
      </c>
      <c r="U434" s="36">
        <f ca="1">COUNTIF(C434:T434,"&gt; 15")</f>
        <v>0</v>
      </c>
      <c r="V434" s="36">
        <f ca="1">SUM(C434:T434)</f>
        <v>20.3</v>
      </c>
      <c r="W434" s="36"/>
      <c r="X434" s="38"/>
    </row>
    <row r="435" spans="1:24" ht="12.75" x14ac:dyDescent="0.2">
      <c r="A435" s="36" t="s">
        <v>383</v>
      </c>
      <c r="B435" s="36" t="s">
        <v>75</v>
      </c>
      <c r="C435" s="37">
        <f ca="1">_xlfn.IFNA(VLOOKUP($A435,INDIRECT("'W"&amp;C$1&amp;"'!$A$2:$T$1000"),4,FALSE),0)</f>
        <v>0</v>
      </c>
      <c r="D435" s="37">
        <f ca="1">_xlfn.IFNA(VLOOKUP($A435,INDIRECT("'W"&amp;D$1&amp;"'!$A$2:$T$1000"),4,FALSE),0)</f>
        <v>1.4</v>
      </c>
      <c r="E435" s="37">
        <f ca="1">_xlfn.IFNA(VLOOKUP($A435,INDIRECT("'W"&amp;E$1&amp;"'!$A$2:$T$1000"),4,FALSE),0)</f>
        <v>0</v>
      </c>
      <c r="F435" s="37">
        <f ca="1">_xlfn.IFNA(VLOOKUP($A435,INDIRECT("'W"&amp;F$1&amp;"'!$A$2:$T$1000"),4,FALSE),0)</f>
        <v>7.7</v>
      </c>
      <c r="G435" s="37">
        <f ca="1">_xlfn.IFNA(VLOOKUP($A435,INDIRECT("'W"&amp;G$1&amp;"'!$A$2:$T$1000"),4,FALSE),0)</f>
        <v>0.1</v>
      </c>
      <c r="H435" s="37">
        <f ca="1">_xlfn.IFNA(VLOOKUP($A435,INDIRECT("'W"&amp;H$1&amp;"'!$A$2:$T$1000"),4,FALSE),0)</f>
        <v>2.2999999999999998</v>
      </c>
      <c r="I435" s="37">
        <f ca="1">_xlfn.IFNA(VLOOKUP($A435,INDIRECT("'W"&amp;I$1&amp;"'!$A$2:$T$1000"),4,FALSE),0)</f>
        <v>0</v>
      </c>
      <c r="J435" s="37">
        <f ca="1">_xlfn.IFNA(VLOOKUP($A435,INDIRECT("'W"&amp;J$1&amp;"'!$A$2:$T$1000"),4,FALSE),0)</f>
        <v>0</v>
      </c>
      <c r="K435" s="37">
        <f ca="1">_xlfn.IFNA(VLOOKUP($A435,INDIRECT("'W"&amp;K$1&amp;"'!$A$2:$T$1000"),4,FALSE),0)</f>
        <v>0</v>
      </c>
      <c r="L435" s="37">
        <f ca="1">_xlfn.IFNA(VLOOKUP($A435,INDIRECT("'W"&amp;L$1&amp;"'!$A$2:$T$1000"),4,FALSE),0)</f>
        <v>0</v>
      </c>
      <c r="M435" s="37">
        <f ca="1">_xlfn.IFNA(VLOOKUP($A435,INDIRECT("'W"&amp;M$1&amp;"'!$A$2:$T$1000"),4,FALSE),0)</f>
        <v>0</v>
      </c>
      <c r="N435" s="37">
        <f ca="1">_xlfn.IFNA(VLOOKUP($A435,INDIRECT("'W"&amp;N$1&amp;"'!$A$2:$T$1000"),4,FALSE),0)</f>
        <v>0</v>
      </c>
      <c r="O435" s="37">
        <f ca="1">_xlfn.IFNA(VLOOKUP($A435,INDIRECT("'W"&amp;O$1&amp;"'!$A$2:$T$1000"),4,FALSE),0)</f>
        <v>0</v>
      </c>
      <c r="P435" s="37">
        <f ca="1">_xlfn.IFNA(VLOOKUP($A435,INDIRECT("'W"&amp;P$1&amp;"'!$A$2:$T$1000"),4,FALSE),0)</f>
        <v>0</v>
      </c>
      <c r="Q435" s="37">
        <f ca="1">_xlfn.IFNA(VLOOKUP($A435,INDIRECT("'W"&amp;Q$1&amp;"'!$A$2:$T$1000"),4,FALSE),0)</f>
        <v>0</v>
      </c>
      <c r="R435" s="37">
        <f ca="1">_xlfn.IFNA(VLOOKUP($A435,INDIRECT("'W"&amp;R$1&amp;"'!$A$2:$T$1000"),4,FALSE),0)</f>
        <v>2</v>
      </c>
      <c r="S435" s="37">
        <f ca="1">_xlfn.IFNA(VLOOKUP($A435,INDIRECT("'W"&amp;S$1&amp;"'!$A$2:$T$1000"),4,FALSE),0)</f>
        <v>1.4</v>
      </c>
      <c r="T435" s="37">
        <f ca="1">_xlfn.IFNA(VLOOKUP($A435,INDIRECT("'W"&amp;T$1&amp;"'!$A$2:$T$1000"),4,FALSE),0)</f>
        <v>5.2</v>
      </c>
      <c r="U435" s="36">
        <f ca="1">COUNTIF(C435:T435,"&gt; 15")</f>
        <v>0</v>
      </c>
      <c r="V435" s="36">
        <f ca="1">SUM(C435:T435)</f>
        <v>20.100000000000001</v>
      </c>
      <c r="W435" s="36"/>
      <c r="X435" s="38"/>
    </row>
    <row r="436" spans="1:24" ht="12.75" x14ac:dyDescent="0.2">
      <c r="A436" s="36" t="s">
        <v>553</v>
      </c>
      <c r="B436" s="36" t="s">
        <v>17</v>
      </c>
      <c r="C436" s="37">
        <f ca="1">_xlfn.IFNA(VLOOKUP($A436,INDIRECT("'W"&amp;C$1&amp;"'!$A$2:$T$1000"),4,FALSE),0)</f>
        <v>0</v>
      </c>
      <c r="D436" s="37">
        <f ca="1">_xlfn.IFNA(VLOOKUP($A436,INDIRECT("'W"&amp;D$1&amp;"'!$A$2:$T$1000"),4,FALSE),0)</f>
        <v>0</v>
      </c>
      <c r="E436" s="37">
        <f ca="1">_xlfn.IFNA(VLOOKUP($A436,INDIRECT("'W"&amp;E$1&amp;"'!$A$2:$T$1000"),4,FALSE),0)</f>
        <v>0</v>
      </c>
      <c r="F436" s="37">
        <f ca="1">_xlfn.IFNA(VLOOKUP($A436,INDIRECT("'W"&amp;F$1&amp;"'!$A$2:$T$1000"),4,FALSE),0)</f>
        <v>0</v>
      </c>
      <c r="G436" s="37">
        <f ca="1">_xlfn.IFNA(VLOOKUP($A436,INDIRECT("'W"&amp;G$1&amp;"'!$A$2:$T$1000"),4,FALSE),0)</f>
        <v>0</v>
      </c>
      <c r="H436" s="37">
        <f ca="1">_xlfn.IFNA(VLOOKUP($A436,INDIRECT("'W"&amp;H$1&amp;"'!$A$2:$T$1000"),4,FALSE),0)</f>
        <v>3.78</v>
      </c>
      <c r="I436" s="37">
        <f ca="1">_xlfn.IFNA(VLOOKUP($A436,INDIRECT("'W"&amp;I$1&amp;"'!$A$2:$T$1000"),4,FALSE),0)</f>
        <v>5.42</v>
      </c>
      <c r="J436" s="37">
        <f ca="1">_xlfn.IFNA(VLOOKUP($A436,INDIRECT("'W"&amp;J$1&amp;"'!$A$2:$T$1000"),4,FALSE),0)</f>
        <v>10.620000000000001</v>
      </c>
      <c r="K436" s="37">
        <f ca="1">_xlfn.IFNA(VLOOKUP($A436,INDIRECT("'W"&amp;K$1&amp;"'!$A$2:$T$1000"),4,FALSE),0)</f>
        <v>0</v>
      </c>
      <c r="L436" s="37">
        <f ca="1">_xlfn.IFNA(VLOOKUP($A436,INDIRECT("'W"&amp;L$1&amp;"'!$A$2:$T$1000"),4,FALSE),0)</f>
        <v>0</v>
      </c>
      <c r="M436" s="37">
        <f ca="1">_xlfn.IFNA(VLOOKUP($A436,INDIRECT("'W"&amp;M$1&amp;"'!$A$2:$T$1000"),4,FALSE),0)</f>
        <v>0</v>
      </c>
      <c r="N436" s="37">
        <f ca="1">_xlfn.IFNA(VLOOKUP($A436,INDIRECT("'W"&amp;N$1&amp;"'!$A$2:$T$1000"),4,FALSE),0)</f>
        <v>0.14000000000000012</v>
      </c>
      <c r="O436" s="37">
        <f ca="1">_xlfn.IFNA(VLOOKUP($A436,INDIRECT("'W"&amp;O$1&amp;"'!$A$2:$T$1000"),4,FALSE),0)</f>
        <v>0</v>
      </c>
      <c r="P436" s="37">
        <f ca="1">_xlfn.IFNA(VLOOKUP($A436,INDIRECT("'W"&amp;P$1&amp;"'!$A$2:$T$1000"),4,FALSE),0)</f>
        <v>0</v>
      </c>
      <c r="Q436" s="37">
        <f ca="1">_xlfn.IFNA(VLOOKUP($A436,INDIRECT("'W"&amp;Q$1&amp;"'!$A$2:$T$1000"),4,FALSE),0)</f>
        <v>0</v>
      </c>
      <c r="R436" s="37">
        <f ca="1">_xlfn.IFNA(VLOOKUP($A436,INDIRECT("'W"&amp;R$1&amp;"'!$A$2:$T$1000"),4,FALSE),0)</f>
        <v>0</v>
      </c>
      <c r="S436" s="37">
        <f ca="1">_xlfn.IFNA(VLOOKUP($A436,INDIRECT("'W"&amp;S$1&amp;"'!$A$2:$T$1000"),4,FALSE),0)</f>
        <v>0</v>
      </c>
      <c r="T436" s="37">
        <f ca="1">_xlfn.IFNA(VLOOKUP($A436,INDIRECT("'W"&amp;T$1&amp;"'!$A$2:$T$1000"),4,FALSE),0)</f>
        <v>0</v>
      </c>
      <c r="U436" s="36">
        <f ca="1">COUNTIF(C436:T436,"&gt; 15")</f>
        <v>0</v>
      </c>
      <c r="V436" s="36">
        <f ca="1">SUM(C436:T436)</f>
        <v>19.96</v>
      </c>
      <c r="W436" s="36"/>
      <c r="X436" s="38"/>
    </row>
    <row r="437" spans="1:24" ht="12.75" x14ac:dyDescent="0.2">
      <c r="A437" s="36" t="s">
        <v>444</v>
      </c>
      <c r="B437" s="36" t="s">
        <v>69</v>
      </c>
      <c r="C437" s="37">
        <f ca="1">_xlfn.IFNA(VLOOKUP($A437,INDIRECT("'W"&amp;C$1&amp;"'!$A$2:$T$1000"),4,FALSE),0)</f>
        <v>0</v>
      </c>
      <c r="D437" s="37">
        <f ca="1">_xlfn.IFNA(VLOOKUP($A437,INDIRECT("'W"&amp;D$1&amp;"'!$A$2:$T$1000"),4,FALSE),0)</f>
        <v>0</v>
      </c>
      <c r="E437" s="37">
        <f ca="1">_xlfn.IFNA(VLOOKUP($A437,INDIRECT("'W"&amp;E$1&amp;"'!$A$2:$T$1000"),4,FALSE),0)</f>
        <v>1.9</v>
      </c>
      <c r="F437" s="37">
        <f ca="1">_xlfn.IFNA(VLOOKUP($A437,INDIRECT("'W"&amp;F$1&amp;"'!$A$2:$T$1000"),4,FALSE),0)</f>
        <v>7.1</v>
      </c>
      <c r="G437" s="37">
        <f ca="1">_xlfn.IFNA(VLOOKUP($A437,INDIRECT("'W"&amp;G$1&amp;"'!$A$2:$T$1000"),4,FALSE),0)</f>
        <v>3.2</v>
      </c>
      <c r="H437" s="37">
        <f ca="1">_xlfn.IFNA(VLOOKUP($A437,INDIRECT("'W"&amp;H$1&amp;"'!$A$2:$T$1000"),4,FALSE),0)</f>
        <v>0</v>
      </c>
      <c r="I437" s="37">
        <f ca="1">_xlfn.IFNA(VLOOKUP($A437,INDIRECT("'W"&amp;I$1&amp;"'!$A$2:$T$1000"),4,FALSE),0)</f>
        <v>0</v>
      </c>
      <c r="J437" s="37">
        <f ca="1">_xlfn.IFNA(VLOOKUP($A437,INDIRECT("'W"&amp;J$1&amp;"'!$A$2:$T$1000"),4,FALSE),0)</f>
        <v>2.9000000000000004</v>
      </c>
      <c r="K437" s="37">
        <f ca="1">_xlfn.IFNA(VLOOKUP($A437,INDIRECT("'W"&amp;K$1&amp;"'!$A$2:$T$1000"),4,FALSE),0)</f>
        <v>3.1</v>
      </c>
      <c r="L437" s="37">
        <f ca="1">_xlfn.IFNA(VLOOKUP($A437,INDIRECT("'W"&amp;L$1&amp;"'!$A$2:$T$1000"),4,FALSE),0)</f>
        <v>1.6</v>
      </c>
      <c r="M437" s="37">
        <f ca="1">_xlfn.IFNA(VLOOKUP($A437,INDIRECT("'W"&amp;M$1&amp;"'!$A$2:$T$1000"),4,FALSE),0)</f>
        <v>0</v>
      </c>
      <c r="N437" s="37">
        <f ca="1">_xlfn.IFNA(VLOOKUP($A437,INDIRECT("'W"&amp;N$1&amp;"'!$A$2:$T$1000"),4,FALSE),0)</f>
        <v>0</v>
      </c>
      <c r="O437" s="37">
        <f ca="1">_xlfn.IFNA(VLOOKUP($A437,INDIRECT("'W"&amp;O$1&amp;"'!$A$2:$T$1000"),4,FALSE),0)</f>
        <v>0</v>
      </c>
      <c r="P437" s="37">
        <f ca="1">_xlfn.IFNA(VLOOKUP($A437,INDIRECT("'W"&amp;P$1&amp;"'!$A$2:$T$1000"),4,FALSE),0)</f>
        <v>0</v>
      </c>
      <c r="Q437" s="37">
        <f ca="1">_xlfn.IFNA(VLOOKUP($A437,INDIRECT("'W"&amp;Q$1&amp;"'!$A$2:$T$1000"),4,FALSE),0)</f>
        <v>0</v>
      </c>
      <c r="R437" s="37">
        <f ca="1">_xlfn.IFNA(VLOOKUP($A437,INDIRECT("'W"&amp;R$1&amp;"'!$A$2:$T$1000"),4,FALSE),0)</f>
        <v>0</v>
      </c>
      <c r="S437" s="37">
        <f ca="1">_xlfn.IFNA(VLOOKUP($A437,INDIRECT("'W"&amp;S$1&amp;"'!$A$2:$T$1000"),4,FALSE),0)</f>
        <v>0</v>
      </c>
      <c r="T437" s="37">
        <f ca="1">_xlfn.IFNA(VLOOKUP($A437,INDIRECT("'W"&amp;T$1&amp;"'!$A$2:$T$1000"),4,FALSE),0)</f>
        <v>0</v>
      </c>
      <c r="U437" s="36">
        <f ca="1">COUNTIF(C437:T437,"&gt; 15")</f>
        <v>0</v>
      </c>
      <c r="V437" s="36">
        <f ca="1">SUM(C437:T437)</f>
        <v>19.8</v>
      </c>
      <c r="W437" s="36"/>
      <c r="X437" s="38"/>
    </row>
    <row r="438" spans="1:24" ht="12.75" x14ac:dyDescent="0.2">
      <c r="A438" s="36" t="s">
        <v>423</v>
      </c>
      <c r="B438" s="36" t="s">
        <v>75</v>
      </c>
      <c r="C438" s="37">
        <f ca="1">_xlfn.IFNA(VLOOKUP($A438,INDIRECT("'W"&amp;C$1&amp;"'!$A$2:$T$1000"),4,FALSE),0)</f>
        <v>0</v>
      </c>
      <c r="D438" s="37">
        <f ca="1">_xlfn.IFNA(VLOOKUP($A438,INDIRECT("'W"&amp;D$1&amp;"'!$A$2:$T$1000"),4,FALSE),0)</f>
        <v>0</v>
      </c>
      <c r="E438" s="37">
        <f ca="1">_xlfn.IFNA(VLOOKUP($A438,INDIRECT("'W"&amp;E$1&amp;"'!$A$2:$T$1000"),4,FALSE),0)</f>
        <v>7.5</v>
      </c>
      <c r="F438" s="37">
        <f ca="1">_xlfn.IFNA(VLOOKUP($A438,INDIRECT("'W"&amp;F$1&amp;"'!$A$2:$T$1000"),4,FALSE),0)</f>
        <v>5.4</v>
      </c>
      <c r="G438" s="37">
        <f ca="1">_xlfn.IFNA(VLOOKUP($A438,INDIRECT("'W"&amp;G$1&amp;"'!$A$2:$T$1000"),4,FALSE),0)</f>
        <v>0</v>
      </c>
      <c r="H438" s="37">
        <f ca="1">_xlfn.IFNA(VLOOKUP($A438,INDIRECT("'W"&amp;H$1&amp;"'!$A$2:$T$1000"),4,FALSE),0)</f>
        <v>0</v>
      </c>
      <c r="I438" s="37">
        <f ca="1">_xlfn.IFNA(VLOOKUP($A438,INDIRECT("'W"&amp;I$1&amp;"'!$A$2:$T$1000"),4,FALSE),0)</f>
        <v>0</v>
      </c>
      <c r="J438" s="37">
        <f ca="1">_xlfn.IFNA(VLOOKUP($A438,INDIRECT("'W"&amp;J$1&amp;"'!$A$2:$T$1000"),4,FALSE),0)</f>
        <v>0</v>
      </c>
      <c r="K438" s="37">
        <f ca="1">_xlfn.IFNA(VLOOKUP($A438,INDIRECT("'W"&amp;K$1&amp;"'!$A$2:$T$1000"),4,FALSE),0)</f>
        <v>0</v>
      </c>
      <c r="L438" s="37">
        <f ca="1">_xlfn.IFNA(VLOOKUP($A438,INDIRECT("'W"&amp;L$1&amp;"'!$A$2:$T$1000"),4,FALSE),0)</f>
        <v>0</v>
      </c>
      <c r="M438" s="37">
        <f ca="1">_xlfn.IFNA(VLOOKUP($A438,INDIRECT("'W"&amp;M$1&amp;"'!$A$2:$T$1000"),4,FALSE),0)</f>
        <v>0</v>
      </c>
      <c r="N438" s="37">
        <f ca="1">_xlfn.IFNA(VLOOKUP($A438,INDIRECT("'W"&amp;N$1&amp;"'!$A$2:$T$1000"),4,FALSE),0)</f>
        <v>0</v>
      </c>
      <c r="O438" s="37">
        <f ca="1">_xlfn.IFNA(VLOOKUP($A438,INDIRECT("'W"&amp;O$1&amp;"'!$A$2:$T$1000"),4,FALSE),0)</f>
        <v>0</v>
      </c>
      <c r="P438" s="37">
        <f ca="1">_xlfn.IFNA(VLOOKUP($A438,INDIRECT("'W"&amp;P$1&amp;"'!$A$2:$T$1000"),4,FALSE),0)</f>
        <v>0</v>
      </c>
      <c r="Q438" s="37">
        <f ca="1">_xlfn.IFNA(VLOOKUP($A438,INDIRECT("'W"&amp;Q$1&amp;"'!$A$2:$T$1000"),4,FALSE),0)</f>
        <v>0</v>
      </c>
      <c r="R438" s="37">
        <f ca="1">_xlfn.IFNA(VLOOKUP($A438,INDIRECT("'W"&amp;R$1&amp;"'!$A$2:$T$1000"),4,FALSE),0)</f>
        <v>0</v>
      </c>
      <c r="S438" s="37">
        <f ca="1">_xlfn.IFNA(VLOOKUP($A438,INDIRECT("'W"&amp;S$1&amp;"'!$A$2:$T$1000"),4,FALSE),0)</f>
        <v>7</v>
      </c>
      <c r="T438" s="37">
        <f ca="1">_xlfn.IFNA(VLOOKUP($A438,INDIRECT("'W"&amp;T$1&amp;"'!$A$2:$T$1000"),4,FALSE),0)</f>
        <v>-0.19999999999999996</v>
      </c>
      <c r="U438" s="36">
        <f ca="1">COUNTIF(C438:T438,"&gt; 15")</f>
        <v>0</v>
      </c>
      <c r="V438" s="36">
        <f ca="1">SUM(C438:T438)</f>
        <v>19.7</v>
      </c>
      <c r="W438" s="36"/>
      <c r="X438" s="38"/>
    </row>
    <row r="439" spans="1:24" ht="12.75" x14ac:dyDescent="0.2">
      <c r="A439" s="36" t="s">
        <v>516</v>
      </c>
      <c r="B439" s="36" t="s">
        <v>69</v>
      </c>
      <c r="C439" s="37">
        <f ca="1">_xlfn.IFNA(VLOOKUP($A439,INDIRECT("'W"&amp;C$1&amp;"'!$A$2:$T$1000"),4,FALSE),0)</f>
        <v>0</v>
      </c>
      <c r="D439" s="37">
        <f ca="1">_xlfn.IFNA(VLOOKUP($A439,INDIRECT("'W"&amp;D$1&amp;"'!$A$2:$T$1000"),4,FALSE),0)</f>
        <v>0</v>
      </c>
      <c r="E439" s="37">
        <f ca="1">_xlfn.IFNA(VLOOKUP($A439,INDIRECT("'W"&amp;E$1&amp;"'!$A$2:$T$1000"),4,FALSE),0)</f>
        <v>0</v>
      </c>
      <c r="F439" s="37">
        <f ca="1">_xlfn.IFNA(VLOOKUP($A439,INDIRECT("'W"&amp;F$1&amp;"'!$A$2:$T$1000"),4,FALSE),0)</f>
        <v>0</v>
      </c>
      <c r="G439" s="37">
        <f ca="1">_xlfn.IFNA(VLOOKUP($A439,INDIRECT("'W"&amp;G$1&amp;"'!$A$2:$T$1000"),4,FALSE),0)</f>
        <v>4.2</v>
      </c>
      <c r="H439" s="37">
        <f ca="1">_xlfn.IFNA(VLOOKUP($A439,INDIRECT("'W"&amp;H$1&amp;"'!$A$2:$T$1000"),4,FALSE),0)</f>
        <v>0</v>
      </c>
      <c r="I439" s="37">
        <f ca="1">_xlfn.IFNA(VLOOKUP($A439,INDIRECT("'W"&amp;I$1&amp;"'!$A$2:$T$1000"),4,FALSE),0)</f>
        <v>1.8</v>
      </c>
      <c r="J439" s="37">
        <f ca="1">_xlfn.IFNA(VLOOKUP($A439,INDIRECT("'W"&amp;J$1&amp;"'!$A$2:$T$1000"),4,FALSE),0)</f>
        <v>0</v>
      </c>
      <c r="K439" s="37">
        <f ca="1">_xlfn.IFNA(VLOOKUP($A439,INDIRECT("'W"&amp;K$1&amp;"'!$A$2:$T$1000"),4,FALSE),0)</f>
        <v>0</v>
      </c>
      <c r="L439" s="37">
        <f ca="1">_xlfn.IFNA(VLOOKUP($A439,INDIRECT("'W"&amp;L$1&amp;"'!$A$2:$T$1000"),4,FALSE),0)</f>
        <v>3.3</v>
      </c>
      <c r="M439" s="37">
        <f ca="1">_xlfn.IFNA(VLOOKUP($A439,INDIRECT("'W"&amp;M$1&amp;"'!$A$2:$T$1000"),4,FALSE),0)</f>
        <v>3.5</v>
      </c>
      <c r="N439" s="37">
        <f ca="1">_xlfn.IFNA(VLOOKUP($A439,INDIRECT("'W"&amp;N$1&amp;"'!$A$2:$T$1000"),4,FALSE),0)</f>
        <v>0</v>
      </c>
      <c r="O439" s="37">
        <f ca="1">_xlfn.IFNA(VLOOKUP($A439,INDIRECT("'W"&amp;O$1&amp;"'!$A$2:$T$1000"),4,FALSE),0)</f>
        <v>3</v>
      </c>
      <c r="P439" s="37">
        <f ca="1">_xlfn.IFNA(VLOOKUP($A439,INDIRECT("'W"&amp;P$1&amp;"'!$A$2:$T$1000"),4,FALSE),0)</f>
        <v>0</v>
      </c>
      <c r="Q439" s="37">
        <f ca="1">_xlfn.IFNA(VLOOKUP($A439,INDIRECT("'W"&amp;Q$1&amp;"'!$A$2:$T$1000"),4,FALSE),0)</f>
        <v>3.6</v>
      </c>
      <c r="R439" s="37">
        <f ca="1">_xlfn.IFNA(VLOOKUP($A439,INDIRECT("'W"&amp;R$1&amp;"'!$A$2:$T$1000"),4,FALSE),0)</f>
        <v>0</v>
      </c>
      <c r="S439" s="37">
        <f ca="1">_xlfn.IFNA(VLOOKUP($A439,INDIRECT("'W"&amp;S$1&amp;"'!$A$2:$T$1000"),4,FALSE),0)</f>
        <v>0</v>
      </c>
      <c r="T439" s="37">
        <f ca="1">_xlfn.IFNA(VLOOKUP($A439,INDIRECT("'W"&amp;T$1&amp;"'!$A$2:$T$1000"),4,FALSE),0)</f>
        <v>0</v>
      </c>
      <c r="U439" s="36">
        <f ca="1">COUNTIF(C439:T439,"&gt; 15")</f>
        <v>0</v>
      </c>
      <c r="V439" s="36">
        <f ca="1">SUM(C439:T439)</f>
        <v>19.400000000000002</v>
      </c>
      <c r="W439" s="36"/>
      <c r="X439" s="38"/>
    </row>
    <row r="440" spans="1:24" ht="12.75" x14ac:dyDescent="0.2">
      <c r="A440" s="36" t="s">
        <v>261</v>
      </c>
      <c r="B440" s="36" t="s">
        <v>162</v>
      </c>
      <c r="C440" s="37">
        <f ca="1">_xlfn.IFNA(VLOOKUP($A440,INDIRECT("'W"&amp;C$1&amp;"'!$A$2:$T$1000"),4,FALSE),0)</f>
        <v>1.6</v>
      </c>
      <c r="D440" s="37">
        <f ca="1">_xlfn.IFNA(VLOOKUP($A440,INDIRECT("'W"&amp;D$1&amp;"'!$A$2:$T$1000"),4,FALSE),0)</f>
        <v>-2</v>
      </c>
      <c r="E440" s="37">
        <f ca="1">_xlfn.IFNA(VLOOKUP($A440,INDIRECT("'W"&amp;E$1&amp;"'!$A$2:$T$1000"),4,FALSE),0)</f>
        <v>0</v>
      </c>
      <c r="F440" s="37">
        <f ca="1">_xlfn.IFNA(VLOOKUP($A440,INDIRECT("'W"&amp;F$1&amp;"'!$A$2:$T$1000"),4,FALSE),0)</f>
        <v>0</v>
      </c>
      <c r="G440" s="37">
        <f ca="1">_xlfn.IFNA(VLOOKUP($A440,INDIRECT("'W"&amp;G$1&amp;"'!$A$2:$T$1000"),4,FALSE),0)</f>
        <v>0</v>
      </c>
      <c r="H440" s="37">
        <f ca="1">_xlfn.IFNA(VLOOKUP($A440,INDIRECT("'W"&amp;H$1&amp;"'!$A$2:$T$1000"),4,FALSE),0)</f>
        <v>0</v>
      </c>
      <c r="I440" s="37">
        <f ca="1">_xlfn.IFNA(VLOOKUP($A440,INDIRECT("'W"&amp;I$1&amp;"'!$A$2:$T$1000"),4,FALSE),0)</f>
        <v>0</v>
      </c>
      <c r="J440" s="37">
        <f ca="1">_xlfn.IFNA(VLOOKUP($A440,INDIRECT("'W"&amp;J$1&amp;"'!$A$2:$T$1000"),4,FALSE),0)</f>
        <v>0</v>
      </c>
      <c r="K440" s="37">
        <f ca="1">_xlfn.IFNA(VLOOKUP($A440,INDIRECT("'W"&amp;K$1&amp;"'!$A$2:$T$1000"),4,FALSE),0)</f>
        <v>0</v>
      </c>
      <c r="L440" s="37">
        <f ca="1">_xlfn.IFNA(VLOOKUP($A440,INDIRECT("'W"&amp;L$1&amp;"'!$A$2:$T$1000"),4,FALSE),0)</f>
        <v>0</v>
      </c>
      <c r="M440" s="37">
        <f ca="1">_xlfn.IFNA(VLOOKUP($A440,INDIRECT("'W"&amp;M$1&amp;"'!$A$2:$T$1000"),4,FALSE),0)</f>
        <v>0</v>
      </c>
      <c r="N440" s="37">
        <f ca="1">_xlfn.IFNA(VLOOKUP($A440,INDIRECT("'W"&amp;N$1&amp;"'!$A$2:$T$1000"),4,FALSE),0)</f>
        <v>0</v>
      </c>
      <c r="O440" s="37">
        <f ca="1">_xlfn.IFNA(VLOOKUP($A440,INDIRECT("'W"&amp;O$1&amp;"'!$A$2:$T$1000"),4,FALSE),0)</f>
        <v>2.2000000000000002</v>
      </c>
      <c r="P440" s="37">
        <f ca="1">_xlfn.IFNA(VLOOKUP($A440,INDIRECT("'W"&amp;P$1&amp;"'!$A$2:$T$1000"),4,FALSE),0)</f>
        <v>1.4</v>
      </c>
      <c r="Q440" s="37">
        <f ca="1">_xlfn.IFNA(VLOOKUP($A440,INDIRECT("'W"&amp;Q$1&amp;"'!$A$2:$T$1000"),4,FALSE),0)</f>
        <v>2.7</v>
      </c>
      <c r="R440" s="37">
        <f ca="1">_xlfn.IFNA(VLOOKUP($A440,INDIRECT("'W"&amp;R$1&amp;"'!$A$2:$T$1000"),4,FALSE),0)</f>
        <v>8.4</v>
      </c>
      <c r="S440" s="37">
        <f ca="1">_xlfn.IFNA(VLOOKUP($A440,INDIRECT("'W"&amp;S$1&amp;"'!$A$2:$T$1000"),4,FALSE),0)</f>
        <v>1.6</v>
      </c>
      <c r="T440" s="37">
        <f ca="1">_xlfn.IFNA(VLOOKUP($A440,INDIRECT("'W"&amp;T$1&amp;"'!$A$2:$T$1000"),4,FALSE),0)</f>
        <v>3.5</v>
      </c>
      <c r="U440" s="36">
        <f ca="1">COUNTIF(C440:T440,"&gt; 15")</f>
        <v>0</v>
      </c>
      <c r="V440" s="36">
        <f ca="1">SUM(C440:T440)</f>
        <v>19.399999999999999</v>
      </c>
      <c r="W440" s="36"/>
      <c r="X440" s="38"/>
    </row>
    <row r="441" spans="1:24" ht="12.75" x14ac:dyDescent="0.2">
      <c r="A441" s="36" t="s">
        <v>435</v>
      </c>
      <c r="B441" s="36" t="s">
        <v>162</v>
      </c>
      <c r="C441" s="37">
        <f ca="1">_xlfn.IFNA(VLOOKUP($A441,INDIRECT("'W"&amp;C$1&amp;"'!$A$2:$T$1000"),4,FALSE),0)</f>
        <v>0</v>
      </c>
      <c r="D441" s="37">
        <f ca="1">_xlfn.IFNA(VLOOKUP($A441,INDIRECT("'W"&amp;D$1&amp;"'!$A$2:$T$1000"),4,FALSE),0)</f>
        <v>0</v>
      </c>
      <c r="E441" s="37">
        <f ca="1">_xlfn.IFNA(VLOOKUP($A441,INDIRECT("'W"&amp;E$1&amp;"'!$A$2:$T$1000"),4,FALSE),0)</f>
        <v>3.1</v>
      </c>
      <c r="F441" s="37">
        <f ca="1">_xlfn.IFNA(VLOOKUP($A441,INDIRECT("'W"&amp;F$1&amp;"'!$A$2:$T$1000"),4,FALSE),0)</f>
        <v>0.9</v>
      </c>
      <c r="G441" s="37">
        <f ca="1">_xlfn.IFNA(VLOOKUP($A441,INDIRECT("'W"&amp;G$1&amp;"'!$A$2:$T$1000"),4,FALSE),0)</f>
        <v>0</v>
      </c>
      <c r="H441" s="37">
        <f ca="1">_xlfn.IFNA(VLOOKUP($A441,INDIRECT("'W"&amp;H$1&amp;"'!$A$2:$T$1000"),4,FALSE),0)</f>
        <v>0</v>
      </c>
      <c r="I441" s="37">
        <f ca="1">_xlfn.IFNA(VLOOKUP($A441,INDIRECT("'W"&amp;I$1&amp;"'!$A$2:$T$1000"),4,FALSE),0)</f>
        <v>3.7</v>
      </c>
      <c r="J441" s="37">
        <f ca="1">_xlfn.IFNA(VLOOKUP($A441,INDIRECT("'W"&amp;J$1&amp;"'!$A$2:$T$1000"),4,FALSE),0)</f>
        <v>0</v>
      </c>
      <c r="K441" s="37">
        <f ca="1">_xlfn.IFNA(VLOOKUP($A441,INDIRECT("'W"&amp;K$1&amp;"'!$A$2:$T$1000"),4,FALSE),0)</f>
        <v>0</v>
      </c>
      <c r="L441" s="37">
        <f ca="1">_xlfn.IFNA(VLOOKUP($A441,INDIRECT("'W"&amp;L$1&amp;"'!$A$2:$T$1000"),4,FALSE),0)</f>
        <v>3.7</v>
      </c>
      <c r="M441" s="37">
        <f ca="1">_xlfn.IFNA(VLOOKUP($A441,INDIRECT("'W"&amp;M$1&amp;"'!$A$2:$T$1000"),4,FALSE),0)</f>
        <v>0</v>
      </c>
      <c r="N441" s="37">
        <f ca="1">_xlfn.IFNA(VLOOKUP($A441,INDIRECT("'W"&amp;N$1&amp;"'!$A$2:$T$1000"),4,FALSE),0)</f>
        <v>0</v>
      </c>
      <c r="O441" s="37">
        <f ca="1">_xlfn.IFNA(VLOOKUP($A441,INDIRECT("'W"&amp;O$1&amp;"'!$A$2:$T$1000"),4,FALSE),0)</f>
        <v>0</v>
      </c>
      <c r="P441" s="37">
        <f ca="1">_xlfn.IFNA(VLOOKUP($A441,INDIRECT("'W"&amp;P$1&amp;"'!$A$2:$T$1000"),4,FALSE),0)</f>
        <v>0</v>
      </c>
      <c r="Q441" s="37">
        <f ca="1">_xlfn.IFNA(VLOOKUP($A441,INDIRECT("'W"&amp;Q$1&amp;"'!$A$2:$T$1000"),4,FALSE),0)</f>
        <v>0</v>
      </c>
      <c r="R441" s="37">
        <f ca="1">_xlfn.IFNA(VLOOKUP($A441,INDIRECT("'W"&amp;R$1&amp;"'!$A$2:$T$1000"),4,FALSE),0)</f>
        <v>6.2</v>
      </c>
      <c r="S441" s="37">
        <f ca="1">_xlfn.IFNA(VLOOKUP($A441,INDIRECT("'W"&amp;S$1&amp;"'!$A$2:$T$1000"),4,FALSE),0)</f>
        <v>0</v>
      </c>
      <c r="T441" s="37">
        <f ca="1">_xlfn.IFNA(VLOOKUP($A441,INDIRECT("'W"&amp;T$1&amp;"'!$A$2:$T$1000"),4,FALSE),0)</f>
        <v>1.7000000000000002</v>
      </c>
      <c r="U441" s="36">
        <f ca="1">COUNTIF(C441:T441,"&gt; 15")</f>
        <v>0</v>
      </c>
      <c r="V441" s="36">
        <f ca="1">SUM(C441:T441)</f>
        <v>19.3</v>
      </c>
      <c r="W441" s="36"/>
      <c r="X441" s="38"/>
    </row>
    <row r="442" spans="1:24" ht="12.75" x14ac:dyDescent="0.2">
      <c r="A442" s="36" t="s">
        <v>127</v>
      </c>
      <c r="B442" s="36" t="s">
        <v>75</v>
      </c>
      <c r="C442" s="37">
        <f ca="1">_xlfn.IFNA(VLOOKUP($A442,INDIRECT("'W"&amp;C$1&amp;"'!$A$2:$T$1000"),4,FALSE),0)</f>
        <v>3.9</v>
      </c>
      <c r="D442" s="37">
        <f ca="1">_xlfn.IFNA(VLOOKUP($A442,INDIRECT("'W"&amp;D$1&amp;"'!$A$2:$T$1000"),4,FALSE),0)</f>
        <v>9.3000000000000007</v>
      </c>
      <c r="E442" s="37">
        <f ca="1">_xlfn.IFNA(VLOOKUP($A442,INDIRECT("'W"&amp;E$1&amp;"'!$A$2:$T$1000"),4,FALSE),0)</f>
        <v>1.5</v>
      </c>
      <c r="F442" s="37">
        <f ca="1">_xlfn.IFNA(VLOOKUP($A442,INDIRECT("'W"&amp;F$1&amp;"'!$A$2:$T$1000"),4,FALSE),0)</f>
        <v>2.9000000000000004</v>
      </c>
      <c r="G442" s="37">
        <f ca="1">_xlfn.IFNA(VLOOKUP($A442,INDIRECT("'W"&amp;G$1&amp;"'!$A$2:$T$1000"),4,FALSE),0)</f>
        <v>1.3</v>
      </c>
      <c r="H442" s="37">
        <f ca="1">_xlfn.IFNA(VLOOKUP($A442,INDIRECT("'W"&amp;H$1&amp;"'!$A$2:$T$1000"),4,FALSE),0)</f>
        <v>0.1</v>
      </c>
      <c r="I442" s="37">
        <f ca="1">_xlfn.IFNA(VLOOKUP($A442,INDIRECT("'W"&amp;I$1&amp;"'!$A$2:$T$1000"),4,FALSE),0)</f>
        <v>0</v>
      </c>
      <c r="J442" s="37">
        <f ca="1">_xlfn.IFNA(VLOOKUP($A442,INDIRECT("'W"&amp;J$1&amp;"'!$A$2:$T$1000"),4,FALSE),0)</f>
        <v>0</v>
      </c>
      <c r="K442" s="37">
        <f ca="1">_xlfn.IFNA(VLOOKUP($A442,INDIRECT("'W"&amp;K$1&amp;"'!$A$2:$T$1000"),4,FALSE),0)</f>
        <v>0</v>
      </c>
      <c r="L442" s="37">
        <f ca="1">_xlfn.IFNA(VLOOKUP($A442,INDIRECT("'W"&amp;L$1&amp;"'!$A$2:$T$1000"),4,FALSE),0)</f>
        <v>0</v>
      </c>
      <c r="M442" s="37">
        <f ca="1">_xlfn.IFNA(VLOOKUP($A442,INDIRECT("'W"&amp;M$1&amp;"'!$A$2:$T$1000"),4,FALSE),0)</f>
        <v>0</v>
      </c>
      <c r="N442" s="37">
        <f ca="1">_xlfn.IFNA(VLOOKUP($A442,INDIRECT("'W"&amp;N$1&amp;"'!$A$2:$T$1000"),4,FALSE),0)</f>
        <v>0</v>
      </c>
      <c r="O442" s="37">
        <f ca="1">_xlfn.IFNA(VLOOKUP($A442,INDIRECT("'W"&amp;O$1&amp;"'!$A$2:$T$1000"),4,FALSE),0)</f>
        <v>0</v>
      </c>
      <c r="P442" s="37">
        <f ca="1">_xlfn.IFNA(VLOOKUP($A442,INDIRECT("'W"&amp;P$1&amp;"'!$A$2:$T$1000"),4,FALSE),0)</f>
        <v>0</v>
      </c>
      <c r="Q442" s="37">
        <f ca="1">_xlfn.IFNA(VLOOKUP($A442,INDIRECT("'W"&amp;Q$1&amp;"'!$A$2:$T$1000"),4,FALSE),0)</f>
        <v>0</v>
      </c>
      <c r="R442" s="37">
        <f ca="1">_xlfn.IFNA(VLOOKUP($A442,INDIRECT("'W"&amp;R$1&amp;"'!$A$2:$T$1000"),4,FALSE),0)</f>
        <v>0</v>
      </c>
      <c r="S442" s="37">
        <f ca="1">_xlfn.IFNA(VLOOKUP($A442,INDIRECT("'W"&amp;S$1&amp;"'!$A$2:$T$1000"),4,FALSE),0)</f>
        <v>0</v>
      </c>
      <c r="T442" s="37">
        <f ca="1">_xlfn.IFNA(VLOOKUP($A442,INDIRECT("'W"&amp;T$1&amp;"'!$A$2:$T$1000"),4,FALSE),0)</f>
        <v>0</v>
      </c>
      <c r="U442" s="36">
        <f ca="1">COUNTIF(C442:T442,"&gt; 15")</f>
        <v>0</v>
      </c>
      <c r="V442" s="36">
        <f ca="1">SUM(C442:T442)</f>
        <v>19.000000000000004</v>
      </c>
      <c r="W442" s="36"/>
      <c r="X442" s="38"/>
    </row>
    <row r="443" spans="1:24" ht="12.75" x14ac:dyDescent="0.2">
      <c r="A443" s="36" t="s">
        <v>393</v>
      </c>
      <c r="B443" s="36" t="s">
        <v>75</v>
      </c>
      <c r="C443" s="37">
        <f ca="1">_xlfn.IFNA(VLOOKUP($A443,INDIRECT("'W"&amp;C$1&amp;"'!$A$2:$T$1000"),4,FALSE),0)</f>
        <v>0</v>
      </c>
      <c r="D443" s="37">
        <f ca="1">_xlfn.IFNA(VLOOKUP($A443,INDIRECT("'W"&amp;D$1&amp;"'!$A$2:$T$1000"),4,FALSE),0)</f>
        <v>0.30000000000000004</v>
      </c>
      <c r="E443" s="37">
        <f ca="1">_xlfn.IFNA(VLOOKUP($A443,INDIRECT("'W"&amp;E$1&amp;"'!$A$2:$T$1000"),4,FALSE),0)</f>
        <v>0.70000000000000007</v>
      </c>
      <c r="F443" s="37">
        <f ca="1">_xlfn.IFNA(VLOOKUP($A443,INDIRECT("'W"&amp;F$1&amp;"'!$A$2:$T$1000"),4,FALSE),0)</f>
        <v>4.7</v>
      </c>
      <c r="G443" s="37">
        <f ca="1">_xlfn.IFNA(VLOOKUP($A443,INDIRECT("'W"&amp;G$1&amp;"'!$A$2:$T$1000"),4,FALSE),0)</f>
        <v>0</v>
      </c>
      <c r="H443" s="37">
        <f ca="1">_xlfn.IFNA(VLOOKUP($A443,INDIRECT("'W"&amp;H$1&amp;"'!$A$2:$T$1000"),4,FALSE),0)</f>
        <v>0.2</v>
      </c>
      <c r="I443" s="37">
        <f ca="1">_xlfn.IFNA(VLOOKUP($A443,INDIRECT("'W"&amp;I$1&amp;"'!$A$2:$T$1000"),4,FALSE),0)</f>
        <v>0</v>
      </c>
      <c r="J443" s="37">
        <f ca="1">_xlfn.IFNA(VLOOKUP($A443,INDIRECT("'W"&amp;J$1&amp;"'!$A$2:$T$1000"),4,FALSE),0)</f>
        <v>1.8</v>
      </c>
      <c r="K443" s="37">
        <f ca="1">_xlfn.IFNA(VLOOKUP($A443,INDIRECT("'W"&amp;K$1&amp;"'!$A$2:$T$1000"),4,FALSE),0)</f>
        <v>0</v>
      </c>
      <c r="L443" s="37">
        <f ca="1">_xlfn.IFNA(VLOOKUP($A443,INDIRECT("'W"&amp;L$1&amp;"'!$A$2:$T$1000"),4,FALSE),0)</f>
        <v>0</v>
      </c>
      <c r="M443" s="37">
        <f ca="1">_xlfn.IFNA(VLOOKUP($A443,INDIRECT("'W"&amp;M$1&amp;"'!$A$2:$T$1000"),4,FALSE),0)</f>
        <v>0</v>
      </c>
      <c r="N443" s="37">
        <f ca="1">_xlfn.IFNA(VLOOKUP($A443,INDIRECT("'W"&amp;N$1&amp;"'!$A$2:$T$1000"),4,FALSE),0)</f>
        <v>0</v>
      </c>
      <c r="O443" s="37">
        <f ca="1">_xlfn.IFNA(VLOOKUP($A443,INDIRECT("'W"&amp;O$1&amp;"'!$A$2:$T$1000"),4,FALSE),0)</f>
        <v>0</v>
      </c>
      <c r="P443" s="37">
        <f ca="1">_xlfn.IFNA(VLOOKUP($A443,INDIRECT("'W"&amp;P$1&amp;"'!$A$2:$T$1000"),4,FALSE),0)</f>
        <v>1.9000000000000001</v>
      </c>
      <c r="Q443" s="37">
        <f ca="1">_xlfn.IFNA(VLOOKUP($A443,INDIRECT("'W"&amp;Q$1&amp;"'!$A$2:$T$1000"),4,FALSE),0)</f>
        <v>5</v>
      </c>
      <c r="R443" s="37">
        <f ca="1">_xlfn.IFNA(VLOOKUP($A443,INDIRECT("'W"&amp;R$1&amp;"'!$A$2:$T$1000"),4,FALSE),0)</f>
        <v>1.5</v>
      </c>
      <c r="S443" s="37">
        <f ca="1">_xlfn.IFNA(VLOOKUP($A443,INDIRECT("'W"&amp;S$1&amp;"'!$A$2:$T$1000"),4,FALSE),0)</f>
        <v>2.9</v>
      </c>
      <c r="T443" s="37">
        <f ca="1">_xlfn.IFNA(VLOOKUP($A443,INDIRECT("'W"&amp;T$1&amp;"'!$A$2:$T$1000"),4,FALSE),0)</f>
        <v>0</v>
      </c>
      <c r="U443" s="36">
        <f ca="1">COUNTIF(C443:T443,"&gt; 15")</f>
        <v>0</v>
      </c>
      <c r="V443" s="36">
        <f ca="1">SUM(C443:T443)</f>
        <v>19</v>
      </c>
      <c r="W443" s="36"/>
      <c r="X443" s="38"/>
    </row>
    <row r="444" spans="1:24" ht="12.75" x14ac:dyDescent="0.2">
      <c r="A444" s="36" t="s">
        <v>716</v>
      </c>
      <c r="B444" s="36" t="s">
        <v>75</v>
      </c>
      <c r="C444" s="37">
        <f ca="1">_xlfn.IFNA(VLOOKUP($A444,INDIRECT("'W"&amp;C$1&amp;"'!$A$2:$T$1000"),4,FALSE),0)</f>
        <v>0</v>
      </c>
      <c r="D444" s="37">
        <f ca="1">_xlfn.IFNA(VLOOKUP($A444,INDIRECT("'W"&amp;D$1&amp;"'!$A$2:$T$1000"),4,FALSE),0)</f>
        <v>0</v>
      </c>
      <c r="E444" s="37">
        <f ca="1">_xlfn.IFNA(VLOOKUP($A444,INDIRECT("'W"&amp;E$1&amp;"'!$A$2:$T$1000"),4,FALSE),0)</f>
        <v>0</v>
      </c>
      <c r="F444" s="37">
        <f ca="1">_xlfn.IFNA(VLOOKUP($A444,INDIRECT("'W"&amp;F$1&amp;"'!$A$2:$T$1000"),4,FALSE),0)</f>
        <v>0</v>
      </c>
      <c r="G444" s="37">
        <f ca="1">_xlfn.IFNA(VLOOKUP($A444,INDIRECT("'W"&amp;G$1&amp;"'!$A$2:$T$1000"),4,FALSE),0)</f>
        <v>0</v>
      </c>
      <c r="H444" s="37">
        <f ca="1">_xlfn.IFNA(VLOOKUP($A444,INDIRECT("'W"&amp;H$1&amp;"'!$A$2:$T$1000"),4,FALSE),0)</f>
        <v>0</v>
      </c>
      <c r="I444" s="37">
        <f ca="1">_xlfn.IFNA(VLOOKUP($A444,INDIRECT("'W"&amp;I$1&amp;"'!$A$2:$T$1000"),4,FALSE),0)</f>
        <v>0</v>
      </c>
      <c r="J444" s="37">
        <f ca="1">_xlfn.IFNA(VLOOKUP($A444,INDIRECT("'W"&amp;J$1&amp;"'!$A$2:$T$1000"),4,FALSE),0)</f>
        <v>0</v>
      </c>
      <c r="K444" s="37">
        <f ca="1">_xlfn.IFNA(VLOOKUP($A444,INDIRECT("'W"&amp;K$1&amp;"'!$A$2:$T$1000"),4,FALSE),0)</f>
        <v>0</v>
      </c>
      <c r="L444" s="37">
        <f ca="1">_xlfn.IFNA(VLOOKUP($A444,INDIRECT("'W"&amp;L$1&amp;"'!$A$2:$T$1000"),4,FALSE),0)</f>
        <v>0</v>
      </c>
      <c r="M444" s="37">
        <f ca="1">_xlfn.IFNA(VLOOKUP($A444,INDIRECT("'W"&amp;M$1&amp;"'!$A$2:$T$1000"),4,FALSE),0)</f>
        <v>0</v>
      </c>
      <c r="N444" s="37">
        <f ca="1">_xlfn.IFNA(VLOOKUP($A444,INDIRECT("'W"&amp;N$1&amp;"'!$A$2:$T$1000"),4,FALSE),0)</f>
        <v>0</v>
      </c>
      <c r="O444" s="37">
        <f ca="1">_xlfn.IFNA(VLOOKUP($A444,INDIRECT("'W"&amp;O$1&amp;"'!$A$2:$T$1000"),4,FALSE),0)</f>
        <v>3.1</v>
      </c>
      <c r="P444" s="37">
        <f ca="1">_xlfn.IFNA(VLOOKUP($A444,INDIRECT("'W"&amp;P$1&amp;"'!$A$2:$T$1000"),4,FALSE),0)</f>
        <v>0.8</v>
      </c>
      <c r="Q444" s="37">
        <f ca="1">_xlfn.IFNA(VLOOKUP($A444,INDIRECT("'W"&amp;Q$1&amp;"'!$A$2:$T$1000"),4,FALSE),0)</f>
        <v>9.9</v>
      </c>
      <c r="R444" s="37">
        <f ca="1">_xlfn.IFNA(VLOOKUP($A444,INDIRECT("'W"&amp;R$1&amp;"'!$A$2:$T$1000"),4,FALSE),0)</f>
        <v>4</v>
      </c>
      <c r="S444" s="37">
        <f ca="1">_xlfn.IFNA(VLOOKUP($A444,INDIRECT("'W"&amp;S$1&amp;"'!$A$2:$T$1000"),4,FALSE),0)</f>
        <v>0.30000000000000004</v>
      </c>
      <c r="T444" s="37">
        <f ca="1">_xlfn.IFNA(VLOOKUP($A444,INDIRECT("'W"&amp;T$1&amp;"'!$A$2:$T$1000"),4,FALSE),0)</f>
        <v>0</v>
      </c>
      <c r="U444" s="36">
        <f ca="1">COUNTIF(C444:T444,"&gt; 15")</f>
        <v>0</v>
      </c>
      <c r="V444" s="36">
        <f ca="1">SUM(C444:T444)</f>
        <v>18.100000000000001</v>
      </c>
      <c r="W444" s="36"/>
      <c r="X444" s="38"/>
    </row>
    <row r="445" spans="1:24" ht="12.75" x14ac:dyDescent="0.2">
      <c r="A445" s="36" t="s">
        <v>673</v>
      </c>
      <c r="B445" s="36" t="s">
        <v>17</v>
      </c>
      <c r="C445" s="37">
        <f ca="1">_xlfn.IFNA(VLOOKUP($A445,INDIRECT("'W"&amp;C$1&amp;"'!$A$2:$T$1000"),4,FALSE),0)</f>
        <v>0</v>
      </c>
      <c r="D445" s="37">
        <f ca="1">_xlfn.IFNA(VLOOKUP($A445,INDIRECT("'W"&amp;D$1&amp;"'!$A$2:$T$1000"),4,FALSE),0)</f>
        <v>0</v>
      </c>
      <c r="E445" s="37">
        <f ca="1">_xlfn.IFNA(VLOOKUP($A445,INDIRECT("'W"&amp;E$1&amp;"'!$A$2:$T$1000"),4,FALSE),0)</f>
        <v>0</v>
      </c>
      <c r="F445" s="37">
        <f ca="1">_xlfn.IFNA(VLOOKUP($A445,INDIRECT("'W"&amp;F$1&amp;"'!$A$2:$T$1000"),4,FALSE),0)</f>
        <v>0</v>
      </c>
      <c r="G445" s="37">
        <f ca="1">_xlfn.IFNA(VLOOKUP($A445,INDIRECT("'W"&amp;G$1&amp;"'!$A$2:$T$1000"),4,FALSE),0)</f>
        <v>0</v>
      </c>
      <c r="H445" s="37">
        <f ca="1">_xlfn.IFNA(VLOOKUP($A445,INDIRECT("'W"&amp;H$1&amp;"'!$A$2:$T$1000"),4,FALSE),0)</f>
        <v>0</v>
      </c>
      <c r="I445" s="37">
        <f ca="1">_xlfn.IFNA(VLOOKUP($A445,INDIRECT("'W"&amp;I$1&amp;"'!$A$2:$T$1000"),4,FALSE),0)</f>
        <v>0</v>
      </c>
      <c r="J445" s="37">
        <f ca="1">_xlfn.IFNA(VLOOKUP($A445,INDIRECT("'W"&amp;J$1&amp;"'!$A$2:$T$1000"),4,FALSE),0)</f>
        <v>0</v>
      </c>
      <c r="K445" s="37">
        <f ca="1">_xlfn.IFNA(VLOOKUP($A445,INDIRECT("'W"&amp;K$1&amp;"'!$A$2:$T$1000"),4,FALSE),0)</f>
        <v>0</v>
      </c>
      <c r="L445" s="37">
        <f ca="1">_xlfn.IFNA(VLOOKUP($A445,INDIRECT("'W"&amp;L$1&amp;"'!$A$2:$T$1000"),4,FALSE),0)</f>
        <v>0</v>
      </c>
      <c r="M445" s="37">
        <f ca="1">_xlfn.IFNA(VLOOKUP($A445,INDIRECT("'W"&amp;M$1&amp;"'!$A$2:$T$1000"),4,FALSE),0)</f>
        <v>0.08</v>
      </c>
      <c r="N445" s="37">
        <f ca="1">_xlfn.IFNA(VLOOKUP($A445,INDIRECT("'W"&amp;N$1&amp;"'!$A$2:$T$1000"),4,FALSE),0)</f>
        <v>0</v>
      </c>
      <c r="O445" s="37">
        <f ca="1">_xlfn.IFNA(VLOOKUP($A445,INDIRECT("'W"&amp;O$1&amp;"'!$A$2:$T$1000"),4,FALSE),0)</f>
        <v>0.72</v>
      </c>
      <c r="P445" s="37">
        <f ca="1">_xlfn.IFNA(VLOOKUP($A445,INDIRECT("'W"&amp;P$1&amp;"'!$A$2:$T$1000"),4,FALSE),0)</f>
        <v>0.16</v>
      </c>
      <c r="Q445" s="37">
        <f ca="1">_xlfn.IFNA(VLOOKUP($A445,INDIRECT("'W"&amp;Q$1&amp;"'!$A$2:$T$1000"),4,FALSE),0)</f>
        <v>0</v>
      </c>
      <c r="R445" s="37">
        <f ca="1">_xlfn.IFNA(VLOOKUP($A445,INDIRECT("'W"&amp;R$1&amp;"'!$A$2:$T$1000"),4,FALSE),0)</f>
        <v>16.86</v>
      </c>
      <c r="S445" s="37">
        <f ca="1">_xlfn.IFNA(VLOOKUP($A445,INDIRECT("'W"&amp;S$1&amp;"'!$A$2:$T$1000"),4,FALSE),0)</f>
        <v>0</v>
      </c>
      <c r="T445" s="37">
        <f ca="1">_xlfn.IFNA(VLOOKUP($A445,INDIRECT("'W"&amp;T$1&amp;"'!$A$2:$T$1000"),4,FALSE),0)</f>
        <v>0</v>
      </c>
      <c r="U445" s="36">
        <f ca="1">COUNTIF(C445:T445,"&gt; 15")</f>
        <v>1</v>
      </c>
      <c r="V445" s="36">
        <f ca="1">SUM(C445:T445)</f>
        <v>17.82</v>
      </c>
      <c r="W445" s="36"/>
      <c r="X445" s="38"/>
    </row>
    <row r="446" spans="1:24" ht="12.75" x14ac:dyDescent="0.2">
      <c r="A446" s="36" t="s">
        <v>554</v>
      </c>
      <c r="B446" s="36" t="s">
        <v>75</v>
      </c>
      <c r="C446" s="37">
        <f ca="1">_xlfn.IFNA(VLOOKUP($A446,INDIRECT("'W"&amp;C$1&amp;"'!$A$2:$T$1000"),4,FALSE),0)</f>
        <v>0</v>
      </c>
      <c r="D446" s="37">
        <f ca="1">_xlfn.IFNA(VLOOKUP($A446,INDIRECT("'W"&amp;D$1&amp;"'!$A$2:$T$1000"),4,FALSE),0)</f>
        <v>0</v>
      </c>
      <c r="E446" s="37">
        <f ca="1">_xlfn.IFNA(VLOOKUP($A446,INDIRECT("'W"&amp;E$1&amp;"'!$A$2:$T$1000"),4,FALSE),0)</f>
        <v>0</v>
      </c>
      <c r="F446" s="37">
        <f ca="1">_xlfn.IFNA(VLOOKUP($A446,INDIRECT("'W"&amp;F$1&amp;"'!$A$2:$T$1000"),4,FALSE),0)</f>
        <v>0</v>
      </c>
      <c r="G446" s="37">
        <f ca="1">_xlfn.IFNA(VLOOKUP($A446,INDIRECT("'W"&amp;G$1&amp;"'!$A$2:$T$1000"),4,FALSE),0)</f>
        <v>0</v>
      </c>
      <c r="H446" s="37">
        <f ca="1">_xlfn.IFNA(VLOOKUP($A446,INDIRECT("'W"&amp;H$1&amp;"'!$A$2:$T$1000"),4,FALSE),0)</f>
        <v>3.1999999999999997</v>
      </c>
      <c r="I446" s="37">
        <f ca="1">_xlfn.IFNA(VLOOKUP($A446,INDIRECT("'W"&amp;I$1&amp;"'!$A$2:$T$1000"),4,FALSE),0)</f>
        <v>0</v>
      </c>
      <c r="J446" s="37">
        <f ca="1">_xlfn.IFNA(VLOOKUP($A446,INDIRECT("'W"&amp;J$1&amp;"'!$A$2:$T$1000"),4,FALSE),0)</f>
        <v>5.0999999999999996</v>
      </c>
      <c r="K446" s="37">
        <f ca="1">_xlfn.IFNA(VLOOKUP($A446,INDIRECT("'W"&amp;K$1&amp;"'!$A$2:$T$1000"),4,FALSE),0)</f>
        <v>1.5</v>
      </c>
      <c r="L446" s="37">
        <f ca="1">_xlfn.IFNA(VLOOKUP($A446,INDIRECT("'W"&amp;L$1&amp;"'!$A$2:$T$1000"),4,FALSE),0)</f>
        <v>2.3000000000000003</v>
      </c>
      <c r="M446" s="37">
        <f ca="1">_xlfn.IFNA(VLOOKUP($A446,INDIRECT("'W"&amp;M$1&amp;"'!$A$2:$T$1000"),4,FALSE),0)</f>
        <v>0</v>
      </c>
      <c r="N446" s="37">
        <f ca="1">_xlfn.IFNA(VLOOKUP($A446,INDIRECT("'W"&amp;N$1&amp;"'!$A$2:$T$1000"),4,FALSE),0)</f>
        <v>0</v>
      </c>
      <c r="O446" s="37">
        <f ca="1">_xlfn.IFNA(VLOOKUP($A446,INDIRECT("'W"&amp;O$1&amp;"'!$A$2:$T$1000"),4,FALSE),0)</f>
        <v>0.60000000000000009</v>
      </c>
      <c r="P446" s="37">
        <f ca="1">_xlfn.IFNA(VLOOKUP($A446,INDIRECT("'W"&amp;P$1&amp;"'!$A$2:$T$1000"),4,FALSE),0)</f>
        <v>1.7999999999999998</v>
      </c>
      <c r="Q446" s="37">
        <f ca="1">_xlfn.IFNA(VLOOKUP($A446,INDIRECT("'W"&amp;Q$1&amp;"'!$A$2:$T$1000"),4,FALSE),0)</f>
        <v>0</v>
      </c>
      <c r="R446" s="37">
        <f ca="1">_xlfn.IFNA(VLOOKUP($A446,INDIRECT("'W"&amp;R$1&amp;"'!$A$2:$T$1000"),4,FALSE),0)</f>
        <v>2</v>
      </c>
      <c r="S446" s="37">
        <f ca="1">_xlfn.IFNA(VLOOKUP($A446,INDIRECT("'W"&amp;S$1&amp;"'!$A$2:$T$1000"),4,FALSE),0)</f>
        <v>0</v>
      </c>
      <c r="T446" s="37">
        <f ca="1">_xlfn.IFNA(VLOOKUP($A446,INDIRECT("'W"&amp;T$1&amp;"'!$A$2:$T$1000"),4,FALSE),0)</f>
        <v>0.60000000000000009</v>
      </c>
      <c r="U446" s="36">
        <f ca="1">COUNTIF(C446:T446,"&gt; 15")</f>
        <v>0</v>
      </c>
      <c r="V446" s="36">
        <f ca="1">SUM(C446:T446)</f>
        <v>17.100000000000001</v>
      </c>
      <c r="W446" s="36"/>
      <c r="X446" s="38"/>
    </row>
    <row r="447" spans="1:24" ht="12.75" x14ac:dyDescent="0.2">
      <c r="A447" s="36" t="s">
        <v>441</v>
      </c>
      <c r="B447" s="36" t="s">
        <v>162</v>
      </c>
      <c r="C447" s="37">
        <f ca="1">_xlfn.IFNA(VLOOKUP($A447,INDIRECT("'W"&amp;C$1&amp;"'!$A$2:$T$1000"),4,FALSE),0)</f>
        <v>0</v>
      </c>
      <c r="D447" s="37">
        <f ca="1">_xlfn.IFNA(VLOOKUP($A447,INDIRECT("'W"&amp;D$1&amp;"'!$A$2:$T$1000"),4,FALSE),0)</f>
        <v>0</v>
      </c>
      <c r="E447" s="37">
        <f ca="1">_xlfn.IFNA(VLOOKUP($A447,INDIRECT("'W"&amp;E$1&amp;"'!$A$2:$T$1000"),4,FALSE),0)</f>
        <v>2.2000000000000002</v>
      </c>
      <c r="F447" s="37">
        <f ca="1">_xlfn.IFNA(VLOOKUP($A447,INDIRECT("'W"&amp;F$1&amp;"'!$A$2:$T$1000"),4,FALSE),0)</f>
        <v>2.8</v>
      </c>
      <c r="G447" s="37">
        <f ca="1">_xlfn.IFNA(VLOOKUP($A447,INDIRECT("'W"&amp;G$1&amp;"'!$A$2:$T$1000"),4,FALSE),0)</f>
        <v>0</v>
      </c>
      <c r="H447" s="37">
        <f ca="1">_xlfn.IFNA(VLOOKUP($A447,INDIRECT("'W"&amp;H$1&amp;"'!$A$2:$T$1000"),4,FALSE),0)</f>
        <v>2</v>
      </c>
      <c r="I447" s="37">
        <f ca="1">_xlfn.IFNA(VLOOKUP($A447,INDIRECT("'W"&amp;I$1&amp;"'!$A$2:$T$1000"),4,FALSE),0)</f>
        <v>0</v>
      </c>
      <c r="J447" s="37">
        <f ca="1">_xlfn.IFNA(VLOOKUP($A447,INDIRECT("'W"&amp;J$1&amp;"'!$A$2:$T$1000"),4,FALSE),0)</f>
        <v>0</v>
      </c>
      <c r="K447" s="37">
        <f ca="1">_xlfn.IFNA(VLOOKUP($A447,INDIRECT("'W"&amp;K$1&amp;"'!$A$2:$T$1000"),4,FALSE),0)</f>
        <v>0</v>
      </c>
      <c r="L447" s="37">
        <f ca="1">_xlfn.IFNA(VLOOKUP($A447,INDIRECT("'W"&amp;L$1&amp;"'!$A$2:$T$1000"),4,FALSE),0)</f>
        <v>0</v>
      </c>
      <c r="M447" s="37">
        <f ca="1">_xlfn.IFNA(VLOOKUP($A447,INDIRECT("'W"&amp;M$1&amp;"'!$A$2:$T$1000"),4,FALSE),0)</f>
        <v>0</v>
      </c>
      <c r="N447" s="37">
        <f ca="1">_xlfn.IFNA(VLOOKUP($A447,INDIRECT("'W"&amp;N$1&amp;"'!$A$2:$T$1000"),4,FALSE),0)</f>
        <v>0</v>
      </c>
      <c r="O447" s="37">
        <f ca="1">_xlfn.IFNA(VLOOKUP($A447,INDIRECT("'W"&amp;O$1&amp;"'!$A$2:$T$1000"),4,FALSE),0)</f>
        <v>0</v>
      </c>
      <c r="P447" s="37">
        <f ca="1">_xlfn.IFNA(VLOOKUP($A447,INDIRECT("'W"&amp;P$1&amp;"'!$A$2:$T$1000"),4,FALSE),0)</f>
        <v>8.5</v>
      </c>
      <c r="Q447" s="37">
        <f ca="1">_xlfn.IFNA(VLOOKUP($A447,INDIRECT("'W"&amp;Q$1&amp;"'!$A$2:$T$1000"),4,FALSE),0)</f>
        <v>0</v>
      </c>
      <c r="R447" s="37">
        <f ca="1">_xlfn.IFNA(VLOOKUP($A447,INDIRECT("'W"&amp;R$1&amp;"'!$A$2:$T$1000"),4,FALSE),0)</f>
        <v>0</v>
      </c>
      <c r="S447" s="37">
        <f ca="1">_xlfn.IFNA(VLOOKUP($A447,INDIRECT("'W"&amp;S$1&amp;"'!$A$2:$T$1000"),4,FALSE),0)</f>
        <v>0</v>
      </c>
      <c r="T447" s="37">
        <f ca="1">_xlfn.IFNA(VLOOKUP($A447,INDIRECT("'W"&amp;T$1&amp;"'!$A$2:$T$1000"),4,FALSE),0)</f>
        <v>1.4</v>
      </c>
      <c r="U447" s="36">
        <f ca="1">COUNTIF(C447:T447,"&gt; 15")</f>
        <v>0</v>
      </c>
      <c r="V447" s="36">
        <f ca="1">SUM(C447:T447)</f>
        <v>16.899999999999999</v>
      </c>
      <c r="W447" s="36"/>
      <c r="X447" s="38"/>
    </row>
    <row r="448" spans="1:24" ht="12.75" x14ac:dyDescent="0.2">
      <c r="A448" s="36" t="s">
        <v>697</v>
      </c>
      <c r="B448" s="36" t="s">
        <v>162</v>
      </c>
      <c r="C448" s="37">
        <f ca="1">_xlfn.IFNA(VLOOKUP($A448,INDIRECT("'W"&amp;C$1&amp;"'!$A$2:$T$1000"),4,FALSE),0)</f>
        <v>0</v>
      </c>
      <c r="D448" s="37">
        <f ca="1">_xlfn.IFNA(VLOOKUP($A448,INDIRECT("'W"&amp;D$1&amp;"'!$A$2:$T$1000"),4,FALSE),0)</f>
        <v>0</v>
      </c>
      <c r="E448" s="37">
        <f ca="1">_xlfn.IFNA(VLOOKUP($A448,INDIRECT("'W"&amp;E$1&amp;"'!$A$2:$T$1000"),4,FALSE),0)</f>
        <v>0</v>
      </c>
      <c r="F448" s="37">
        <f ca="1">_xlfn.IFNA(VLOOKUP($A448,INDIRECT("'W"&amp;F$1&amp;"'!$A$2:$T$1000"),4,FALSE),0)</f>
        <v>0</v>
      </c>
      <c r="G448" s="37">
        <f ca="1">_xlfn.IFNA(VLOOKUP($A448,INDIRECT("'W"&amp;G$1&amp;"'!$A$2:$T$1000"),4,FALSE),0)</f>
        <v>0</v>
      </c>
      <c r="H448" s="37">
        <f ca="1">_xlfn.IFNA(VLOOKUP($A448,INDIRECT("'W"&amp;H$1&amp;"'!$A$2:$T$1000"),4,FALSE),0)</f>
        <v>0</v>
      </c>
      <c r="I448" s="37">
        <f ca="1">_xlfn.IFNA(VLOOKUP($A448,INDIRECT("'W"&amp;I$1&amp;"'!$A$2:$T$1000"),4,FALSE),0)</f>
        <v>0</v>
      </c>
      <c r="J448" s="37">
        <f ca="1">_xlfn.IFNA(VLOOKUP($A448,INDIRECT("'W"&amp;J$1&amp;"'!$A$2:$T$1000"),4,FALSE),0)</f>
        <v>0</v>
      </c>
      <c r="K448" s="37">
        <f ca="1">_xlfn.IFNA(VLOOKUP($A448,INDIRECT("'W"&amp;K$1&amp;"'!$A$2:$T$1000"),4,FALSE),0)</f>
        <v>0</v>
      </c>
      <c r="L448" s="37">
        <f ca="1">_xlfn.IFNA(VLOOKUP($A448,INDIRECT("'W"&amp;L$1&amp;"'!$A$2:$T$1000"),4,FALSE),0)</f>
        <v>0</v>
      </c>
      <c r="M448" s="37">
        <f ca="1">_xlfn.IFNA(VLOOKUP($A448,INDIRECT("'W"&amp;M$1&amp;"'!$A$2:$T$1000"),4,FALSE),0)</f>
        <v>0</v>
      </c>
      <c r="N448" s="37">
        <f ca="1">_xlfn.IFNA(VLOOKUP($A448,INDIRECT("'W"&amp;N$1&amp;"'!$A$2:$T$1000"),4,FALSE),0)</f>
        <v>4</v>
      </c>
      <c r="O448" s="37">
        <f ca="1">_xlfn.IFNA(VLOOKUP($A448,INDIRECT("'W"&amp;O$1&amp;"'!$A$2:$T$1000"),4,FALSE),0)</f>
        <v>0</v>
      </c>
      <c r="P448" s="37">
        <f ca="1">_xlfn.IFNA(VLOOKUP($A448,INDIRECT("'W"&amp;P$1&amp;"'!$A$2:$T$1000"),4,FALSE),0)</f>
        <v>0</v>
      </c>
      <c r="Q448" s="37">
        <f ca="1">_xlfn.IFNA(VLOOKUP($A448,INDIRECT("'W"&amp;Q$1&amp;"'!$A$2:$T$1000"),4,FALSE),0)</f>
        <v>0</v>
      </c>
      <c r="R448" s="37">
        <f ca="1">_xlfn.IFNA(VLOOKUP($A448,INDIRECT("'W"&amp;R$1&amp;"'!$A$2:$T$1000"),4,FALSE),0)</f>
        <v>7.8</v>
      </c>
      <c r="S448" s="37">
        <f ca="1">_xlfn.IFNA(VLOOKUP($A448,INDIRECT("'W"&amp;S$1&amp;"'!$A$2:$T$1000"),4,FALSE),0)</f>
        <v>4.8000000000000007</v>
      </c>
      <c r="T448" s="37">
        <f ca="1">_xlfn.IFNA(VLOOKUP($A448,INDIRECT("'W"&amp;T$1&amp;"'!$A$2:$T$1000"),4,FALSE),0)</f>
        <v>0</v>
      </c>
      <c r="U448" s="36">
        <f ca="1">COUNTIF(C448:T448,"&gt; 15")</f>
        <v>0</v>
      </c>
      <c r="V448" s="36">
        <f ca="1">SUM(C448:T448)</f>
        <v>16.600000000000001</v>
      </c>
      <c r="W448" s="36"/>
      <c r="X448" s="38"/>
    </row>
    <row r="449" spans="1:24" ht="12.75" x14ac:dyDescent="0.2">
      <c r="A449" s="36" t="s">
        <v>377</v>
      </c>
      <c r="B449" s="36" t="s">
        <v>162</v>
      </c>
      <c r="C449" s="37">
        <f ca="1">_xlfn.IFNA(VLOOKUP($A449,INDIRECT("'W"&amp;C$1&amp;"'!$A$2:$T$1000"),4,FALSE),0)</f>
        <v>0</v>
      </c>
      <c r="D449" s="37">
        <f ca="1">_xlfn.IFNA(VLOOKUP($A449,INDIRECT("'W"&amp;D$1&amp;"'!$A$2:$T$1000"),4,FALSE),0)</f>
        <v>1.7000000000000002</v>
      </c>
      <c r="E449" s="37">
        <f ca="1">_xlfn.IFNA(VLOOKUP($A449,INDIRECT("'W"&amp;E$1&amp;"'!$A$2:$T$1000"),4,FALSE),0)</f>
        <v>1.3</v>
      </c>
      <c r="F449" s="37">
        <f ca="1">_xlfn.IFNA(VLOOKUP($A449,INDIRECT("'W"&amp;F$1&amp;"'!$A$2:$T$1000"),4,FALSE),0)</f>
        <v>1.6</v>
      </c>
      <c r="G449" s="37">
        <f ca="1">_xlfn.IFNA(VLOOKUP($A449,INDIRECT("'W"&amp;G$1&amp;"'!$A$2:$T$1000"),4,FALSE),0)</f>
        <v>0.4</v>
      </c>
      <c r="H449" s="37">
        <f ca="1">_xlfn.IFNA(VLOOKUP($A449,INDIRECT("'W"&amp;H$1&amp;"'!$A$2:$T$1000"),4,FALSE),0)</f>
        <v>4.3000000000000007</v>
      </c>
      <c r="I449" s="37">
        <f ca="1">_xlfn.IFNA(VLOOKUP($A449,INDIRECT("'W"&amp;I$1&amp;"'!$A$2:$T$1000"),4,FALSE),0)</f>
        <v>0.70000000000000007</v>
      </c>
      <c r="J449" s="37">
        <f ca="1">_xlfn.IFNA(VLOOKUP($A449,INDIRECT("'W"&amp;J$1&amp;"'!$A$2:$T$1000"),4,FALSE),0)</f>
        <v>0</v>
      </c>
      <c r="K449" s="37">
        <f ca="1">_xlfn.IFNA(VLOOKUP($A449,INDIRECT("'W"&amp;K$1&amp;"'!$A$2:$T$1000"),4,FALSE),0)</f>
        <v>1.2000000000000002</v>
      </c>
      <c r="L449" s="37">
        <f ca="1">_xlfn.IFNA(VLOOKUP($A449,INDIRECT("'W"&amp;L$1&amp;"'!$A$2:$T$1000"),4,FALSE),0)</f>
        <v>7.1</v>
      </c>
      <c r="M449" s="37">
        <f ca="1">_xlfn.IFNA(VLOOKUP($A449,INDIRECT("'W"&amp;M$1&amp;"'!$A$2:$T$1000"),4,FALSE),0)</f>
        <v>0</v>
      </c>
      <c r="N449" s="37">
        <f ca="1">_xlfn.IFNA(VLOOKUP($A449,INDIRECT("'W"&amp;N$1&amp;"'!$A$2:$T$1000"),4,FALSE),0)</f>
        <v>0.30000000000000004</v>
      </c>
      <c r="O449" s="37">
        <f ca="1">_xlfn.IFNA(VLOOKUP($A449,INDIRECT("'W"&amp;O$1&amp;"'!$A$2:$T$1000"),4,FALSE),0)</f>
        <v>0</v>
      </c>
      <c r="P449" s="37">
        <f ca="1">_xlfn.IFNA(VLOOKUP($A449,INDIRECT("'W"&amp;P$1&amp;"'!$A$2:$T$1000"),4,FALSE),0)</f>
        <v>-2</v>
      </c>
      <c r="Q449" s="37">
        <f ca="1">_xlfn.IFNA(VLOOKUP($A449,INDIRECT("'W"&amp;Q$1&amp;"'!$A$2:$T$1000"),4,FALSE),0)</f>
        <v>0</v>
      </c>
      <c r="R449" s="37">
        <f ca="1">_xlfn.IFNA(VLOOKUP($A449,INDIRECT("'W"&amp;R$1&amp;"'!$A$2:$T$1000"),4,FALSE),0)</f>
        <v>0</v>
      </c>
      <c r="S449" s="37">
        <f ca="1">_xlfn.IFNA(VLOOKUP($A449,INDIRECT("'W"&amp;S$1&amp;"'!$A$2:$T$1000"),4,FALSE),0)</f>
        <v>0</v>
      </c>
      <c r="T449" s="37">
        <f ca="1">_xlfn.IFNA(VLOOKUP($A449,INDIRECT("'W"&amp;T$1&amp;"'!$A$2:$T$1000"),4,FALSE),0)</f>
        <v>0</v>
      </c>
      <c r="U449" s="36">
        <f ca="1">COUNTIF(C449:T449,"&gt; 15")</f>
        <v>0</v>
      </c>
      <c r="V449" s="36">
        <f ca="1">SUM(C449:T449)</f>
        <v>16.599999999999998</v>
      </c>
      <c r="W449" s="36"/>
      <c r="X449" s="38"/>
    </row>
    <row r="450" spans="1:24" ht="12.75" x14ac:dyDescent="0.2">
      <c r="A450" s="36" t="s">
        <v>676</v>
      </c>
      <c r="B450" s="36" t="s">
        <v>75</v>
      </c>
      <c r="C450" s="37">
        <f ca="1">_xlfn.IFNA(VLOOKUP($A450,INDIRECT("'W"&amp;C$1&amp;"'!$A$2:$T$1000"),4,FALSE),0)</f>
        <v>0</v>
      </c>
      <c r="D450" s="37">
        <f ca="1">_xlfn.IFNA(VLOOKUP($A450,INDIRECT("'W"&amp;D$1&amp;"'!$A$2:$T$1000"),4,FALSE),0)</f>
        <v>0</v>
      </c>
      <c r="E450" s="37">
        <f ca="1">_xlfn.IFNA(VLOOKUP($A450,INDIRECT("'W"&amp;E$1&amp;"'!$A$2:$T$1000"),4,FALSE),0)</f>
        <v>0</v>
      </c>
      <c r="F450" s="37">
        <f ca="1">_xlfn.IFNA(VLOOKUP($A450,INDIRECT("'W"&amp;F$1&amp;"'!$A$2:$T$1000"),4,FALSE),0)</f>
        <v>0</v>
      </c>
      <c r="G450" s="37">
        <f ca="1">_xlfn.IFNA(VLOOKUP($A450,INDIRECT("'W"&amp;G$1&amp;"'!$A$2:$T$1000"),4,FALSE),0)</f>
        <v>0</v>
      </c>
      <c r="H450" s="37">
        <f ca="1">_xlfn.IFNA(VLOOKUP($A450,INDIRECT("'W"&amp;H$1&amp;"'!$A$2:$T$1000"),4,FALSE),0)</f>
        <v>0</v>
      </c>
      <c r="I450" s="37">
        <f ca="1">_xlfn.IFNA(VLOOKUP($A450,INDIRECT("'W"&amp;I$1&amp;"'!$A$2:$T$1000"),4,FALSE),0)</f>
        <v>0</v>
      </c>
      <c r="J450" s="37">
        <f ca="1">_xlfn.IFNA(VLOOKUP($A450,INDIRECT("'W"&amp;J$1&amp;"'!$A$2:$T$1000"),4,FALSE),0)</f>
        <v>0</v>
      </c>
      <c r="K450" s="37">
        <f ca="1">_xlfn.IFNA(VLOOKUP($A450,INDIRECT("'W"&amp;K$1&amp;"'!$A$2:$T$1000"),4,FALSE),0)</f>
        <v>0</v>
      </c>
      <c r="L450" s="37">
        <f ca="1">_xlfn.IFNA(VLOOKUP($A450,INDIRECT("'W"&amp;L$1&amp;"'!$A$2:$T$1000"),4,FALSE),0)</f>
        <v>0</v>
      </c>
      <c r="M450" s="37">
        <f ca="1">_xlfn.IFNA(VLOOKUP($A450,INDIRECT("'W"&amp;M$1&amp;"'!$A$2:$T$1000"),4,FALSE),0)</f>
        <v>2.6</v>
      </c>
      <c r="N450" s="37">
        <f ca="1">_xlfn.IFNA(VLOOKUP($A450,INDIRECT("'W"&amp;N$1&amp;"'!$A$2:$T$1000"),4,FALSE),0)</f>
        <v>0</v>
      </c>
      <c r="O450" s="37">
        <f ca="1">_xlfn.IFNA(VLOOKUP($A450,INDIRECT("'W"&amp;O$1&amp;"'!$A$2:$T$1000"),4,FALSE),0)</f>
        <v>0</v>
      </c>
      <c r="P450" s="37">
        <f ca="1">_xlfn.IFNA(VLOOKUP($A450,INDIRECT("'W"&amp;P$1&amp;"'!$A$2:$T$1000"),4,FALSE),0)</f>
        <v>-0.1</v>
      </c>
      <c r="Q450" s="37">
        <f ca="1">_xlfn.IFNA(VLOOKUP($A450,INDIRECT("'W"&amp;Q$1&amp;"'!$A$2:$T$1000"),4,FALSE),0)</f>
        <v>3.9</v>
      </c>
      <c r="R450" s="37">
        <f ca="1">_xlfn.IFNA(VLOOKUP($A450,INDIRECT("'W"&amp;R$1&amp;"'!$A$2:$T$1000"),4,FALSE),0)</f>
        <v>4.3</v>
      </c>
      <c r="S450" s="37">
        <f ca="1">_xlfn.IFNA(VLOOKUP($A450,INDIRECT("'W"&amp;S$1&amp;"'!$A$2:$T$1000"),4,FALSE),0)</f>
        <v>5</v>
      </c>
      <c r="T450" s="37">
        <f ca="1">_xlfn.IFNA(VLOOKUP($A450,INDIRECT("'W"&amp;T$1&amp;"'!$A$2:$T$1000"),4,FALSE),0)</f>
        <v>0.60000000000000009</v>
      </c>
      <c r="U450" s="36">
        <f ca="1">COUNTIF(C450:T450,"&gt; 15")</f>
        <v>0</v>
      </c>
      <c r="V450" s="36">
        <f ca="1">SUM(C450:T450)</f>
        <v>16.3</v>
      </c>
      <c r="W450" s="36"/>
      <c r="X450" s="38"/>
    </row>
    <row r="451" spans="1:24" ht="12.75" x14ac:dyDescent="0.2">
      <c r="A451" s="36" t="s">
        <v>487</v>
      </c>
      <c r="B451" s="36" t="s">
        <v>75</v>
      </c>
      <c r="C451" s="37">
        <f ca="1">_xlfn.IFNA(VLOOKUP($A451,INDIRECT("'W"&amp;C$1&amp;"'!$A$2:$T$1000"),4,FALSE),0)</f>
        <v>0</v>
      </c>
      <c r="D451" s="37">
        <f ca="1">_xlfn.IFNA(VLOOKUP($A451,INDIRECT("'W"&amp;D$1&amp;"'!$A$2:$T$1000"),4,FALSE),0)</f>
        <v>0</v>
      </c>
      <c r="E451" s="37">
        <f ca="1">_xlfn.IFNA(VLOOKUP($A451,INDIRECT("'W"&amp;E$1&amp;"'!$A$2:$T$1000"),4,FALSE),0)</f>
        <v>0</v>
      </c>
      <c r="F451" s="37">
        <f ca="1">_xlfn.IFNA(VLOOKUP($A451,INDIRECT("'W"&amp;F$1&amp;"'!$A$2:$T$1000"),4,FALSE),0)</f>
        <v>2.4000000000000004</v>
      </c>
      <c r="G451" s="37">
        <f ca="1">_xlfn.IFNA(VLOOKUP($A451,INDIRECT("'W"&amp;G$1&amp;"'!$A$2:$T$1000"),4,FALSE),0)</f>
        <v>0</v>
      </c>
      <c r="H451" s="37">
        <f ca="1">_xlfn.IFNA(VLOOKUP($A451,INDIRECT("'W"&amp;H$1&amp;"'!$A$2:$T$1000"),4,FALSE),0)</f>
        <v>1.3</v>
      </c>
      <c r="I451" s="37">
        <f ca="1">_xlfn.IFNA(VLOOKUP($A451,INDIRECT("'W"&amp;I$1&amp;"'!$A$2:$T$1000"),4,FALSE),0)</f>
        <v>5.0999999999999996</v>
      </c>
      <c r="J451" s="37">
        <f ca="1">_xlfn.IFNA(VLOOKUP($A451,INDIRECT("'W"&amp;J$1&amp;"'!$A$2:$T$1000"),4,FALSE),0)</f>
        <v>0</v>
      </c>
      <c r="K451" s="37">
        <f ca="1">_xlfn.IFNA(VLOOKUP($A451,INDIRECT("'W"&amp;K$1&amp;"'!$A$2:$T$1000"),4,FALSE),0)</f>
        <v>0</v>
      </c>
      <c r="L451" s="37">
        <f ca="1">_xlfn.IFNA(VLOOKUP($A451,INDIRECT("'W"&amp;L$1&amp;"'!$A$2:$T$1000"),4,FALSE),0)</f>
        <v>0</v>
      </c>
      <c r="M451" s="37">
        <f ca="1">_xlfn.IFNA(VLOOKUP($A451,INDIRECT("'W"&amp;M$1&amp;"'!$A$2:$T$1000"),4,FALSE),0)</f>
        <v>0</v>
      </c>
      <c r="N451" s="37">
        <f ca="1">_xlfn.IFNA(VLOOKUP($A451,INDIRECT("'W"&amp;N$1&amp;"'!$A$2:$T$1000"),4,FALSE),0)</f>
        <v>0</v>
      </c>
      <c r="O451" s="37">
        <f ca="1">_xlfn.IFNA(VLOOKUP($A451,INDIRECT("'W"&amp;O$1&amp;"'!$A$2:$T$1000"),4,FALSE),0)</f>
        <v>0</v>
      </c>
      <c r="P451" s="37">
        <f ca="1">_xlfn.IFNA(VLOOKUP($A451,INDIRECT("'W"&amp;P$1&amp;"'!$A$2:$T$1000"),4,FALSE),0)</f>
        <v>0</v>
      </c>
      <c r="Q451" s="37">
        <f ca="1">_xlfn.IFNA(VLOOKUP($A451,INDIRECT("'W"&amp;Q$1&amp;"'!$A$2:$T$1000"),4,FALSE),0)</f>
        <v>0</v>
      </c>
      <c r="R451" s="37">
        <f ca="1">_xlfn.IFNA(VLOOKUP($A451,INDIRECT("'W"&amp;R$1&amp;"'!$A$2:$T$1000"),4,FALSE),0)</f>
        <v>0</v>
      </c>
      <c r="S451" s="37">
        <f ca="1">_xlfn.IFNA(VLOOKUP($A451,INDIRECT("'W"&amp;S$1&amp;"'!$A$2:$T$1000"),4,FALSE),0)</f>
        <v>7.4</v>
      </c>
      <c r="T451" s="37">
        <f ca="1">_xlfn.IFNA(VLOOKUP($A451,INDIRECT("'W"&amp;T$1&amp;"'!$A$2:$T$1000"),4,FALSE),0)</f>
        <v>0</v>
      </c>
      <c r="U451" s="36">
        <f ca="1">COUNTIF(C451:T451,"&gt; 15")</f>
        <v>0</v>
      </c>
      <c r="V451" s="36">
        <f ca="1">SUM(C451:T451)</f>
        <v>16.200000000000003</v>
      </c>
      <c r="W451" s="36"/>
      <c r="X451" s="38"/>
    </row>
    <row r="452" spans="1:24" ht="12.75" x14ac:dyDescent="0.2">
      <c r="A452" s="36" t="s">
        <v>248</v>
      </c>
      <c r="B452" s="36" t="s">
        <v>162</v>
      </c>
      <c r="C452" s="37">
        <f ca="1">_xlfn.IFNA(VLOOKUP($A452,INDIRECT("'W"&amp;C$1&amp;"'!$A$2:$T$1000"),4,FALSE),0)</f>
        <v>3.8</v>
      </c>
      <c r="D452" s="37">
        <f ca="1">_xlfn.IFNA(VLOOKUP($A452,INDIRECT("'W"&amp;D$1&amp;"'!$A$2:$T$1000"),4,FALSE),0)</f>
        <v>1.6</v>
      </c>
      <c r="E452" s="37">
        <f ca="1">_xlfn.IFNA(VLOOKUP($A452,INDIRECT("'W"&amp;E$1&amp;"'!$A$2:$T$1000"),4,FALSE),0)</f>
        <v>2</v>
      </c>
      <c r="F452" s="37">
        <f ca="1">_xlfn.IFNA(VLOOKUP($A452,INDIRECT("'W"&amp;F$1&amp;"'!$A$2:$T$1000"),4,FALSE),0)</f>
        <v>4.5</v>
      </c>
      <c r="G452" s="37">
        <f ca="1">_xlfn.IFNA(VLOOKUP($A452,INDIRECT("'W"&amp;G$1&amp;"'!$A$2:$T$1000"),4,FALSE),0)</f>
        <v>0</v>
      </c>
      <c r="H452" s="37">
        <f ca="1">_xlfn.IFNA(VLOOKUP($A452,INDIRECT("'W"&amp;H$1&amp;"'!$A$2:$T$1000"),4,FALSE),0)</f>
        <v>0</v>
      </c>
      <c r="I452" s="37">
        <f ca="1">_xlfn.IFNA(VLOOKUP($A452,INDIRECT("'W"&amp;I$1&amp;"'!$A$2:$T$1000"),4,FALSE),0)</f>
        <v>1.3</v>
      </c>
      <c r="J452" s="37">
        <f ca="1">_xlfn.IFNA(VLOOKUP($A452,INDIRECT("'W"&amp;J$1&amp;"'!$A$2:$T$1000"),4,FALSE),0)</f>
        <v>0</v>
      </c>
      <c r="K452" s="37">
        <f ca="1">_xlfn.IFNA(VLOOKUP($A452,INDIRECT("'W"&amp;K$1&amp;"'!$A$2:$T$1000"),4,FALSE),0)</f>
        <v>0</v>
      </c>
      <c r="L452" s="37">
        <f ca="1">_xlfn.IFNA(VLOOKUP($A452,INDIRECT("'W"&amp;L$1&amp;"'!$A$2:$T$1000"),4,FALSE),0)</f>
        <v>0</v>
      </c>
      <c r="M452" s="37">
        <f ca="1">_xlfn.IFNA(VLOOKUP($A452,INDIRECT("'W"&amp;M$1&amp;"'!$A$2:$T$1000"),4,FALSE),0)</f>
        <v>0</v>
      </c>
      <c r="N452" s="37">
        <f ca="1">_xlfn.IFNA(VLOOKUP($A452,INDIRECT("'W"&amp;N$1&amp;"'!$A$2:$T$1000"),4,FALSE),0)</f>
        <v>0</v>
      </c>
      <c r="O452" s="37">
        <f ca="1">_xlfn.IFNA(VLOOKUP($A452,INDIRECT("'W"&amp;O$1&amp;"'!$A$2:$T$1000"),4,FALSE),0)</f>
        <v>0</v>
      </c>
      <c r="P452" s="37">
        <f ca="1">_xlfn.IFNA(VLOOKUP($A452,INDIRECT("'W"&amp;P$1&amp;"'!$A$2:$T$1000"),4,FALSE),0)</f>
        <v>4.2</v>
      </c>
      <c r="Q452" s="37">
        <f ca="1">_xlfn.IFNA(VLOOKUP($A452,INDIRECT("'W"&amp;Q$1&amp;"'!$A$2:$T$1000"),4,FALSE),0)</f>
        <v>0</v>
      </c>
      <c r="R452" s="37">
        <f ca="1">_xlfn.IFNA(VLOOKUP($A452,INDIRECT("'W"&amp;R$1&amp;"'!$A$2:$T$1000"),4,FALSE),0)</f>
        <v>0</v>
      </c>
      <c r="S452" s="37">
        <f ca="1">_xlfn.IFNA(VLOOKUP($A452,INDIRECT("'W"&amp;S$1&amp;"'!$A$2:$T$1000"),4,FALSE),0)</f>
        <v>-1.6</v>
      </c>
      <c r="T452" s="37">
        <f ca="1">_xlfn.IFNA(VLOOKUP($A452,INDIRECT("'W"&amp;T$1&amp;"'!$A$2:$T$1000"),4,FALSE),0)</f>
        <v>0</v>
      </c>
      <c r="U452" s="36">
        <f ca="1">COUNTIF(C452:T452,"&gt; 15")</f>
        <v>0</v>
      </c>
      <c r="V452" s="36">
        <f ca="1">SUM(C452:T452)</f>
        <v>15.800000000000002</v>
      </c>
      <c r="W452" s="36"/>
      <c r="X452" s="38"/>
    </row>
    <row r="453" spans="1:24" ht="12.75" x14ac:dyDescent="0.2">
      <c r="A453" s="36" t="s">
        <v>150</v>
      </c>
      <c r="B453" s="36" t="s">
        <v>75</v>
      </c>
      <c r="C453" s="37">
        <f ca="1">_xlfn.IFNA(VLOOKUP($A453,INDIRECT("'W"&amp;C$1&amp;"'!$A$2:$T$1000"),4,FALSE),0)</f>
        <v>2</v>
      </c>
      <c r="D453" s="37">
        <f ca="1">_xlfn.IFNA(VLOOKUP($A453,INDIRECT("'W"&amp;D$1&amp;"'!$A$2:$T$1000"),4,FALSE),0)</f>
        <v>4</v>
      </c>
      <c r="E453" s="37">
        <f ca="1">_xlfn.IFNA(VLOOKUP($A453,INDIRECT("'W"&amp;E$1&amp;"'!$A$2:$T$1000"),4,FALSE),0)</f>
        <v>0</v>
      </c>
      <c r="F453" s="37">
        <f ca="1">_xlfn.IFNA(VLOOKUP($A453,INDIRECT("'W"&amp;F$1&amp;"'!$A$2:$T$1000"),4,FALSE),0)</f>
        <v>0</v>
      </c>
      <c r="G453" s="37">
        <f ca="1">_xlfn.IFNA(VLOOKUP($A453,INDIRECT("'W"&amp;G$1&amp;"'!$A$2:$T$1000"),4,FALSE),0)</f>
        <v>0</v>
      </c>
      <c r="H453" s="37">
        <f ca="1">_xlfn.IFNA(VLOOKUP($A453,INDIRECT("'W"&amp;H$1&amp;"'!$A$2:$T$1000"),4,FALSE),0)</f>
        <v>2.6</v>
      </c>
      <c r="I453" s="37">
        <f ca="1">_xlfn.IFNA(VLOOKUP($A453,INDIRECT("'W"&amp;I$1&amp;"'!$A$2:$T$1000"),4,FALSE),0)</f>
        <v>0</v>
      </c>
      <c r="J453" s="37">
        <f ca="1">_xlfn.IFNA(VLOOKUP($A453,INDIRECT("'W"&amp;J$1&amp;"'!$A$2:$T$1000"),4,FALSE),0)</f>
        <v>1.4</v>
      </c>
      <c r="K453" s="37">
        <f ca="1">_xlfn.IFNA(VLOOKUP($A453,INDIRECT("'W"&amp;K$1&amp;"'!$A$2:$T$1000"),4,FALSE),0)</f>
        <v>0</v>
      </c>
      <c r="L453" s="37">
        <f ca="1">_xlfn.IFNA(VLOOKUP($A453,INDIRECT("'W"&amp;L$1&amp;"'!$A$2:$T$1000"),4,FALSE),0)</f>
        <v>0</v>
      </c>
      <c r="M453" s="37">
        <f ca="1">_xlfn.IFNA(VLOOKUP($A453,INDIRECT("'W"&amp;M$1&amp;"'!$A$2:$T$1000"),4,FALSE),0)</f>
        <v>0.8</v>
      </c>
      <c r="N453" s="37">
        <f ca="1">_xlfn.IFNA(VLOOKUP($A453,INDIRECT("'W"&amp;N$1&amp;"'!$A$2:$T$1000"),4,FALSE),0)</f>
        <v>1.4000000000000001</v>
      </c>
      <c r="O453" s="37">
        <f ca="1">_xlfn.IFNA(VLOOKUP($A453,INDIRECT("'W"&amp;O$1&amp;"'!$A$2:$T$1000"),4,FALSE),0)</f>
        <v>3.9000000000000004</v>
      </c>
      <c r="P453" s="37">
        <f ca="1">_xlfn.IFNA(VLOOKUP($A453,INDIRECT("'W"&amp;P$1&amp;"'!$A$2:$T$1000"),4,FALSE),0)</f>
        <v>0.9</v>
      </c>
      <c r="Q453" s="37">
        <f ca="1">_xlfn.IFNA(VLOOKUP($A453,INDIRECT("'W"&amp;Q$1&amp;"'!$A$2:$T$1000"),4,FALSE),0)</f>
        <v>0</v>
      </c>
      <c r="R453" s="37">
        <f ca="1">_xlfn.IFNA(VLOOKUP($A453,INDIRECT("'W"&amp;R$1&amp;"'!$A$2:$T$1000"),4,FALSE),0)</f>
        <v>-1.7</v>
      </c>
      <c r="S453" s="37">
        <f ca="1">_xlfn.IFNA(VLOOKUP($A453,INDIRECT("'W"&amp;S$1&amp;"'!$A$2:$T$1000"),4,FALSE),0)</f>
        <v>0</v>
      </c>
      <c r="T453" s="37">
        <f ca="1">_xlfn.IFNA(VLOOKUP($A453,INDIRECT("'W"&amp;T$1&amp;"'!$A$2:$T$1000"),4,FALSE),0)</f>
        <v>0.5</v>
      </c>
      <c r="U453" s="36">
        <f ca="1">COUNTIF(C453:T453,"&gt; 15")</f>
        <v>0</v>
      </c>
      <c r="V453" s="36">
        <f ca="1">SUM(C453:T453)</f>
        <v>15.8</v>
      </c>
      <c r="W453" s="36"/>
      <c r="X453" s="38"/>
    </row>
    <row r="454" spans="1:24" ht="12.75" x14ac:dyDescent="0.2">
      <c r="A454" s="36" t="s">
        <v>159</v>
      </c>
      <c r="B454" s="36" t="s">
        <v>75</v>
      </c>
      <c r="C454" s="37">
        <f ca="1">_xlfn.IFNA(VLOOKUP($A454,INDIRECT("'W"&amp;C$1&amp;"'!$A$2:$T$1000"),4,FALSE),0)</f>
        <v>0.8</v>
      </c>
      <c r="D454" s="37">
        <f ca="1">_xlfn.IFNA(VLOOKUP($A454,INDIRECT("'W"&amp;D$1&amp;"'!$A$2:$T$1000"),4,FALSE),0)</f>
        <v>6.1999999999999993</v>
      </c>
      <c r="E454" s="37">
        <f ca="1">_xlfn.IFNA(VLOOKUP($A454,INDIRECT("'W"&amp;E$1&amp;"'!$A$2:$T$1000"),4,FALSE),0)</f>
        <v>0</v>
      </c>
      <c r="F454" s="37">
        <f ca="1">_xlfn.IFNA(VLOOKUP($A454,INDIRECT("'W"&amp;F$1&amp;"'!$A$2:$T$1000"),4,FALSE),0)</f>
        <v>2.1</v>
      </c>
      <c r="G454" s="37">
        <f ca="1">_xlfn.IFNA(VLOOKUP($A454,INDIRECT("'W"&amp;G$1&amp;"'!$A$2:$T$1000"),4,FALSE),0)</f>
        <v>1.8000000000000003</v>
      </c>
      <c r="H454" s="37">
        <f ca="1">_xlfn.IFNA(VLOOKUP($A454,INDIRECT("'W"&amp;H$1&amp;"'!$A$2:$T$1000"),4,FALSE),0)</f>
        <v>0</v>
      </c>
      <c r="I454" s="37">
        <f ca="1">_xlfn.IFNA(VLOOKUP($A454,INDIRECT("'W"&amp;I$1&amp;"'!$A$2:$T$1000"),4,FALSE),0)</f>
        <v>0</v>
      </c>
      <c r="J454" s="37">
        <f ca="1">_xlfn.IFNA(VLOOKUP($A454,INDIRECT("'W"&amp;J$1&amp;"'!$A$2:$T$1000"),4,FALSE),0)</f>
        <v>0</v>
      </c>
      <c r="K454" s="37">
        <f ca="1">_xlfn.IFNA(VLOOKUP($A454,INDIRECT("'W"&amp;K$1&amp;"'!$A$2:$T$1000"),4,FALSE),0)</f>
        <v>0</v>
      </c>
      <c r="L454" s="37">
        <f ca="1">_xlfn.IFNA(VLOOKUP($A454,INDIRECT("'W"&amp;L$1&amp;"'!$A$2:$T$1000"),4,FALSE),0)</f>
        <v>1.9000000000000001</v>
      </c>
      <c r="M454" s="37">
        <f ca="1">_xlfn.IFNA(VLOOKUP($A454,INDIRECT("'W"&amp;M$1&amp;"'!$A$2:$T$1000"),4,FALSE),0)</f>
        <v>0</v>
      </c>
      <c r="N454" s="37">
        <f ca="1">_xlfn.IFNA(VLOOKUP($A454,INDIRECT("'W"&amp;N$1&amp;"'!$A$2:$T$1000"),4,FALSE),0)</f>
        <v>0</v>
      </c>
      <c r="O454" s="37">
        <f ca="1">_xlfn.IFNA(VLOOKUP($A454,INDIRECT("'W"&amp;O$1&amp;"'!$A$2:$T$1000"),4,FALSE),0)</f>
        <v>0</v>
      </c>
      <c r="P454" s="37">
        <f ca="1">_xlfn.IFNA(VLOOKUP($A454,INDIRECT("'W"&amp;P$1&amp;"'!$A$2:$T$1000"),4,FALSE),0)</f>
        <v>0</v>
      </c>
      <c r="Q454" s="37">
        <f ca="1">_xlfn.IFNA(VLOOKUP($A454,INDIRECT("'W"&amp;Q$1&amp;"'!$A$2:$T$1000"),4,FALSE),0)</f>
        <v>0</v>
      </c>
      <c r="R454" s="37">
        <f ca="1">_xlfn.IFNA(VLOOKUP($A454,INDIRECT("'W"&amp;R$1&amp;"'!$A$2:$T$1000"),4,FALSE),0)</f>
        <v>0</v>
      </c>
      <c r="S454" s="37">
        <f ca="1">_xlfn.IFNA(VLOOKUP($A454,INDIRECT("'W"&amp;S$1&amp;"'!$A$2:$T$1000"),4,FALSE),0)</f>
        <v>2.2000000000000002</v>
      </c>
      <c r="T454" s="37">
        <f ca="1">_xlfn.IFNA(VLOOKUP($A454,INDIRECT("'W"&amp;T$1&amp;"'!$A$2:$T$1000"),4,FALSE),0)</f>
        <v>0</v>
      </c>
      <c r="U454" s="36">
        <f ca="1">COUNTIF(C454:T454,"&gt; 15")</f>
        <v>0</v>
      </c>
      <c r="V454" s="36">
        <f ca="1">SUM(C454:T454)</f>
        <v>15</v>
      </c>
      <c r="W454" s="36"/>
      <c r="X454" s="38"/>
    </row>
    <row r="455" spans="1:24" ht="12.75" x14ac:dyDescent="0.2">
      <c r="A455" s="36" t="s">
        <v>160</v>
      </c>
      <c r="B455" s="36" t="s">
        <v>75</v>
      </c>
      <c r="C455" s="37">
        <f ca="1">_xlfn.IFNA(VLOOKUP($A455,INDIRECT("'W"&amp;C$1&amp;"'!$A$2:$T$1000"),4,FALSE),0)</f>
        <v>0.70000000000000007</v>
      </c>
      <c r="D455" s="37">
        <f ca="1">_xlfn.IFNA(VLOOKUP($A455,INDIRECT("'W"&amp;D$1&amp;"'!$A$2:$T$1000"),4,FALSE),0)</f>
        <v>2.4</v>
      </c>
      <c r="E455" s="37">
        <f ca="1">_xlfn.IFNA(VLOOKUP($A455,INDIRECT("'W"&amp;E$1&amp;"'!$A$2:$T$1000"),4,FALSE),0)</f>
        <v>0.4</v>
      </c>
      <c r="F455" s="37">
        <f ca="1">_xlfn.IFNA(VLOOKUP($A455,INDIRECT("'W"&amp;F$1&amp;"'!$A$2:$T$1000"),4,FALSE),0)</f>
        <v>0.4</v>
      </c>
      <c r="G455" s="37">
        <f ca="1">_xlfn.IFNA(VLOOKUP($A455,INDIRECT("'W"&amp;G$1&amp;"'!$A$2:$T$1000"),4,FALSE),0)</f>
        <v>0.5</v>
      </c>
      <c r="H455" s="37">
        <f ca="1">_xlfn.IFNA(VLOOKUP($A455,INDIRECT("'W"&amp;H$1&amp;"'!$A$2:$T$1000"),4,FALSE),0)</f>
        <v>2.2999999999999998</v>
      </c>
      <c r="I455" s="37">
        <f ca="1">_xlfn.IFNA(VLOOKUP($A455,INDIRECT("'W"&amp;I$1&amp;"'!$A$2:$T$1000"),4,FALSE),0)</f>
        <v>0</v>
      </c>
      <c r="J455" s="37">
        <f ca="1">_xlfn.IFNA(VLOOKUP($A455,INDIRECT("'W"&amp;J$1&amp;"'!$A$2:$T$1000"),4,FALSE),0)</f>
        <v>0.60000000000000009</v>
      </c>
      <c r="K455" s="37">
        <f ca="1">_xlfn.IFNA(VLOOKUP($A455,INDIRECT("'W"&amp;K$1&amp;"'!$A$2:$T$1000"),4,FALSE),0)</f>
        <v>1.3</v>
      </c>
      <c r="L455" s="37">
        <f ca="1">_xlfn.IFNA(VLOOKUP($A455,INDIRECT("'W"&amp;L$1&amp;"'!$A$2:$T$1000"),4,FALSE),0)</f>
        <v>1.2</v>
      </c>
      <c r="M455" s="37">
        <f ca="1">_xlfn.IFNA(VLOOKUP($A455,INDIRECT("'W"&amp;M$1&amp;"'!$A$2:$T$1000"),4,FALSE),0)</f>
        <v>2</v>
      </c>
      <c r="N455" s="37">
        <f ca="1">_xlfn.IFNA(VLOOKUP($A455,INDIRECT("'W"&amp;N$1&amp;"'!$A$2:$T$1000"),4,FALSE),0)</f>
        <v>0</v>
      </c>
      <c r="O455" s="37">
        <f ca="1">_xlfn.IFNA(VLOOKUP($A455,INDIRECT("'W"&amp;O$1&amp;"'!$A$2:$T$1000"),4,FALSE),0)</f>
        <v>0</v>
      </c>
      <c r="P455" s="37">
        <f ca="1">_xlfn.IFNA(VLOOKUP($A455,INDIRECT("'W"&amp;P$1&amp;"'!$A$2:$T$1000"),4,FALSE),0)</f>
        <v>0.9</v>
      </c>
      <c r="Q455" s="37">
        <f ca="1">_xlfn.IFNA(VLOOKUP($A455,INDIRECT("'W"&amp;Q$1&amp;"'!$A$2:$T$1000"),4,FALSE),0)</f>
        <v>2.2000000000000002</v>
      </c>
      <c r="R455" s="37">
        <f ca="1">_xlfn.IFNA(VLOOKUP($A455,INDIRECT("'W"&amp;R$1&amp;"'!$A$2:$T$1000"),4,FALSE),0)</f>
        <v>0</v>
      </c>
      <c r="S455" s="37">
        <f ca="1">_xlfn.IFNA(VLOOKUP($A455,INDIRECT("'W"&amp;S$1&amp;"'!$A$2:$T$1000"),4,FALSE),0)</f>
        <v>0.2</v>
      </c>
      <c r="T455" s="37">
        <f ca="1">_xlfn.IFNA(VLOOKUP($A455,INDIRECT("'W"&amp;T$1&amp;"'!$A$2:$T$1000"),4,FALSE),0)</f>
        <v>-0.2</v>
      </c>
      <c r="U455" s="36">
        <f ca="1">COUNTIF(C455:T455,"&gt; 15")</f>
        <v>0</v>
      </c>
      <c r="V455" s="36">
        <f ca="1">SUM(C455:T455)</f>
        <v>14.900000000000002</v>
      </c>
      <c r="W455" s="36"/>
      <c r="X455" s="38"/>
    </row>
    <row r="456" spans="1:24" ht="12.75" x14ac:dyDescent="0.2">
      <c r="A456" s="36" t="s">
        <v>391</v>
      </c>
      <c r="B456" s="36" t="s">
        <v>75</v>
      </c>
      <c r="C456" s="37">
        <f ca="1">_xlfn.IFNA(VLOOKUP($A456,INDIRECT("'W"&amp;C$1&amp;"'!$A$2:$T$1000"),4,FALSE),0)</f>
        <v>0</v>
      </c>
      <c r="D456" s="37">
        <f ca="1">_xlfn.IFNA(VLOOKUP($A456,INDIRECT("'W"&amp;D$1&amp;"'!$A$2:$T$1000"),4,FALSE),0)</f>
        <v>0.5</v>
      </c>
      <c r="E456" s="37">
        <f ca="1">_xlfn.IFNA(VLOOKUP($A456,INDIRECT("'W"&amp;E$1&amp;"'!$A$2:$T$1000"),4,FALSE),0)</f>
        <v>2.2000000000000002</v>
      </c>
      <c r="F456" s="37">
        <f ca="1">_xlfn.IFNA(VLOOKUP($A456,INDIRECT("'W"&amp;F$1&amp;"'!$A$2:$T$1000"),4,FALSE),0)</f>
        <v>0</v>
      </c>
      <c r="G456" s="37">
        <f ca="1">_xlfn.IFNA(VLOOKUP($A456,INDIRECT("'W"&amp;G$1&amp;"'!$A$2:$T$1000"),4,FALSE),0)</f>
        <v>0</v>
      </c>
      <c r="H456" s="37">
        <f ca="1">_xlfn.IFNA(VLOOKUP($A456,INDIRECT("'W"&amp;H$1&amp;"'!$A$2:$T$1000"),4,FALSE),0)</f>
        <v>0</v>
      </c>
      <c r="I456" s="37">
        <f ca="1">_xlfn.IFNA(VLOOKUP($A456,INDIRECT("'W"&amp;I$1&amp;"'!$A$2:$T$1000"),4,FALSE),0)</f>
        <v>4.7</v>
      </c>
      <c r="J456" s="37">
        <f ca="1">_xlfn.IFNA(VLOOKUP($A456,INDIRECT("'W"&amp;J$1&amp;"'!$A$2:$T$1000"),4,FALSE),0)</f>
        <v>0</v>
      </c>
      <c r="K456" s="37">
        <f ca="1">_xlfn.IFNA(VLOOKUP($A456,INDIRECT("'W"&amp;K$1&amp;"'!$A$2:$T$1000"),4,FALSE),0)</f>
        <v>4.3</v>
      </c>
      <c r="L456" s="37">
        <f ca="1">_xlfn.IFNA(VLOOKUP($A456,INDIRECT("'W"&amp;L$1&amp;"'!$A$2:$T$1000"),4,FALSE),0)</f>
        <v>0</v>
      </c>
      <c r="M456" s="37">
        <f ca="1">_xlfn.IFNA(VLOOKUP($A456,INDIRECT("'W"&amp;M$1&amp;"'!$A$2:$T$1000"),4,FALSE),0)</f>
        <v>3.1</v>
      </c>
      <c r="N456" s="37">
        <f ca="1">_xlfn.IFNA(VLOOKUP($A456,INDIRECT("'W"&amp;N$1&amp;"'!$A$2:$T$1000"),4,FALSE),0)</f>
        <v>0</v>
      </c>
      <c r="O456" s="37">
        <f ca="1">_xlfn.IFNA(VLOOKUP($A456,INDIRECT("'W"&amp;O$1&amp;"'!$A$2:$T$1000"),4,FALSE),0)</f>
        <v>0</v>
      </c>
      <c r="P456" s="37">
        <f ca="1">_xlfn.IFNA(VLOOKUP($A456,INDIRECT("'W"&amp;P$1&amp;"'!$A$2:$T$1000"),4,FALSE),0)</f>
        <v>0</v>
      </c>
      <c r="Q456" s="37">
        <f ca="1">_xlfn.IFNA(VLOOKUP($A456,INDIRECT("'W"&amp;Q$1&amp;"'!$A$2:$T$1000"),4,FALSE),0)</f>
        <v>0</v>
      </c>
      <c r="R456" s="37">
        <f ca="1">_xlfn.IFNA(VLOOKUP($A456,INDIRECT("'W"&amp;R$1&amp;"'!$A$2:$T$1000"),4,FALSE),0)</f>
        <v>0</v>
      </c>
      <c r="S456" s="37">
        <f ca="1">_xlfn.IFNA(VLOOKUP($A456,INDIRECT("'W"&amp;S$1&amp;"'!$A$2:$T$1000"),4,FALSE),0)</f>
        <v>0</v>
      </c>
      <c r="T456" s="37">
        <f ca="1">_xlfn.IFNA(VLOOKUP($A456,INDIRECT("'W"&amp;T$1&amp;"'!$A$2:$T$1000"),4,FALSE),0)</f>
        <v>0</v>
      </c>
      <c r="U456" s="36">
        <f ca="1">COUNTIF(C456:T456,"&gt; 15")</f>
        <v>0</v>
      </c>
      <c r="V456" s="36">
        <f ca="1">SUM(C456:T456)</f>
        <v>14.799999999999999</v>
      </c>
      <c r="W456" s="36"/>
      <c r="X456" s="38"/>
    </row>
    <row r="457" spans="1:24" ht="12.75" x14ac:dyDescent="0.2">
      <c r="A457" s="36" t="s">
        <v>530</v>
      </c>
      <c r="B457" s="36" t="s">
        <v>162</v>
      </c>
      <c r="C457" s="37">
        <f ca="1">_xlfn.IFNA(VLOOKUP($A457,INDIRECT("'W"&amp;C$1&amp;"'!$A$2:$T$1000"),4,FALSE),0)</f>
        <v>0</v>
      </c>
      <c r="D457" s="37">
        <f ca="1">_xlfn.IFNA(VLOOKUP($A457,INDIRECT("'W"&amp;D$1&amp;"'!$A$2:$T$1000"),4,FALSE),0)</f>
        <v>0</v>
      </c>
      <c r="E457" s="37">
        <f ca="1">_xlfn.IFNA(VLOOKUP($A457,INDIRECT("'W"&amp;E$1&amp;"'!$A$2:$T$1000"),4,FALSE),0)</f>
        <v>0</v>
      </c>
      <c r="F457" s="37">
        <f ca="1">_xlfn.IFNA(VLOOKUP($A457,INDIRECT("'W"&amp;F$1&amp;"'!$A$2:$T$1000"),4,FALSE),0)</f>
        <v>0</v>
      </c>
      <c r="G457" s="37">
        <f ca="1">_xlfn.IFNA(VLOOKUP($A457,INDIRECT("'W"&amp;G$1&amp;"'!$A$2:$T$1000"),4,FALSE),0)</f>
        <v>1.1000000000000001</v>
      </c>
      <c r="H457" s="37">
        <f ca="1">_xlfn.IFNA(VLOOKUP($A457,INDIRECT("'W"&amp;H$1&amp;"'!$A$2:$T$1000"),4,FALSE),0)</f>
        <v>0</v>
      </c>
      <c r="I457" s="37">
        <f ca="1">_xlfn.IFNA(VLOOKUP($A457,INDIRECT("'W"&amp;I$1&amp;"'!$A$2:$T$1000"),4,FALSE),0)</f>
        <v>0</v>
      </c>
      <c r="J457" s="37">
        <f ca="1">_xlfn.IFNA(VLOOKUP($A457,INDIRECT("'W"&amp;J$1&amp;"'!$A$2:$T$1000"),4,FALSE),0)</f>
        <v>0</v>
      </c>
      <c r="K457" s="37">
        <f ca="1">_xlfn.IFNA(VLOOKUP($A457,INDIRECT("'W"&amp;K$1&amp;"'!$A$2:$T$1000"),4,FALSE),0)</f>
        <v>0</v>
      </c>
      <c r="L457" s="37">
        <f ca="1">_xlfn.IFNA(VLOOKUP($A457,INDIRECT("'W"&amp;L$1&amp;"'!$A$2:$T$1000"),4,FALSE),0)</f>
        <v>0</v>
      </c>
      <c r="M457" s="37">
        <f ca="1">_xlfn.IFNA(VLOOKUP($A457,INDIRECT("'W"&amp;M$1&amp;"'!$A$2:$T$1000"),4,FALSE),0)</f>
        <v>0</v>
      </c>
      <c r="N457" s="37">
        <f ca="1">_xlfn.IFNA(VLOOKUP($A457,INDIRECT("'W"&amp;N$1&amp;"'!$A$2:$T$1000"),4,FALSE),0)</f>
        <v>4</v>
      </c>
      <c r="O457" s="37">
        <f ca="1">_xlfn.IFNA(VLOOKUP($A457,INDIRECT("'W"&amp;O$1&amp;"'!$A$2:$T$1000"),4,FALSE),0)</f>
        <v>0</v>
      </c>
      <c r="P457" s="37">
        <f ca="1">_xlfn.IFNA(VLOOKUP($A457,INDIRECT("'W"&amp;P$1&amp;"'!$A$2:$T$1000"),4,FALSE),0)</f>
        <v>0</v>
      </c>
      <c r="Q457" s="37">
        <f ca="1">_xlfn.IFNA(VLOOKUP($A457,INDIRECT("'W"&amp;Q$1&amp;"'!$A$2:$T$1000"),4,FALSE),0)</f>
        <v>7.7</v>
      </c>
      <c r="R457" s="37">
        <f ca="1">_xlfn.IFNA(VLOOKUP($A457,INDIRECT("'W"&amp;R$1&amp;"'!$A$2:$T$1000"),4,FALSE),0)</f>
        <v>1.9</v>
      </c>
      <c r="S457" s="37">
        <f ca="1">_xlfn.IFNA(VLOOKUP($A457,INDIRECT("'W"&amp;S$1&amp;"'!$A$2:$T$1000"),4,FALSE),0)</f>
        <v>0</v>
      </c>
      <c r="T457" s="37">
        <f ca="1">_xlfn.IFNA(VLOOKUP($A457,INDIRECT("'W"&amp;T$1&amp;"'!$A$2:$T$1000"),4,FALSE),0)</f>
        <v>0</v>
      </c>
      <c r="U457" s="36">
        <f ca="1">COUNTIF(C457:T457,"&gt; 15")</f>
        <v>0</v>
      </c>
      <c r="V457" s="36">
        <f ca="1">SUM(C457:T457)</f>
        <v>14.700000000000001</v>
      </c>
      <c r="W457" s="36"/>
      <c r="X457" s="38"/>
    </row>
    <row r="458" spans="1:24" ht="12.75" x14ac:dyDescent="0.2">
      <c r="A458" s="36" t="s">
        <v>447</v>
      </c>
      <c r="B458" s="36" t="s">
        <v>162</v>
      </c>
      <c r="C458" s="37">
        <f ca="1">_xlfn.IFNA(VLOOKUP($A458,INDIRECT("'W"&amp;C$1&amp;"'!$A$2:$T$1000"),4,FALSE),0)</f>
        <v>0</v>
      </c>
      <c r="D458" s="37">
        <f ca="1">_xlfn.IFNA(VLOOKUP($A458,INDIRECT("'W"&amp;D$1&amp;"'!$A$2:$T$1000"),4,FALSE),0)</f>
        <v>0</v>
      </c>
      <c r="E458" s="37">
        <f ca="1">_xlfn.IFNA(VLOOKUP($A458,INDIRECT("'W"&amp;E$1&amp;"'!$A$2:$T$1000"),4,FALSE),0)</f>
        <v>1.6</v>
      </c>
      <c r="F458" s="37">
        <f ca="1">_xlfn.IFNA(VLOOKUP($A458,INDIRECT("'W"&amp;F$1&amp;"'!$A$2:$T$1000"),4,FALSE),0)</f>
        <v>0</v>
      </c>
      <c r="G458" s="37">
        <f ca="1">_xlfn.IFNA(VLOOKUP($A458,INDIRECT("'W"&amp;G$1&amp;"'!$A$2:$T$1000"),4,FALSE),0)</f>
        <v>0</v>
      </c>
      <c r="H458" s="37">
        <f ca="1">_xlfn.IFNA(VLOOKUP($A458,INDIRECT("'W"&amp;H$1&amp;"'!$A$2:$T$1000"),4,FALSE),0)</f>
        <v>0</v>
      </c>
      <c r="I458" s="37">
        <f ca="1">_xlfn.IFNA(VLOOKUP($A458,INDIRECT("'W"&amp;I$1&amp;"'!$A$2:$T$1000"),4,FALSE),0)</f>
        <v>0</v>
      </c>
      <c r="J458" s="37">
        <f ca="1">_xlfn.IFNA(VLOOKUP($A458,INDIRECT("'W"&amp;J$1&amp;"'!$A$2:$T$1000"),4,FALSE),0)</f>
        <v>0</v>
      </c>
      <c r="K458" s="37">
        <f ca="1">_xlfn.IFNA(VLOOKUP($A458,INDIRECT("'W"&amp;K$1&amp;"'!$A$2:$T$1000"),4,FALSE),0)</f>
        <v>0</v>
      </c>
      <c r="L458" s="37">
        <f ca="1">_xlfn.IFNA(VLOOKUP($A458,INDIRECT("'W"&amp;L$1&amp;"'!$A$2:$T$1000"),4,FALSE),0)</f>
        <v>0</v>
      </c>
      <c r="M458" s="37">
        <f ca="1">_xlfn.IFNA(VLOOKUP($A458,INDIRECT("'W"&amp;M$1&amp;"'!$A$2:$T$1000"),4,FALSE),0)</f>
        <v>0</v>
      </c>
      <c r="N458" s="37">
        <f ca="1">_xlfn.IFNA(VLOOKUP($A458,INDIRECT("'W"&amp;N$1&amp;"'!$A$2:$T$1000"),4,FALSE),0)</f>
        <v>0</v>
      </c>
      <c r="O458" s="37">
        <f ca="1">_xlfn.IFNA(VLOOKUP($A458,INDIRECT("'W"&amp;O$1&amp;"'!$A$2:$T$1000"),4,FALSE),0)</f>
        <v>0</v>
      </c>
      <c r="P458" s="37">
        <f ca="1">_xlfn.IFNA(VLOOKUP($A458,INDIRECT("'W"&amp;P$1&amp;"'!$A$2:$T$1000"),4,FALSE),0)</f>
        <v>0</v>
      </c>
      <c r="Q458" s="37">
        <f ca="1">_xlfn.IFNA(VLOOKUP($A458,INDIRECT("'W"&amp;Q$1&amp;"'!$A$2:$T$1000"),4,FALSE),0)</f>
        <v>3</v>
      </c>
      <c r="R458" s="37">
        <f ca="1">_xlfn.IFNA(VLOOKUP($A458,INDIRECT("'W"&amp;R$1&amp;"'!$A$2:$T$1000"),4,FALSE),0)</f>
        <v>0.9</v>
      </c>
      <c r="S458" s="37">
        <f ca="1">_xlfn.IFNA(VLOOKUP($A458,INDIRECT("'W"&amp;S$1&amp;"'!$A$2:$T$1000"),4,FALSE),0)</f>
        <v>0</v>
      </c>
      <c r="T458" s="37">
        <f ca="1">_xlfn.IFNA(VLOOKUP($A458,INDIRECT("'W"&amp;T$1&amp;"'!$A$2:$T$1000"),4,FALSE),0)</f>
        <v>9.1999999999999993</v>
      </c>
      <c r="U458" s="36">
        <f ca="1">COUNTIF(C458:T458,"&gt; 15")</f>
        <v>0</v>
      </c>
      <c r="V458" s="36">
        <f ca="1">SUM(C458:T458)</f>
        <v>14.7</v>
      </c>
      <c r="W458" s="36"/>
      <c r="X458" s="38"/>
    </row>
    <row r="459" spans="1:24" ht="12.75" x14ac:dyDescent="0.2">
      <c r="A459" s="36" t="s">
        <v>763</v>
      </c>
      <c r="B459" s="36" t="e">
        <f ca="1">VLOOKUP(A459,CumulativePlayerList!$T$3:$U$550,2,FALSE)</f>
        <v>#NAME?</v>
      </c>
      <c r="C459" s="37">
        <f ca="1">_xlfn.IFNA(VLOOKUP($A459,INDIRECT("'W"&amp;C$1&amp;"'!$A$2:$T$1000"),4,FALSE),0)</f>
        <v>0</v>
      </c>
      <c r="D459" s="37">
        <f ca="1">_xlfn.IFNA(VLOOKUP($A459,INDIRECT("'W"&amp;D$1&amp;"'!$A$2:$T$1000"),4,FALSE),0)</f>
        <v>0</v>
      </c>
      <c r="E459" s="37">
        <f ca="1">_xlfn.IFNA(VLOOKUP($A459,INDIRECT("'W"&amp;E$1&amp;"'!$A$2:$T$1000"),4,FALSE),0)</f>
        <v>0</v>
      </c>
      <c r="F459" s="37">
        <f ca="1">_xlfn.IFNA(VLOOKUP($A459,INDIRECT("'W"&amp;F$1&amp;"'!$A$2:$T$1000"),4,FALSE),0)</f>
        <v>0</v>
      </c>
      <c r="G459" s="37">
        <f ca="1">_xlfn.IFNA(VLOOKUP($A459,INDIRECT("'W"&amp;G$1&amp;"'!$A$2:$T$1000"),4,FALSE),0)</f>
        <v>0</v>
      </c>
      <c r="H459" s="37">
        <f ca="1">_xlfn.IFNA(VLOOKUP($A459,INDIRECT("'W"&amp;H$1&amp;"'!$A$2:$T$1000"),4,FALSE),0)</f>
        <v>0</v>
      </c>
      <c r="I459" s="37">
        <f ca="1">_xlfn.IFNA(VLOOKUP($A459,INDIRECT("'W"&amp;I$1&amp;"'!$A$2:$T$1000"),4,FALSE),0)</f>
        <v>0</v>
      </c>
      <c r="J459" s="37">
        <f ca="1">_xlfn.IFNA(VLOOKUP($A459,INDIRECT("'W"&amp;J$1&amp;"'!$A$2:$T$1000"),4,FALSE),0)</f>
        <v>0</v>
      </c>
      <c r="K459" s="37">
        <f ca="1">_xlfn.IFNA(VLOOKUP($A459,INDIRECT("'W"&amp;K$1&amp;"'!$A$2:$T$1000"),4,FALSE),0)</f>
        <v>0</v>
      </c>
      <c r="L459" s="37">
        <f ca="1">_xlfn.IFNA(VLOOKUP($A459,INDIRECT("'W"&amp;L$1&amp;"'!$A$2:$T$1000"),4,FALSE),0)</f>
        <v>0</v>
      </c>
      <c r="M459" s="37">
        <f ca="1">_xlfn.IFNA(VLOOKUP($A459,INDIRECT("'W"&amp;M$1&amp;"'!$A$2:$T$1000"),4,FALSE),0)</f>
        <v>0</v>
      </c>
      <c r="N459" s="37">
        <f ca="1">_xlfn.IFNA(VLOOKUP($A459,INDIRECT("'W"&amp;N$1&amp;"'!$A$2:$T$1000"),4,FALSE),0)</f>
        <v>0</v>
      </c>
      <c r="O459" s="37">
        <f ca="1">_xlfn.IFNA(VLOOKUP($A459,INDIRECT("'W"&amp;O$1&amp;"'!$A$2:$T$1000"),4,FALSE),0)</f>
        <v>0</v>
      </c>
      <c r="P459" s="37">
        <f ca="1">_xlfn.IFNA(VLOOKUP($A459,INDIRECT("'W"&amp;P$1&amp;"'!$A$2:$T$1000"),4,FALSE),0)</f>
        <v>0</v>
      </c>
      <c r="Q459" s="37">
        <f ca="1">_xlfn.IFNA(VLOOKUP($A459,INDIRECT("'W"&amp;Q$1&amp;"'!$A$2:$T$1000"),4,FALSE),0)</f>
        <v>12.8</v>
      </c>
      <c r="R459" s="37">
        <f ca="1">_xlfn.IFNA(VLOOKUP($A459,INDIRECT("'W"&amp;R$1&amp;"'!$A$2:$T$1000"),4,FALSE),0)</f>
        <v>1.8</v>
      </c>
      <c r="S459" s="37">
        <f ca="1">_xlfn.IFNA(VLOOKUP($A459,INDIRECT("'W"&amp;S$1&amp;"'!$A$2:$T$1000"),4,FALSE),0)</f>
        <v>0</v>
      </c>
      <c r="T459" s="37">
        <f ca="1">_xlfn.IFNA(VLOOKUP($A459,INDIRECT("'W"&amp;T$1&amp;"'!$A$2:$T$1000"),4,FALSE),0)</f>
        <v>0</v>
      </c>
      <c r="U459" s="36">
        <f ca="1">COUNTIF(C459:T459,"&gt; 15")</f>
        <v>0</v>
      </c>
      <c r="V459" s="36">
        <f ca="1">SUM(C459:T459)</f>
        <v>14.600000000000001</v>
      </c>
      <c r="W459" s="36"/>
      <c r="X459" s="38"/>
    </row>
    <row r="460" spans="1:24" ht="12.75" x14ac:dyDescent="0.2">
      <c r="A460" s="36" t="s">
        <v>437</v>
      </c>
      <c r="B460" s="36" t="s">
        <v>69</v>
      </c>
      <c r="C460" s="37">
        <f ca="1">_xlfn.IFNA(VLOOKUP($A460,INDIRECT("'W"&amp;C$1&amp;"'!$A$2:$T$1000"),4,FALSE),0)</f>
        <v>0</v>
      </c>
      <c r="D460" s="37">
        <f ca="1">_xlfn.IFNA(VLOOKUP($A460,INDIRECT("'W"&amp;D$1&amp;"'!$A$2:$T$1000"),4,FALSE),0)</f>
        <v>0</v>
      </c>
      <c r="E460" s="37">
        <f ca="1">_xlfn.IFNA(VLOOKUP($A460,INDIRECT("'W"&amp;E$1&amp;"'!$A$2:$T$1000"),4,FALSE),0)</f>
        <v>3</v>
      </c>
      <c r="F460" s="37">
        <f ca="1">_xlfn.IFNA(VLOOKUP($A460,INDIRECT("'W"&amp;F$1&amp;"'!$A$2:$T$1000"),4,FALSE),0)</f>
        <v>1.7000000000000002</v>
      </c>
      <c r="G460" s="37">
        <f ca="1">_xlfn.IFNA(VLOOKUP($A460,INDIRECT("'W"&amp;G$1&amp;"'!$A$2:$T$1000"),4,FALSE),0)</f>
        <v>0</v>
      </c>
      <c r="H460" s="37">
        <f ca="1">_xlfn.IFNA(VLOOKUP($A460,INDIRECT("'W"&amp;H$1&amp;"'!$A$2:$T$1000"),4,FALSE),0)</f>
        <v>0</v>
      </c>
      <c r="I460" s="37">
        <f ca="1">_xlfn.IFNA(VLOOKUP($A460,INDIRECT("'W"&amp;I$1&amp;"'!$A$2:$T$1000"),4,FALSE),0)</f>
        <v>0</v>
      </c>
      <c r="J460" s="37">
        <f ca="1">_xlfn.IFNA(VLOOKUP($A460,INDIRECT("'W"&amp;J$1&amp;"'!$A$2:$T$1000"),4,FALSE),0)</f>
        <v>0</v>
      </c>
      <c r="K460" s="37">
        <f ca="1">_xlfn.IFNA(VLOOKUP($A460,INDIRECT("'W"&amp;K$1&amp;"'!$A$2:$T$1000"),4,FALSE),0)</f>
        <v>0</v>
      </c>
      <c r="L460" s="37">
        <f ca="1">_xlfn.IFNA(VLOOKUP($A460,INDIRECT("'W"&amp;L$1&amp;"'!$A$2:$T$1000"),4,FALSE),0)</f>
        <v>0</v>
      </c>
      <c r="M460" s="37">
        <f ca="1">_xlfn.IFNA(VLOOKUP($A460,INDIRECT("'W"&amp;M$1&amp;"'!$A$2:$T$1000"),4,FALSE),0)</f>
        <v>0</v>
      </c>
      <c r="N460" s="37">
        <f ca="1">_xlfn.IFNA(VLOOKUP($A460,INDIRECT("'W"&amp;N$1&amp;"'!$A$2:$T$1000"),4,FALSE),0)</f>
        <v>1.1000000000000001</v>
      </c>
      <c r="O460" s="37">
        <f ca="1">_xlfn.IFNA(VLOOKUP($A460,INDIRECT("'W"&amp;O$1&amp;"'!$A$2:$T$1000"),4,FALSE),0)</f>
        <v>2.2000000000000002</v>
      </c>
      <c r="P460" s="37">
        <f ca="1">_xlfn.IFNA(VLOOKUP($A460,INDIRECT("'W"&amp;P$1&amp;"'!$A$2:$T$1000"),4,FALSE),0)</f>
        <v>1</v>
      </c>
      <c r="Q460" s="37">
        <f ca="1">_xlfn.IFNA(VLOOKUP($A460,INDIRECT("'W"&amp;Q$1&amp;"'!$A$2:$T$1000"),4,FALSE),0)</f>
        <v>4</v>
      </c>
      <c r="R460" s="37">
        <f ca="1">_xlfn.IFNA(VLOOKUP($A460,INDIRECT("'W"&amp;R$1&amp;"'!$A$2:$T$1000"),4,FALSE),0)</f>
        <v>1.6</v>
      </c>
      <c r="S460" s="37">
        <f ca="1">_xlfn.IFNA(VLOOKUP($A460,INDIRECT("'W"&amp;S$1&amp;"'!$A$2:$T$1000"),4,FALSE),0)</f>
        <v>0</v>
      </c>
      <c r="T460" s="37">
        <f ca="1">_xlfn.IFNA(VLOOKUP($A460,INDIRECT("'W"&amp;T$1&amp;"'!$A$2:$T$1000"),4,FALSE),0)</f>
        <v>0</v>
      </c>
      <c r="U460" s="36">
        <f ca="1">COUNTIF(C460:T460,"&gt; 15")</f>
        <v>0</v>
      </c>
      <c r="V460" s="36">
        <f ca="1">SUM(C460:T460)</f>
        <v>14.6</v>
      </c>
      <c r="W460" s="36"/>
      <c r="X460" s="38"/>
    </row>
    <row r="461" spans="1:24" ht="12.75" x14ac:dyDescent="0.2">
      <c r="A461" s="36" t="s">
        <v>373</v>
      </c>
      <c r="B461" s="36" t="s">
        <v>69</v>
      </c>
      <c r="C461" s="37">
        <f ca="1">_xlfn.IFNA(VLOOKUP($A461,INDIRECT("'W"&amp;C$1&amp;"'!$A$2:$T$1000"),4,FALSE),0)</f>
        <v>0</v>
      </c>
      <c r="D461" s="37">
        <f ca="1">_xlfn.IFNA(VLOOKUP($A461,INDIRECT("'W"&amp;D$1&amp;"'!$A$2:$T$1000"),4,FALSE),0)</f>
        <v>2.5</v>
      </c>
      <c r="E461" s="37">
        <f ca="1">_xlfn.IFNA(VLOOKUP($A461,INDIRECT("'W"&amp;E$1&amp;"'!$A$2:$T$1000"),4,FALSE),0)</f>
        <v>0</v>
      </c>
      <c r="F461" s="37">
        <f ca="1">_xlfn.IFNA(VLOOKUP($A461,INDIRECT("'W"&amp;F$1&amp;"'!$A$2:$T$1000"),4,FALSE),0)</f>
        <v>7.4</v>
      </c>
      <c r="G461" s="37">
        <f ca="1">_xlfn.IFNA(VLOOKUP($A461,INDIRECT("'W"&amp;G$1&amp;"'!$A$2:$T$1000"),4,FALSE),0)</f>
        <v>2.9000000000000004</v>
      </c>
      <c r="H461" s="37">
        <f ca="1">_xlfn.IFNA(VLOOKUP($A461,INDIRECT("'W"&amp;H$1&amp;"'!$A$2:$T$1000"),4,FALSE),0)</f>
        <v>0</v>
      </c>
      <c r="I461" s="37">
        <f ca="1">_xlfn.IFNA(VLOOKUP($A461,INDIRECT("'W"&amp;I$1&amp;"'!$A$2:$T$1000"),4,FALSE),0)</f>
        <v>0</v>
      </c>
      <c r="J461" s="37">
        <f ca="1">_xlfn.IFNA(VLOOKUP($A461,INDIRECT("'W"&amp;J$1&amp;"'!$A$2:$T$1000"),4,FALSE),0)</f>
        <v>0</v>
      </c>
      <c r="K461" s="37">
        <f ca="1">_xlfn.IFNA(VLOOKUP($A461,INDIRECT("'W"&amp;K$1&amp;"'!$A$2:$T$1000"),4,FALSE),0)</f>
        <v>1.7000000000000002</v>
      </c>
      <c r="L461" s="37">
        <f ca="1">_xlfn.IFNA(VLOOKUP($A461,INDIRECT("'W"&amp;L$1&amp;"'!$A$2:$T$1000"),4,FALSE),0)</f>
        <v>0</v>
      </c>
      <c r="M461" s="37">
        <f ca="1">_xlfn.IFNA(VLOOKUP($A461,INDIRECT("'W"&amp;M$1&amp;"'!$A$2:$T$1000"),4,FALSE),0)</f>
        <v>0</v>
      </c>
      <c r="N461" s="37">
        <f ca="1">_xlfn.IFNA(VLOOKUP($A461,INDIRECT("'W"&amp;N$1&amp;"'!$A$2:$T$1000"),4,FALSE),0)</f>
        <v>0</v>
      </c>
      <c r="O461" s="37">
        <f ca="1">_xlfn.IFNA(VLOOKUP($A461,INDIRECT("'W"&amp;O$1&amp;"'!$A$2:$T$1000"),4,FALSE),0)</f>
        <v>0</v>
      </c>
      <c r="P461" s="37">
        <f ca="1">_xlfn.IFNA(VLOOKUP($A461,INDIRECT("'W"&amp;P$1&amp;"'!$A$2:$T$1000"),4,FALSE),0)</f>
        <v>0</v>
      </c>
      <c r="Q461" s="37">
        <f ca="1">_xlfn.IFNA(VLOOKUP($A461,INDIRECT("'W"&amp;Q$1&amp;"'!$A$2:$T$1000"),4,FALSE),0)</f>
        <v>0</v>
      </c>
      <c r="R461" s="37">
        <f ca="1">_xlfn.IFNA(VLOOKUP($A461,INDIRECT("'W"&amp;R$1&amp;"'!$A$2:$T$1000"),4,FALSE),0)</f>
        <v>0</v>
      </c>
      <c r="S461" s="37">
        <f ca="1">_xlfn.IFNA(VLOOKUP($A461,INDIRECT("'W"&amp;S$1&amp;"'!$A$2:$T$1000"),4,FALSE),0)</f>
        <v>0</v>
      </c>
      <c r="T461" s="37">
        <f ca="1">_xlfn.IFNA(VLOOKUP($A461,INDIRECT("'W"&amp;T$1&amp;"'!$A$2:$T$1000"),4,FALSE),0)</f>
        <v>0</v>
      </c>
      <c r="U461" s="36">
        <f ca="1">COUNTIF(C461:T461,"&gt; 15")</f>
        <v>0</v>
      </c>
      <c r="V461" s="36">
        <f ca="1">SUM(C461:T461)</f>
        <v>14.5</v>
      </c>
      <c r="W461" s="36"/>
      <c r="X461" s="38"/>
    </row>
    <row r="462" spans="1:24" ht="12.75" x14ac:dyDescent="0.2">
      <c r="A462" s="36" t="s">
        <v>438</v>
      </c>
      <c r="B462" s="36" t="s">
        <v>69</v>
      </c>
      <c r="C462" s="37">
        <f ca="1">_xlfn.IFNA(VLOOKUP($A462,INDIRECT("'W"&amp;C$1&amp;"'!$A$2:$T$1000"),4,FALSE),0)</f>
        <v>0</v>
      </c>
      <c r="D462" s="37">
        <f ca="1">_xlfn.IFNA(VLOOKUP($A462,INDIRECT("'W"&amp;D$1&amp;"'!$A$2:$T$1000"),4,FALSE),0)</f>
        <v>0</v>
      </c>
      <c r="E462" s="37">
        <f ca="1">_xlfn.IFNA(VLOOKUP($A462,INDIRECT("'W"&amp;E$1&amp;"'!$A$2:$T$1000"),4,FALSE),0)</f>
        <v>2.7</v>
      </c>
      <c r="F462" s="37">
        <f ca="1">_xlfn.IFNA(VLOOKUP($A462,INDIRECT("'W"&amp;F$1&amp;"'!$A$2:$T$1000"),4,FALSE),0)</f>
        <v>0</v>
      </c>
      <c r="G462" s="37">
        <f ca="1">_xlfn.IFNA(VLOOKUP($A462,INDIRECT("'W"&amp;G$1&amp;"'!$A$2:$T$1000"),4,FALSE),0)</f>
        <v>0</v>
      </c>
      <c r="H462" s="37">
        <f ca="1">_xlfn.IFNA(VLOOKUP($A462,INDIRECT("'W"&amp;H$1&amp;"'!$A$2:$T$1000"),4,FALSE),0)</f>
        <v>10.7</v>
      </c>
      <c r="I462" s="37">
        <f ca="1">_xlfn.IFNA(VLOOKUP($A462,INDIRECT("'W"&amp;I$1&amp;"'!$A$2:$T$1000"),4,FALSE),0)</f>
        <v>0</v>
      </c>
      <c r="J462" s="37">
        <f ca="1">_xlfn.IFNA(VLOOKUP($A462,INDIRECT("'W"&amp;J$1&amp;"'!$A$2:$T$1000"),4,FALSE),0)</f>
        <v>0</v>
      </c>
      <c r="K462" s="37">
        <f ca="1">_xlfn.IFNA(VLOOKUP($A462,INDIRECT("'W"&amp;K$1&amp;"'!$A$2:$T$1000"),4,FALSE),0)</f>
        <v>0</v>
      </c>
      <c r="L462" s="37">
        <f ca="1">_xlfn.IFNA(VLOOKUP($A462,INDIRECT("'W"&amp;L$1&amp;"'!$A$2:$T$1000"),4,FALSE),0)</f>
        <v>0</v>
      </c>
      <c r="M462" s="37">
        <f ca="1">_xlfn.IFNA(VLOOKUP($A462,INDIRECT("'W"&amp;M$1&amp;"'!$A$2:$T$1000"),4,FALSE),0)</f>
        <v>0</v>
      </c>
      <c r="N462" s="37">
        <f ca="1">_xlfn.IFNA(VLOOKUP($A462,INDIRECT("'W"&amp;N$1&amp;"'!$A$2:$T$1000"),4,FALSE),0)</f>
        <v>0</v>
      </c>
      <c r="O462" s="37">
        <f ca="1">_xlfn.IFNA(VLOOKUP($A462,INDIRECT("'W"&amp;O$1&amp;"'!$A$2:$T$1000"),4,FALSE),0)</f>
        <v>0</v>
      </c>
      <c r="P462" s="37">
        <f ca="1">_xlfn.IFNA(VLOOKUP($A462,INDIRECT("'W"&amp;P$1&amp;"'!$A$2:$T$1000"),4,FALSE),0)</f>
        <v>0</v>
      </c>
      <c r="Q462" s="37">
        <f ca="1">_xlfn.IFNA(VLOOKUP($A462,INDIRECT("'W"&amp;Q$1&amp;"'!$A$2:$T$1000"),4,FALSE),0)</f>
        <v>0</v>
      </c>
      <c r="R462" s="37">
        <f ca="1">_xlfn.IFNA(VLOOKUP($A462,INDIRECT("'W"&amp;R$1&amp;"'!$A$2:$T$1000"),4,FALSE),0)</f>
        <v>0</v>
      </c>
      <c r="S462" s="37">
        <f ca="1">_xlfn.IFNA(VLOOKUP($A462,INDIRECT("'W"&amp;S$1&amp;"'!$A$2:$T$1000"),4,FALSE),0)</f>
        <v>1.1000000000000001</v>
      </c>
      <c r="T462" s="37">
        <f ca="1">_xlfn.IFNA(VLOOKUP($A462,INDIRECT("'W"&amp;T$1&amp;"'!$A$2:$T$1000"),4,FALSE),0)</f>
        <v>0</v>
      </c>
      <c r="U462" s="36">
        <f ca="1">COUNTIF(C462:T462,"&gt; 15")</f>
        <v>0</v>
      </c>
      <c r="V462" s="36">
        <f ca="1">SUM(C462:T462)</f>
        <v>14.499999999999998</v>
      </c>
      <c r="W462" s="36"/>
      <c r="X462" s="38"/>
    </row>
    <row r="463" spans="1:24" ht="12.75" x14ac:dyDescent="0.2">
      <c r="A463" s="36" t="s">
        <v>630</v>
      </c>
      <c r="B463" s="36" t="s">
        <v>75</v>
      </c>
      <c r="C463" s="37">
        <f ca="1">_xlfn.IFNA(VLOOKUP($A463,INDIRECT("'W"&amp;C$1&amp;"'!$A$2:$T$1000"),4,FALSE),0)</f>
        <v>0</v>
      </c>
      <c r="D463" s="37">
        <f ca="1">_xlfn.IFNA(VLOOKUP($A463,INDIRECT("'W"&amp;D$1&amp;"'!$A$2:$T$1000"),4,FALSE),0)</f>
        <v>0</v>
      </c>
      <c r="E463" s="37">
        <f ca="1">_xlfn.IFNA(VLOOKUP($A463,INDIRECT("'W"&amp;E$1&amp;"'!$A$2:$T$1000"),4,FALSE),0)</f>
        <v>0</v>
      </c>
      <c r="F463" s="37">
        <f ca="1">_xlfn.IFNA(VLOOKUP($A463,INDIRECT("'W"&amp;F$1&amp;"'!$A$2:$T$1000"),4,FALSE),0)</f>
        <v>0</v>
      </c>
      <c r="G463" s="37">
        <f ca="1">_xlfn.IFNA(VLOOKUP($A463,INDIRECT("'W"&amp;G$1&amp;"'!$A$2:$T$1000"),4,FALSE),0)</f>
        <v>0</v>
      </c>
      <c r="H463" s="37">
        <f ca="1">_xlfn.IFNA(VLOOKUP($A463,INDIRECT("'W"&amp;H$1&amp;"'!$A$2:$T$1000"),4,FALSE),0)</f>
        <v>0</v>
      </c>
      <c r="I463" s="37">
        <f ca="1">_xlfn.IFNA(VLOOKUP($A463,INDIRECT("'W"&amp;I$1&amp;"'!$A$2:$T$1000"),4,FALSE),0)</f>
        <v>0</v>
      </c>
      <c r="J463" s="37">
        <f ca="1">_xlfn.IFNA(VLOOKUP($A463,INDIRECT("'W"&amp;J$1&amp;"'!$A$2:$T$1000"),4,FALSE),0)</f>
        <v>0</v>
      </c>
      <c r="K463" s="37">
        <f ca="1">_xlfn.IFNA(VLOOKUP($A463,INDIRECT("'W"&amp;K$1&amp;"'!$A$2:$T$1000"),4,FALSE),0)</f>
        <v>0.1</v>
      </c>
      <c r="L463" s="37">
        <f ca="1">_xlfn.IFNA(VLOOKUP($A463,INDIRECT("'W"&amp;L$1&amp;"'!$A$2:$T$1000"),4,FALSE),0)</f>
        <v>0</v>
      </c>
      <c r="M463" s="37">
        <f ca="1">_xlfn.IFNA(VLOOKUP($A463,INDIRECT("'W"&amp;M$1&amp;"'!$A$2:$T$1000"),4,FALSE),0)</f>
        <v>0</v>
      </c>
      <c r="N463" s="37">
        <f ca="1">_xlfn.IFNA(VLOOKUP($A463,INDIRECT("'W"&amp;N$1&amp;"'!$A$2:$T$1000"),4,FALSE),0)</f>
        <v>0</v>
      </c>
      <c r="O463" s="37">
        <f ca="1">_xlfn.IFNA(VLOOKUP($A463,INDIRECT("'W"&amp;O$1&amp;"'!$A$2:$T$1000"),4,FALSE),0)</f>
        <v>0</v>
      </c>
      <c r="P463" s="37">
        <f ca="1">_xlfn.IFNA(VLOOKUP($A463,INDIRECT("'W"&amp;P$1&amp;"'!$A$2:$T$1000"),4,FALSE),0)</f>
        <v>0</v>
      </c>
      <c r="Q463" s="37">
        <f ca="1">_xlfn.IFNA(VLOOKUP($A463,INDIRECT("'W"&amp;Q$1&amp;"'!$A$2:$T$1000"),4,FALSE),0)</f>
        <v>0</v>
      </c>
      <c r="R463" s="37">
        <f ca="1">_xlfn.IFNA(VLOOKUP($A463,INDIRECT("'W"&amp;R$1&amp;"'!$A$2:$T$1000"),4,FALSE),0)</f>
        <v>0</v>
      </c>
      <c r="S463" s="37">
        <f ca="1">_xlfn.IFNA(VLOOKUP($A463,INDIRECT("'W"&amp;S$1&amp;"'!$A$2:$T$1000"),4,FALSE),0)</f>
        <v>0</v>
      </c>
      <c r="T463" s="37">
        <f ca="1">_xlfn.IFNA(VLOOKUP($A463,INDIRECT("'W"&amp;T$1&amp;"'!$A$2:$T$1000"),4,FALSE),0)</f>
        <v>13.900000000000002</v>
      </c>
      <c r="U463" s="36">
        <f ca="1">COUNTIF(C463:T463,"&gt; 15")</f>
        <v>0</v>
      </c>
      <c r="V463" s="36">
        <f ca="1">SUM(C463:T463)</f>
        <v>14.000000000000002</v>
      </c>
      <c r="W463" s="36"/>
      <c r="X463" s="38"/>
    </row>
    <row r="464" spans="1:24" ht="12.75" x14ac:dyDescent="0.2">
      <c r="A464" s="36" t="s">
        <v>454</v>
      </c>
      <c r="B464" s="36" t="s">
        <v>162</v>
      </c>
      <c r="C464" s="37">
        <f ca="1">_xlfn.IFNA(VLOOKUP($A464,INDIRECT("'W"&amp;C$1&amp;"'!$A$2:$T$1000"),4,FALSE),0)</f>
        <v>0</v>
      </c>
      <c r="D464" s="37">
        <f ca="1">_xlfn.IFNA(VLOOKUP($A464,INDIRECT("'W"&amp;D$1&amp;"'!$A$2:$T$1000"),4,FALSE),0)</f>
        <v>0</v>
      </c>
      <c r="E464" s="37">
        <f ca="1">_xlfn.IFNA(VLOOKUP($A464,INDIRECT("'W"&amp;E$1&amp;"'!$A$2:$T$1000"),4,FALSE),0)</f>
        <v>0.1</v>
      </c>
      <c r="F464" s="37">
        <f ca="1">_xlfn.IFNA(VLOOKUP($A464,INDIRECT("'W"&amp;F$1&amp;"'!$A$2:$T$1000"),4,FALSE),0)</f>
        <v>1</v>
      </c>
      <c r="G464" s="37">
        <f ca="1">_xlfn.IFNA(VLOOKUP($A464,INDIRECT("'W"&amp;G$1&amp;"'!$A$2:$T$1000"),4,FALSE),0)</f>
        <v>0</v>
      </c>
      <c r="H464" s="37">
        <f ca="1">_xlfn.IFNA(VLOOKUP($A464,INDIRECT("'W"&amp;H$1&amp;"'!$A$2:$T$1000"),4,FALSE),0)</f>
        <v>3.4</v>
      </c>
      <c r="I464" s="37">
        <f ca="1">_xlfn.IFNA(VLOOKUP($A464,INDIRECT("'W"&amp;I$1&amp;"'!$A$2:$T$1000"),4,FALSE),0)</f>
        <v>3.3000000000000003</v>
      </c>
      <c r="J464" s="37">
        <f ca="1">_xlfn.IFNA(VLOOKUP($A464,INDIRECT("'W"&amp;J$1&amp;"'!$A$2:$T$1000"),4,FALSE),0)</f>
        <v>-0.5</v>
      </c>
      <c r="K464" s="37">
        <f ca="1">_xlfn.IFNA(VLOOKUP($A464,INDIRECT("'W"&amp;K$1&amp;"'!$A$2:$T$1000"),4,FALSE),0)</f>
        <v>0</v>
      </c>
      <c r="L464" s="37">
        <f ca="1">_xlfn.IFNA(VLOOKUP($A464,INDIRECT("'W"&amp;L$1&amp;"'!$A$2:$T$1000"),4,FALSE),0)</f>
        <v>0</v>
      </c>
      <c r="M464" s="37">
        <f ca="1">_xlfn.IFNA(VLOOKUP($A464,INDIRECT("'W"&amp;M$1&amp;"'!$A$2:$T$1000"),4,FALSE),0)</f>
        <v>0</v>
      </c>
      <c r="N464" s="37">
        <f ca="1">_xlfn.IFNA(VLOOKUP($A464,INDIRECT("'W"&amp;N$1&amp;"'!$A$2:$T$1000"),4,FALSE),0)</f>
        <v>0</v>
      </c>
      <c r="O464" s="37">
        <f ca="1">_xlfn.IFNA(VLOOKUP($A464,INDIRECT("'W"&amp;O$1&amp;"'!$A$2:$T$1000"),4,FALSE),0)</f>
        <v>0</v>
      </c>
      <c r="P464" s="37">
        <f ca="1">_xlfn.IFNA(VLOOKUP($A464,INDIRECT("'W"&amp;P$1&amp;"'!$A$2:$T$1000"),4,FALSE),0)</f>
        <v>0</v>
      </c>
      <c r="Q464" s="37">
        <f ca="1">_xlfn.IFNA(VLOOKUP($A464,INDIRECT("'W"&amp;Q$1&amp;"'!$A$2:$T$1000"),4,FALSE),0)</f>
        <v>6.7</v>
      </c>
      <c r="R464" s="37">
        <f ca="1">_xlfn.IFNA(VLOOKUP($A464,INDIRECT("'W"&amp;R$1&amp;"'!$A$2:$T$1000"),4,FALSE),0)</f>
        <v>0</v>
      </c>
      <c r="S464" s="37">
        <f ca="1">_xlfn.IFNA(VLOOKUP($A464,INDIRECT("'W"&amp;S$1&amp;"'!$A$2:$T$1000"),4,FALSE),0)</f>
        <v>0</v>
      </c>
      <c r="T464" s="37">
        <f ca="1">_xlfn.IFNA(VLOOKUP($A464,INDIRECT("'W"&amp;T$1&amp;"'!$A$2:$T$1000"),4,FALSE),0)</f>
        <v>0</v>
      </c>
      <c r="U464" s="36">
        <f ca="1">COUNTIF(C464:T464,"&gt; 15")</f>
        <v>0</v>
      </c>
      <c r="V464" s="36">
        <f ca="1">SUM(C464:T464)</f>
        <v>14</v>
      </c>
      <c r="W464" s="36"/>
      <c r="X464" s="38"/>
    </row>
    <row r="465" spans="1:24" ht="12.75" x14ac:dyDescent="0.2">
      <c r="A465" s="36" t="s">
        <v>155</v>
      </c>
      <c r="B465" s="36" t="s">
        <v>75</v>
      </c>
      <c r="C465" s="37">
        <f ca="1">_xlfn.IFNA(VLOOKUP($A465,INDIRECT("'W"&amp;C$1&amp;"'!$A$2:$T$1000"),4,FALSE),0)</f>
        <v>-0.4</v>
      </c>
      <c r="D465" s="37">
        <f ca="1">_xlfn.IFNA(VLOOKUP($A465,INDIRECT("'W"&amp;D$1&amp;"'!$A$2:$T$1000"),4,FALSE),0)</f>
        <v>0.60000000000000009</v>
      </c>
      <c r="E465" s="37">
        <f ca="1">_xlfn.IFNA(VLOOKUP($A465,INDIRECT("'W"&amp;E$1&amp;"'!$A$2:$T$1000"),4,FALSE),0)</f>
        <v>3.0999999999999996</v>
      </c>
      <c r="F465" s="37">
        <f ca="1">_xlfn.IFNA(VLOOKUP($A465,INDIRECT("'W"&amp;F$1&amp;"'!$A$2:$T$1000"),4,FALSE),0)</f>
        <v>0</v>
      </c>
      <c r="G465" s="37">
        <f ca="1">_xlfn.IFNA(VLOOKUP($A465,INDIRECT("'W"&amp;G$1&amp;"'!$A$2:$T$1000"),4,FALSE),0)</f>
        <v>0</v>
      </c>
      <c r="H465" s="37">
        <f ca="1">_xlfn.IFNA(VLOOKUP($A465,INDIRECT("'W"&amp;H$1&amp;"'!$A$2:$T$1000"),4,FALSE),0)</f>
        <v>7.1</v>
      </c>
      <c r="I465" s="37">
        <f ca="1">_xlfn.IFNA(VLOOKUP($A465,INDIRECT("'W"&amp;I$1&amp;"'!$A$2:$T$1000"),4,FALSE),0)</f>
        <v>0</v>
      </c>
      <c r="J465" s="37">
        <f ca="1">_xlfn.IFNA(VLOOKUP($A465,INDIRECT("'W"&amp;J$1&amp;"'!$A$2:$T$1000"),4,FALSE),0)</f>
        <v>2.6</v>
      </c>
      <c r="K465" s="37">
        <f ca="1">_xlfn.IFNA(VLOOKUP($A465,INDIRECT("'W"&amp;K$1&amp;"'!$A$2:$T$1000"),4,FALSE),0)</f>
        <v>0.8</v>
      </c>
      <c r="L465" s="37">
        <f ca="1">_xlfn.IFNA(VLOOKUP($A465,INDIRECT("'W"&amp;L$1&amp;"'!$A$2:$T$1000"),4,FALSE),0)</f>
        <v>0.2</v>
      </c>
      <c r="M465" s="37">
        <f ca="1">_xlfn.IFNA(VLOOKUP($A465,INDIRECT("'W"&amp;M$1&amp;"'!$A$2:$T$1000"),4,FALSE),0)</f>
        <v>0</v>
      </c>
      <c r="N465" s="37">
        <f ca="1">_xlfn.IFNA(VLOOKUP($A465,INDIRECT("'W"&amp;N$1&amp;"'!$A$2:$T$1000"),4,FALSE),0)</f>
        <v>0</v>
      </c>
      <c r="O465" s="37">
        <f ca="1">_xlfn.IFNA(VLOOKUP($A465,INDIRECT("'W"&amp;O$1&amp;"'!$A$2:$T$1000"),4,FALSE),0)</f>
        <v>0</v>
      </c>
      <c r="P465" s="37">
        <f ca="1">_xlfn.IFNA(VLOOKUP($A465,INDIRECT("'W"&amp;P$1&amp;"'!$A$2:$T$1000"),4,FALSE),0)</f>
        <v>0</v>
      </c>
      <c r="Q465" s="37">
        <f ca="1">_xlfn.IFNA(VLOOKUP($A465,INDIRECT("'W"&amp;Q$1&amp;"'!$A$2:$T$1000"),4,FALSE),0)</f>
        <v>0</v>
      </c>
      <c r="R465" s="37">
        <f ca="1">_xlfn.IFNA(VLOOKUP($A465,INDIRECT("'W"&amp;R$1&amp;"'!$A$2:$T$1000"),4,FALSE),0)</f>
        <v>0</v>
      </c>
      <c r="S465" s="37">
        <f ca="1">_xlfn.IFNA(VLOOKUP($A465,INDIRECT("'W"&amp;S$1&amp;"'!$A$2:$T$1000"),4,FALSE),0)</f>
        <v>0</v>
      </c>
      <c r="T465" s="37">
        <f ca="1">_xlfn.IFNA(VLOOKUP($A465,INDIRECT("'W"&amp;T$1&amp;"'!$A$2:$T$1000"),4,FALSE),0)</f>
        <v>0</v>
      </c>
      <c r="U465" s="36">
        <f ca="1">COUNTIF(C465:T465,"&gt; 15")</f>
        <v>0</v>
      </c>
      <c r="V465" s="36">
        <f ca="1">SUM(C465:T465)</f>
        <v>13.999999999999998</v>
      </c>
      <c r="W465" s="36"/>
      <c r="X465" s="38"/>
    </row>
    <row r="466" spans="1:24" ht="12.75" x14ac:dyDescent="0.2">
      <c r="A466" s="36" t="s">
        <v>827</v>
      </c>
      <c r="B466" s="36" t="e">
        <f ca="1">VLOOKUP(A466,CumulativePlayerList!$T$3:$U$550,2,FALSE)</f>
        <v>#NAME?</v>
      </c>
      <c r="C466" s="37">
        <f ca="1">_xlfn.IFNA(VLOOKUP($A466,INDIRECT("'W"&amp;C$1&amp;"'!$A$2:$T$1000"),4,FALSE),0)</f>
        <v>0</v>
      </c>
      <c r="D466" s="37">
        <f ca="1">_xlfn.IFNA(VLOOKUP($A466,INDIRECT("'W"&amp;D$1&amp;"'!$A$2:$T$1000"),4,FALSE),0)</f>
        <v>0</v>
      </c>
      <c r="E466" s="37">
        <f ca="1">_xlfn.IFNA(VLOOKUP($A466,INDIRECT("'W"&amp;E$1&amp;"'!$A$2:$T$1000"),4,FALSE),0)</f>
        <v>0</v>
      </c>
      <c r="F466" s="37">
        <f ca="1">_xlfn.IFNA(VLOOKUP($A466,INDIRECT("'W"&amp;F$1&amp;"'!$A$2:$T$1000"),4,FALSE),0)</f>
        <v>0</v>
      </c>
      <c r="G466" s="37">
        <f ca="1">_xlfn.IFNA(VLOOKUP($A466,INDIRECT("'W"&amp;G$1&amp;"'!$A$2:$T$1000"),4,FALSE),0)</f>
        <v>0</v>
      </c>
      <c r="H466" s="37">
        <f ca="1">_xlfn.IFNA(VLOOKUP($A466,INDIRECT("'W"&amp;H$1&amp;"'!$A$2:$T$1000"),4,FALSE),0)</f>
        <v>0</v>
      </c>
      <c r="I466" s="37">
        <f ca="1">_xlfn.IFNA(VLOOKUP($A466,INDIRECT("'W"&amp;I$1&amp;"'!$A$2:$T$1000"),4,FALSE),0)</f>
        <v>0</v>
      </c>
      <c r="J466" s="37">
        <f ca="1">_xlfn.IFNA(VLOOKUP($A466,INDIRECT("'W"&amp;J$1&amp;"'!$A$2:$T$1000"),4,FALSE),0)</f>
        <v>0</v>
      </c>
      <c r="K466" s="37">
        <f ca="1">_xlfn.IFNA(VLOOKUP($A466,INDIRECT("'W"&amp;K$1&amp;"'!$A$2:$T$1000"),4,FALSE),0)</f>
        <v>0</v>
      </c>
      <c r="L466" s="37">
        <f ca="1">_xlfn.IFNA(VLOOKUP($A466,INDIRECT("'W"&amp;L$1&amp;"'!$A$2:$T$1000"),4,FALSE),0)</f>
        <v>0</v>
      </c>
      <c r="M466" s="37">
        <f ca="1">_xlfn.IFNA(VLOOKUP($A466,INDIRECT("'W"&amp;M$1&amp;"'!$A$2:$T$1000"),4,FALSE),0)</f>
        <v>0</v>
      </c>
      <c r="N466" s="37">
        <f ca="1">_xlfn.IFNA(VLOOKUP($A466,INDIRECT("'W"&amp;N$1&amp;"'!$A$2:$T$1000"),4,FALSE),0)</f>
        <v>0</v>
      </c>
      <c r="O466" s="37">
        <f ca="1">_xlfn.IFNA(VLOOKUP($A466,INDIRECT("'W"&amp;O$1&amp;"'!$A$2:$T$1000"),4,FALSE),0)</f>
        <v>0</v>
      </c>
      <c r="P466" s="37">
        <f ca="1">_xlfn.IFNA(VLOOKUP($A466,INDIRECT("'W"&amp;P$1&amp;"'!$A$2:$T$1000"),4,FALSE),0)</f>
        <v>0</v>
      </c>
      <c r="Q466" s="37">
        <f ca="1">_xlfn.IFNA(VLOOKUP($A466,INDIRECT("'W"&amp;Q$1&amp;"'!$A$2:$T$1000"),4,FALSE),0)</f>
        <v>0</v>
      </c>
      <c r="R466" s="37">
        <f ca="1">_xlfn.IFNA(VLOOKUP($A466,INDIRECT("'W"&amp;R$1&amp;"'!$A$2:$T$1000"),4,FALSE),0)</f>
        <v>0</v>
      </c>
      <c r="S466" s="37">
        <f ca="1">_xlfn.IFNA(VLOOKUP($A466,INDIRECT("'W"&amp;S$1&amp;"'!$A$2:$T$1000"),4,FALSE),0)</f>
        <v>0</v>
      </c>
      <c r="T466" s="37">
        <f ca="1">_xlfn.IFNA(VLOOKUP($A466,INDIRECT("'W"&amp;T$1&amp;"'!$A$2:$T$1000"),4,FALSE),0)</f>
        <v>13.940000000000001</v>
      </c>
      <c r="U466" s="36">
        <f ca="1">COUNTIF(C466:T466,"&gt; 15")</f>
        <v>0</v>
      </c>
      <c r="V466" s="36">
        <f ca="1">SUM(C466:T466)</f>
        <v>13.940000000000001</v>
      </c>
      <c r="W466" s="36"/>
      <c r="X466" s="38"/>
    </row>
    <row r="467" spans="1:24" ht="12.75" x14ac:dyDescent="0.2">
      <c r="A467" s="36" t="s">
        <v>302</v>
      </c>
      <c r="B467" s="36" t="s">
        <v>69</v>
      </c>
      <c r="C467" s="37">
        <f ca="1">_xlfn.IFNA(VLOOKUP($A467,INDIRECT("'W"&amp;C$1&amp;"'!$A$2:$T$1000"),4,FALSE),0)</f>
        <v>3.7</v>
      </c>
      <c r="D467" s="37">
        <f ca="1">_xlfn.IFNA(VLOOKUP($A467,INDIRECT("'W"&amp;D$1&amp;"'!$A$2:$T$1000"),4,FALSE),0)</f>
        <v>0</v>
      </c>
      <c r="E467" s="37">
        <f ca="1">_xlfn.IFNA(VLOOKUP($A467,INDIRECT("'W"&amp;E$1&amp;"'!$A$2:$T$1000"),4,FALSE),0)</f>
        <v>0</v>
      </c>
      <c r="F467" s="37">
        <f ca="1">_xlfn.IFNA(VLOOKUP($A467,INDIRECT("'W"&amp;F$1&amp;"'!$A$2:$T$1000"),4,FALSE),0)</f>
        <v>0</v>
      </c>
      <c r="G467" s="37">
        <f ca="1">_xlfn.IFNA(VLOOKUP($A467,INDIRECT("'W"&amp;G$1&amp;"'!$A$2:$T$1000"),4,FALSE),0)</f>
        <v>0</v>
      </c>
      <c r="H467" s="37">
        <f ca="1">_xlfn.IFNA(VLOOKUP($A467,INDIRECT("'W"&amp;H$1&amp;"'!$A$2:$T$1000"),4,FALSE),0)</f>
        <v>0</v>
      </c>
      <c r="I467" s="37">
        <f ca="1">_xlfn.IFNA(VLOOKUP($A467,INDIRECT("'W"&amp;I$1&amp;"'!$A$2:$T$1000"),4,FALSE),0)</f>
        <v>0</v>
      </c>
      <c r="J467" s="37">
        <f ca="1">_xlfn.IFNA(VLOOKUP($A467,INDIRECT("'W"&amp;J$1&amp;"'!$A$2:$T$1000"),4,FALSE),0)</f>
        <v>0</v>
      </c>
      <c r="K467" s="37">
        <f ca="1">_xlfn.IFNA(VLOOKUP($A467,INDIRECT("'W"&amp;K$1&amp;"'!$A$2:$T$1000"),4,FALSE),0)</f>
        <v>0</v>
      </c>
      <c r="L467" s="37">
        <f ca="1">_xlfn.IFNA(VLOOKUP($A467,INDIRECT("'W"&amp;L$1&amp;"'!$A$2:$T$1000"),4,FALSE),0)</f>
        <v>8</v>
      </c>
      <c r="M467" s="37">
        <f ca="1">_xlfn.IFNA(VLOOKUP($A467,INDIRECT("'W"&amp;M$1&amp;"'!$A$2:$T$1000"),4,FALSE),0)</f>
        <v>0</v>
      </c>
      <c r="N467" s="37">
        <f ca="1">_xlfn.IFNA(VLOOKUP($A467,INDIRECT("'W"&amp;N$1&amp;"'!$A$2:$T$1000"),4,FALSE),0)</f>
        <v>0</v>
      </c>
      <c r="O467" s="37">
        <f ca="1">_xlfn.IFNA(VLOOKUP($A467,INDIRECT("'W"&amp;O$1&amp;"'!$A$2:$T$1000"),4,FALSE),0)</f>
        <v>0</v>
      </c>
      <c r="P467" s="37">
        <f ca="1">_xlfn.IFNA(VLOOKUP($A467,INDIRECT("'W"&amp;P$1&amp;"'!$A$2:$T$1000"),4,FALSE),0)</f>
        <v>0</v>
      </c>
      <c r="Q467" s="37">
        <f ca="1">_xlfn.IFNA(VLOOKUP($A467,INDIRECT("'W"&amp;Q$1&amp;"'!$A$2:$T$1000"),4,FALSE),0)</f>
        <v>1.9</v>
      </c>
      <c r="R467" s="37">
        <f ca="1">_xlfn.IFNA(VLOOKUP($A467,INDIRECT("'W"&amp;R$1&amp;"'!$A$2:$T$1000"),4,FALSE),0)</f>
        <v>0</v>
      </c>
      <c r="S467" s="37">
        <f ca="1">_xlfn.IFNA(VLOOKUP($A467,INDIRECT("'W"&amp;S$1&amp;"'!$A$2:$T$1000"),4,FALSE),0)</f>
        <v>0</v>
      </c>
      <c r="T467" s="37">
        <f ca="1">_xlfn.IFNA(VLOOKUP($A467,INDIRECT("'W"&amp;T$1&amp;"'!$A$2:$T$1000"),4,FALSE),0)</f>
        <v>0</v>
      </c>
      <c r="U467" s="36">
        <f ca="1">COUNTIF(C467:T467,"&gt; 15")</f>
        <v>0</v>
      </c>
      <c r="V467" s="36">
        <f ca="1">SUM(C467:T467)</f>
        <v>13.6</v>
      </c>
      <c r="W467" s="36"/>
      <c r="X467" s="38"/>
    </row>
    <row r="468" spans="1:24" ht="12.75" x14ac:dyDescent="0.2">
      <c r="A468" s="36" t="s">
        <v>121</v>
      </c>
      <c r="B468" s="36" t="s">
        <v>75</v>
      </c>
      <c r="C468" s="37">
        <f ca="1">_xlfn.IFNA(VLOOKUP($A468,INDIRECT("'W"&amp;C$1&amp;"'!$A$2:$T$1000"),4,FALSE),0)</f>
        <v>4.8</v>
      </c>
      <c r="D468" s="37">
        <f ca="1">_xlfn.IFNA(VLOOKUP($A468,INDIRECT("'W"&amp;D$1&amp;"'!$A$2:$T$1000"),4,FALSE),0)</f>
        <v>0</v>
      </c>
      <c r="E468" s="37">
        <f ca="1">_xlfn.IFNA(VLOOKUP($A468,INDIRECT("'W"&amp;E$1&amp;"'!$A$2:$T$1000"),4,FALSE),0)</f>
        <v>0</v>
      </c>
      <c r="F468" s="37">
        <f ca="1">_xlfn.IFNA(VLOOKUP($A468,INDIRECT("'W"&amp;F$1&amp;"'!$A$2:$T$1000"),4,FALSE),0)</f>
        <v>0.4</v>
      </c>
      <c r="G468" s="37">
        <f ca="1">_xlfn.IFNA(VLOOKUP($A468,INDIRECT("'W"&amp;G$1&amp;"'!$A$2:$T$1000"),4,FALSE),0)</f>
        <v>0</v>
      </c>
      <c r="H468" s="37">
        <f ca="1">_xlfn.IFNA(VLOOKUP($A468,INDIRECT("'W"&amp;H$1&amp;"'!$A$2:$T$1000"),4,FALSE),0)</f>
        <v>1.1000000000000001</v>
      </c>
      <c r="I468" s="37">
        <f ca="1">_xlfn.IFNA(VLOOKUP($A468,INDIRECT("'W"&amp;I$1&amp;"'!$A$2:$T$1000"),4,FALSE),0)</f>
        <v>0</v>
      </c>
      <c r="J468" s="37">
        <f ca="1">_xlfn.IFNA(VLOOKUP($A468,INDIRECT("'W"&amp;J$1&amp;"'!$A$2:$T$1000"),4,FALSE),0)</f>
        <v>2.6</v>
      </c>
      <c r="K468" s="37">
        <f ca="1">_xlfn.IFNA(VLOOKUP($A468,INDIRECT("'W"&amp;K$1&amp;"'!$A$2:$T$1000"),4,FALSE),0)</f>
        <v>0.30000000000000004</v>
      </c>
      <c r="L468" s="37">
        <f ca="1">_xlfn.IFNA(VLOOKUP($A468,INDIRECT("'W"&amp;L$1&amp;"'!$A$2:$T$1000"),4,FALSE),0)</f>
        <v>2.6</v>
      </c>
      <c r="M468" s="37">
        <f ca="1">_xlfn.IFNA(VLOOKUP($A468,INDIRECT("'W"&amp;M$1&amp;"'!$A$2:$T$1000"),4,FALSE),0)</f>
        <v>1.5</v>
      </c>
      <c r="N468" s="37">
        <f ca="1">_xlfn.IFNA(VLOOKUP($A468,INDIRECT("'W"&amp;N$1&amp;"'!$A$2:$T$1000"),4,FALSE),0)</f>
        <v>0</v>
      </c>
      <c r="O468" s="37">
        <f ca="1">_xlfn.IFNA(VLOOKUP($A468,INDIRECT("'W"&amp;O$1&amp;"'!$A$2:$T$1000"),4,FALSE),0)</f>
        <v>0</v>
      </c>
      <c r="P468" s="37">
        <f ca="1">_xlfn.IFNA(VLOOKUP($A468,INDIRECT("'W"&amp;P$1&amp;"'!$A$2:$T$1000"),4,FALSE),0)</f>
        <v>0</v>
      </c>
      <c r="Q468" s="37">
        <f ca="1">_xlfn.IFNA(VLOOKUP($A468,INDIRECT("'W"&amp;Q$1&amp;"'!$A$2:$T$1000"),4,FALSE),0)</f>
        <v>0</v>
      </c>
      <c r="R468" s="37">
        <f ca="1">_xlfn.IFNA(VLOOKUP($A468,INDIRECT("'W"&amp;R$1&amp;"'!$A$2:$T$1000"),4,FALSE),0)</f>
        <v>0</v>
      </c>
      <c r="S468" s="37">
        <f ca="1">_xlfn.IFNA(VLOOKUP($A468,INDIRECT("'W"&amp;S$1&amp;"'!$A$2:$T$1000"),4,FALSE),0)</f>
        <v>0</v>
      </c>
      <c r="T468" s="37">
        <f ca="1">_xlfn.IFNA(VLOOKUP($A468,INDIRECT("'W"&amp;T$1&amp;"'!$A$2:$T$1000"),4,FALSE),0)</f>
        <v>0</v>
      </c>
      <c r="U468" s="36">
        <f ca="1">COUNTIF(C468:T468,"&gt; 15")</f>
        <v>0</v>
      </c>
      <c r="V468" s="36">
        <f ca="1">SUM(C468:T468)</f>
        <v>13.3</v>
      </c>
      <c r="W468" s="36"/>
      <c r="X468" s="38"/>
    </row>
    <row r="469" spans="1:24" ht="12.75" x14ac:dyDescent="0.2">
      <c r="A469" s="36" t="s">
        <v>492</v>
      </c>
      <c r="B469" s="36" t="s">
        <v>69</v>
      </c>
      <c r="C469" s="37">
        <f ca="1">_xlfn.IFNA(VLOOKUP($A469,INDIRECT("'W"&amp;C$1&amp;"'!$A$2:$T$1000"),4,FALSE),0)</f>
        <v>0</v>
      </c>
      <c r="D469" s="37">
        <f ca="1">_xlfn.IFNA(VLOOKUP($A469,INDIRECT("'W"&amp;D$1&amp;"'!$A$2:$T$1000"),4,FALSE),0)</f>
        <v>0</v>
      </c>
      <c r="E469" s="37">
        <f ca="1">_xlfn.IFNA(VLOOKUP($A469,INDIRECT("'W"&amp;E$1&amp;"'!$A$2:$T$1000"),4,FALSE),0)</f>
        <v>0</v>
      </c>
      <c r="F469" s="37">
        <f ca="1">_xlfn.IFNA(VLOOKUP($A469,INDIRECT("'W"&amp;F$1&amp;"'!$A$2:$T$1000"),4,FALSE),0)</f>
        <v>2</v>
      </c>
      <c r="G469" s="37">
        <f ca="1">_xlfn.IFNA(VLOOKUP($A469,INDIRECT("'W"&amp;G$1&amp;"'!$A$2:$T$1000"),4,FALSE),0)</f>
        <v>0</v>
      </c>
      <c r="H469" s="37">
        <f ca="1">_xlfn.IFNA(VLOOKUP($A469,INDIRECT("'W"&amp;H$1&amp;"'!$A$2:$T$1000"),4,FALSE),0)</f>
        <v>0</v>
      </c>
      <c r="I469" s="37">
        <f ca="1">_xlfn.IFNA(VLOOKUP($A469,INDIRECT("'W"&amp;I$1&amp;"'!$A$2:$T$1000"),4,FALSE),0)</f>
        <v>0</v>
      </c>
      <c r="J469" s="37">
        <f ca="1">_xlfn.IFNA(VLOOKUP($A469,INDIRECT("'W"&amp;J$1&amp;"'!$A$2:$T$1000"),4,FALSE),0)</f>
        <v>0</v>
      </c>
      <c r="K469" s="37">
        <f ca="1">_xlfn.IFNA(VLOOKUP($A469,INDIRECT("'W"&amp;K$1&amp;"'!$A$2:$T$1000"),4,FALSE),0)</f>
        <v>1.7000000000000002</v>
      </c>
      <c r="L469" s="37">
        <f ca="1">_xlfn.IFNA(VLOOKUP($A469,INDIRECT("'W"&amp;L$1&amp;"'!$A$2:$T$1000"),4,FALSE),0)</f>
        <v>1.6</v>
      </c>
      <c r="M469" s="37">
        <f ca="1">_xlfn.IFNA(VLOOKUP($A469,INDIRECT("'W"&amp;M$1&amp;"'!$A$2:$T$1000"),4,FALSE),0)</f>
        <v>1.8</v>
      </c>
      <c r="N469" s="37">
        <f ca="1">_xlfn.IFNA(VLOOKUP($A469,INDIRECT("'W"&amp;N$1&amp;"'!$A$2:$T$1000"),4,FALSE),0)</f>
        <v>2</v>
      </c>
      <c r="O469" s="37">
        <f ca="1">_xlfn.IFNA(VLOOKUP($A469,INDIRECT("'W"&amp;O$1&amp;"'!$A$2:$T$1000"),4,FALSE),0)</f>
        <v>0</v>
      </c>
      <c r="P469" s="37">
        <f ca="1">_xlfn.IFNA(VLOOKUP($A469,INDIRECT("'W"&amp;P$1&amp;"'!$A$2:$T$1000"),4,FALSE),0)</f>
        <v>2.2000000000000002</v>
      </c>
      <c r="Q469" s="37">
        <f ca="1">_xlfn.IFNA(VLOOKUP($A469,INDIRECT("'W"&amp;Q$1&amp;"'!$A$2:$T$1000"),4,FALSE),0)</f>
        <v>0</v>
      </c>
      <c r="R469" s="37">
        <f ca="1">_xlfn.IFNA(VLOOKUP($A469,INDIRECT("'W"&amp;R$1&amp;"'!$A$2:$T$1000"),4,FALSE),0)</f>
        <v>1.8</v>
      </c>
      <c r="S469" s="37">
        <f ca="1">_xlfn.IFNA(VLOOKUP($A469,INDIRECT("'W"&amp;S$1&amp;"'!$A$2:$T$1000"),4,FALSE),0)</f>
        <v>0</v>
      </c>
      <c r="T469" s="37">
        <f ca="1">_xlfn.IFNA(VLOOKUP($A469,INDIRECT("'W"&amp;T$1&amp;"'!$A$2:$T$1000"),4,FALSE),0)</f>
        <v>0</v>
      </c>
      <c r="U469" s="36">
        <f ca="1">COUNTIF(C469:T469,"&gt; 15")</f>
        <v>0</v>
      </c>
      <c r="V469" s="36">
        <f ca="1">SUM(C469:T469)</f>
        <v>13.100000000000001</v>
      </c>
      <c r="W469" s="36"/>
      <c r="X469" s="38"/>
    </row>
    <row r="470" spans="1:24" ht="12.75" x14ac:dyDescent="0.2">
      <c r="A470" s="36" t="s">
        <v>519</v>
      </c>
      <c r="B470" s="36" t="s">
        <v>75</v>
      </c>
      <c r="C470" s="37">
        <f ca="1">_xlfn.IFNA(VLOOKUP($A470,INDIRECT("'W"&amp;C$1&amp;"'!$A$2:$T$1000"),4,FALSE),0)</f>
        <v>0</v>
      </c>
      <c r="D470" s="37">
        <f ca="1">_xlfn.IFNA(VLOOKUP($A470,INDIRECT("'W"&amp;D$1&amp;"'!$A$2:$T$1000"),4,FALSE),0)</f>
        <v>0</v>
      </c>
      <c r="E470" s="37">
        <f ca="1">_xlfn.IFNA(VLOOKUP($A470,INDIRECT("'W"&amp;E$1&amp;"'!$A$2:$T$1000"),4,FALSE),0)</f>
        <v>0</v>
      </c>
      <c r="F470" s="37">
        <f ca="1">_xlfn.IFNA(VLOOKUP($A470,INDIRECT("'W"&amp;F$1&amp;"'!$A$2:$T$1000"),4,FALSE),0)</f>
        <v>0</v>
      </c>
      <c r="G470" s="37">
        <f ca="1">_xlfn.IFNA(VLOOKUP($A470,INDIRECT("'W"&amp;G$1&amp;"'!$A$2:$T$1000"),4,FALSE),0)</f>
        <v>3.6</v>
      </c>
      <c r="H470" s="37">
        <f ca="1">_xlfn.IFNA(VLOOKUP($A470,INDIRECT("'W"&amp;H$1&amp;"'!$A$2:$T$1000"),4,FALSE),0)</f>
        <v>0.2</v>
      </c>
      <c r="I470" s="37">
        <f ca="1">_xlfn.IFNA(VLOOKUP($A470,INDIRECT("'W"&amp;I$1&amp;"'!$A$2:$T$1000"),4,FALSE),0)</f>
        <v>0</v>
      </c>
      <c r="J470" s="37">
        <f ca="1">_xlfn.IFNA(VLOOKUP($A470,INDIRECT("'W"&amp;J$1&amp;"'!$A$2:$T$1000"),4,FALSE),0)</f>
        <v>0</v>
      </c>
      <c r="K470" s="37">
        <f ca="1">_xlfn.IFNA(VLOOKUP($A470,INDIRECT("'W"&amp;K$1&amp;"'!$A$2:$T$1000"),4,FALSE),0)</f>
        <v>0</v>
      </c>
      <c r="L470" s="37">
        <f ca="1">_xlfn.IFNA(VLOOKUP($A470,INDIRECT("'W"&amp;L$1&amp;"'!$A$2:$T$1000"),4,FALSE),0)</f>
        <v>0</v>
      </c>
      <c r="M470" s="37">
        <f ca="1">_xlfn.IFNA(VLOOKUP($A470,INDIRECT("'W"&amp;M$1&amp;"'!$A$2:$T$1000"),4,FALSE),0)</f>
        <v>0</v>
      </c>
      <c r="N470" s="37">
        <f ca="1">_xlfn.IFNA(VLOOKUP($A470,INDIRECT("'W"&amp;N$1&amp;"'!$A$2:$T$1000"),4,FALSE),0)</f>
        <v>0</v>
      </c>
      <c r="O470" s="37">
        <f ca="1">_xlfn.IFNA(VLOOKUP($A470,INDIRECT("'W"&amp;O$1&amp;"'!$A$2:$T$1000"),4,FALSE),0)</f>
        <v>0</v>
      </c>
      <c r="P470" s="37">
        <f ca="1">_xlfn.IFNA(VLOOKUP($A470,INDIRECT("'W"&amp;P$1&amp;"'!$A$2:$T$1000"),4,FALSE),0)</f>
        <v>0</v>
      </c>
      <c r="Q470" s="37">
        <f ca="1">_xlfn.IFNA(VLOOKUP($A470,INDIRECT("'W"&amp;Q$1&amp;"'!$A$2:$T$1000"),4,FALSE),0)</f>
        <v>3.6</v>
      </c>
      <c r="R470" s="37">
        <f ca="1">_xlfn.IFNA(VLOOKUP($A470,INDIRECT("'W"&amp;R$1&amp;"'!$A$2:$T$1000"),4,FALSE),0)</f>
        <v>0</v>
      </c>
      <c r="S470" s="37">
        <f ca="1">_xlfn.IFNA(VLOOKUP($A470,INDIRECT("'W"&amp;S$1&amp;"'!$A$2:$T$1000"),4,FALSE),0)</f>
        <v>1.8</v>
      </c>
      <c r="T470" s="37">
        <f ca="1">_xlfn.IFNA(VLOOKUP($A470,INDIRECT("'W"&amp;T$1&amp;"'!$A$2:$T$1000"),4,FALSE),0)</f>
        <v>3.8000000000000003</v>
      </c>
      <c r="U470" s="36">
        <f ca="1">COUNTIF(C470:T470,"&gt; 15")</f>
        <v>0</v>
      </c>
      <c r="V470" s="36">
        <f ca="1">SUM(C470:T470)</f>
        <v>13.000000000000002</v>
      </c>
      <c r="W470" s="36"/>
      <c r="X470" s="38"/>
    </row>
    <row r="471" spans="1:24" ht="12.75" x14ac:dyDescent="0.2">
      <c r="A471" s="36" t="s">
        <v>494</v>
      </c>
      <c r="B471" s="36" t="s">
        <v>69</v>
      </c>
      <c r="C471" s="37">
        <f ca="1">_xlfn.IFNA(VLOOKUP($A471,INDIRECT("'W"&amp;C$1&amp;"'!$A$2:$T$1000"),4,FALSE),0)</f>
        <v>0</v>
      </c>
      <c r="D471" s="37">
        <f ca="1">_xlfn.IFNA(VLOOKUP($A471,INDIRECT("'W"&amp;D$1&amp;"'!$A$2:$T$1000"),4,FALSE),0)</f>
        <v>0</v>
      </c>
      <c r="E471" s="37">
        <f ca="1">_xlfn.IFNA(VLOOKUP($A471,INDIRECT("'W"&amp;E$1&amp;"'!$A$2:$T$1000"),4,FALSE),0)</f>
        <v>0</v>
      </c>
      <c r="F471" s="37">
        <f ca="1">_xlfn.IFNA(VLOOKUP($A471,INDIRECT("'W"&amp;F$1&amp;"'!$A$2:$T$1000"),4,FALSE),0)</f>
        <v>1.8</v>
      </c>
      <c r="G471" s="37">
        <f ca="1">_xlfn.IFNA(VLOOKUP($A471,INDIRECT("'W"&amp;G$1&amp;"'!$A$2:$T$1000"),4,FALSE),0)</f>
        <v>0</v>
      </c>
      <c r="H471" s="37">
        <f ca="1">_xlfn.IFNA(VLOOKUP($A471,INDIRECT("'W"&amp;H$1&amp;"'!$A$2:$T$1000"),4,FALSE),0)</f>
        <v>0</v>
      </c>
      <c r="I471" s="37">
        <f ca="1">_xlfn.IFNA(VLOOKUP($A471,INDIRECT("'W"&amp;I$1&amp;"'!$A$2:$T$1000"),4,FALSE),0)</f>
        <v>2.6</v>
      </c>
      <c r="J471" s="37">
        <f ca="1">_xlfn.IFNA(VLOOKUP($A471,INDIRECT("'W"&amp;J$1&amp;"'!$A$2:$T$1000"),4,FALSE),0)</f>
        <v>0</v>
      </c>
      <c r="K471" s="37">
        <f ca="1">_xlfn.IFNA(VLOOKUP($A471,INDIRECT("'W"&amp;K$1&amp;"'!$A$2:$T$1000"),4,FALSE),0)</f>
        <v>0</v>
      </c>
      <c r="L471" s="37">
        <f ca="1">_xlfn.IFNA(VLOOKUP($A471,INDIRECT("'W"&amp;L$1&amp;"'!$A$2:$T$1000"),4,FALSE),0)</f>
        <v>0</v>
      </c>
      <c r="M471" s="37">
        <f ca="1">_xlfn.IFNA(VLOOKUP($A471,INDIRECT("'W"&amp;M$1&amp;"'!$A$2:$T$1000"),4,FALSE),0)</f>
        <v>0</v>
      </c>
      <c r="N471" s="37">
        <f ca="1">_xlfn.IFNA(VLOOKUP($A471,INDIRECT("'W"&amp;N$1&amp;"'!$A$2:$T$1000"),4,FALSE),0)</f>
        <v>0</v>
      </c>
      <c r="O471" s="37">
        <f ca="1">_xlfn.IFNA(VLOOKUP($A471,INDIRECT("'W"&amp;O$1&amp;"'!$A$2:$T$1000"),4,FALSE),0)</f>
        <v>0</v>
      </c>
      <c r="P471" s="37">
        <f ca="1">_xlfn.IFNA(VLOOKUP($A471,INDIRECT("'W"&amp;P$1&amp;"'!$A$2:$T$1000"),4,FALSE),0)</f>
        <v>1.4</v>
      </c>
      <c r="Q471" s="37">
        <f ca="1">_xlfn.IFNA(VLOOKUP($A471,INDIRECT("'W"&amp;Q$1&amp;"'!$A$2:$T$1000"),4,FALSE),0)</f>
        <v>0</v>
      </c>
      <c r="R471" s="37">
        <f ca="1">_xlfn.IFNA(VLOOKUP($A471,INDIRECT("'W"&amp;R$1&amp;"'!$A$2:$T$1000"),4,FALSE),0)</f>
        <v>7.1</v>
      </c>
      <c r="S471" s="37">
        <f ca="1">_xlfn.IFNA(VLOOKUP($A471,INDIRECT("'W"&amp;S$1&amp;"'!$A$2:$T$1000"),4,FALSE),0)</f>
        <v>0</v>
      </c>
      <c r="T471" s="37">
        <f ca="1">_xlfn.IFNA(VLOOKUP($A471,INDIRECT("'W"&amp;T$1&amp;"'!$A$2:$T$1000"),4,FALSE),0)</f>
        <v>0</v>
      </c>
      <c r="U471" s="36">
        <f ca="1">COUNTIF(C471:T471,"&gt; 15")</f>
        <v>0</v>
      </c>
      <c r="V471" s="36">
        <f ca="1">SUM(C471:T471)</f>
        <v>12.9</v>
      </c>
      <c r="W471" s="36"/>
      <c r="X471" s="38"/>
    </row>
    <row r="472" spans="1:24" ht="12.75" x14ac:dyDescent="0.2">
      <c r="A472" s="36" t="s">
        <v>307</v>
      </c>
      <c r="B472" s="36" t="s">
        <v>69</v>
      </c>
      <c r="C472" s="37">
        <f ca="1">_xlfn.IFNA(VLOOKUP($A472,INDIRECT("'W"&amp;C$1&amp;"'!$A$2:$T$1000"),4,FALSE),0)</f>
        <v>3.1</v>
      </c>
      <c r="D472" s="37">
        <f ca="1">_xlfn.IFNA(VLOOKUP($A472,INDIRECT("'W"&amp;D$1&amp;"'!$A$2:$T$1000"),4,FALSE),0)</f>
        <v>0</v>
      </c>
      <c r="E472" s="37">
        <f ca="1">_xlfn.IFNA(VLOOKUP($A472,INDIRECT("'W"&amp;E$1&amp;"'!$A$2:$T$1000"),4,FALSE),0)</f>
        <v>0</v>
      </c>
      <c r="F472" s="37">
        <f ca="1">_xlfn.IFNA(VLOOKUP($A472,INDIRECT("'W"&amp;F$1&amp;"'!$A$2:$T$1000"),4,FALSE),0)</f>
        <v>1.5</v>
      </c>
      <c r="G472" s="37">
        <f ca="1">_xlfn.IFNA(VLOOKUP($A472,INDIRECT("'W"&amp;G$1&amp;"'!$A$2:$T$1000"),4,FALSE),0)</f>
        <v>0</v>
      </c>
      <c r="H472" s="37">
        <f ca="1">_xlfn.IFNA(VLOOKUP($A472,INDIRECT("'W"&amp;H$1&amp;"'!$A$2:$T$1000"),4,FALSE),0)</f>
        <v>0</v>
      </c>
      <c r="I472" s="37">
        <f ca="1">_xlfn.IFNA(VLOOKUP($A472,INDIRECT("'W"&amp;I$1&amp;"'!$A$2:$T$1000"),4,FALSE),0)</f>
        <v>1.5</v>
      </c>
      <c r="J472" s="37">
        <f ca="1">_xlfn.IFNA(VLOOKUP($A472,INDIRECT("'W"&amp;J$1&amp;"'!$A$2:$T$1000"),4,FALSE),0)</f>
        <v>0</v>
      </c>
      <c r="K472" s="37">
        <f ca="1">_xlfn.IFNA(VLOOKUP($A472,INDIRECT("'W"&amp;K$1&amp;"'!$A$2:$T$1000"),4,FALSE),0)</f>
        <v>0</v>
      </c>
      <c r="L472" s="37">
        <f ca="1">_xlfn.IFNA(VLOOKUP($A472,INDIRECT("'W"&amp;L$1&amp;"'!$A$2:$T$1000"),4,FALSE),0)</f>
        <v>0</v>
      </c>
      <c r="M472" s="37">
        <f ca="1">_xlfn.IFNA(VLOOKUP($A472,INDIRECT("'W"&amp;M$1&amp;"'!$A$2:$T$1000"),4,FALSE),0)</f>
        <v>0</v>
      </c>
      <c r="N472" s="37">
        <f ca="1">_xlfn.IFNA(VLOOKUP($A472,INDIRECT("'W"&amp;N$1&amp;"'!$A$2:$T$1000"),4,FALSE),0)</f>
        <v>0</v>
      </c>
      <c r="O472" s="37">
        <f ca="1">_xlfn.IFNA(VLOOKUP($A472,INDIRECT("'W"&amp;O$1&amp;"'!$A$2:$T$1000"),4,FALSE),0)</f>
        <v>0</v>
      </c>
      <c r="P472" s="37">
        <f ca="1">_xlfn.IFNA(VLOOKUP($A472,INDIRECT("'W"&amp;P$1&amp;"'!$A$2:$T$1000"),4,FALSE),0)</f>
        <v>0</v>
      </c>
      <c r="Q472" s="37">
        <f ca="1">_xlfn.IFNA(VLOOKUP($A472,INDIRECT("'W"&amp;Q$1&amp;"'!$A$2:$T$1000"),4,FALSE),0)</f>
        <v>0</v>
      </c>
      <c r="R472" s="37">
        <f ca="1">_xlfn.IFNA(VLOOKUP($A472,INDIRECT("'W"&amp;R$1&amp;"'!$A$2:$T$1000"),4,FALSE),0)</f>
        <v>0</v>
      </c>
      <c r="S472" s="37">
        <f ca="1">_xlfn.IFNA(VLOOKUP($A472,INDIRECT("'W"&amp;S$1&amp;"'!$A$2:$T$1000"),4,FALSE),0)</f>
        <v>0</v>
      </c>
      <c r="T472" s="37">
        <f ca="1">_xlfn.IFNA(VLOOKUP($A472,INDIRECT("'W"&amp;T$1&amp;"'!$A$2:$T$1000"),4,FALSE),0)</f>
        <v>6.7</v>
      </c>
      <c r="U472" s="36">
        <f ca="1">COUNTIF(C472:T472,"&gt; 15")</f>
        <v>0</v>
      </c>
      <c r="V472" s="36">
        <f ca="1">SUM(C472:T472)</f>
        <v>12.8</v>
      </c>
      <c r="W472" s="36"/>
      <c r="X472" s="38"/>
    </row>
    <row r="473" spans="1:24" ht="12.75" x14ac:dyDescent="0.2">
      <c r="A473" s="36" t="s">
        <v>433</v>
      </c>
      <c r="B473" s="36" t="s">
        <v>75</v>
      </c>
      <c r="C473" s="37">
        <f ca="1">_xlfn.IFNA(VLOOKUP($A473,INDIRECT("'W"&amp;C$1&amp;"'!$A$2:$T$1000"),4,FALSE),0)</f>
        <v>0</v>
      </c>
      <c r="D473" s="37">
        <f ca="1">_xlfn.IFNA(VLOOKUP($A473,INDIRECT("'W"&amp;D$1&amp;"'!$A$2:$T$1000"),4,FALSE),0)</f>
        <v>0</v>
      </c>
      <c r="E473" s="37">
        <f ca="1">_xlfn.IFNA(VLOOKUP($A473,INDIRECT("'W"&amp;E$1&amp;"'!$A$2:$T$1000"),4,FALSE),0)</f>
        <v>3.1</v>
      </c>
      <c r="F473" s="37">
        <f ca="1">_xlfn.IFNA(VLOOKUP($A473,INDIRECT("'W"&amp;F$1&amp;"'!$A$2:$T$1000"),4,FALSE),0)</f>
        <v>6.4</v>
      </c>
      <c r="G473" s="37">
        <f ca="1">_xlfn.IFNA(VLOOKUP($A473,INDIRECT("'W"&amp;G$1&amp;"'!$A$2:$T$1000"),4,FALSE),0)</f>
        <v>0</v>
      </c>
      <c r="H473" s="37">
        <f ca="1">_xlfn.IFNA(VLOOKUP($A473,INDIRECT("'W"&amp;H$1&amp;"'!$A$2:$T$1000"),4,FALSE),0)</f>
        <v>0</v>
      </c>
      <c r="I473" s="37">
        <f ca="1">_xlfn.IFNA(VLOOKUP($A473,INDIRECT("'W"&amp;I$1&amp;"'!$A$2:$T$1000"),4,FALSE),0)</f>
        <v>0</v>
      </c>
      <c r="J473" s="37">
        <f ca="1">_xlfn.IFNA(VLOOKUP($A473,INDIRECT("'W"&amp;J$1&amp;"'!$A$2:$T$1000"),4,FALSE),0)</f>
        <v>0.8</v>
      </c>
      <c r="K473" s="37">
        <f ca="1">_xlfn.IFNA(VLOOKUP($A473,INDIRECT("'W"&amp;K$1&amp;"'!$A$2:$T$1000"),4,FALSE),0)</f>
        <v>0</v>
      </c>
      <c r="L473" s="37">
        <f ca="1">_xlfn.IFNA(VLOOKUP($A473,INDIRECT("'W"&amp;L$1&amp;"'!$A$2:$T$1000"),4,FALSE),0)</f>
        <v>0</v>
      </c>
      <c r="M473" s="37">
        <f ca="1">_xlfn.IFNA(VLOOKUP($A473,INDIRECT("'W"&amp;M$1&amp;"'!$A$2:$T$1000"),4,FALSE),0)</f>
        <v>0</v>
      </c>
      <c r="N473" s="37">
        <f ca="1">_xlfn.IFNA(VLOOKUP($A473,INDIRECT("'W"&amp;N$1&amp;"'!$A$2:$T$1000"),4,FALSE),0)</f>
        <v>0</v>
      </c>
      <c r="O473" s="37">
        <f ca="1">_xlfn.IFNA(VLOOKUP($A473,INDIRECT("'W"&amp;O$1&amp;"'!$A$2:$T$1000"),4,FALSE),0)</f>
        <v>0</v>
      </c>
      <c r="P473" s="37">
        <f ca="1">_xlfn.IFNA(VLOOKUP($A473,INDIRECT("'W"&amp;P$1&amp;"'!$A$2:$T$1000"),4,FALSE),0)</f>
        <v>0</v>
      </c>
      <c r="Q473" s="37">
        <f ca="1">_xlfn.IFNA(VLOOKUP($A473,INDIRECT("'W"&amp;Q$1&amp;"'!$A$2:$T$1000"),4,FALSE),0)</f>
        <v>0.30000000000000004</v>
      </c>
      <c r="R473" s="37">
        <f ca="1">_xlfn.IFNA(VLOOKUP($A473,INDIRECT("'W"&amp;R$1&amp;"'!$A$2:$T$1000"),4,FALSE),0)</f>
        <v>2.1</v>
      </c>
      <c r="S473" s="37">
        <f ca="1">_xlfn.IFNA(VLOOKUP($A473,INDIRECT("'W"&amp;S$1&amp;"'!$A$2:$T$1000"),4,FALSE),0)</f>
        <v>0</v>
      </c>
      <c r="T473" s="37">
        <f ca="1">_xlfn.IFNA(VLOOKUP($A473,INDIRECT("'W"&amp;T$1&amp;"'!$A$2:$T$1000"),4,FALSE),0)</f>
        <v>0</v>
      </c>
      <c r="U473" s="36">
        <f ca="1">COUNTIF(C473:T473,"&gt; 15")</f>
        <v>0</v>
      </c>
      <c r="V473" s="36">
        <f ca="1">SUM(C473:T473)</f>
        <v>12.700000000000001</v>
      </c>
      <c r="W473" s="36"/>
      <c r="X473" s="38"/>
    </row>
    <row r="474" spans="1:24" ht="12.75" x14ac:dyDescent="0.2">
      <c r="A474" s="36" t="s">
        <v>648</v>
      </c>
      <c r="B474" s="36" t="s">
        <v>162</v>
      </c>
      <c r="C474" s="37">
        <f ca="1">_xlfn.IFNA(VLOOKUP($A474,INDIRECT("'W"&amp;C$1&amp;"'!$A$2:$T$1000"),4,FALSE),0)</f>
        <v>0</v>
      </c>
      <c r="D474" s="37">
        <f ca="1">_xlfn.IFNA(VLOOKUP($A474,INDIRECT("'W"&amp;D$1&amp;"'!$A$2:$T$1000"),4,FALSE),0)</f>
        <v>0</v>
      </c>
      <c r="E474" s="37">
        <f ca="1">_xlfn.IFNA(VLOOKUP($A474,INDIRECT("'W"&amp;E$1&amp;"'!$A$2:$T$1000"),4,FALSE),0)</f>
        <v>0</v>
      </c>
      <c r="F474" s="37">
        <f ca="1">_xlfn.IFNA(VLOOKUP($A474,INDIRECT("'W"&amp;F$1&amp;"'!$A$2:$T$1000"),4,FALSE),0)</f>
        <v>0</v>
      </c>
      <c r="G474" s="37">
        <f ca="1">_xlfn.IFNA(VLOOKUP($A474,INDIRECT("'W"&amp;G$1&amp;"'!$A$2:$T$1000"),4,FALSE),0)</f>
        <v>0</v>
      </c>
      <c r="H474" s="37">
        <f ca="1">_xlfn.IFNA(VLOOKUP($A474,INDIRECT("'W"&amp;H$1&amp;"'!$A$2:$T$1000"),4,FALSE),0)</f>
        <v>0</v>
      </c>
      <c r="I474" s="37">
        <f ca="1">_xlfn.IFNA(VLOOKUP($A474,INDIRECT("'W"&amp;I$1&amp;"'!$A$2:$T$1000"),4,FALSE),0)</f>
        <v>0</v>
      </c>
      <c r="J474" s="37">
        <f ca="1">_xlfn.IFNA(VLOOKUP($A474,INDIRECT("'W"&amp;J$1&amp;"'!$A$2:$T$1000"),4,FALSE),0)</f>
        <v>0</v>
      </c>
      <c r="K474" s="37">
        <f ca="1">_xlfn.IFNA(VLOOKUP($A474,INDIRECT("'W"&amp;K$1&amp;"'!$A$2:$T$1000"),4,FALSE),0)</f>
        <v>0</v>
      </c>
      <c r="L474" s="37">
        <f ca="1">_xlfn.IFNA(VLOOKUP($A474,INDIRECT("'W"&amp;L$1&amp;"'!$A$2:$T$1000"),4,FALSE),0)</f>
        <v>7.9</v>
      </c>
      <c r="M474" s="37">
        <f ca="1">_xlfn.IFNA(VLOOKUP($A474,INDIRECT("'W"&amp;M$1&amp;"'!$A$2:$T$1000"),4,FALSE),0)</f>
        <v>0</v>
      </c>
      <c r="N474" s="37">
        <f ca="1">_xlfn.IFNA(VLOOKUP($A474,INDIRECT("'W"&amp;N$1&amp;"'!$A$2:$T$1000"),4,FALSE),0)</f>
        <v>3.4000000000000004</v>
      </c>
      <c r="O474" s="37">
        <f ca="1">_xlfn.IFNA(VLOOKUP($A474,INDIRECT("'W"&amp;O$1&amp;"'!$A$2:$T$1000"),4,FALSE),0)</f>
        <v>0</v>
      </c>
      <c r="P474" s="37">
        <f ca="1">_xlfn.IFNA(VLOOKUP($A474,INDIRECT("'W"&amp;P$1&amp;"'!$A$2:$T$1000"),4,FALSE),0)</f>
        <v>0</v>
      </c>
      <c r="Q474" s="37">
        <f ca="1">_xlfn.IFNA(VLOOKUP($A474,INDIRECT("'W"&amp;Q$1&amp;"'!$A$2:$T$1000"),4,FALSE),0)</f>
        <v>0</v>
      </c>
      <c r="R474" s="37">
        <f ca="1">_xlfn.IFNA(VLOOKUP($A474,INDIRECT("'W"&amp;R$1&amp;"'!$A$2:$T$1000"),4,FALSE),0)</f>
        <v>0</v>
      </c>
      <c r="S474" s="37">
        <f ca="1">_xlfn.IFNA(VLOOKUP($A474,INDIRECT("'W"&amp;S$1&amp;"'!$A$2:$T$1000"),4,FALSE),0)</f>
        <v>0</v>
      </c>
      <c r="T474" s="37">
        <f ca="1">_xlfn.IFNA(VLOOKUP($A474,INDIRECT("'W"&amp;T$1&amp;"'!$A$2:$T$1000"),4,FALSE),0)</f>
        <v>1.1000000000000001</v>
      </c>
      <c r="U474" s="36">
        <f ca="1">COUNTIF(C474:T474,"&gt; 15")</f>
        <v>0</v>
      </c>
      <c r="V474" s="36">
        <f ca="1">SUM(C474:T474)</f>
        <v>12.4</v>
      </c>
      <c r="W474" s="36"/>
      <c r="X474" s="38"/>
    </row>
    <row r="475" spans="1:24" ht="12.75" x14ac:dyDescent="0.2">
      <c r="A475" s="36" t="s">
        <v>524</v>
      </c>
      <c r="B475" s="36" t="s">
        <v>69</v>
      </c>
      <c r="C475" s="37">
        <f ca="1">_xlfn.IFNA(VLOOKUP($A475,INDIRECT("'W"&amp;C$1&amp;"'!$A$2:$T$1000"),4,FALSE),0)</f>
        <v>0</v>
      </c>
      <c r="D475" s="37">
        <f ca="1">_xlfn.IFNA(VLOOKUP($A475,INDIRECT("'W"&amp;D$1&amp;"'!$A$2:$T$1000"),4,FALSE),0)</f>
        <v>0</v>
      </c>
      <c r="E475" s="37">
        <f ca="1">_xlfn.IFNA(VLOOKUP($A475,INDIRECT("'W"&amp;E$1&amp;"'!$A$2:$T$1000"),4,FALSE),0)</f>
        <v>0</v>
      </c>
      <c r="F475" s="37">
        <f ca="1">_xlfn.IFNA(VLOOKUP($A475,INDIRECT("'W"&amp;F$1&amp;"'!$A$2:$T$1000"),4,FALSE),0)</f>
        <v>0</v>
      </c>
      <c r="G475" s="37">
        <f ca="1">_xlfn.IFNA(VLOOKUP($A475,INDIRECT("'W"&amp;G$1&amp;"'!$A$2:$T$1000"),4,FALSE),0)</f>
        <v>2.2000000000000002</v>
      </c>
      <c r="H475" s="37">
        <f ca="1">_xlfn.IFNA(VLOOKUP($A475,INDIRECT("'W"&amp;H$1&amp;"'!$A$2:$T$1000"),4,FALSE),0)</f>
        <v>0</v>
      </c>
      <c r="I475" s="37">
        <f ca="1">_xlfn.IFNA(VLOOKUP($A475,INDIRECT("'W"&amp;I$1&amp;"'!$A$2:$T$1000"),4,FALSE),0)</f>
        <v>1.2</v>
      </c>
      <c r="J475" s="37">
        <f ca="1">_xlfn.IFNA(VLOOKUP($A475,INDIRECT("'W"&amp;J$1&amp;"'!$A$2:$T$1000"),4,FALSE),0)</f>
        <v>0</v>
      </c>
      <c r="K475" s="37">
        <f ca="1">_xlfn.IFNA(VLOOKUP($A475,INDIRECT("'W"&amp;K$1&amp;"'!$A$2:$T$1000"),4,FALSE),0)</f>
        <v>0</v>
      </c>
      <c r="L475" s="37">
        <f ca="1">_xlfn.IFNA(VLOOKUP($A475,INDIRECT("'W"&amp;L$1&amp;"'!$A$2:$T$1000"),4,FALSE),0)</f>
        <v>0</v>
      </c>
      <c r="M475" s="37">
        <f ca="1">_xlfn.IFNA(VLOOKUP($A475,INDIRECT("'W"&amp;M$1&amp;"'!$A$2:$T$1000"),4,FALSE),0)</f>
        <v>0</v>
      </c>
      <c r="N475" s="37">
        <f ca="1">_xlfn.IFNA(VLOOKUP($A475,INDIRECT("'W"&amp;N$1&amp;"'!$A$2:$T$1000"),4,FALSE),0)</f>
        <v>0</v>
      </c>
      <c r="O475" s="37">
        <f ca="1">_xlfn.IFNA(VLOOKUP($A475,INDIRECT("'W"&amp;O$1&amp;"'!$A$2:$T$1000"),4,FALSE),0)</f>
        <v>7.1</v>
      </c>
      <c r="P475" s="37">
        <f ca="1">_xlfn.IFNA(VLOOKUP($A475,INDIRECT("'W"&amp;P$1&amp;"'!$A$2:$T$1000"),4,FALSE),0)</f>
        <v>0</v>
      </c>
      <c r="Q475" s="37">
        <f ca="1">_xlfn.IFNA(VLOOKUP($A475,INDIRECT("'W"&amp;Q$1&amp;"'!$A$2:$T$1000"),4,FALSE),0)</f>
        <v>0</v>
      </c>
      <c r="R475" s="37">
        <f ca="1">_xlfn.IFNA(VLOOKUP($A475,INDIRECT("'W"&amp;R$1&amp;"'!$A$2:$T$1000"),4,FALSE),0)</f>
        <v>0</v>
      </c>
      <c r="S475" s="37">
        <f ca="1">_xlfn.IFNA(VLOOKUP($A475,INDIRECT("'W"&amp;S$1&amp;"'!$A$2:$T$1000"),4,FALSE),0)</f>
        <v>1.6</v>
      </c>
      <c r="T475" s="37">
        <f ca="1">_xlfn.IFNA(VLOOKUP($A475,INDIRECT("'W"&amp;T$1&amp;"'!$A$2:$T$1000"),4,FALSE),0)</f>
        <v>0</v>
      </c>
      <c r="U475" s="36">
        <f ca="1">COUNTIF(C475:T475,"&gt; 15")</f>
        <v>0</v>
      </c>
      <c r="V475" s="36">
        <f ca="1">SUM(C475:T475)</f>
        <v>12.1</v>
      </c>
      <c r="W475" s="36"/>
      <c r="X475" s="38"/>
    </row>
    <row r="476" spans="1:24" ht="12.75" x14ac:dyDescent="0.2">
      <c r="A476" s="36" t="s">
        <v>431</v>
      </c>
      <c r="B476" s="36" t="s">
        <v>17</v>
      </c>
      <c r="C476" s="37">
        <f ca="1">_xlfn.IFNA(VLOOKUP($A476,INDIRECT("'W"&amp;C$1&amp;"'!$A$2:$T$1000"),4,FALSE),0)</f>
        <v>0</v>
      </c>
      <c r="D476" s="37">
        <f ca="1">_xlfn.IFNA(VLOOKUP($A476,INDIRECT("'W"&amp;D$1&amp;"'!$A$2:$T$1000"),4,FALSE),0)</f>
        <v>0</v>
      </c>
      <c r="E476" s="37">
        <f ca="1">_xlfn.IFNA(VLOOKUP($A476,INDIRECT("'W"&amp;E$1&amp;"'!$A$2:$T$1000"),4,FALSE),0)</f>
        <v>4.04</v>
      </c>
      <c r="F476" s="37">
        <f ca="1">_xlfn.IFNA(VLOOKUP($A476,INDIRECT("'W"&amp;F$1&amp;"'!$A$2:$T$1000"),4,FALSE),0)</f>
        <v>-2</v>
      </c>
      <c r="G476" s="37">
        <f ca="1">_xlfn.IFNA(VLOOKUP($A476,INDIRECT("'W"&amp;G$1&amp;"'!$A$2:$T$1000"),4,FALSE),0)</f>
        <v>-0.4</v>
      </c>
      <c r="H476" s="37">
        <f ca="1">_xlfn.IFNA(VLOOKUP($A476,INDIRECT("'W"&amp;H$1&amp;"'!$A$2:$T$1000"),4,FALSE),0)</f>
        <v>0</v>
      </c>
      <c r="I476" s="37">
        <f ca="1">_xlfn.IFNA(VLOOKUP($A476,INDIRECT("'W"&amp;I$1&amp;"'!$A$2:$T$1000"),4,FALSE),0)</f>
        <v>0</v>
      </c>
      <c r="J476" s="37">
        <f ca="1">_xlfn.IFNA(VLOOKUP($A476,INDIRECT("'W"&amp;J$1&amp;"'!$A$2:$T$1000"),4,FALSE),0)</f>
        <v>0</v>
      </c>
      <c r="K476" s="37">
        <f ca="1">_xlfn.IFNA(VLOOKUP($A476,INDIRECT("'W"&amp;K$1&amp;"'!$A$2:$T$1000"),4,FALSE),0)</f>
        <v>0</v>
      </c>
      <c r="L476" s="37">
        <f ca="1">_xlfn.IFNA(VLOOKUP($A476,INDIRECT("'W"&amp;L$1&amp;"'!$A$2:$T$1000"),4,FALSE),0)</f>
        <v>8.879999999999999</v>
      </c>
      <c r="M476" s="37">
        <f ca="1">_xlfn.IFNA(VLOOKUP($A476,INDIRECT("'W"&amp;M$1&amp;"'!$A$2:$T$1000"),4,FALSE),0)</f>
        <v>0</v>
      </c>
      <c r="N476" s="37">
        <f ca="1">_xlfn.IFNA(VLOOKUP($A476,INDIRECT("'W"&amp;N$1&amp;"'!$A$2:$T$1000"),4,FALSE),0)</f>
        <v>0</v>
      </c>
      <c r="O476" s="37">
        <f ca="1">_xlfn.IFNA(VLOOKUP($A476,INDIRECT("'W"&amp;O$1&amp;"'!$A$2:$T$1000"),4,FALSE),0)</f>
        <v>1.6400000000000001</v>
      </c>
      <c r="P476" s="37">
        <f ca="1">_xlfn.IFNA(VLOOKUP($A476,INDIRECT("'W"&amp;P$1&amp;"'!$A$2:$T$1000"),4,FALSE),0)</f>
        <v>-0.2</v>
      </c>
      <c r="Q476" s="37">
        <f ca="1">_xlfn.IFNA(VLOOKUP($A476,INDIRECT("'W"&amp;Q$1&amp;"'!$A$2:$T$1000"),4,FALSE),0)</f>
        <v>0</v>
      </c>
      <c r="R476" s="37">
        <f ca="1">_xlfn.IFNA(VLOOKUP($A476,INDIRECT("'W"&amp;R$1&amp;"'!$A$2:$T$1000"),4,FALSE),0)</f>
        <v>0</v>
      </c>
      <c r="S476" s="37">
        <f ca="1">_xlfn.IFNA(VLOOKUP($A476,INDIRECT("'W"&amp;S$1&amp;"'!$A$2:$T$1000"),4,FALSE),0)</f>
        <v>0</v>
      </c>
      <c r="T476" s="37">
        <f ca="1">_xlfn.IFNA(VLOOKUP($A476,INDIRECT("'W"&amp;T$1&amp;"'!$A$2:$T$1000"),4,FALSE),0)</f>
        <v>0</v>
      </c>
      <c r="U476" s="36">
        <f ca="1">COUNTIF(C476:T476,"&gt; 15")</f>
        <v>0</v>
      </c>
      <c r="V476" s="36">
        <f ca="1">SUM(C476:T476)</f>
        <v>11.96</v>
      </c>
      <c r="W476" s="36"/>
      <c r="X476" s="38"/>
    </row>
    <row r="477" spans="1:24" ht="12.75" x14ac:dyDescent="0.2">
      <c r="A477" s="36" t="s">
        <v>719</v>
      </c>
      <c r="B477" s="36" t="s">
        <v>17</v>
      </c>
      <c r="C477" s="37">
        <f ca="1">_xlfn.IFNA(VLOOKUP($A477,INDIRECT("'W"&amp;C$1&amp;"'!$A$2:$T$1000"),4,FALSE),0)</f>
        <v>0</v>
      </c>
      <c r="D477" s="37">
        <f ca="1">_xlfn.IFNA(VLOOKUP($A477,INDIRECT("'W"&amp;D$1&amp;"'!$A$2:$T$1000"),4,FALSE),0)</f>
        <v>0</v>
      </c>
      <c r="E477" s="37">
        <f ca="1">_xlfn.IFNA(VLOOKUP($A477,INDIRECT("'W"&amp;E$1&amp;"'!$A$2:$T$1000"),4,FALSE),0)</f>
        <v>0</v>
      </c>
      <c r="F477" s="37">
        <f ca="1">_xlfn.IFNA(VLOOKUP($A477,INDIRECT("'W"&amp;F$1&amp;"'!$A$2:$T$1000"),4,FALSE),0)</f>
        <v>0</v>
      </c>
      <c r="G477" s="37">
        <f ca="1">_xlfn.IFNA(VLOOKUP($A477,INDIRECT("'W"&amp;G$1&amp;"'!$A$2:$T$1000"),4,FALSE),0)</f>
        <v>0</v>
      </c>
      <c r="H477" s="37">
        <f ca="1">_xlfn.IFNA(VLOOKUP($A477,INDIRECT("'W"&amp;H$1&amp;"'!$A$2:$T$1000"),4,FALSE),0)</f>
        <v>0</v>
      </c>
      <c r="I477" s="37">
        <f ca="1">_xlfn.IFNA(VLOOKUP($A477,INDIRECT("'W"&amp;I$1&amp;"'!$A$2:$T$1000"),4,FALSE),0)</f>
        <v>0</v>
      </c>
      <c r="J477" s="37">
        <f ca="1">_xlfn.IFNA(VLOOKUP($A477,INDIRECT("'W"&amp;J$1&amp;"'!$A$2:$T$1000"),4,FALSE),0)</f>
        <v>0</v>
      </c>
      <c r="K477" s="37">
        <f ca="1">_xlfn.IFNA(VLOOKUP($A477,INDIRECT("'W"&amp;K$1&amp;"'!$A$2:$T$1000"),4,FALSE),0)</f>
        <v>0</v>
      </c>
      <c r="L477" s="37">
        <f ca="1">_xlfn.IFNA(VLOOKUP($A477,INDIRECT("'W"&amp;L$1&amp;"'!$A$2:$T$1000"),4,FALSE),0)</f>
        <v>0</v>
      </c>
      <c r="M477" s="37">
        <f ca="1">_xlfn.IFNA(VLOOKUP($A477,INDIRECT("'W"&amp;M$1&amp;"'!$A$2:$T$1000"),4,FALSE),0)</f>
        <v>0</v>
      </c>
      <c r="N477" s="37">
        <f ca="1">_xlfn.IFNA(VLOOKUP($A477,INDIRECT("'W"&amp;N$1&amp;"'!$A$2:$T$1000"),4,FALSE),0)</f>
        <v>0</v>
      </c>
      <c r="O477" s="37">
        <f ca="1">_xlfn.IFNA(VLOOKUP($A477,INDIRECT("'W"&amp;O$1&amp;"'!$A$2:$T$1000"),4,FALSE),0)</f>
        <v>1.2400000000000002</v>
      </c>
      <c r="P477" s="37">
        <f ca="1">_xlfn.IFNA(VLOOKUP($A477,INDIRECT("'W"&amp;P$1&amp;"'!$A$2:$T$1000"),4,FALSE),0)</f>
        <v>0</v>
      </c>
      <c r="Q477" s="37">
        <f ca="1">_xlfn.IFNA(VLOOKUP($A477,INDIRECT("'W"&amp;Q$1&amp;"'!$A$2:$T$1000"),4,FALSE),0)</f>
        <v>0</v>
      </c>
      <c r="R477" s="37">
        <f ca="1">_xlfn.IFNA(VLOOKUP($A477,INDIRECT("'W"&amp;R$1&amp;"'!$A$2:$T$1000"),4,FALSE),0)</f>
        <v>0</v>
      </c>
      <c r="S477" s="37">
        <f ca="1">_xlfn.IFNA(VLOOKUP($A477,INDIRECT("'W"&amp;S$1&amp;"'!$A$2:$T$1000"),4,FALSE),0)</f>
        <v>0</v>
      </c>
      <c r="T477" s="37">
        <f ca="1">_xlfn.IFNA(VLOOKUP($A477,INDIRECT("'W"&amp;T$1&amp;"'!$A$2:$T$1000"),4,FALSE),0)</f>
        <v>10.52</v>
      </c>
      <c r="U477" s="36">
        <f ca="1">COUNTIF(C477:T477,"&gt; 15")</f>
        <v>0</v>
      </c>
      <c r="V477" s="36">
        <f ca="1">SUM(C477:T477)</f>
        <v>11.76</v>
      </c>
      <c r="W477" s="36"/>
      <c r="X477" s="38"/>
    </row>
    <row r="478" spans="1:24" ht="12.75" x14ac:dyDescent="0.2">
      <c r="A478" s="36" t="s">
        <v>96</v>
      </c>
      <c r="B478" s="36" t="s">
        <v>75</v>
      </c>
      <c r="C478" s="37">
        <f ca="1">_xlfn.IFNA(VLOOKUP($A478,INDIRECT("'W"&amp;C$1&amp;"'!$A$2:$T$1000"),4,FALSE),0)</f>
        <v>11.7</v>
      </c>
      <c r="D478" s="37">
        <f ca="1">_xlfn.IFNA(VLOOKUP($A478,INDIRECT("'W"&amp;D$1&amp;"'!$A$2:$T$1000"),4,FALSE),0)</f>
        <v>0</v>
      </c>
      <c r="E478" s="37">
        <f ca="1">_xlfn.IFNA(VLOOKUP($A478,INDIRECT("'W"&amp;E$1&amp;"'!$A$2:$T$1000"),4,FALSE),0)</f>
        <v>0</v>
      </c>
      <c r="F478" s="37">
        <f ca="1">_xlfn.IFNA(VLOOKUP($A478,INDIRECT("'W"&amp;F$1&amp;"'!$A$2:$T$1000"),4,FALSE),0)</f>
        <v>0</v>
      </c>
      <c r="G478" s="37">
        <f ca="1">_xlfn.IFNA(VLOOKUP($A478,INDIRECT("'W"&amp;G$1&amp;"'!$A$2:$T$1000"),4,FALSE),0)</f>
        <v>0</v>
      </c>
      <c r="H478" s="37">
        <f ca="1">_xlfn.IFNA(VLOOKUP($A478,INDIRECT("'W"&amp;H$1&amp;"'!$A$2:$T$1000"),4,FALSE),0)</f>
        <v>0</v>
      </c>
      <c r="I478" s="37">
        <f ca="1">_xlfn.IFNA(VLOOKUP($A478,INDIRECT("'W"&amp;I$1&amp;"'!$A$2:$T$1000"),4,FALSE),0)</f>
        <v>0</v>
      </c>
      <c r="J478" s="37">
        <f ca="1">_xlfn.IFNA(VLOOKUP($A478,INDIRECT("'W"&amp;J$1&amp;"'!$A$2:$T$1000"),4,FALSE),0)</f>
        <v>0</v>
      </c>
      <c r="K478" s="37">
        <f ca="1">_xlfn.IFNA(VLOOKUP($A478,INDIRECT("'W"&amp;K$1&amp;"'!$A$2:$T$1000"),4,FALSE),0)</f>
        <v>0</v>
      </c>
      <c r="L478" s="37">
        <f ca="1">_xlfn.IFNA(VLOOKUP($A478,INDIRECT("'W"&amp;L$1&amp;"'!$A$2:$T$1000"),4,FALSE),0)</f>
        <v>0</v>
      </c>
      <c r="M478" s="37">
        <f ca="1">_xlfn.IFNA(VLOOKUP($A478,INDIRECT("'W"&amp;M$1&amp;"'!$A$2:$T$1000"),4,FALSE),0)</f>
        <v>0</v>
      </c>
      <c r="N478" s="37">
        <f ca="1">_xlfn.IFNA(VLOOKUP($A478,INDIRECT("'W"&amp;N$1&amp;"'!$A$2:$T$1000"),4,FALSE),0)</f>
        <v>0</v>
      </c>
      <c r="O478" s="37">
        <f ca="1">_xlfn.IFNA(VLOOKUP($A478,INDIRECT("'W"&amp;O$1&amp;"'!$A$2:$T$1000"),4,FALSE),0)</f>
        <v>0</v>
      </c>
      <c r="P478" s="37">
        <f ca="1">_xlfn.IFNA(VLOOKUP($A478,INDIRECT("'W"&amp;P$1&amp;"'!$A$2:$T$1000"),4,FALSE),0)</f>
        <v>0</v>
      </c>
      <c r="Q478" s="37">
        <f ca="1">_xlfn.IFNA(VLOOKUP($A478,INDIRECT("'W"&amp;Q$1&amp;"'!$A$2:$T$1000"),4,FALSE),0)</f>
        <v>0</v>
      </c>
      <c r="R478" s="37">
        <f ca="1">_xlfn.IFNA(VLOOKUP($A478,INDIRECT("'W"&amp;R$1&amp;"'!$A$2:$T$1000"),4,FALSE),0)</f>
        <v>0</v>
      </c>
      <c r="S478" s="37">
        <f ca="1">_xlfn.IFNA(VLOOKUP($A478,INDIRECT("'W"&amp;S$1&amp;"'!$A$2:$T$1000"),4,FALSE),0)</f>
        <v>0</v>
      </c>
      <c r="T478" s="37">
        <f ca="1">_xlfn.IFNA(VLOOKUP($A478,INDIRECT("'W"&amp;T$1&amp;"'!$A$2:$T$1000"),4,FALSE),0)</f>
        <v>0</v>
      </c>
      <c r="U478" s="36">
        <f ca="1">COUNTIF(C478:T478,"&gt; 15")</f>
        <v>0</v>
      </c>
      <c r="V478" s="36">
        <f ca="1">SUM(C478:T478)</f>
        <v>11.7</v>
      </c>
      <c r="W478" s="36"/>
      <c r="X478" s="38">
        <v>79</v>
      </c>
    </row>
    <row r="479" spans="1:24" ht="12.75" x14ac:dyDescent="0.2">
      <c r="A479" s="36" t="s">
        <v>131</v>
      </c>
      <c r="B479" s="36" t="s">
        <v>75</v>
      </c>
      <c r="C479" s="37">
        <f ca="1">_xlfn.IFNA(VLOOKUP($A479,INDIRECT("'W"&amp;C$1&amp;"'!$A$2:$T$1000"),4,FALSE),0)</f>
        <v>3.1</v>
      </c>
      <c r="D479" s="37">
        <f ca="1">_xlfn.IFNA(VLOOKUP($A479,INDIRECT("'W"&amp;D$1&amp;"'!$A$2:$T$1000"),4,FALSE),0)</f>
        <v>0</v>
      </c>
      <c r="E479" s="37">
        <f ca="1">_xlfn.IFNA(VLOOKUP($A479,INDIRECT("'W"&amp;E$1&amp;"'!$A$2:$T$1000"),4,FALSE),0)</f>
        <v>5.6</v>
      </c>
      <c r="F479" s="37">
        <f ca="1">_xlfn.IFNA(VLOOKUP($A479,INDIRECT("'W"&amp;F$1&amp;"'!$A$2:$T$1000"),4,FALSE),0)</f>
        <v>2.9</v>
      </c>
      <c r="G479" s="37">
        <f ca="1">_xlfn.IFNA(VLOOKUP($A479,INDIRECT("'W"&amp;G$1&amp;"'!$A$2:$T$1000"),4,FALSE),0)</f>
        <v>0</v>
      </c>
      <c r="H479" s="37">
        <f ca="1">_xlfn.IFNA(VLOOKUP($A479,INDIRECT("'W"&amp;H$1&amp;"'!$A$2:$T$1000"),4,FALSE),0)</f>
        <v>0</v>
      </c>
      <c r="I479" s="37">
        <f ca="1">_xlfn.IFNA(VLOOKUP($A479,INDIRECT("'W"&amp;I$1&amp;"'!$A$2:$T$1000"),4,FALSE),0)</f>
        <v>0</v>
      </c>
      <c r="J479" s="37">
        <f ca="1">_xlfn.IFNA(VLOOKUP($A479,INDIRECT("'W"&amp;J$1&amp;"'!$A$2:$T$1000"),4,FALSE),0)</f>
        <v>0</v>
      </c>
      <c r="K479" s="37">
        <f ca="1">_xlfn.IFNA(VLOOKUP($A479,INDIRECT("'W"&amp;K$1&amp;"'!$A$2:$T$1000"),4,FALSE),0)</f>
        <v>0</v>
      </c>
      <c r="L479" s="37">
        <f ca="1">_xlfn.IFNA(VLOOKUP($A479,INDIRECT("'W"&amp;L$1&amp;"'!$A$2:$T$1000"),4,FALSE),0)</f>
        <v>0</v>
      </c>
      <c r="M479" s="37">
        <f ca="1">_xlfn.IFNA(VLOOKUP($A479,INDIRECT("'W"&amp;M$1&amp;"'!$A$2:$T$1000"),4,FALSE),0)</f>
        <v>0</v>
      </c>
      <c r="N479" s="37">
        <f ca="1">_xlfn.IFNA(VLOOKUP($A479,INDIRECT("'W"&amp;N$1&amp;"'!$A$2:$T$1000"),4,FALSE),0)</f>
        <v>0</v>
      </c>
      <c r="O479" s="37">
        <f ca="1">_xlfn.IFNA(VLOOKUP($A479,INDIRECT("'W"&amp;O$1&amp;"'!$A$2:$T$1000"),4,FALSE),0)</f>
        <v>0</v>
      </c>
      <c r="P479" s="37">
        <f ca="1">_xlfn.IFNA(VLOOKUP($A479,INDIRECT("'W"&amp;P$1&amp;"'!$A$2:$T$1000"),4,FALSE),0)</f>
        <v>0</v>
      </c>
      <c r="Q479" s="37">
        <f ca="1">_xlfn.IFNA(VLOOKUP($A479,INDIRECT("'W"&amp;Q$1&amp;"'!$A$2:$T$1000"),4,FALSE),0)</f>
        <v>0</v>
      </c>
      <c r="R479" s="37">
        <f ca="1">_xlfn.IFNA(VLOOKUP($A479,INDIRECT("'W"&amp;R$1&amp;"'!$A$2:$T$1000"),4,FALSE),0)</f>
        <v>0</v>
      </c>
      <c r="S479" s="37">
        <f ca="1">_xlfn.IFNA(VLOOKUP($A479,INDIRECT("'W"&amp;S$1&amp;"'!$A$2:$T$1000"),4,FALSE),0)</f>
        <v>0</v>
      </c>
      <c r="T479" s="37">
        <f ca="1">_xlfn.IFNA(VLOOKUP($A479,INDIRECT("'W"&amp;T$1&amp;"'!$A$2:$T$1000"),4,FALSE),0)</f>
        <v>0</v>
      </c>
      <c r="U479" s="36">
        <f ca="1">COUNTIF(C479:T479,"&gt; 15")</f>
        <v>0</v>
      </c>
      <c r="V479" s="36">
        <f ca="1">SUM(C479:T479)</f>
        <v>11.6</v>
      </c>
      <c r="W479" s="36"/>
      <c r="X479" s="38"/>
    </row>
    <row r="480" spans="1:24" ht="12.75" x14ac:dyDescent="0.2">
      <c r="A480" s="36" t="s">
        <v>275</v>
      </c>
      <c r="B480" s="36" t="s">
        <v>69</v>
      </c>
      <c r="C480" s="37">
        <f ca="1">_xlfn.IFNA(VLOOKUP($A480,INDIRECT("'W"&amp;C$1&amp;"'!$A$2:$T$1000"),4,FALSE),0)</f>
        <v>9.1999999999999993</v>
      </c>
      <c r="D480" s="37">
        <f ca="1">_xlfn.IFNA(VLOOKUP($A480,INDIRECT("'W"&amp;D$1&amp;"'!$A$2:$T$1000"),4,FALSE),0)</f>
        <v>0</v>
      </c>
      <c r="E480" s="37">
        <f ca="1">_xlfn.IFNA(VLOOKUP($A480,INDIRECT("'W"&amp;E$1&amp;"'!$A$2:$T$1000"),4,FALSE),0)</f>
        <v>0</v>
      </c>
      <c r="F480" s="37">
        <f ca="1">_xlfn.IFNA(VLOOKUP($A480,INDIRECT("'W"&amp;F$1&amp;"'!$A$2:$T$1000"),4,FALSE),0)</f>
        <v>0</v>
      </c>
      <c r="G480" s="37">
        <f ca="1">_xlfn.IFNA(VLOOKUP($A480,INDIRECT("'W"&amp;G$1&amp;"'!$A$2:$T$1000"),4,FALSE),0)</f>
        <v>0</v>
      </c>
      <c r="H480" s="37">
        <f ca="1">_xlfn.IFNA(VLOOKUP($A480,INDIRECT("'W"&amp;H$1&amp;"'!$A$2:$T$1000"),4,FALSE),0)</f>
        <v>0</v>
      </c>
      <c r="I480" s="37">
        <f ca="1">_xlfn.IFNA(VLOOKUP($A480,INDIRECT("'W"&amp;I$1&amp;"'!$A$2:$T$1000"),4,FALSE),0)</f>
        <v>-0.29999999999999982</v>
      </c>
      <c r="J480" s="37">
        <f ca="1">_xlfn.IFNA(VLOOKUP($A480,INDIRECT("'W"&amp;J$1&amp;"'!$A$2:$T$1000"),4,FALSE),0)</f>
        <v>0</v>
      </c>
      <c r="K480" s="37">
        <f ca="1">_xlfn.IFNA(VLOOKUP($A480,INDIRECT("'W"&amp;K$1&amp;"'!$A$2:$T$1000"),4,FALSE),0)</f>
        <v>0</v>
      </c>
      <c r="L480" s="37">
        <f ca="1">_xlfn.IFNA(VLOOKUP($A480,INDIRECT("'W"&amp;L$1&amp;"'!$A$2:$T$1000"),4,FALSE),0)</f>
        <v>0</v>
      </c>
      <c r="M480" s="37">
        <f ca="1">_xlfn.IFNA(VLOOKUP($A480,INDIRECT("'W"&amp;M$1&amp;"'!$A$2:$T$1000"),4,FALSE),0)</f>
        <v>0</v>
      </c>
      <c r="N480" s="37">
        <f ca="1">_xlfn.IFNA(VLOOKUP($A480,INDIRECT("'W"&amp;N$1&amp;"'!$A$2:$T$1000"),4,FALSE),0)</f>
        <v>0</v>
      </c>
      <c r="O480" s="37">
        <f ca="1">_xlfn.IFNA(VLOOKUP($A480,INDIRECT("'W"&amp;O$1&amp;"'!$A$2:$T$1000"),4,FALSE),0)</f>
        <v>0</v>
      </c>
      <c r="P480" s="37">
        <f ca="1">_xlfn.IFNA(VLOOKUP($A480,INDIRECT("'W"&amp;P$1&amp;"'!$A$2:$T$1000"),4,FALSE),0)</f>
        <v>0</v>
      </c>
      <c r="Q480" s="37">
        <f ca="1">_xlfn.IFNA(VLOOKUP($A480,INDIRECT("'W"&amp;Q$1&amp;"'!$A$2:$T$1000"),4,FALSE),0)</f>
        <v>0</v>
      </c>
      <c r="R480" s="37">
        <f ca="1">_xlfn.IFNA(VLOOKUP($A480,INDIRECT("'W"&amp;R$1&amp;"'!$A$2:$T$1000"),4,FALSE),0)</f>
        <v>1.4</v>
      </c>
      <c r="S480" s="37">
        <f ca="1">_xlfn.IFNA(VLOOKUP($A480,INDIRECT("'W"&amp;S$1&amp;"'!$A$2:$T$1000"),4,FALSE),0)</f>
        <v>0</v>
      </c>
      <c r="T480" s="37">
        <f ca="1">_xlfn.IFNA(VLOOKUP($A480,INDIRECT("'W"&amp;T$1&amp;"'!$A$2:$T$1000"),4,FALSE),0)</f>
        <v>1.3</v>
      </c>
      <c r="U480" s="36">
        <f ca="1">COUNTIF(C480:T480,"&gt; 15")</f>
        <v>0</v>
      </c>
      <c r="V480" s="36">
        <f ca="1">SUM(C480:T480)</f>
        <v>11.6</v>
      </c>
      <c r="W480" s="36"/>
      <c r="X480" s="38"/>
    </row>
    <row r="481" spans="1:24" ht="12.75" x14ac:dyDescent="0.2">
      <c r="A481" s="36" t="s">
        <v>426</v>
      </c>
      <c r="B481" s="36" t="s">
        <v>75</v>
      </c>
      <c r="C481" s="37">
        <f ca="1">_xlfn.IFNA(VLOOKUP($A481,INDIRECT("'W"&amp;C$1&amp;"'!$A$2:$T$1000"),4,FALSE),0)</f>
        <v>0</v>
      </c>
      <c r="D481" s="37">
        <f ca="1">_xlfn.IFNA(VLOOKUP($A481,INDIRECT("'W"&amp;D$1&amp;"'!$A$2:$T$1000"),4,FALSE),0)</f>
        <v>0</v>
      </c>
      <c r="E481" s="37">
        <f ca="1">_xlfn.IFNA(VLOOKUP($A481,INDIRECT("'W"&amp;E$1&amp;"'!$A$2:$T$1000"),4,FALSE),0)</f>
        <v>6.1</v>
      </c>
      <c r="F481" s="37">
        <f ca="1">_xlfn.IFNA(VLOOKUP($A481,INDIRECT("'W"&amp;F$1&amp;"'!$A$2:$T$1000"),4,FALSE),0)</f>
        <v>0</v>
      </c>
      <c r="G481" s="37">
        <f ca="1">_xlfn.IFNA(VLOOKUP($A481,INDIRECT("'W"&amp;G$1&amp;"'!$A$2:$T$1000"),4,FALSE),0)</f>
        <v>0</v>
      </c>
      <c r="H481" s="37">
        <f ca="1">_xlfn.IFNA(VLOOKUP($A481,INDIRECT("'W"&amp;H$1&amp;"'!$A$2:$T$1000"),4,FALSE),0)</f>
        <v>0</v>
      </c>
      <c r="I481" s="37">
        <f ca="1">_xlfn.IFNA(VLOOKUP($A481,INDIRECT("'W"&amp;I$1&amp;"'!$A$2:$T$1000"),4,FALSE),0)</f>
        <v>0</v>
      </c>
      <c r="J481" s="37">
        <f ca="1">_xlfn.IFNA(VLOOKUP($A481,INDIRECT("'W"&amp;J$1&amp;"'!$A$2:$T$1000"),4,FALSE),0)</f>
        <v>0</v>
      </c>
      <c r="K481" s="37">
        <f ca="1">_xlfn.IFNA(VLOOKUP($A481,INDIRECT("'W"&amp;K$1&amp;"'!$A$2:$T$1000"),4,FALSE),0)</f>
        <v>1.7000000000000002</v>
      </c>
      <c r="L481" s="37">
        <f ca="1">_xlfn.IFNA(VLOOKUP($A481,INDIRECT("'W"&amp;L$1&amp;"'!$A$2:$T$1000"),4,FALSE),0)</f>
        <v>0</v>
      </c>
      <c r="M481" s="37">
        <f ca="1">_xlfn.IFNA(VLOOKUP($A481,INDIRECT("'W"&amp;M$1&amp;"'!$A$2:$T$1000"),4,FALSE),0)</f>
        <v>0</v>
      </c>
      <c r="N481" s="37">
        <f ca="1">_xlfn.IFNA(VLOOKUP($A481,INDIRECT("'W"&amp;N$1&amp;"'!$A$2:$T$1000"),4,FALSE),0)</f>
        <v>1.6</v>
      </c>
      <c r="O481" s="37">
        <f ca="1">_xlfn.IFNA(VLOOKUP($A481,INDIRECT("'W"&amp;O$1&amp;"'!$A$2:$T$1000"),4,FALSE),0)</f>
        <v>0</v>
      </c>
      <c r="P481" s="37">
        <f ca="1">_xlfn.IFNA(VLOOKUP($A481,INDIRECT("'W"&amp;P$1&amp;"'!$A$2:$T$1000"),4,FALSE),0)</f>
        <v>0.30000000000000004</v>
      </c>
      <c r="Q481" s="37">
        <f ca="1">_xlfn.IFNA(VLOOKUP($A481,INDIRECT("'W"&amp;Q$1&amp;"'!$A$2:$T$1000"),4,FALSE),0)</f>
        <v>0</v>
      </c>
      <c r="R481" s="37">
        <f ca="1">_xlfn.IFNA(VLOOKUP($A481,INDIRECT("'W"&amp;R$1&amp;"'!$A$2:$T$1000"),4,FALSE),0)</f>
        <v>0</v>
      </c>
      <c r="S481" s="37">
        <f ca="1">_xlfn.IFNA(VLOOKUP($A481,INDIRECT("'W"&amp;S$1&amp;"'!$A$2:$T$1000"),4,FALSE),0)</f>
        <v>1.8</v>
      </c>
      <c r="T481" s="37">
        <f ca="1">_xlfn.IFNA(VLOOKUP($A481,INDIRECT("'W"&amp;T$1&amp;"'!$A$2:$T$1000"),4,FALSE),0)</f>
        <v>0</v>
      </c>
      <c r="U481" s="36">
        <f ca="1">COUNTIF(C481:T481,"&gt; 15")</f>
        <v>0</v>
      </c>
      <c r="V481" s="36">
        <f ca="1">SUM(C481:T481)</f>
        <v>11.500000000000002</v>
      </c>
      <c r="W481" s="36"/>
      <c r="X481" s="38"/>
    </row>
    <row r="482" spans="1:24" ht="12.75" x14ac:dyDescent="0.2">
      <c r="A482" s="36" t="s">
        <v>266</v>
      </c>
      <c r="B482" s="36" t="s">
        <v>162</v>
      </c>
      <c r="C482" s="37">
        <f ca="1">_xlfn.IFNA(VLOOKUP($A482,INDIRECT("'W"&amp;C$1&amp;"'!$A$2:$T$1000"),4,FALSE),0)</f>
        <v>1.6</v>
      </c>
      <c r="D482" s="37">
        <f ca="1">_xlfn.IFNA(VLOOKUP($A482,INDIRECT("'W"&amp;D$1&amp;"'!$A$2:$T$1000"),4,FALSE),0)</f>
        <v>0</v>
      </c>
      <c r="E482" s="37">
        <f ca="1">_xlfn.IFNA(VLOOKUP($A482,INDIRECT("'W"&amp;E$1&amp;"'!$A$2:$T$1000"),4,FALSE),0)</f>
        <v>0</v>
      </c>
      <c r="F482" s="37">
        <f ca="1">_xlfn.IFNA(VLOOKUP($A482,INDIRECT("'W"&amp;F$1&amp;"'!$A$2:$T$1000"),4,FALSE),0)</f>
        <v>0</v>
      </c>
      <c r="G482" s="37">
        <f ca="1">_xlfn.IFNA(VLOOKUP($A482,INDIRECT("'W"&amp;G$1&amp;"'!$A$2:$T$1000"),4,FALSE),0)</f>
        <v>4.8000000000000007</v>
      </c>
      <c r="H482" s="37">
        <f ca="1">_xlfn.IFNA(VLOOKUP($A482,INDIRECT("'W"&amp;H$1&amp;"'!$A$2:$T$1000"),4,FALSE),0)</f>
        <v>0</v>
      </c>
      <c r="I482" s="37">
        <f ca="1">_xlfn.IFNA(VLOOKUP($A482,INDIRECT("'W"&amp;I$1&amp;"'!$A$2:$T$1000"),4,FALSE),0)</f>
        <v>0</v>
      </c>
      <c r="J482" s="37">
        <f ca="1">_xlfn.IFNA(VLOOKUP($A482,INDIRECT("'W"&amp;J$1&amp;"'!$A$2:$T$1000"),4,FALSE),0)</f>
        <v>0</v>
      </c>
      <c r="K482" s="37">
        <f ca="1">_xlfn.IFNA(VLOOKUP($A482,INDIRECT("'W"&amp;K$1&amp;"'!$A$2:$T$1000"),4,FALSE),0)</f>
        <v>0</v>
      </c>
      <c r="L482" s="37">
        <f ca="1">_xlfn.IFNA(VLOOKUP($A482,INDIRECT("'W"&amp;L$1&amp;"'!$A$2:$T$1000"),4,FALSE),0)</f>
        <v>0</v>
      </c>
      <c r="M482" s="37">
        <f ca="1">_xlfn.IFNA(VLOOKUP($A482,INDIRECT("'W"&amp;M$1&amp;"'!$A$2:$T$1000"),4,FALSE),0)</f>
        <v>0</v>
      </c>
      <c r="N482" s="37">
        <f ca="1">_xlfn.IFNA(VLOOKUP($A482,INDIRECT("'W"&amp;N$1&amp;"'!$A$2:$T$1000"),4,FALSE),0)</f>
        <v>0</v>
      </c>
      <c r="O482" s="37">
        <f ca="1">_xlfn.IFNA(VLOOKUP($A482,INDIRECT("'W"&amp;O$1&amp;"'!$A$2:$T$1000"),4,FALSE),0)</f>
        <v>0</v>
      </c>
      <c r="P482" s="37">
        <f ca="1">_xlfn.IFNA(VLOOKUP($A482,INDIRECT("'W"&amp;P$1&amp;"'!$A$2:$T$1000"),4,FALSE),0)</f>
        <v>0</v>
      </c>
      <c r="Q482" s="37">
        <f ca="1">_xlfn.IFNA(VLOOKUP($A482,INDIRECT("'W"&amp;Q$1&amp;"'!$A$2:$T$1000"),4,FALSE),0)</f>
        <v>0</v>
      </c>
      <c r="R482" s="37">
        <f ca="1">_xlfn.IFNA(VLOOKUP($A482,INDIRECT("'W"&amp;R$1&amp;"'!$A$2:$T$1000"),4,FALSE),0)</f>
        <v>1.2</v>
      </c>
      <c r="S482" s="37">
        <f ca="1">_xlfn.IFNA(VLOOKUP($A482,INDIRECT("'W"&amp;S$1&amp;"'!$A$2:$T$1000"),4,FALSE),0)</f>
        <v>0</v>
      </c>
      <c r="T482" s="37">
        <f ca="1">_xlfn.IFNA(VLOOKUP($A482,INDIRECT("'W"&amp;T$1&amp;"'!$A$2:$T$1000"),4,FALSE),0)</f>
        <v>3.7</v>
      </c>
      <c r="U482" s="36">
        <f ca="1">COUNTIF(C482:T482,"&gt; 15")</f>
        <v>0</v>
      </c>
      <c r="V482" s="36">
        <f ca="1">SUM(C482:T482)</f>
        <v>11.3</v>
      </c>
      <c r="W482" s="36"/>
      <c r="X482" s="38"/>
    </row>
    <row r="483" spans="1:24" ht="12.75" x14ac:dyDescent="0.2">
      <c r="A483" s="36" t="s">
        <v>481</v>
      </c>
      <c r="B483" s="36" t="s">
        <v>162</v>
      </c>
      <c r="C483" s="37">
        <f ca="1">_xlfn.IFNA(VLOOKUP($A483,INDIRECT("'W"&amp;C$1&amp;"'!$A$2:$T$1000"),4,FALSE),0)</f>
        <v>0</v>
      </c>
      <c r="D483" s="37">
        <f ca="1">_xlfn.IFNA(VLOOKUP($A483,INDIRECT("'W"&amp;D$1&amp;"'!$A$2:$T$1000"),4,FALSE),0)</f>
        <v>0</v>
      </c>
      <c r="E483" s="37">
        <f ca="1">_xlfn.IFNA(VLOOKUP($A483,INDIRECT("'W"&amp;E$1&amp;"'!$A$2:$T$1000"),4,FALSE),0)</f>
        <v>0</v>
      </c>
      <c r="F483" s="37">
        <f ca="1">_xlfn.IFNA(VLOOKUP($A483,INDIRECT("'W"&amp;F$1&amp;"'!$A$2:$T$1000"),4,FALSE),0)</f>
        <v>3.1</v>
      </c>
      <c r="G483" s="37">
        <f ca="1">_xlfn.IFNA(VLOOKUP($A483,INDIRECT("'W"&amp;G$1&amp;"'!$A$2:$T$1000"),4,FALSE),0)</f>
        <v>0</v>
      </c>
      <c r="H483" s="37">
        <f ca="1">_xlfn.IFNA(VLOOKUP($A483,INDIRECT("'W"&amp;H$1&amp;"'!$A$2:$T$1000"),4,FALSE),0)</f>
        <v>0</v>
      </c>
      <c r="I483" s="37">
        <f ca="1">_xlfn.IFNA(VLOOKUP($A483,INDIRECT("'W"&amp;I$1&amp;"'!$A$2:$T$1000"),4,FALSE),0)</f>
        <v>0</v>
      </c>
      <c r="J483" s="37">
        <f ca="1">_xlfn.IFNA(VLOOKUP($A483,INDIRECT("'W"&amp;J$1&amp;"'!$A$2:$T$1000"),4,FALSE),0)</f>
        <v>0</v>
      </c>
      <c r="K483" s="37">
        <f ca="1">_xlfn.IFNA(VLOOKUP($A483,INDIRECT("'W"&amp;K$1&amp;"'!$A$2:$T$1000"),4,FALSE),0)</f>
        <v>0</v>
      </c>
      <c r="L483" s="37">
        <f ca="1">_xlfn.IFNA(VLOOKUP($A483,INDIRECT("'W"&amp;L$1&amp;"'!$A$2:$T$1000"),4,FALSE),0)</f>
        <v>1.4</v>
      </c>
      <c r="M483" s="37">
        <f ca="1">_xlfn.IFNA(VLOOKUP($A483,INDIRECT("'W"&amp;M$1&amp;"'!$A$2:$T$1000"),4,FALSE),0)</f>
        <v>3.9000000000000004</v>
      </c>
      <c r="N483" s="37">
        <f ca="1">_xlfn.IFNA(VLOOKUP($A483,INDIRECT("'W"&amp;N$1&amp;"'!$A$2:$T$1000"),4,FALSE),0)</f>
        <v>0</v>
      </c>
      <c r="O483" s="37">
        <f ca="1">_xlfn.IFNA(VLOOKUP($A483,INDIRECT("'W"&amp;O$1&amp;"'!$A$2:$T$1000"),4,FALSE),0)</f>
        <v>0</v>
      </c>
      <c r="P483" s="37">
        <f ca="1">_xlfn.IFNA(VLOOKUP($A483,INDIRECT("'W"&amp;P$1&amp;"'!$A$2:$T$1000"),4,FALSE),0)</f>
        <v>0</v>
      </c>
      <c r="Q483" s="37">
        <f ca="1">_xlfn.IFNA(VLOOKUP($A483,INDIRECT("'W"&amp;Q$1&amp;"'!$A$2:$T$1000"),4,FALSE),0)</f>
        <v>0</v>
      </c>
      <c r="R483" s="37">
        <f ca="1">_xlfn.IFNA(VLOOKUP($A483,INDIRECT("'W"&amp;R$1&amp;"'!$A$2:$T$1000"),4,FALSE),0)</f>
        <v>0</v>
      </c>
      <c r="S483" s="37">
        <f ca="1">_xlfn.IFNA(VLOOKUP($A483,INDIRECT("'W"&amp;S$1&amp;"'!$A$2:$T$1000"),4,FALSE),0)</f>
        <v>0</v>
      </c>
      <c r="T483" s="37">
        <f ca="1">_xlfn.IFNA(VLOOKUP($A483,INDIRECT("'W"&amp;T$1&amp;"'!$A$2:$T$1000"),4,FALSE),0)</f>
        <v>2.8</v>
      </c>
      <c r="U483" s="36">
        <f ca="1">COUNTIF(C483:T483,"&gt; 15")</f>
        <v>0</v>
      </c>
      <c r="V483" s="36">
        <f ca="1">SUM(C483:T483)</f>
        <v>11.2</v>
      </c>
      <c r="W483" s="36"/>
      <c r="X483" s="38"/>
    </row>
    <row r="484" spans="1:24" ht="12.75" x14ac:dyDescent="0.2">
      <c r="A484" s="36" t="s">
        <v>398</v>
      </c>
      <c r="B484" s="36" t="s">
        <v>162</v>
      </c>
      <c r="C484" s="37">
        <f ca="1">_xlfn.IFNA(VLOOKUP($A484,INDIRECT("'W"&amp;C$1&amp;"'!$A$2:$T$1000"),4,FALSE),0)</f>
        <v>0</v>
      </c>
      <c r="D484" s="37">
        <f ca="1">_xlfn.IFNA(VLOOKUP($A484,INDIRECT("'W"&amp;D$1&amp;"'!$A$2:$T$1000"),4,FALSE),0)</f>
        <v>-0.30000000000000004</v>
      </c>
      <c r="E484" s="37">
        <f ca="1">_xlfn.IFNA(VLOOKUP($A484,INDIRECT("'W"&amp;E$1&amp;"'!$A$2:$T$1000"),4,FALSE),0)</f>
        <v>0</v>
      </c>
      <c r="F484" s="37">
        <f ca="1">_xlfn.IFNA(VLOOKUP($A484,INDIRECT("'W"&amp;F$1&amp;"'!$A$2:$T$1000"),4,FALSE),0)</f>
        <v>1</v>
      </c>
      <c r="G484" s="37">
        <f ca="1">_xlfn.IFNA(VLOOKUP($A484,INDIRECT("'W"&amp;G$1&amp;"'!$A$2:$T$1000"),4,FALSE),0)</f>
        <v>0</v>
      </c>
      <c r="H484" s="37">
        <f ca="1">_xlfn.IFNA(VLOOKUP($A484,INDIRECT("'W"&amp;H$1&amp;"'!$A$2:$T$1000"),4,FALSE),0)</f>
        <v>3</v>
      </c>
      <c r="I484" s="37">
        <f ca="1">_xlfn.IFNA(VLOOKUP($A484,INDIRECT("'W"&amp;I$1&amp;"'!$A$2:$T$1000"),4,FALSE),0)</f>
        <v>1</v>
      </c>
      <c r="J484" s="37">
        <f ca="1">_xlfn.IFNA(VLOOKUP($A484,INDIRECT("'W"&amp;J$1&amp;"'!$A$2:$T$1000"),4,FALSE),0)</f>
        <v>1.4</v>
      </c>
      <c r="K484" s="37">
        <f ca="1">_xlfn.IFNA(VLOOKUP($A484,INDIRECT("'W"&amp;K$1&amp;"'!$A$2:$T$1000"),4,FALSE),0)</f>
        <v>0</v>
      </c>
      <c r="L484" s="37">
        <f ca="1">_xlfn.IFNA(VLOOKUP($A484,INDIRECT("'W"&amp;L$1&amp;"'!$A$2:$T$1000"),4,FALSE),0)</f>
        <v>0</v>
      </c>
      <c r="M484" s="37">
        <f ca="1">_xlfn.IFNA(VLOOKUP($A484,INDIRECT("'W"&amp;M$1&amp;"'!$A$2:$T$1000"),4,FALSE),0)</f>
        <v>0</v>
      </c>
      <c r="N484" s="37">
        <f ca="1">_xlfn.IFNA(VLOOKUP($A484,INDIRECT("'W"&amp;N$1&amp;"'!$A$2:$T$1000"),4,FALSE),0)</f>
        <v>0</v>
      </c>
      <c r="O484" s="37">
        <f ca="1">_xlfn.IFNA(VLOOKUP($A484,INDIRECT("'W"&amp;O$1&amp;"'!$A$2:$T$1000"),4,FALSE),0)</f>
        <v>0</v>
      </c>
      <c r="P484" s="37">
        <f ca="1">_xlfn.IFNA(VLOOKUP($A484,INDIRECT("'W"&amp;P$1&amp;"'!$A$2:$T$1000"),4,FALSE),0)</f>
        <v>2.1</v>
      </c>
      <c r="Q484" s="37">
        <f ca="1">_xlfn.IFNA(VLOOKUP($A484,INDIRECT("'W"&amp;Q$1&amp;"'!$A$2:$T$1000"),4,FALSE),0)</f>
        <v>2.3000000000000003</v>
      </c>
      <c r="R484" s="37">
        <f ca="1">_xlfn.IFNA(VLOOKUP($A484,INDIRECT("'W"&amp;R$1&amp;"'!$A$2:$T$1000"),4,FALSE),0)</f>
        <v>0.4</v>
      </c>
      <c r="S484" s="37">
        <f ca="1">_xlfn.IFNA(VLOOKUP($A484,INDIRECT("'W"&amp;S$1&amp;"'!$A$2:$T$1000"),4,FALSE),0)</f>
        <v>0.2</v>
      </c>
      <c r="T484" s="37">
        <f ca="1">_xlfn.IFNA(VLOOKUP($A484,INDIRECT("'W"&amp;T$1&amp;"'!$A$2:$T$1000"),4,FALSE),0)</f>
        <v>0</v>
      </c>
      <c r="U484" s="36">
        <f ca="1">COUNTIF(C484:T484,"&gt; 15")</f>
        <v>0</v>
      </c>
      <c r="V484" s="36">
        <f ca="1">SUM(C484:T484)</f>
        <v>11.1</v>
      </c>
      <c r="W484" s="36"/>
      <c r="X484" s="38"/>
    </row>
    <row r="485" spans="1:24" ht="12.75" x14ac:dyDescent="0.2">
      <c r="A485" s="36" t="s">
        <v>760</v>
      </c>
      <c r="B485" s="36" t="e">
        <f ca="1">VLOOKUP(A485,CumulativePlayerList!$T$3:$U$550,2,FALSE)</f>
        <v>#NAME?</v>
      </c>
      <c r="C485" s="37">
        <f ca="1">_xlfn.IFNA(VLOOKUP($A485,INDIRECT("'W"&amp;C$1&amp;"'!$A$2:$T$1000"),4,FALSE),0)</f>
        <v>0</v>
      </c>
      <c r="D485" s="37">
        <f ca="1">_xlfn.IFNA(VLOOKUP($A485,INDIRECT("'W"&amp;D$1&amp;"'!$A$2:$T$1000"),4,FALSE),0)</f>
        <v>0</v>
      </c>
      <c r="E485" s="37">
        <f ca="1">_xlfn.IFNA(VLOOKUP($A485,INDIRECT("'W"&amp;E$1&amp;"'!$A$2:$T$1000"),4,FALSE),0)</f>
        <v>0</v>
      </c>
      <c r="F485" s="37">
        <f ca="1">_xlfn.IFNA(VLOOKUP($A485,INDIRECT("'W"&amp;F$1&amp;"'!$A$2:$T$1000"),4,FALSE),0)</f>
        <v>0</v>
      </c>
      <c r="G485" s="37">
        <f ca="1">_xlfn.IFNA(VLOOKUP($A485,INDIRECT("'W"&amp;G$1&amp;"'!$A$2:$T$1000"),4,FALSE),0)</f>
        <v>0</v>
      </c>
      <c r="H485" s="37">
        <f ca="1">_xlfn.IFNA(VLOOKUP($A485,INDIRECT("'W"&amp;H$1&amp;"'!$A$2:$T$1000"),4,FALSE),0)</f>
        <v>0</v>
      </c>
      <c r="I485" s="37">
        <f ca="1">_xlfn.IFNA(VLOOKUP($A485,INDIRECT("'W"&amp;I$1&amp;"'!$A$2:$T$1000"),4,FALSE),0)</f>
        <v>0</v>
      </c>
      <c r="J485" s="37">
        <f ca="1">_xlfn.IFNA(VLOOKUP($A485,INDIRECT("'W"&amp;J$1&amp;"'!$A$2:$T$1000"),4,FALSE),0)</f>
        <v>0</v>
      </c>
      <c r="K485" s="37">
        <f ca="1">_xlfn.IFNA(VLOOKUP($A485,INDIRECT("'W"&amp;K$1&amp;"'!$A$2:$T$1000"),4,FALSE),0)</f>
        <v>0</v>
      </c>
      <c r="L485" s="37">
        <f ca="1">_xlfn.IFNA(VLOOKUP($A485,INDIRECT("'W"&amp;L$1&amp;"'!$A$2:$T$1000"),4,FALSE),0)</f>
        <v>0</v>
      </c>
      <c r="M485" s="37">
        <f ca="1">_xlfn.IFNA(VLOOKUP($A485,INDIRECT("'W"&amp;M$1&amp;"'!$A$2:$T$1000"),4,FALSE),0)</f>
        <v>0</v>
      </c>
      <c r="N485" s="37">
        <f ca="1">_xlfn.IFNA(VLOOKUP($A485,INDIRECT("'W"&amp;N$1&amp;"'!$A$2:$T$1000"),4,FALSE),0)</f>
        <v>0</v>
      </c>
      <c r="O485" s="37">
        <f ca="1">_xlfn.IFNA(VLOOKUP($A485,INDIRECT("'W"&amp;O$1&amp;"'!$A$2:$T$1000"),4,FALSE),0)</f>
        <v>0</v>
      </c>
      <c r="P485" s="37">
        <f ca="1">_xlfn.IFNA(VLOOKUP($A485,INDIRECT("'W"&amp;P$1&amp;"'!$A$2:$T$1000"),4,FALSE),0)</f>
        <v>0</v>
      </c>
      <c r="Q485" s="37">
        <f ca="1">_xlfn.IFNA(VLOOKUP($A485,INDIRECT("'W"&amp;Q$1&amp;"'!$A$2:$T$1000"),4,FALSE),0)</f>
        <v>8.5</v>
      </c>
      <c r="R485" s="37">
        <f ca="1">_xlfn.IFNA(VLOOKUP($A485,INDIRECT("'W"&amp;R$1&amp;"'!$A$2:$T$1000"),4,FALSE),0)</f>
        <v>2</v>
      </c>
      <c r="S485" s="37">
        <f ca="1">_xlfn.IFNA(VLOOKUP($A485,INDIRECT("'W"&amp;S$1&amp;"'!$A$2:$T$1000"),4,FALSE),0)</f>
        <v>0.60000000000000009</v>
      </c>
      <c r="T485" s="37">
        <f ca="1">_xlfn.IFNA(VLOOKUP($A485,INDIRECT("'W"&amp;T$1&amp;"'!$A$2:$T$1000"),4,FALSE),0)</f>
        <v>0</v>
      </c>
      <c r="U485" s="36">
        <f ca="1">COUNTIF(C485:T485,"&gt; 15")</f>
        <v>0</v>
      </c>
      <c r="V485" s="36">
        <f ca="1">SUM(C485:T485)</f>
        <v>11.1</v>
      </c>
      <c r="W485" s="36"/>
      <c r="X485" s="38"/>
    </row>
    <row r="486" spans="1:24" ht="12.75" x14ac:dyDescent="0.2">
      <c r="A486" s="36" t="s">
        <v>674</v>
      </c>
      <c r="B486" s="36" t="s">
        <v>17</v>
      </c>
      <c r="C486" s="37">
        <f ca="1">_xlfn.IFNA(VLOOKUP($A486,INDIRECT("'W"&amp;C$1&amp;"'!$A$2:$T$1000"),4,FALSE),0)</f>
        <v>0</v>
      </c>
      <c r="D486" s="37">
        <f ca="1">_xlfn.IFNA(VLOOKUP($A486,INDIRECT("'W"&amp;D$1&amp;"'!$A$2:$T$1000"),4,FALSE),0)</f>
        <v>0</v>
      </c>
      <c r="E486" s="37">
        <f ca="1">_xlfn.IFNA(VLOOKUP($A486,INDIRECT("'W"&amp;E$1&amp;"'!$A$2:$T$1000"),4,FALSE),0)</f>
        <v>0</v>
      </c>
      <c r="F486" s="37">
        <f ca="1">_xlfn.IFNA(VLOOKUP($A486,INDIRECT("'W"&amp;F$1&amp;"'!$A$2:$T$1000"),4,FALSE),0)</f>
        <v>0</v>
      </c>
      <c r="G486" s="37">
        <f ca="1">_xlfn.IFNA(VLOOKUP($A486,INDIRECT("'W"&amp;G$1&amp;"'!$A$2:$T$1000"),4,FALSE),0)</f>
        <v>0</v>
      </c>
      <c r="H486" s="37">
        <f ca="1">_xlfn.IFNA(VLOOKUP($A486,INDIRECT("'W"&amp;H$1&amp;"'!$A$2:$T$1000"),4,FALSE),0)</f>
        <v>0</v>
      </c>
      <c r="I486" s="37">
        <f ca="1">_xlfn.IFNA(VLOOKUP($A486,INDIRECT("'W"&amp;I$1&amp;"'!$A$2:$T$1000"),4,FALSE),0)</f>
        <v>0</v>
      </c>
      <c r="J486" s="37">
        <f ca="1">_xlfn.IFNA(VLOOKUP($A486,INDIRECT("'W"&amp;J$1&amp;"'!$A$2:$T$1000"),4,FALSE),0)</f>
        <v>0</v>
      </c>
      <c r="K486" s="37">
        <f ca="1">_xlfn.IFNA(VLOOKUP($A486,INDIRECT("'W"&amp;K$1&amp;"'!$A$2:$T$1000"),4,FALSE),0)</f>
        <v>0</v>
      </c>
      <c r="L486" s="37">
        <f ca="1">_xlfn.IFNA(VLOOKUP($A486,INDIRECT("'W"&amp;L$1&amp;"'!$A$2:$T$1000"),4,FALSE),0)</f>
        <v>0</v>
      </c>
      <c r="M486" s="37">
        <f ca="1">_xlfn.IFNA(VLOOKUP($A486,INDIRECT("'W"&amp;M$1&amp;"'!$A$2:$T$1000"),4,FALSE),0)</f>
        <v>-0.57999999999999996</v>
      </c>
      <c r="N486" s="37">
        <f ca="1">_xlfn.IFNA(VLOOKUP($A486,INDIRECT("'W"&amp;N$1&amp;"'!$A$2:$T$1000"),4,FALSE),0)</f>
        <v>7.36</v>
      </c>
      <c r="O486" s="37">
        <f ca="1">_xlfn.IFNA(VLOOKUP($A486,INDIRECT("'W"&amp;O$1&amp;"'!$A$2:$T$1000"),4,FALSE),0)</f>
        <v>4.12</v>
      </c>
      <c r="P486" s="37">
        <f ca="1">_xlfn.IFNA(VLOOKUP($A486,INDIRECT("'W"&amp;P$1&amp;"'!$A$2:$T$1000"),4,FALSE),0)</f>
        <v>0</v>
      </c>
      <c r="Q486" s="37">
        <f ca="1">_xlfn.IFNA(VLOOKUP($A486,INDIRECT("'W"&amp;Q$1&amp;"'!$A$2:$T$1000"),4,FALSE),0)</f>
        <v>0</v>
      </c>
      <c r="R486" s="37">
        <f ca="1">_xlfn.IFNA(VLOOKUP($A486,INDIRECT("'W"&amp;R$1&amp;"'!$A$2:$T$1000"),4,FALSE),0)</f>
        <v>0</v>
      </c>
      <c r="S486" s="37">
        <f ca="1">_xlfn.IFNA(VLOOKUP($A486,INDIRECT("'W"&amp;S$1&amp;"'!$A$2:$T$1000"),4,FALSE),0)</f>
        <v>0</v>
      </c>
      <c r="T486" s="37">
        <f ca="1">_xlfn.IFNA(VLOOKUP($A486,INDIRECT("'W"&amp;T$1&amp;"'!$A$2:$T$1000"),4,FALSE),0)</f>
        <v>0</v>
      </c>
      <c r="U486" s="36">
        <f ca="1">COUNTIF(C486:T486,"&gt; 15")</f>
        <v>0</v>
      </c>
      <c r="V486" s="36">
        <f ca="1">SUM(C486:T486)</f>
        <v>10.9</v>
      </c>
      <c r="W486" s="36"/>
      <c r="X486" s="38"/>
    </row>
    <row r="487" spans="1:24" ht="12.75" x14ac:dyDescent="0.2">
      <c r="A487" s="36" t="s">
        <v>556</v>
      </c>
      <c r="B487" s="36" t="s">
        <v>69</v>
      </c>
      <c r="C487" s="37">
        <f ca="1">_xlfn.IFNA(VLOOKUP($A487,INDIRECT("'W"&amp;C$1&amp;"'!$A$2:$T$1000"),4,FALSE),0)</f>
        <v>0</v>
      </c>
      <c r="D487" s="37">
        <f ca="1">_xlfn.IFNA(VLOOKUP($A487,INDIRECT("'W"&amp;D$1&amp;"'!$A$2:$T$1000"),4,FALSE),0)</f>
        <v>0</v>
      </c>
      <c r="E487" s="37">
        <f ca="1">_xlfn.IFNA(VLOOKUP($A487,INDIRECT("'W"&amp;E$1&amp;"'!$A$2:$T$1000"),4,FALSE),0)</f>
        <v>0</v>
      </c>
      <c r="F487" s="37">
        <f ca="1">_xlfn.IFNA(VLOOKUP($A487,INDIRECT("'W"&amp;F$1&amp;"'!$A$2:$T$1000"),4,FALSE),0)</f>
        <v>0</v>
      </c>
      <c r="G487" s="37">
        <f ca="1">_xlfn.IFNA(VLOOKUP($A487,INDIRECT("'W"&amp;G$1&amp;"'!$A$2:$T$1000"),4,FALSE),0)</f>
        <v>0</v>
      </c>
      <c r="H487" s="37">
        <f ca="1">_xlfn.IFNA(VLOOKUP($A487,INDIRECT("'W"&amp;H$1&amp;"'!$A$2:$T$1000"),4,FALSE),0)</f>
        <v>1.8</v>
      </c>
      <c r="I487" s="37">
        <f ca="1">_xlfn.IFNA(VLOOKUP($A487,INDIRECT("'W"&amp;I$1&amp;"'!$A$2:$T$1000"),4,FALSE),0)</f>
        <v>0</v>
      </c>
      <c r="J487" s="37">
        <f ca="1">_xlfn.IFNA(VLOOKUP($A487,INDIRECT("'W"&amp;J$1&amp;"'!$A$2:$T$1000"),4,FALSE),0)</f>
        <v>0</v>
      </c>
      <c r="K487" s="37">
        <f ca="1">_xlfn.IFNA(VLOOKUP($A487,INDIRECT("'W"&amp;K$1&amp;"'!$A$2:$T$1000"),4,FALSE),0)</f>
        <v>0</v>
      </c>
      <c r="L487" s="37">
        <f ca="1">_xlfn.IFNA(VLOOKUP($A487,INDIRECT("'W"&amp;L$1&amp;"'!$A$2:$T$1000"),4,FALSE),0)</f>
        <v>0</v>
      </c>
      <c r="M487" s="37">
        <f ca="1">_xlfn.IFNA(VLOOKUP($A487,INDIRECT("'W"&amp;M$1&amp;"'!$A$2:$T$1000"),4,FALSE),0)</f>
        <v>3.3</v>
      </c>
      <c r="N487" s="37">
        <f ca="1">_xlfn.IFNA(VLOOKUP($A487,INDIRECT("'W"&amp;N$1&amp;"'!$A$2:$T$1000"),4,FALSE),0)</f>
        <v>2.2000000000000002</v>
      </c>
      <c r="O487" s="37">
        <f ca="1">_xlfn.IFNA(VLOOKUP($A487,INDIRECT("'W"&amp;O$1&amp;"'!$A$2:$T$1000"),4,FALSE),0)</f>
        <v>0</v>
      </c>
      <c r="P487" s="37">
        <f ca="1">_xlfn.IFNA(VLOOKUP($A487,INDIRECT("'W"&amp;P$1&amp;"'!$A$2:$T$1000"),4,FALSE),0)</f>
        <v>0</v>
      </c>
      <c r="Q487" s="37">
        <f ca="1">_xlfn.IFNA(VLOOKUP($A487,INDIRECT("'W"&amp;Q$1&amp;"'!$A$2:$T$1000"),4,FALSE),0)</f>
        <v>0</v>
      </c>
      <c r="R487" s="37">
        <f ca="1">_xlfn.IFNA(VLOOKUP($A487,INDIRECT("'W"&amp;R$1&amp;"'!$A$2:$T$1000"),4,FALSE),0)</f>
        <v>3.5</v>
      </c>
      <c r="S487" s="37">
        <f ca="1">_xlfn.IFNA(VLOOKUP($A487,INDIRECT("'W"&amp;S$1&amp;"'!$A$2:$T$1000"),4,FALSE),0)</f>
        <v>0</v>
      </c>
      <c r="T487" s="37">
        <f ca="1">_xlfn.IFNA(VLOOKUP($A487,INDIRECT("'W"&amp;T$1&amp;"'!$A$2:$T$1000"),4,FALSE),0)</f>
        <v>0</v>
      </c>
      <c r="U487" s="36">
        <f ca="1">COUNTIF(C487:T487,"&gt; 15")</f>
        <v>0</v>
      </c>
      <c r="V487" s="36">
        <f ca="1">SUM(C487:T487)</f>
        <v>10.8</v>
      </c>
      <c r="W487" s="36"/>
      <c r="X487" s="38"/>
    </row>
    <row r="488" spans="1:24" ht="12.75" x14ac:dyDescent="0.2">
      <c r="A488" s="36" t="s">
        <v>424</v>
      </c>
      <c r="B488" s="36" t="s">
        <v>75</v>
      </c>
      <c r="C488" s="37">
        <f ca="1">_xlfn.IFNA(VLOOKUP($A488,INDIRECT("'W"&amp;C$1&amp;"'!$A$2:$T$1000"),4,FALSE),0)</f>
        <v>0</v>
      </c>
      <c r="D488" s="37">
        <f ca="1">_xlfn.IFNA(VLOOKUP($A488,INDIRECT("'W"&amp;D$1&amp;"'!$A$2:$T$1000"),4,FALSE),0)</f>
        <v>0</v>
      </c>
      <c r="E488" s="37">
        <f ca="1">_xlfn.IFNA(VLOOKUP($A488,INDIRECT("'W"&amp;E$1&amp;"'!$A$2:$T$1000"),4,FALSE),0)</f>
        <v>6.6000000000000005</v>
      </c>
      <c r="F488" s="37">
        <f ca="1">_xlfn.IFNA(VLOOKUP($A488,INDIRECT("'W"&amp;F$1&amp;"'!$A$2:$T$1000"),4,FALSE),0)</f>
        <v>0</v>
      </c>
      <c r="G488" s="37">
        <f ca="1">_xlfn.IFNA(VLOOKUP($A488,INDIRECT("'W"&amp;G$1&amp;"'!$A$2:$T$1000"),4,FALSE),0)</f>
        <v>0</v>
      </c>
      <c r="H488" s="37">
        <f ca="1">_xlfn.IFNA(VLOOKUP($A488,INDIRECT("'W"&amp;H$1&amp;"'!$A$2:$T$1000"),4,FALSE),0)</f>
        <v>2.8000000000000003</v>
      </c>
      <c r="I488" s="37">
        <f ca="1">_xlfn.IFNA(VLOOKUP($A488,INDIRECT("'W"&amp;I$1&amp;"'!$A$2:$T$1000"),4,FALSE),0)</f>
        <v>0</v>
      </c>
      <c r="J488" s="37">
        <f ca="1">_xlfn.IFNA(VLOOKUP($A488,INDIRECT("'W"&amp;J$1&amp;"'!$A$2:$T$1000"),4,FALSE),0)</f>
        <v>0</v>
      </c>
      <c r="K488" s="37">
        <f ca="1">_xlfn.IFNA(VLOOKUP($A488,INDIRECT("'W"&amp;K$1&amp;"'!$A$2:$T$1000"),4,FALSE),0)</f>
        <v>0</v>
      </c>
      <c r="L488" s="37">
        <f ca="1">_xlfn.IFNA(VLOOKUP($A488,INDIRECT("'W"&amp;L$1&amp;"'!$A$2:$T$1000"),4,FALSE),0)</f>
        <v>0</v>
      </c>
      <c r="M488" s="37">
        <f ca="1">_xlfn.IFNA(VLOOKUP($A488,INDIRECT("'W"&amp;M$1&amp;"'!$A$2:$T$1000"),4,FALSE),0)</f>
        <v>0</v>
      </c>
      <c r="N488" s="37">
        <f ca="1">_xlfn.IFNA(VLOOKUP($A488,INDIRECT("'W"&amp;N$1&amp;"'!$A$2:$T$1000"),4,FALSE),0)</f>
        <v>0</v>
      </c>
      <c r="O488" s="37">
        <f ca="1">_xlfn.IFNA(VLOOKUP($A488,INDIRECT("'W"&amp;O$1&amp;"'!$A$2:$T$1000"),4,FALSE),0)</f>
        <v>0</v>
      </c>
      <c r="P488" s="37">
        <f ca="1">_xlfn.IFNA(VLOOKUP($A488,INDIRECT("'W"&amp;P$1&amp;"'!$A$2:$T$1000"),4,FALSE),0)</f>
        <v>0</v>
      </c>
      <c r="Q488" s="37">
        <f ca="1">_xlfn.IFNA(VLOOKUP($A488,INDIRECT("'W"&amp;Q$1&amp;"'!$A$2:$T$1000"),4,FALSE),0)</f>
        <v>0</v>
      </c>
      <c r="R488" s="37">
        <f ca="1">_xlfn.IFNA(VLOOKUP($A488,INDIRECT("'W"&amp;R$1&amp;"'!$A$2:$T$1000"),4,FALSE),0)</f>
        <v>0</v>
      </c>
      <c r="S488" s="37">
        <f ca="1">_xlfn.IFNA(VLOOKUP($A488,INDIRECT("'W"&amp;S$1&amp;"'!$A$2:$T$1000"),4,FALSE),0)</f>
        <v>1.2000000000000002</v>
      </c>
      <c r="T488" s="37">
        <f ca="1">_xlfn.IFNA(VLOOKUP($A488,INDIRECT("'W"&amp;T$1&amp;"'!$A$2:$T$1000"),4,FALSE),0)</f>
        <v>0</v>
      </c>
      <c r="U488" s="36">
        <f ca="1">COUNTIF(C488:T488,"&gt; 15")</f>
        <v>0</v>
      </c>
      <c r="V488" s="36">
        <f ca="1">SUM(C488:T488)</f>
        <v>10.600000000000001</v>
      </c>
      <c r="W488" s="36"/>
      <c r="X488" s="38"/>
    </row>
    <row r="489" spans="1:24" ht="12.75" x14ac:dyDescent="0.2">
      <c r="A489" s="36" t="s">
        <v>445</v>
      </c>
      <c r="B489" s="36" t="s">
        <v>69</v>
      </c>
      <c r="C489" s="37">
        <f ca="1">_xlfn.IFNA(VLOOKUP($A489,INDIRECT("'W"&amp;C$1&amp;"'!$A$2:$T$1000"),4,FALSE),0)</f>
        <v>0</v>
      </c>
      <c r="D489" s="37">
        <f ca="1">_xlfn.IFNA(VLOOKUP($A489,INDIRECT("'W"&amp;D$1&amp;"'!$A$2:$T$1000"),4,FALSE),0)</f>
        <v>0</v>
      </c>
      <c r="E489" s="37">
        <f ca="1">_xlfn.IFNA(VLOOKUP($A489,INDIRECT("'W"&amp;E$1&amp;"'!$A$2:$T$1000"),4,FALSE),0)</f>
        <v>1.8</v>
      </c>
      <c r="F489" s="37">
        <f ca="1">_xlfn.IFNA(VLOOKUP($A489,INDIRECT("'W"&amp;F$1&amp;"'!$A$2:$T$1000"),4,FALSE),0)</f>
        <v>0</v>
      </c>
      <c r="G489" s="37">
        <f ca="1">_xlfn.IFNA(VLOOKUP($A489,INDIRECT("'W"&amp;G$1&amp;"'!$A$2:$T$1000"),4,FALSE),0)</f>
        <v>3.8000000000000003</v>
      </c>
      <c r="H489" s="37">
        <f ca="1">_xlfn.IFNA(VLOOKUP($A489,INDIRECT("'W"&amp;H$1&amp;"'!$A$2:$T$1000"),4,FALSE),0)</f>
        <v>0</v>
      </c>
      <c r="I489" s="37">
        <f ca="1">_xlfn.IFNA(VLOOKUP($A489,INDIRECT("'W"&amp;I$1&amp;"'!$A$2:$T$1000"),4,FALSE),0)</f>
        <v>0</v>
      </c>
      <c r="J489" s="37">
        <f ca="1">_xlfn.IFNA(VLOOKUP($A489,INDIRECT("'W"&amp;J$1&amp;"'!$A$2:$T$1000"),4,FALSE),0)</f>
        <v>0</v>
      </c>
      <c r="K489" s="37">
        <f ca="1">_xlfn.IFNA(VLOOKUP($A489,INDIRECT("'W"&amp;K$1&amp;"'!$A$2:$T$1000"),4,FALSE),0)</f>
        <v>0</v>
      </c>
      <c r="L489" s="37">
        <f ca="1">_xlfn.IFNA(VLOOKUP($A489,INDIRECT("'W"&amp;L$1&amp;"'!$A$2:$T$1000"),4,FALSE),0)</f>
        <v>0</v>
      </c>
      <c r="M489" s="37">
        <f ca="1">_xlfn.IFNA(VLOOKUP($A489,INDIRECT("'W"&amp;M$1&amp;"'!$A$2:$T$1000"),4,FALSE),0)</f>
        <v>0</v>
      </c>
      <c r="N489" s="37">
        <f ca="1">_xlfn.IFNA(VLOOKUP($A489,INDIRECT("'W"&amp;N$1&amp;"'!$A$2:$T$1000"),4,FALSE),0)</f>
        <v>1.9</v>
      </c>
      <c r="O489" s="37">
        <f ca="1">_xlfn.IFNA(VLOOKUP($A489,INDIRECT("'W"&amp;O$1&amp;"'!$A$2:$T$1000"),4,FALSE),0)</f>
        <v>1.6</v>
      </c>
      <c r="P489" s="37">
        <f ca="1">_xlfn.IFNA(VLOOKUP($A489,INDIRECT("'W"&amp;P$1&amp;"'!$A$2:$T$1000"),4,FALSE),0)</f>
        <v>0</v>
      </c>
      <c r="Q489" s="37">
        <f ca="1">_xlfn.IFNA(VLOOKUP($A489,INDIRECT("'W"&amp;Q$1&amp;"'!$A$2:$T$1000"),4,FALSE),0)</f>
        <v>0</v>
      </c>
      <c r="R489" s="37">
        <f ca="1">_xlfn.IFNA(VLOOKUP($A489,INDIRECT("'W"&amp;R$1&amp;"'!$A$2:$T$1000"),4,FALSE),0)</f>
        <v>0</v>
      </c>
      <c r="S489" s="37">
        <f ca="1">_xlfn.IFNA(VLOOKUP($A489,INDIRECT("'W"&amp;S$1&amp;"'!$A$2:$T$1000"),4,FALSE),0)</f>
        <v>0</v>
      </c>
      <c r="T489" s="37">
        <f ca="1">_xlfn.IFNA(VLOOKUP($A489,INDIRECT("'W"&amp;T$1&amp;"'!$A$2:$T$1000"),4,FALSE),0)</f>
        <v>1.5</v>
      </c>
      <c r="U489" s="36">
        <f ca="1">COUNTIF(C489:T489,"&gt; 15")</f>
        <v>0</v>
      </c>
      <c r="V489" s="36">
        <f ca="1">SUM(C489:T489)</f>
        <v>10.6</v>
      </c>
      <c r="W489" s="36"/>
      <c r="X489" s="38"/>
    </row>
    <row r="490" spans="1:24" ht="12.75" x14ac:dyDescent="0.2">
      <c r="A490" s="36" t="s">
        <v>547</v>
      </c>
      <c r="B490" s="36" t="s">
        <v>69</v>
      </c>
      <c r="C490" s="37">
        <f ca="1">_xlfn.IFNA(VLOOKUP($A490,INDIRECT("'W"&amp;C$1&amp;"'!$A$2:$T$1000"),4,FALSE),0)</f>
        <v>0</v>
      </c>
      <c r="D490" s="37">
        <f ca="1">_xlfn.IFNA(VLOOKUP($A490,INDIRECT("'W"&amp;D$1&amp;"'!$A$2:$T$1000"),4,FALSE),0)</f>
        <v>0</v>
      </c>
      <c r="E490" s="37">
        <f ca="1">_xlfn.IFNA(VLOOKUP($A490,INDIRECT("'W"&amp;E$1&amp;"'!$A$2:$T$1000"),4,FALSE),0)</f>
        <v>0</v>
      </c>
      <c r="F490" s="37">
        <f ca="1">_xlfn.IFNA(VLOOKUP($A490,INDIRECT("'W"&amp;F$1&amp;"'!$A$2:$T$1000"),4,FALSE),0)</f>
        <v>0</v>
      </c>
      <c r="G490" s="37">
        <f ca="1">_xlfn.IFNA(VLOOKUP($A490,INDIRECT("'W"&amp;G$1&amp;"'!$A$2:$T$1000"),4,FALSE),0)</f>
        <v>0</v>
      </c>
      <c r="H490" s="37">
        <f ca="1">_xlfn.IFNA(VLOOKUP($A490,INDIRECT("'W"&amp;H$1&amp;"'!$A$2:$T$1000"),4,FALSE),0)</f>
        <v>8.5</v>
      </c>
      <c r="I490" s="37">
        <f ca="1">_xlfn.IFNA(VLOOKUP($A490,INDIRECT("'W"&amp;I$1&amp;"'!$A$2:$T$1000"),4,FALSE),0)</f>
        <v>0</v>
      </c>
      <c r="J490" s="37">
        <f ca="1">_xlfn.IFNA(VLOOKUP($A490,INDIRECT("'W"&amp;J$1&amp;"'!$A$2:$T$1000"),4,FALSE),0)</f>
        <v>0</v>
      </c>
      <c r="K490" s="37">
        <f ca="1">_xlfn.IFNA(VLOOKUP($A490,INDIRECT("'W"&amp;K$1&amp;"'!$A$2:$T$1000"),4,FALSE),0)</f>
        <v>0</v>
      </c>
      <c r="L490" s="37">
        <f ca="1">_xlfn.IFNA(VLOOKUP($A490,INDIRECT("'W"&amp;L$1&amp;"'!$A$2:$T$1000"),4,FALSE),0)</f>
        <v>0</v>
      </c>
      <c r="M490" s="37">
        <f ca="1">_xlfn.IFNA(VLOOKUP($A490,INDIRECT("'W"&amp;M$1&amp;"'!$A$2:$T$1000"),4,FALSE),0)</f>
        <v>2.1</v>
      </c>
      <c r="N490" s="37">
        <f ca="1">_xlfn.IFNA(VLOOKUP($A490,INDIRECT("'W"&amp;N$1&amp;"'!$A$2:$T$1000"),4,FALSE),0)</f>
        <v>0</v>
      </c>
      <c r="O490" s="37">
        <f ca="1">_xlfn.IFNA(VLOOKUP($A490,INDIRECT("'W"&amp;O$1&amp;"'!$A$2:$T$1000"),4,FALSE),0)</f>
        <v>0</v>
      </c>
      <c r="P490" s="37">
        <f ca="1">_xlfn.IFNA(VLOOKUP($A490,INDIRECT("'W"&amp;P$1&amp;"'!$A$2:$T$1000"),4,FALSE),0)</f>
        <v>0</v>
      </c>
      <c r="Q490" s="37">
        <f ca="1">_xlfn.IFNA(VLOOKUP($A490,INDIRECT("'W"&amp;Q$1&amp;"'!$A$2:$T$1000"),4,FALSE),0)</f>
        <v>0</v>
      </c>
      <c r="R490" s="37">
        <f ca="1">_xlfn.IFNA(VLOOKUP($A490,INDIRECT("'W"&amp;R$1&amp;"'!$A$2:$T$1000"),4,FALSE),0)</f>
        <v>0</v>
      </c>
      <c r="S490" s="37">
        <f ca="1">_xlfn.IFNA(VLOOKUP($A490,INDIRECT("'W"&amp;S$1&amp;"'!$A$2:$T$1000"),4,FALSE),0)</f>
        <v>0</v>
      </c>
      <c r="T490" s="37">
        <f ca="1">_xlfn.IFNA(VLOOKUP($A490,INDIRECT("'W"&amp;T$1&amp;"'!$A$2:$T$1000"),4,FALSE),0)</f>
        <v>0</v>
      </c>
      <c r="U490" s="36">
        <f ca="1">COUNTIF(C490:T490,"&gt; 15")</f>
        <v>0</v>
      </c>
      <c r="V490" s="36">
        <f ca="1">SUM(C490:T490)</f>
        <v>10.6</v>
      </c>
      <c r="W490" s="36"/>
      <c r="X490" s="38"/>
    </row>
    <row r="491" spans="1:24" ht="12.75" x14ac:dyDescent="0.2">
      <c r="A491" s="36" t="s">
        <v>137</v>
      </c>
      <c r="B491" s="36" t="s">
        <v>75</v>
      </c>
      <c r="C491" s="37">
        <f ca="1">_xlfn.IFNA(VLOOKUP($A491,INDIRECT("'W"&amp;C$1&amp;"'!$A$2:$T$1000"),4,FALSE),0)</f>
        <v>2.7</v>
      </c>
      <c r="D491" s="37">
        <f ca="1">_xlfn.IFNA(VLOOKUP($A491,INDIRECT("'W"&amp;D$1&amp;"'!$A$2:$T$1000"),4,FALSE),0)</f>
        <v>0</v>
      </c>
      <c r="E491" s="37">
        <f ca="1">_xlfn.IFNA(VLOOKUP($A491,INDIRECT("'W"&amp;E$1&amp;"'!$A$2:$T$1000"),4,FALSE),0)</f>
        <v>1.7000000000000002</v>
      </c>
      <c r="F491" s="37">
        <f ca="1">_xlfn.IFNA(VLOOKUP($A491,INDIRECT("'W"&amp;F$1&amp;"'!$A$2:$T$1000"),4,FALSE),0)</f>
        <v>0</v>
      </c>
      <c r="G491" s="37">
        <f ca="1">_xlfn.IFNA(VLOOKUP($A491,INDIRECT("'W"&amp;G$1&amp;"'!$A$2:$T$1000"),4,FALSE),0)</f>
        <v>0</v>
      </c>
      <c r="H491" s="37">
        <f ca="1">_xlfn.IFNA(VLOOKUP($A491,INDIRECT("'W"&amp;H$1&amp;"'!$A$2:$T$1000"),4,FALSE),0)</f>
        <v>0</v>
      </c>
      <c r="I491" s="37">
        <f ca="1">_xlfn.IFNA(VLOOKUP($A491,INDIRECT("'W"&amp;I$1&amp;"'!$A$2:$T$1000"),4,FALSE),0)</f>
        <v>0</v>
      </c>
      <c r="J491" s="37">
        <f ca="1">_xlfn.IFNA(VLOOKUP($A491,INDIRECT("'W"&amp;J$1&amp;"'!$A$2:$T$1000"),4,FALSE),0)</f>
        <v>1.2</v>
      </c>
      <c r="K491" s="37">
        <f ca="1">_xlfn.IFNA(VLOOKUP($A491,INDIRECT("'W"&amp;K$1&amp;"'!$A$2:$T$1000"),4,FALSE),0)</f>
        <v>0</v>
      </c>
      <c r="L491" s="37">
        <f ca="1">_xlfn.IFNA(VLOOKUP($A491,INDIRECT("'W"&amp;L$1&amp;"'!$A$2:$T$1000"),4,FALSE),0)</f>
        <v>0</v>
      </c>
      <c r="M491" s="37">
        <f ca="1">_xlfn.IFNA(VLOOKUP($A491,INDIRECT("'W"&amp;M$1&amp;"'!$A$2:$T$1000"),4,FALSE),0)</f>
        <v>0</v>
      </c>
      <c r="N491" s="37">
        <f ca="1">_xlfn.IFNA(VLOOKUP($A491,INDIRECT("'W"&amp;N$1&amp;"'!$A$2:$T$1000"),4,FALSE),0)</f>
        <v>2.2999999999999998</v>
      </c>
      <c r="O491" s="37">
        <f ca="1">_xlfn.IFNA(VLOOKUP($A491,INDIRECT("'W"&amp;O$1&amp;"'!$A$2:$T$1000"),4,FALSE),0)</f>
        <v>0</v>
      </c>
      <c r="P491" s="37">
        <f ca="1">_xlfn.IFNA(VLOOKUP($A491,INDIRECT("'W"&amp;P$1&amp;"'!$A$2:$T$1000"),4,FALSE),0)</f>
        <v>0.70000000000000007</v>
      </c>
      <c r="Q491" s="37">
        <f ca="1">_xlfn.IFNA(VLOOKUP($A491,INDIRECT("'W"&amp;Q$1&amp;"'!$A$2:$T$1000"),4,FALSE),0)</f>
        <v>0</v>
      </c>
      <c r="R491" s="37">
        <f ca="1">_xlfn.IFNA(VLOOKUP($A491,INDIRECT("'W"&amp;R$1&amp;"'!$A$2:$T$1000"),4,FALSE),0)</f>
        <v>1.6</v>
      </c>
      <c r="S491" s="37">
        <f ca="1">_xlfn.IFNA(VLOOKUP($A491,INDIRECT("'W"&amp;S$1&amp;"'!$A$2:$T$1000"),4,FALSE),0)</f>
        <v>0</v>
      </c>
      <c r="T491" s="37">
        <f ca="1">_xlfn.IFNA(VLOOKUP($A491,INDIRECT("'W"&amp;T$1&amp;"'!$A$2:$T$1000"),4,FALSE),0)</f>
        <v>0</v>
      </c>
      <c r="U491" s="36">
        <f ca="1">COUNTIF(C491:T491,"&gt; 15")</f>
        <v>0</v>
      </c>
      <c r="V491" s="36">
        <f ca="1">SUM(C491:T491)</f>
        <v>10.199999999999999</v>
      </c>
      <c r="W491" s="36"/>
      <c r="X491" s="38"/>
    </row>
    <row r="492" spans="1:24" ht="12.75" x14ac:dyDescent="0.2">
      <c r="A492" s="36" t="s">
        <v>269</v>
      </c>
      <c r="B492" s="36" t="s">
        <v>162</v>
      </c>
      <c r="C492" s="37">
        <f ca="1">_xlfn.IFNA(VLOOKUP($A492,INDIRECT("'W"&amp;C$1&amp;"'!$A$2:$T$1000"),4,FALSE),0)</f>
        <v>0</v>
      </c>
      <c r="D492" s="37">
        <f ca="1">_xlfn.IFNA(VLOOKUP($A492,INDIRECT("'W"&amp;D$1&amp;"'!$A$2:$T$1000"),4,FALSE),0)</f>
        <v>1.7000000000000002</v>
      </c>
      <c r="E492" s="37">
        <f ca="1">_xlfn.IFNA(VLOOKUP($A492,INDIRECT("'W"&amp;E$1&amp;"'!$A$2:$T$1000"),4,FALSE),0)</f>
        <v>0</v>
      </c>
      <c r="F492" s="37">
        <f ca="1">_xlfn.IFNA(VLOOKUP($A492,INDIRECT("'W"&amp;F$1&amp;"'!$A$2:$T$1000"),4,FALSE),0)</f>
        <v>1.3</v>
      </c>
      <c r="G492" s="37">
        <f ca="1">_xlfn.IFNA(VLOOKUP($A492,INDIRECT("'W"&amp;G$1&amp;"'!$A$2:$T$1000"),4,FALSE),0)</f>
        <v>0</v>
      </c>
      <c r="H492" s="37">
        <f ca="1">_xlfn.IFNA(VLOOKUP($A492,INDIRECT("'W"&amp;H$1&amp;"'!$A$2:$T$1000"),4,FALSE),0)</f>
        <v>0</v>
      </c>
      <c r="I492" s="37">
        <f ca="1">_xlfn.IFNA(VLOOKUP($A492,INDIRECT("'W"&amp;I$1&amp;"'!$A$2:$T$1000"),4,FALSE),0)</f>
        <v>0</v>
      </c>
      <c r="J492" s="37">
        <f ca="1">_xlfn.IFNA(VLOOKUP($A492,INDIRECT("'W"&amp;J$1&amp;"'!$A$2:$T$1000"),4,FALSE),0)</f>
        <v>1.9</v>
      </c>
      <c r="K492" s="37">
        <f ca="1">_xlfn.IFNA(VLOOKUP($A492,INDIRECT("'W"&amp;K$1&amp;"'!$A$2:$T$1000"),4,FALSE),0)</f>
        <v>0</v>
      </c>
      <c r="L492" s="37">
        <f ca="1">_xlfn.IFNA(VLOOKUP($A492,INDIRECT("'W"&amp;L$1&amp;"'!$A$2:$T$1000"),4,FALSE),0)</f>
        <v>0</v>
      </c>
      <c r="M492" s="37">
        <f ca="1">_xlfn.IFNA(VLOOKUP($A492,INDIRECT("'W"&amp;M$1&amp;"'!$A$2:$T$1000"),4,FALSE),0)</f>
        <v>5.1000000000000005</v>
      </c>
      <c r="N492" s="37">
        <f ca="1">_xlfn.IFNA(VLOOKUP($A492,INDIRECT("'W"&amp;N$1&amp;"'!$A$2:$T$1000"),4,FALSE),0)</f>
        <v>0</v>
      </c>
      <c r="O492" s="37">
        <f ca="1">_xlfn.IFNA(VLOOKUP($A492,INDIRECT("'W"&amp;O$1&amp;"'!$A$2:$T$1000"),4,FALSE),0)</f>
        <v>0</v>
      </c>
      <c r="P492" s="37">
        <f ca="1">_xlfn.IFNA(VLOOKUP($A492,INDIRECT("'W"&amp;P$1&amp;"'!$A$2:$T$1000"),4,FALSE),0)</f>
        <v>0</v>
      </c>
      <c r="Q492" s="37">
        <f ca="1">_xlfn.IFNA(VLOOKUP($A492,INDIRECT("'W"&amp;Q$1&amp;"'!$A$2:$T$1000"),4,FALSE),0)</f>
        <v>0</v>
      </c>
      <c r="R492" s="37">
        <f ca="1">_xlfn.IFNA(VLOOKUP($A492,INDIRECT("'W"&amp;R$1&amp;"'!$A$2:$T$1000"),4,FALSE),0)</f>
        <v>0</v>
      </c>
      <c r="S492" s="37">
        <f ca="1">_xlfn.IFNA(VLOOKUP($A492,INDIRECT("'W"&amp;S$1&amp;"'!$A$2:$T$1000"),4,FALSE),0)</f>
        <v>0</v>
      </c>
      <c r="T492" s="37">
        <f ca="1">_xlfn.IFNA(VLOOKUP($A492,INDIRECT("'W"&amp;T$1&amp;"'!$A$2:$T$1000"),4,FALSE),0)</f>
        <v>0</v>
      </c>
      <c r="U492" s="36">
        <f ca="1">COUNTIF(C492:T492,"&gt; 15")</f>
        <v>0</v>
      </c>
      <c r="V492" s="36">
        <f ca="1">SUM(C492:T492)</f>
        <v>10</v>
      </c>
      <c r="W492" s="36"/>
      <c r="X492" s="38"/>
    </row>
    <row r="493" spans="1:24" ht="12.75" x14ac:dyDescent="0.2">
      <c r="A493" s="36" t="s">
        <v>139</v>
      </c>
      <c r="B493" s="36" t="s">
        <v>75</v>
      </c>
      <c r="C493" s="37">
        <f ca="1">_xlfn.IFNA(VLOOKUP($A493,INDIRECT("'W"&amp;C$1&amp;"'!$A$2:$T$1000"),4,FALSE),0)</f>
        <v>3.6</v>
      </c>
      <c r="D493" s="37">
        <f ca="1">_xlfn.IFNA(VLOOKUP($A493,INDIRECT("'W"&amp;D$1&amp;"'!$A$2:$T$1000"),4,FALSE),0)</f>
        <v>0</v>
      </c>
      <c r="E493" s="37">
        <f ca="1">_xlfn.IFNA(VLOOKUP($A493,INDIRECT("'W"&amp;E$1&amp;"'!$A$2:$T$1000"),4,FALSE),0)</f>
        <v>0</v>
      </c>
      <c r="F493" s="37">
        <f ca="1">_xlfn.IFNA(VLOOKUP($A493,INDIRECT("'W"&amp;F$1&amp;"'!$A$2:$T$1000"),4,FALSE),0)</f>
        <v>0</v>
      </c>
      <c r="G493" s="37">
        <f ca="1">_xlfn.IFNA(VLOOKUP($A493,INDIRECT("'W"&amp;G$1&amp;"'!$A$2:$T$1000"),4,FALSE),0)</f>
        <v>1.5</v>
      </c>
      <c r="H493" s="37">
        <f ca="1">_xlfn.IFNA(VLOOKUP($A493,INDIRECT("'W"&amp;H$1&amp;"'!$A$2:$T$1000"),4,FALSE),0)</f>
        <v>1.9</v>
      </c>
      <c r="I493" s="37">
        <f ca="1">_xlfn.IFNA(VLOOKUP($A493,INDIRECT("'W"&amp;I$1&amp;"'!$A$2:$T$1000"),4,FALSE),0)</f>
        <v>0</v>
      </c>
      <c r="J493" s="37">
        <f ca="1">_xlfn.IFNA(VLOOKUP($A493,INDIRECT("'W"&amp;J$1&amp;"'!$A$2:$T$1000"),4,FALSE),0)</f>
        <v>0</v>
      </c>
      <c r="K493" s="37">
        <f ca="1">_xlfn.IFNA(VLOOKUP($A493,INDIRECT("'W"&amp;K$1&amp;"'!$A$2:$T$1000"),4,FALSE),0)</f>
        <v>0</v>
      </c>
      <c r="L493" s="37">
        <f ca="1">_xlfn.IFNA(VLOOKUP($A493,INDIRECT("'W"&amp;L$1&amp;"'!$A$2:$T$1000"),4,FALSE),0)</f>
        <v>0</v>
      </c>
      <c r="M493" s="37">
        <f ca="1">_xlfn.IFNA(VLOOKUP($A493,INDIRECT("'W"&amp;M$1&amp;"'!$A$2:$T$1000"),4,FALSE),0)</f>
        <v>0</v>
      </c>
      <c r="N493" s="37">
        <f ca="1">_xlfn.IFNA(VLOOKUP($A493,INDIRECT("'W"&amp;N$1&amp;"'!$A$2:$T$1000"),4,FALSE),0)</f>
        <v>0</v>
      </c>
      <c r="O493" s="37">
        <f ca="1">_xlfn.IFNA(VLOOKUP($A493,INDIRECT("'W"&amp;O$1&amp;"'!$A$2:$T$1000"),4,FALSE),0)</f>
        <v>0.2</v>
      </c>
      <c r="P493" s="37">
        <f ca="1">_xlfn.IFNA(VLOOKUP($A493,INDIRECT("'W"&amp;P$1&amp;"'!$A$2:$T$1000"),4,FALSE),0)</f>
        <v>2.7</v>
      </c>
      <c r="Q493" s="37">
        <f ca="1">_xlfn.IFNA(VLOOKUP($A493,INDIRECT("'W"&amp;Q$1&amp;"'!$A$2:$T$1000"),4,FALSE),0)</f>
        <v>0</v>
      </c>
      <c r="R493" s="37">
        <f ca="1">_xlfn.IFNA(VLOOKUP($A493,INDIRECT("'W"&amp;R$1&amp;"'!$A$2:$T$1000"),4,FALSE),0)</f>
        <v>0</v>
      </c>
      <c r="S493" s="37">
        <f ca="1">_xlfn.IFNA(VLOOKUP($A493,INDIRECT("'W"&amp;S$1&amp;"'!$A$2:$T$1000"),4,FALSE),0)</f>
        <v>0</v>
      </c>
      <c r="T493" s="37">
        <f ca="1">_xlfn.IFNA(VLOOKUP($A493,INDIRECT("'W"&amp;T$1&amp;"'!$A$2:$T$1000"),4,FALSE),0)</f>
        <v>0</v>
      </c>
      <c r="U493" s="36">
        <f ca="1">COUNTIF(C493:T493,"&gt; 15")</f>
        <v>0</v>
      </c>
      <c r="V493" s="36">
        <f ca="1">SUM(C493:T493)</f>
        <v>9.9</v>
      </c>
      <c r="W493" s="36"/>
      <c r="X493" s="38"/>
    </row>
    <row r="494" spans="1:24" ht="12.75" x14ac:dyDescent="0.2">
      <c r="A494" s="36" t="s">
        <v>833</v>
      </c>
      <c r="B494" s="36" t="e">
        <f ca="1">VLOOKUP(A494,CumulativePlayerList!$T$3:$U$550,2,FALSE)</f>
        <v>#NAME?</v>
      </c>
      <c r="C494" s="37">
        <f ca="1">_xlfn.IFNA(VLOOKUP($A494,INDIRECT("'W"&amp;C$1&amp;"'!$A$2:$T$1000"),4,FALSE),0)</f>
        <v>0</v>
      </c>
      <c r="D494" s="37">
        <f ca="1">_xlfn.IFNA(VLOOKUP($A494,INDIRECT("'W"&amp;D$1&amp;"'!$A$2:$T$1000"),4,FALSE),0)</f>
        <v>0</v>
      </c>
      <c r="E494" s="37">
        <f ca="1">_xlfn.IFNA(VLOOKUP($A494,INDIRECT("'W"&amp;E$1&amp;"'!$A$2:$T$1000"),4,FALSE),0)</f>
        <v>0</v>
      </c>
      <c r="F494" s="37">
        <f ca="1">_xlfn.IFNA(VLOOKUP($A494,INDIRECT("'W"&amp;F$1&amp;"'!$A$2:$T$1000"),4,FALSE),0)</f>
        <v>0</v>
      </c>
      <c r="G494" s="37">
        <f ca="1">_xlfn.IFNA(VLOOKUP($A494,INDIRECT("'W"&amp;G$1&amp;"'!$A$2:$T$1000"),4,FALSE),0)</f>
        <v>0</v>
      </c>
      <c r="H494" s="37">
        <f ca="1">_xlfn.IFNA(VLOOKUP($A494,INDIRECT("'W"&amp;H$1&amp;"'!$A$2:$T$1000"),4,FALSE),0)</f>
        <v>0</v>
      </c>
      <c r="I494" s="37">
        <f ca="1">_xlfn.IFNA(VLOOKUP($A494,INDIRECT("'W"&amp;I$1&amp;"'!$A$2:$T$1000"),4,FALSE),0)</f>
        <v>0</v>
      </c>
      <c r="J494" s="37">
        <f ca="1">_xlfn.IFNA(VLOOKUP($A494,INDIRECT("'W"&amp;J$1&amp;"'!$A$2:$T$1000"),4,FALSE),0)</f>
        <v>0</v>
      </c>
      <c r="K494" s="37">
        <f ca="1">_xlfn.IFNA(VLOOKUP($A494,INDIRECT("'W"&amp;K$1&amp;"'!$A$2:$T$1000"),4,FALSE),0)</f>
        <v>0</v>
      </c>
      <c r="L494" s="37">
        <f ca="1">_xlfn.IFNA(VLOOKUP($A494,INDIRECT("'W"&amp;L$1&amp;"'!$A$2:$T$1000"),4,FALSE),0)</f>
        <v>0</v>
      </c>
      <c r="M494" s="37">
        <f ca="1">_xlfn.IFNA(VLOOKUP($A494,INDIRECT("'W"&amp;M$1&amp;"'!$A$2:$T$1000"),4,FALSE),0)</f>
        <v>0</v>
      </c>
      <c r="N494" s="37">
        <f ca="1">_xlfn.IFNA(VLOOKUP($A494,INDIRECT("'W"&amp;N$1&amp;"'!$A$2:$T$1000"),4,FALSE),0)</f>
        <v>0</v>
      </c>
      <c r="O494" s="37">
        <f ca="1">_xlfn.IFNA(VLOOKUP($A494,INDIRECT("'W"&amp;O$1&amp;"'!$A$2:$T$1000"),4,FALSE),0)</f>
        <v>0</v>
      </c>
      <c r="P494" s="37">
        <f ca="1">_xlfn.IFNA(VLOOKUP($A494,INDIRECT("'W"&amp;P$1&amp;"'!$A$2:$T$1000"),4,FALSE),0)</f>
        <v>0</v>
      </c>
      <c r="Q494" s="37">
        <f ca="1">_xlfn.IFNA(VLOOKUP($A494,INDIRECT("'W"&amp;Q$1&amp;"'!$A$2:$T$1000"),4,FALSE),0)</f>
        <v>0</v>
      </c>
      <c r="R494" s="37">
        <f ca="1">_xlfn.IFNA(VLOOKUP($A494,INDIRECT("'W"&amp;R$1&amp;"'!$A$2:$T$1000"),4,FALSE),0)</f>
        <v>0</v>
      </c>
      <c r="S494" s="37">
        <f ca="1">_xlfn.IFNA(VLOOKUP($A494,INDIRECT("'W"&amp;S$1&amp;"'!$A$2:$T$1000"),4,FALSE),0)</f>
        <v>0</v>
      </c>
      <c r="T494" s="37">
        <f ca="1">_xlfn.IFNA(VLOOKUP($A494,INDIRECT("'W"&amp;T$1&amp;"'!$A$2:$T$1000"),4,FALSE),0)</f>
        <v>9.9</v>
      </c>
      <c r="U494" s="36">
        <f ca="1">COUNTIF(C494:T494,"&gt; 15")</f>
        <v>0</v>
      </c>
      <c r="V494" s="36">
        <f ca="1">SUM(C494:T494)</f>
        <v>9.9</v>
      </c>
      <c r="W494" s="36"/>
      <c r="X494" s="38"/>
    </row>
    <row r="495" spans="1:24" ht="12.75" x14ac:dyDescent="0.2">
      <c r="A495" s="36" t="s">
        <v>756</v>
      </c>
      <c r="B495" s="36" t="e">
        <f ca="1">VLOOKUP(A495,CumulativePlayerList!$T$3:$U$550,2,FALSE)</f>
        <v>#NAME?</v>
      </c>
      <c r="C495" s="37">
        <f ca="1">_xlfn.IFNA(VLOOKUP($A495,INDIRECT("'W"&amp;C$1&amp;"'!$A$2:$T$1000"),4,FALSE),0)</f>
        <v>0</v>
      </c>
      <c r="D495" s="37">
        <f ca="1">_xlfn.IFNA(VLOOKUP($A495,INDIRECT("'W"&amp;D$1&amp;"'!$A$2:$T$1000"),4,FALSE),0)</f>
        <v>0</v>
      </c>
      <c r="E495" s="37">
        <f ca="1">_xlfn.IFNA(VLOOKUP($A495,INDIRECT("'W"&amp;E$1&amp;"'!$A$2:$T$1000"),4,FALSE),0)</f>
        <v>0</v>
      </c>
      <c r="F495" s="37">
        <f ca="1">_xlfn.IFNA(VLOOKUP($A495,INDIRECT("'W"&amp;F$1&amp;"'!$A$2:$T$1000"),4,FALSE),0)</f>
        <v>0</v>
      </c>
      <c r="G495" s="37">
        <f ca="1">_xlfn.IFNA(VLOOKUP($A495,INDIRECT("'W"&amp;G$1&amp;"'!$A$2:$T$1000"),4,FALSE),0)</f>
        <v>0</v>
      </c>
      <c r="H495" s="37">
        <f ca="1">_xlfn.IFNA(VLOOKUP($A495,INDIRECT("'W"&amp;H$1&amp;"'!$A$2:$T$1000"),4,FALSE),0)</f>
        <v>0</v>
      </c>
      <c r="I495" s="37">
        <f ca="1">_xlfn.IFNA(VLOOKUP($A495,INDIRECT("'W"&amp;I$1&amp;"'!$A$2:$T$1000"),4,FALSE),0)</f>
        <v>0</v>
      </c>
      <c r="J495" s="37">
        <f ca="1">_xlfn.IFNA(VLOOKUP($A495,INDIRECT("'W"&amp;J$1&amp;"'!$A$2:$T$1000"),4,FALSE),0)</f>
        <v>0</v>
      </c>
      <c r="K495" s="37">
        <f ca="1">_xlfn.IFNA(VLOOKUP($A495,INDIRECT("'W"&amp;K$1&amp;"'!$A$2:$T$1000"),4,FALSE),0)</f>
        <v>0</v>
      </c>
      <c r="L495" s="37">
        <f ca="1">_xlfn.IFNA(VLOOKUP($A495,INDIRECT("'W"&amp;L$1&amp;"'!$A$2:$T$1000"),4,FALSE),0)</f>
        <v>0</v>
      </c>
      <c r="M495" s="37">
        <f ca="1">_xlfn.IFNA(VLOOKUP($A495,INDIRECT("'W"&amp;M$1&amp;"'!$A$2:$T$1000"),4,FALSE),0)</f>
        <v>0</v>
      </c>
      <c r="N495" s="37">
        <f ca="1">_xlfn.IFNA(VLOOKUP($A495,INDIRECT("'W"&amp;N$1&amp;"'!$A$2:$T$1000"),4,FALSE),0)</f>
        <v>0</v>
      </c>
      <c r="O495" s="37">
        <f ca="1">_xlfn.IFNA(VLOOKUP($A495,INDIRECT("'W"&amp;O$1&amp;"'!$A$2:$T$1000"),4,FALSE),0)</f>
        <v>0</v>
      </c>
      <c r="P495" s="37">
        <f ca="1">_xlfn.IFNA(VLOOKUP($A495,INDIRECT("'W"&amp;P$1&amp;"'!$A$2:$T$1000"),4,FALSE),0)</f>
        <v>0</v>
      </c>
      <c r="Q495" s="37">
        <f ca="1">_xlfn.IFNA(VLOOKUP($A495,INDIRECT("'W"&amp;Q$1&amp;"'!$A$2:$T$1000"),4,FALSE),0)</f>
        <v>11.26</v>
      </c>
      <c r="R495" s="37">
        <f ca="1">_xlfn.IFNA(VLOOKUP($A495,INDIRECT("'W"&amp;R$1&amp;"'!$A$2:$T$1000"),4,FALSE),0)</f>
        <v>-1.52</v>
      </c>
      <c r="S495" s="37">
        <f ca="1">_xlfn.IFNA(VLOOKUP($A495,INDIRECT("'W"&amp;S$1&amp;"'!$A$2:$T$1000"),4,FALSE),0)</f>
        <v>0</v>
      </c>
      <c r="T495" s="37">
        <f ca="1">_xlfn.IFNA(VLOOKUP($A495,INDIRECT("'W"&amp;T$1&amp;"'!$A$2:$T$1000"),4,FALSE),0)</f>
        <v>0</v>
      </c>
      <c r="U495" s="36">
        <f ca="1">COUNTIF(C495:T495,"&gt; 15")</f>
        <v>0</v>
      </c>
      <c r="V495" s="36">
        <f ca="1">SUM(C495:T495)</f>
        <v>9.74</v>
      </c>
      <c r="W495" s="36"/>
      <c r="X495" s="38"/>
    </row>
    <row r="496" spans="1:24" ht="12.75" x14ac:dyDescent="0.2">
      <c r="A496" s="36" t="s">
        <v>257</v>
      </c>
      <c r="B496" s="36" t="s">
        <v>162</v>
      </c>
      <c r="C496" s="37">
        <f ca="1">_xlfn.IFNA(VLOOKUP($A496,INDIRECT("'W"&amp;C$1&amp;"'!$A$2:$T$1000"),4,FALSE),0)</f>
        <v>1.5</v>
      </c>
      <c r="D496" s="37">
        <f ca="1">_xlfn.IFNA(VLOOKUP($A496,INDIRECT("'W"&amp;D$1&amp;"'!$A$2:$T$1000"),4,FALSE),0)</f>
        <v>0</v>
      </c>
      <c r="E496" s="37">
        <f ca="1">_xlfn.IFNA(VLOOKUP($A496,INDIRECT("'W"&amp;E$1&amp;"'!$A$2:$T$1000"),4,FALSE),0)</f>
        <v>2.6</v>
      </c>
      <c r="F496" s="37">
        <f ca="1">_xlfn.IFNA(VLOOKUP($A496,INDIRECT("'W"&amp;F$1&amp;"'!$A$2:$T$1000"),4,FALSE),0)</f>
        <v>0</v>
      </c>
      <c r="G496" s="37">
        <f ca="1">_xlfn.IFNA(VLOOKUP($A496,INDIRECT("'W"&amp;G$1&amp;"'!$A$2:$T$1000"),4,FALSE),0)</f>
        <v>0.30000000000000004</v>
      </c>
      <c r="H496" s="37">
        <f ca="1">_xlfn.IFNA(VLOOKUP($A496,INDIRECT("'W"&amp;H$1&amp;"'!$A$2:$T$1000"),4,FALSE),0)</f>
        <v>0</v>
      </c>
      <c r="I496" s="37">
        <f ca="1">_xlfn.IFNA(VLOOKUP($A496,INDIRECT("'W"&amp;I$1&amp;"'!$A$2:$T$1000"),4,FALSE),0)</f>
        <v>0</v>
      </c>
      <c r="J496" s="37">
        <f ca="1">_xlfn.IFNA(VLOOKUP($A496,INDIRECT("'W"&amp;J$1&amp;"'!$A$2:$T$1000"),4,FALSE),0)</f>
        <v>0</v>
      </c>
      <c r="K496" s="37">
        <f ca="1">_xlfn.IFNA(VLOOKUP($A496,INDIRECT("'W"&amp;K$1&amp;"'!$A$2:$T$1000"),4,FALSE),0)</f>
        <v>2.5</v>
      </c>
      <c r="L496" s="37">
        <f ca="1">_xlfn.IFNA(VLOOKUP($A496,INDIRECT("'W"&amp;L$1&amp;"'!$A$2:$T$1000"),4,FALSE),0)</f>
        <v>1.5</v>
      </c>
      <c r="M496" s="37">
        <f ca="1">_xlfn.IFNA(VLOOKUP($A496,INDIRECT("'W"&amp;M$1&amp;"'!$A$2:$T$1000"),4,FALSE),0)</f>
        <v>0</v>
      </c>
      <c r="N496" s="37">
        <f ca="1">_xlfn.IFNA(VLOOKUP($A496,INDIRECT("'W"&amp;N$1&amp;"'!$A$2:$T$1000"),4,FALSE),0)</f>
        <v>0</v>
      </c>
      <c r="O496" s="37">
        <f ca="1">_xlfn.IFNA(VLOOKUP($A496,INDIRECT("'W"&amp;O$1&amp;"'!$A$2:$T$1000"),4,FALSE),0)</f>
        <v>0</v>
      </c>
      <c r="P496" s="37">
        <f ca="1">_xlfn.IFNA(VLOOKUP($A496,INDIRECT("'W"&amp;P$1&amp;"'!$A$2:$T$1000"),4,FALSE),0)</f>
        <v>0</v>
      </c>
      <c r="Q496" s="37">
        <f ca="1">_xlfn.IFNA(VLOOKUP($A496,INDIRECT("'W"&amp;Q$1&amp;"'!$A$2:$T$1000"),4,FALSE),0)</f>
        <v>0</v>
      </c>
      <c r="R496" s="37">
        <f ca="1">_xlfn.IFNA(VLOOKUP($A496,INDIRECT("'W"&amp;R$1&amp;"'!$A$2:$T$1000"),4,FALSE),0)</f>
        <v>0</v>
      </c>
      <c r="S496" s="37">
        <f ca="1">_xlfn.IFNA(VLOOKUP($A496,INDIRECT("'W"&amp;S$1&amp;"'!$A$2:$T$1000"),4,FALSE),0)</f>
        <v>0</v>
      </c>
      <c r="T496" s="37">
        <f ca="1">_xlfn.IFNA(VLOOKUP($A496,INDIRECT("'W"&amp;T$1&amp;"'!$A$2:$T$1000"),4,FALSE),0)</f>
        <v>1.3</v>
      </c>
      <c r="U496" s="36">
        <f ca="1">COUNTIF(C496:T496,"&gt; 15")</f>
        <v>0</v>
      </c>
      <c r="V496" s="36">
        <f ca="1">SUM(C496:T496)</f>
        <v>9.6999999999999993</v>
      </c>
      <c r="W496" s="36"/>
      <c r="X496" s="38"/>
    </row>
    <row r="497" spans="1:24" ht="12.75" x14ac:dyDescent="0.2">
      <c r="A497" s="36" t="s">
        <v>809</v>
      </c>
      <c r="B497" s="36" t="e">
        <f ca="1">VLOOKUP(A497,CumulativePlayerList!$T$3:$U$550,2,FALSE)</f>
        <v>#NAME?</v>
      </c>
      <c r="C497" s="37">
        <f ca="1">_xlfn.IFNA(VLOOKUP($A497,INDIRECT("'W"&amp;C$1&amp;"'!$A$2:$T$1000"),4,FALSE),0)</f>
        <v>0</v>
      </c>
      <c r="D497" s="37">
        <f ca="1">_xlfn.IFNA(VLOOKUP($A497,INDIRECT("'W"&amp;D$1&amp;"'!$A$2:$T$1000"),4,FALSE),0)</f>
        <v>0</v>
      </c>
      <c r="E497" s="37">
        <f ca="1">_xlfn.IFNA(VLOOKUP($A497,INDIRECT("'W"&amp;E$1&amp;"'!$A$2:$T$1000"),4,FALSE),0)</f>
        <v>0</v>
      </c>
      <c r="F497" s="37">
        <f ca="1">_xlfn.IFNA(VLOOKUP($A497,INDIRECT("'W"&amp;F$1&amp;"'!$A$2:$T$1000"),4,FALSE),0)</f>
        <v>0</v>
      </c>
      <c r="G497" s="37">
        <f ca="1">_xlfn.IFNA(VLOOKUP($A497,INDIRECT("'W"&amp;G$1&amp;"'!$A$2:$T$1000"),4,FALSE),0)</f>
        <v>0</v>
      </c>
      <c r="H497" s="37">
        <f ca="1">_xlfn.IFNA(VLOOKUP($A497,INDIRECT("'W"&amp;H$1&amp;"'!$A$2:$T$1000"),4,FALSE),0)</f>
        <v>0</v>
      </c>
      <c r="I497" s="37">
        <f ca="1">_xlfn.IFNA(VLOOKUP($A497,INDIRECT("'W"&amp;I$1&amp;"'!$A$2:$T$1000"),4,FALSE),0)</f>
        <v>0</v>
      </c>
      <c r="J497" s="37">
        <f ca="1">_xlfn.IFNA(VLOOKUP($A497,INDIRECT("'W"&amp;J$1&amp;"'!$A$2:$T$1000"),4,FALSE),0)</f>
        <v>0</v>
      </c>
      <c r="K497" s="37">
        <f ca="1">_xlfn.IFNA(VLOOKUP($A497,INDIRECT("'W"&amp;K$1&amp;"'!$A$2:$T$1000"),4,FALSE),0)</f>
        <v>0</v>
      </c>
      <c r="L497" s="37">
        <f ca="1">_xlfn.IFNA(VLOOKUP($A497,INDIRECT("'W"&amp;L$1&amp;"'!$A$2:$T$1000"),4,FALSE),0)</f>
        <v>0</v>
      </c>
      <c r="M497" s="37">
        <f ca="1">_xlfn.IFNA(VLOOKUP($A497,INDIRECT("'W"&amp;M$1&amp;"'!$A$2:$T$1000"),4,FALSE),0)</f>
        <v>0</v>
      </c>
      <c r="N497" s="37">
        <f ca="1">_xlfn.IFNA(VLOOKUP($A497,INDIRECT("'W"&amp;N$1&amp;"'!$A$2:$T$1000"),4,FALSE),0)</f>
        <v>0</v>
      </c>
      <c r="O497" s="37">
        <f ca="1">_xlfn.IFNA(VLOOKUP($A497,INDIRECT("'W"&amp;O$1&amp;"'!$A$2:$T$1000"),4,FALSE),0)</f>
        <v>0</v>
      </c>
      <c r="P497" s="37">
        <f ca="1">_xlfn.IFNA(VLOOKUP($A497,INDIRECT("'W"&amp;P$1&amp;"'!$A$2:$T$1000"),4,FALSE),0)</f>
        <v>0</v>
      </c>
      <c r="Q497" s="37">
        <f ca="1">_xlfn.IFNA(VLOOKUP($A497,INDIRECT("'W"&amp;Q$1&amp;"'!$A$2:$T$1000"),4,FALSE),0)</f>
        <v>0</v>
      </c>
      <c r="R497" s="37">
        <f ca="1">_xlfn.IFNA(VLOOKUP($A497,INDIRECT("'W"&amp;R$1&amp;"'!$A$2:$T$1000"),4,FALSE),0)</f>
        <v>0</v>
      </c>
      <c r="S497" s="37">
        <f ca="1">_xlfn.IFNA(VLOOKUP($A497,INDIRECT("'W"&amp;S$1&amp;"'!$A$2:$T$1000"),4,FALSE),0)</f>
        <v>7.5</v>
      </c>
      <c r="T497" s="37">
        <f ca="1">_xlfn.IFNA(VLOOKUP($A497,INDIRECT("'W"&amp;T$1&amp;"'!$A$2:$T$1000"),4,FALSE),0)</f>
        <v>1.8</v>
      </c>
      <c r="U497" s="36">
        <f ca="1">COUNTIF(C497:T497,"&gt; 15")</f>
        <v>0</v>
      </c>
      <c r="V497" s="36">
        <f ca="1">SUM(C497:T497)</f>
        <v>9.3000000000000007</v>
      </c>
      <c r="W497" s="36"/>
      <c r="X497" s="38"/>
    </row>
    <row r="498" spans="1:24" ht="12.75" x14ac:dyDescent="0.2">
      <c r="A498" s="36" t="s">
        <v>448</v>
      </c>
      <c r="B498" s="36" t="s">
        <v>69</v>
      </c>
      <c r="C498" s="37">
        <f ca="1">_xlfn.IFNA(VLOOKUP($A498,INDIRECT("'W"&amp;C$1&amp;"'!$A$2:$T$1000"),4,FALSE),0)</f>
        <v>0</v>
      </c>
      <c r="D498" s="37">
        <f ca="1">_xlfn.IFNA(VLOOKUP($A498,INDIRECT("'W"&amp;D$1&amp;"'!$A$2:$T$1000"),4,FALSE),0)</f>
        <v>0</v>
      </c>
      <c r="E498" s="37">
        <f ca="1">_xlfn.IFNA(VLOOKUP($A498,INDIRECT("'W"&amp;E$1&amp;"'!$A$2:$T$1000"),4,FALSE),0)</f>
        <v>1.6</v>
      </c>
      <c r="F498" s="37">
        <f ca="1">_xlfn.IFNA(VLOOKUP($A498,INDIRECT("'W"&amp;F$1&amp;"'!$A$2:$T$1000"),4,FALSE),0)</f>
        <v>0</v>
      </c>
      <c r="G498" s="37">
        <f ca="1">_xlfn.IFNA(VLOOKUP($A498,INDIRECT("'W"&amp;G$1&amp;"'!$A$2:$T$1000"),4,FALSE),0)</f>
        <v>1.4</v>
      </c>
      <c r="H498" s="37">
        <f ca="1">_xlfn.IFNA(VLOOKUP($A498,INDIRECT("'W"&amp;H$1&amp;"'!$A$2:$T$1000"),4,FALSE),0)</f>
        <v>0</v>
      </c>
      <c r="I498" s="37">
        <f ca="1">_xlfn.IFNA(VLOOKUP($A498,INDIRECT("'W"&amp;I$1&amp;"'!$A$2:$T$1000"),4,FALSE),0)</f>
        <v>0</v>
      </c>
      <c r="J498" s="37">
        <f ca="1">_xlfn.IFNA(VLOOKUP($A498,INDIRECT("'W"&amp;J$1&amp;"'!$A$2:$T$1000"),4,FALSE),0)</f>
        <v>0</v>
      </c>
      <c r="K498" s="37">
        <f ca="1">_xlfn.IFNA(VLOOKUP($A498,INDIRECT("'W"&amp;K$1&amp;"'!$A$2:$T$1000"),4,FALSE),0)</f>
        <v>0</v>
      </c>
      <c r="L498" s="37">
        <f ca="1">_xlfn.IFNA(VLOOKUP($A498,INDIRECT("'W"&amp;L$1&amp;"'!$A$2:$T$1000"),4,FALSE),0)</f>
        <v>0</v>
      </c>
      <c r="M498" s="37">
        <f ca="1">_xlfn.IFNA(VLOOKUP($A498,INDIRECT("'W"&amp;M$1&amp;"'!$A$2:$T$1000"),4,FALSE),0)</f>
        <v>1.3</v>
      </c>
      <c r="N498" s="37">
        <f ca="1">_xlfn.IFNA(VLOOKUP($A498,INDIRECT("'W"&amp;N$1&amp;"'!$A$2:$T$1000"),4,FALSE),0)</f>
        <v>2.4000000000000004</v>
      </c>
      <c r="O498" s="37">
        <f ca="1">_xlfn.IFNA(VLOOKUP($A498,INDIRECT("'W"&amp;O$1&amp;"'!$A$2:$T$1000"),4,FALSE),0)</f>
        <v>0</v>
      </c>
      <c r="P498" s="37">
        <f ca="1">_xlfn.IFNA(VLOOKUP($A498,INDIRECT("'W"&amp;P$1&amp;"'!$A$2:$T$1000"),4,FALSE),0)</f>
        <v>0</v>
      </c>
      <c r="Q498" s="37">
        <f ca="1">_xlfn.IFNA(VLOOKUP($A498,INDIRECT("'W"&amp;Q$1&amp;"'!$A$2:$T$1000"),4,FALSE),0)</f>
        <v>0</v>
      </c>
      <c r="R498" s="37">
        <f ca="1">_xlfn.IFNA(VLOOKUP($A498,INDIRECT("'W"&amp;R$1&amp;"'!$A$2:$T$1000"),4,FALSE),0)</f>
        <v>0</v>
      </c>
      <c r="S498" s="37">
        <f ca="1">_xlfn.IFNA(VLOOKUP($A498,INDIRECT("'W"&amp;S$1&amp;"'!$A$2:$T$1000"),4,FALSE),0)</f>
        <v>0</v>
      </c>
      <c r="T498" s="37">
        <f ca="1">_xlfn.IFNA(VLOOKUP($A498,INDIRECT("'W"&amp;T$1&amp;"'!$A$2:$T$1000"),4,FALSE),0)</f>
        <v>2.1</v>
      </c>
      <c r="U498" s="36">
        <f ca="1">COUNTIF(C498:T498,"&gt; 15")</f>
        <v>0</v>
      </c>
      <c r="V498" s="36">
        <f ca="1">SUM(C498:T498)</f>
        <v>8.8000000000000007</v>
      </c>
      <c r="W498" s="36"/>
      <c r="X498" s="38"/>
    </row>
    <row r="499" spans="1:24" ht="12.75" x14ac:dyDescent="0.2">
      <c r="A499" s="36" t="s">
        <v>608</v>
      </c>
      <c r="B499" s="36" t="s">
        <v>69</v>
      </c>
      <c r="C499" s="37">
        <f ca="1">_xlfn.IFNA(VLOOKUP($A499,INDIRECT("'W"&amp;C$1&amp;"'!$A$2:$T$1000"),4,FALSE),0)</f>
        <v>0</v>
      </c>
      <c r="D499" s="37">
        <f ca="1">_xlfn.IFNA(VLOOKUP($A499,INDIRECT("'W"&amp;D$1&amp;"'!$A$2:$T$1000"),4,FALSE),0)</f>
        <v>0</v>
      </c>
      <c r="E499" s="37">
        <f ca="1">_xlfn.IFNA(VLOOKUP($A499,INDIRECT("'W"&amp;E$1&amp;"'!$A$2:$T$1000"),4,FALSE),0)</f>
        <v>0</v>
      </c>
      <c r="F499" s="37">
        <f ca="1">_xlfn.IFNA(VLOOKUP($A499,INDIRECT("'W"&amp;F$1&amp;"'!$A$2:$T$1000"),4,FALSE),0)</f>
        <v>0</v>
      </c>
      <c r="G499" s="37">
        <f ca="1">_xlfn.IFNA(VLOOKUP($A499,INDIRECT("'W"&amp;G$1&amp;"'!$A$2:$T$1000"),4,FALSE),0)</f>
        <v>0</v>
      </c>
      <c r="H499" s="37">
        <f ca="1">_xlfn.IFNA(VLOOKUP($A499,INDIRECT("'W"&amp;H$1&amp;"'!$A$2:$T$1000"),4,FALSE),0)</f>
        <v>0</v>
      </c>
      <c r="I499" s="37">
        <f ca="1">_xlfn.IFNA(VLOOKUP($A499,INDIRECT("'W"&amp;I$1&amp;"'!$A$2:$T$1000"),4,FALSE),0)</f>
        <v>0</v>
      </c>
      <c r="J499" s="37">
        <f ca="1">_xlfn.IFNA(VLOOKUP($A499,INDIRECT("'W"&amp;J$1&amp;"'!$A$2:$T$1000"),4,FALSE),0)</f>
        <v>1.4</v>
      </c>
      <c r="K499" s="37">
        <f ca="1">_xlfn.IFNA(VLOOKUP($A499,INDIRECT("'W"&amp;K$1&amp;"'!$A$2:$T$1000"),4,FALSE),0)</f>
        <v>0</v>
      </c>
      <c r="L499" s="37">
        <f ca="1">_xlfn.IFNA(VLOOKUP($A499,INDIRECT("'W"&amp;L$1&amp;"'!$A$2:$T$1000"),4,FALSE),0)</f>
        <v>0</v>
      </c>
      <c r="M499" s="37">
        <f ca="1">_xlfn.IFNA(VLOOKUP($A499,INDIRECT("'W"&amp;M$1&amp;"'!$A$2:$T$1000"),4,FALSE),0)</f>
        <v>0</v>
      </c>
      <c r="N499" s="37">
        <f ca="1">_xlfn.IFNA(VLOOKUP($A499,INDIRECT("'W"&amp;N$1&amp;"'!$A$2:$T$1000"),4,FALSE),0)</f>
        <v>0</v>
      </c>
      <c r="O499" s="37">
        <f ca="1">_xlfn.IFNA(VLOOKUP($A499,INDIRECT("'W"&amp;O$1&amp;"'!$A$2:$T$1000"),4,FALSE),0)</f>
        <v>4.3000000000000007</v>
      </c>
      <c r="P499" s="37">
        <f ca="1">_xlfn.IFNA(VLOOKUP($A499,INDIRECT("'W"&amp;P$1&amp;"'!$A$2:$T$1000"),4,FALSE),0)</f>
        <v>0</v>
      </c>
      <c r="Q499" s="37">
        <f ca="1">_xlfn.IFNA(VLOOKUP($A499,INDIRECT("'W"&amp;Q$1&amp;"'!$A$2:$T$1000"),4,FALSE),0)</f>
        <v>0</v>
      </c>
      <c r="R499" s="37">
        <f ca="1">_xlfn.IFNA(VLOOKUP($A499,INDIRECT("'W"&amp;R$1&amp;"'!$A$2:$T$1000"),4,FALSE),0)</f>
        <v>0</v>
      </c>
      <c r="S499" s="37">
        <f ca="1">_xlfn.IFNA(VLOOKUP($A499,INDIRECT("'W"&amp;S$1&amp;"'!$A$2:$T$1000"),4,FALSE),0)</f>
        <v>1.9</v>
      </c>
      <c r="T499" s="37">
        <f ca="1">_xlfn.IFNA(VLOOKUP($A499,INDIRECT("'W"&amp;T$1&amp;"'!$A$2:$T$1000"),4,FALSE),0)</f>
        <v>1.2</v>
      </c>
      <c r="U499" s="36">
        <f ca="1">COUNTIF(C499:T499,"&gt; 15")</f>
        <v>0</v>
      </c>
      <c r="V499" s="36">
        <f ca="1">SUM(C499:T499)</f>
        <v>8.8000000000000007</v>
      </c>
      <c r="W499" s="36"/>
      <c r="X499" s="38"/>
    </row>
    <row r="500" spans="1:24" ht="12.75" x14ac:dyDescent="0.2">
      <c r="A500" s="36" t="s">
        <v>834</v>
      </c>
      <c r="B500" s="36" t="e">
        <f ca="1">VLOOKUP(A500,CumulativePlayerList!$T$3:$U$550,2,FALSE)</f>
        <v>#NAME?</v>
      </c>
      <c r="C500" s="37">
        <f ca="1">_xlfn.IFNA(VLOOKUP($A500,INDIRECT("'W"&amp;C$1&amp;"'!$A$2:$T$1000"),4,FALSE),0)</f>
        <v>0</v>
      </c>
      <c r="D500" s="37">
        <f ca="1">_xlfn.IFNA(VLOOKUP($A500,INDIRECT("'W"&amp;D$1&amp;"'!$A$2:$T$1000"),4,FALSE),0)</f>
        <v>0</v>
      </c>
      <c r="E500" s="37">
        <f ca="1">_xlfn.IFNA(VLOOKUP($A500,INDIRECT("'W"&amp;E$1&amp;"'!$A$2:$T$1000"),4,FALSE),0)</f>
        <v>0</v>
      </c>
      <c r="F500" s="37">
        <f ca="1">_xlfn.IFNA(VLOOKUP($A500,INDIRECT("'W"&amp;F$1&amp;"'!$A$2:$T$1000"),4,FALSE),0)</f>
        <v>0</v>
      </c>
      <c r="G500" s="37">
        <f ca="1">_xlfn.IFNA(VLOOKUP($A500,INDIRECT("'W"&amp;G$1&amp;"'!$A$2:$T$1000"),4,FALSE),0)</f>
        <v>0</v>
      </c>
      <c r="H500" s="37">
        <f ca="1">_xlfn.IFNA(VLOOKUP($A500,INDIRECT("'W"&amp;H$1&amp;"'!$A$2:$T$1000"),4,FALSE),0)</f>
        <v>0</v>
      </c>
      <c r="I500" s="37">
        <f ca="1">_xlfn.IFNA(VLOOKUP($A500,INDIRECT("'W"&amp;I$1&amp;"'!$A$2:$T$1000"),4,FALSE),0)</f>
        <v>0</v>
      </c>
      <c r="J500" s="37">
        <f ca="1">_xlfn.IFNA(VLOOKUP($A500,INDIRECT("'W"&amp;J$1&amp;"'!$A$2:$T$1000"),4,FALSE),0)</f>
        <v>0</v>
      </c>
      <c r="K500" s="37">
        <f ca="1">_xlfn.IFNA(VLOOKUP($A500,INDIRECT("'W"&amp;K$1&amp;"'!$A$2:$T$1000"),4,FALSE),0)</f>
        <v>0</v>
      </c>
      <c r="L500" s="37">
        <f ca="1">_xlfn.IFNA(VLOOKUP($A500,INDIRECT("'W"&amp;L$1&amp;"'!$A$2:$T$1000"),4,FALSE),0)</f>
        <v>0</v>
      </c>
      <c r="M500" s="37">
        <f ca="1">_xlfn.IFNA(VLOOKUP($A500,INDIRECT("'W"&amp;M$1&amp;"'!$A$2:$T$1000"),4,FALSE),0)</f>
        <v>0</v>
      </c>
      <c r="N500" s="37">
        <f ca="1">_xlfn.IFNA(VLOOKUP($A500,INDIRECT("'W"&amp;N$1&amp;"'!$A$2:$T$1000"),4,FALSE),0)</f>
        <v>0</v>
      </c>
      <c r="O500" s="37">
        <f ca="1">_xlfn.IFNA(VLOOKUP($A500,INDIRECT("'W"&amp;O$1&amp;"'!$A$2:$T$1000"),4,FALSE),0)</f>
        <v>0</v>
      </c>
      <c r="P500" s="37">
        <f ca="1">_xlfn.IFNA(VLOOKUP($A500,INDIRECT("'W"&amp;P$1&amp;"'!$A$2:$T$1000"),4,FALSE),0)</f>
        <v>0</v>
      </c>
      <c r="Q500" s="37">
        <f ca="1">_xlfn.IFNA(VLOOKUP($A500,INDIRECT("'W"&amp;Q$1&amp;"'!$A$2:$T$1000"),4,FALSE),0)</f>
        <v>0</v>
      </c>
      <c r="R500" s="37">
        <f ca="1">_xlfn.IFNA(VLOOKUP($A500,INDIRECT("'W"&amp;R$1&amp;"'!$A$2:$T$1000"),4,FALSE),0)</f>
        <v>0</v>
      </c>
      <c r="S500" s="37">
        <f ca="1">_xlfn.IFNA(VLOOKUP($A500,INDIRECT("'W"&amp;S$1&amp;"'!$A$2:$T$1000"),4,FALSE),0)</f>
        <v>0</v>
      </c>
      <c r="T500" s="37">
        <f ca="1">_xlfn.IFNA(VLOOKUP($A500,INDIRECT("'W"&amp;T$1&amp;"'!$A$2:$T$1000"),4,FALSE),0)</f>
        <v>8.8000000000000007</v>
      </c>
      <c r="U500" s="36">
        <f ca="1">COUNTIF(C500:T500,"&gt; 15")</f>
        <v>0</v>
      </c>
      <c r="V500" s="36">
        <f ca="1">SUM(C500:T500)</f>
        <v>8.8000000000000007</v>
      </c>
      <c r="W500" s="36"/>
      <c r="X500" s="38"/>
    </row>
    <row r="501" spans="1:24" ht="12.75" x14ac:dyDescent="0.2">
      <c r="A501" s="36" t="s">
        <v>133</v>
      </c>
      <c r="B501" s="36" t="s">
        <v>75</v>
      </c>
      <c r="C501" s="37">
        <f ca="1">_xlfn.IFNA(VLOOKUP($A501,INDIRECT("'W"&amp;C$1&amp;"'!$A$2:$T$1000"),4,FALSE),0)</f>
        <v>2.8</v>
      </c>
      <c r="D501" s="37">
        <f ca="1">_xlfn.IFNA(VLOOKUP($A501,INDIRECT("'W"&amp;D$1&amp;"'!$A$2:$T$1000"),4,FALSE),0)</f>
        <v>0.30000000000000004</v>
      </c>
      <c r="E501" s="37">
        <f ca="1">_xlfn.IFNA(VLOOKUP($A501,INDIRECT("'W"&amp;E$1&amp;"'!$A$2:$T$1000"),4,FALSE),0)</f>
        <v>1.5000000000000002</v>
      </c>
      <c r="F501" s="37">
        <f ca="1">_xlfn.IFNA(VLOOKUP($A501,INDIRECT("'W"&amp;F$1&amp;"'!$A$2:$T$1000"),4,FALSE),0)</f>
        <v>0</v>
      </c>
      <c r="G501" s="37">
        <f ca="1">_xlfn.IFNA(VLOOKUP($A501,INDIRECT("'W"&amp;G$1&amp;"'!$A$2:$T$1000"),4,FALSE),0)</f>
        <v>0</v>
      </c>
      <c r="H501" s="37">
        <f ca="1">_xlfn.IFNA(VLOOKUP($A501,INDIRECT("'W"&amp;H$1&amp;"'!$A$2:$T$1000"),4,FALSE),0)</f>
        <v>0.9</v>
      </c>
      <c r="I501" s="37">
        <f ca="1">_xlfn.IFNA(VLOOKUP($A501,INDIRECT("'W"&amp;I$1&amp;"'!$A$2:$T$1000"),4,FALSE),0)</f>
        <v>-1</v>
      </c>
      <c r="J501" s="37">
        <f ca="1">_xlfn.IFNA(VLOOKUP($A501,INDIRECT("'W"&amp;J$1&amp;"'!$A$2:$T$1000"),4,FALSE),0)</f>
        <v>0</v>
      </c>
      <c r="K501" s="37">
        <f ca="1">_xlfn.IFNA(VLOOKUP($A501,INDIRECT("'W"&amp;K$1&amp;"'!$A$2:$T$1000"),4,FALSE),0)</f>
        <v>0</v>
      </c>
      <c r="L501" s="37">
        <f ca="1">_xlfn.IFNA(VLOOKUP($A501,INDIRECT("'W"&amp;L$1&amp;"'!$A$2:$T$1000"),4,FALSE),0)</f>
        <v>0</v>
      </c>
      <c r="M501" s="37">
        <f ca="1">_xlfn.IFNA(VLOOKUP($A501,INDIRECT("'W"&amp;M$1&amp;"'!$A$2:$T$1000"),4,FALSE),0)</f>
        <v>2.4</v>
      </c>
      <c r="N501" s="37">
        <f ca="1">_xlfn.IFNA(VLOOKUP($A501,INDIRECT("'W"&amp;N$1&amp;"'!$A$2:$T$1000"),4,FALSE),0)</f>
        <v>0.5</v>
      </c>
      <c r="O501" s="37">
        <f ca="1">_xlfn.IFNA(VLOOKUP($A501,INDIRECT("'W"&amp;O$1&amp;"'!$A$2:$T$1000"),4,FALSE),0)</f>
        <v>0.60000000000000009</v>
      </c>
      <c r="P501" s="37">
        <f ca="1">_xlfn.IFNA(VLOOKUP($A501,INDIRECT("'W"&amp;P$1&amp;"'!$A$2:$T$1000"),4,FALSE),0)</f>
        <v>0</v>
      </c>
      <c r="Q501" s="37">
        <f ca="1">_xlfn.IFNA(VLOOKUP($A501,INDIRECT("'W"&amp;Q$1&amp;"'!$A$2:$T$1000"),4,FALSE),0)</f>
        <v>0</v>
      </c>
      <c r="R501" s="37">
        <f ca="1">_xlfn.IFNA(VLOOKUP($A501,INDIRECT("'W"&amp;R$1&amp;"'!$A$2:$T$1000"),4,FALSE),0)</f>
        <v>0.2</v>
      </c>
      <c r="S501" s="37">
        <f ca="1">_xlfn.IFNA(VLOOKUP($A501,INDIRECT("'W"&amp;S$1&amp;"'!$A$2:$T$1000"),4,FALSE),0)</f>
        <v>0</v>
      </c>
      <c r="T501" s="37">
        <f ca="1">_xlfn.IFNA(VLOOKUP($A501,INDIRECT("'W"&amp;T$1&amp;"'!$A$2:$T$1000"),4,FALSE),0)</f>
        <v>0</v>
      </c>
      <c r="U501" s="36">
        <f ca="1">COUNTIF(C501:T501,"&gt; 15")</f>
        <v>0</v>
      </c>
      <c r="V501" s="36">
        <f ca="1">SUM(C501:T501)</f>
        <v>8.1999999999999993</v>
      </c>
      <c r="W501" s="36"/>
      <c r="X501" s="38"/>
    </row>
    <row r="502" spans="1:24" ht="12.75" x14ac:dyDescent="0.2">
      <c r="A502" s="36" t="s">
        <v>785</v>
      </c>
      <c r="B502" s="36" t="e">
        <f ca="1">VLOOKUP(A502,CumulativePlayerList!$T$3:$U$550,2,FALSE)</f>
        <v>#NAME?</v>
      </c>
      <c r="C502" s="37">
        <f ca="1">_xlfn.IFNA(VLOOKUP($A502,INDIRECT("'W"&amp;C$1&amp;"'!$A$2:$T$1000"),4,FALSE),0)</f>
        <v>0</v>
      </c>
      <c r="D502" s="37">
        <f ca="1">_xlfn.IFNA(VLOOKUP($A502,INDIRECT("'W"&amp;D$1&amp;"'!$A$2:$T$1000"),4,FALSE),0)</f>
        <v>0</v>
      </c>
      <c r="E502" s="37">
        <f ca="1">_xlfn.IFNA(VLOOKUP($A502,INDIRECT("'W"&amp;E$1&amp;"'!$A$2:$T$1000"),4,FALSE),0)</f>
        <v>0</v>
      </c>
      <c r="F502" s="37">
        <f ca="1">_xlfn.IFNA(VLOOKUP($A502,INDIRECT("'W"&amp;F$1&amp;"'!$A$2:$T$1000"),4,FALSE),0)</f>
        <v>0</v>
      </c>
      <c r="G502" s="37">
        <f ca="1">_xlfn.IFNA(VLOOKUP($A502,INDIRECT("'W"&amp;G$1&amp;"'!$A$2:$T$1000"),4,FALSE),0)</f>
        <v>0</v>
      </c>
      <c r="H502" s="37">
        <f ca="1">_xlfn.IFNA(VLOOKUP($A502,INDIRECT("'W"&amp;H$1&amp;"'!$A$2:$T$1000"),4,FALSE),0)</f>
        <v>0</v>
      </c>
      <c r="I502" s="37">
        <f ca="1">_xlfn.IFNA(VLOOKUP($A502,INDIRECT("'W"&amp;I$1&amp;"'!$A$2:$T$1000"),4,FALSE),0)</f>
        <v>0</v>
      </c>
      <c r="J502" s="37">
        <f ca="1">_xlfn.IFNA(VLOOKUP($A502,INDIRECT("'W"&amp;J$1&amp;"'!$A$2:$T$1000"),4,FALSE),0)</f>
        <v>0</v>
      </c>
      <c r="K502" s="37">
        <f ca="1">_xlfn.IFNA(VLOOKUP($A502,INDIRECT("'W"&amp;K$1&amp;"'!$A$2:$T$1000"),4,FALSE),0)</f>
        <v>0</v>
      </c>
      <c r="L502" s="37">
        <f ca="1">_xlfn.IFNA(VLOOKUP($A502,INDIRECT("'W"&amp;L$1&amp;"'!$A$2:$T$1000"),4,FALSE),0)</f>
        <v>0</v>
      </c>
      <c r="M502" s="37">
        <f ca="1">_xlfn.IFNA(VLOOKUP($A502,INDIRECT("'W"&amp;M$1&amp;"'!$A$2:$T$1000"),4,FALSE),0)</f>
        <v>0</v>
      </c>
      <c r="N502" s="37">
        <f ca="1">_xlfn.IFNA(VLOOKUP($A502,INDIRECT("'W"&amp;N$1&amp;"'!$A$2:$T$1000"),4,FALSE),0)</f>
        <v>0</v>
      </c>
      <c r="O502" s="37">
        <f ca="1">_xlfn.IFNA(VLOOKUP($A502,INDIRECT("'W"&amp;O$1&amp;"'!$A$2:$T$1000"),4,FALSE),0)</f>
        <v>0</v>
      </c>
      <c r="P502" s="37">
        <f ca="1">_xlfn.IFNA(VLOOKUP($A502,INDIRECT("'W"&amp;P$1&amp;"'!$A$2:$T$1000"),4,FALSE),0)</f>
        <v>0</v>
      </c>
      <c r="Q502" s="37">
        <f ca="1">_xlfn.IFNA(VLOOKUP($A502,INDIRECT("'W"&amp;Q$1&amp;"'!$A$2:$T$1000"),4,FALSE),0)</f>
        <v>0</v>
      </c>
      <c r="R502" s="37">
        <f ca="1">_xlfn.IFNA(VLOOKUP($A502,INDIRECT("'W"&amp;R$1&amp;"'!$A$2:$T$1000"),4,FALSE),0)</f>
        <v>1.7000000000000002</v>
      </c>
      <c r="S502" s="37">
        <f ca="1">_xlfn.IFNA(VLOOKUP($A502,INDIRECT("'W"&amp;S$1&amp;"'!$A$2:$T$1000"),4,FALSE),0)</f>
        <v>0</v>
      </c>
      <c r="T502" s="37">
        <f ca="1">_xlfn.IFNA(VLOOKUP($A502,INDIRECT("'W"&amp;T$1&amp;"'!$A$2:$T$1000"),4,FALSE),0)</f>
        <v>6.5</v>
      </c>
      <c r="U502" s="36">
        <f ca="1">COUNTIF(C502:T502,"&gt; 15")</f>
        <v>0</v>
      </c>
      <c r="V502" s="36">
        <f ca="1">SUM(C502:T502)</f>
        <v>8.1999999999999993</v>
      </c>
      <c r="W502" s="36"/>
      <c r="X502" s="38"/>
    </row>
    <row r="503" spans="1:24" ht="12.75" x14ac:dyDescent="0.2">
      <c r="A503" s="36" t="s">
        <v>604</v>
      </c>
      <c r="B503" s="36" t="s">
        <v>162</v>
      </c>
      <c r="C503" s="37">
        <f ca="1">_xlfn.IFNA(VLOOKUP($A503,INDIRECT("'W"&amp;C$1&amp;"'!$A$2:$T$1000"),4,FALSE),0)</f>
        <v>0</v>
      </c>
      <c r="D503" s="37">
        <f ca="1">_xlfn.IFNA(VLOOKUP($A503,INDIRECT("'W"&amp;D$1&amp;"'!$A$2:$T$1000"),4,FALSE),0)</f>
        <v>0</v>
      </c>
      <c r="E503" s="37">
        <f ca="1">_xlfn.IFNA(VLOOKUP($A503,INDIRECT("'W"&amp;E$1&amp;"'!$A$2:$T$1000"),4,FALSE),0)</f>
        <v>0</v>
      </c>
      <c r="F503" s="37">
        <f ca="1">_xlfn.IFNA(VLOOKUP($A503,INDIRECT("'W"&amp;F$1&amp;"'!$A$2:$T$1000"),4,FALSE),0)</f>
        <v>0</v>
      </c>
      <c r="G503" s="37">
        <f ca="1">_xlfn.IFNA(VLOOKUP($A503,INDIRECT("'W"&amp;G$1&amp;"'!$A$2:$T$1000"),4,FALSE),0)</f>
        <v>0</v>
      </c>
      <c r="H503" s="37">
        <f ca="1">_xlfn.IFNA(VLOOKUP($A503,INDIRECT("'W"&amp;H$1&amp;"'!$A$2:$T$1000"),4,FALSE),0)</f>
        <v>0</v>
      </c>
      <c r="I503" s="37">
        <f ca="1">_xlfn.IFNA(VLOOKUP($A503,INDIRECT("'W"&amp;I$1&amp;"'!$A$2:$T$1000"),4,FALSE),0)</f>
        <v>0</v>
      </c>
      <c r="J503" s="37">
        <f ca="1">_xlfn.IFNA(VLOOKUP($A503,INDIRECT("'W"&amp;J$1&amp;"'!$A$2:$T$1000"),4,FALSE),0)</f>
        <v>7.9</v>
      </c>
      <c r="K503" s="37">
        <f ca="1">_xlfn.IFNA(VLOOKUP($A503,INDIRECT("'W"&amp;K$1&amp;"'!$A$2:$T$1000"),4,FALSE),0)</f>
        <v>0</v>
      </c>
      <c r="L503" s="37">
        <f ca="1">_xlfn.IFNA(VLOOKUP($A503,INDIRECT("'W"&amp;L$1&amp;"'!$A$2:$T$1000"),4,FALSE),0)</f>
        <v>0</v>
      </c>
      <c r="M503" s="37">
        <f ca="1">_xlfn.IFNA(VLOOKUP($A503,INDIRECT("'W"&amp;M$1&amp;"'!$A$2:$T$1000"),4,FALSE),0)</f>
        <v>0</v>
      </c>
      <c r="N503" s="37">
        <f ca="1">_xlfn.IFNA(VLOOKUP($A503,INDIRECT("'W"&amp;N$1&amp;"'!$A$2:$T$1000"),4,FALSE),0)</f>
        <v>0</v>
      </c>
      <c r="O503" s="37">
        <f ca="1">_xlfn.IFNA(VLOOKUP($A503,INDIRECT("'W"&amp;O$1&amp;"'!$A$2:$T$1000"),4,FALSE),0)</f>
        <v>0</v>
      </c>
      <c r="P503" s="37">
        <f ca="1">_xlfn.IFNA(VLOOKUP($A503,INDIRECT("'W"&amp;P$1&amp;"'!$A$2:$T$1000"),4,FALSE),0)</f>
        <v>0</v>
      </c>
      <c r="Q503" s="37">
        <f ca="1">_xlfn.IFNA(VLOOKUP($A503,INDIRECT("'W"&amp;Q$1&amp;"'!$A$2:$T$1000"),4,FALSE),0)</f>
        <v>0</v>
      </c>
      <c r="R503" s="37">
        <f ca="1">_xlfn.IFNA(VLOOKUP($A503,INDIRECT("'W"&amp;R$1&amp;"'!$A$2:$T$1000"),4,FALSE),0)</f>
        <v>0</v>
      </c>
      <c r="S503" s="37">
        <f ca="1">_xlfn.IFNA(VLOOKUP($A503,INDIRECT("'W"&amp;S$1&amp;"'!$A$2:$T$1000"),4,FALSE),0)</f>
        <v>0</v>
      </c>
      <c r="T503" s="37">
        <f ca="1">_xlfn.IFNA(VLOOKUP($A503,INDIRECT("'W"&amp;T$1&amp;"'!$A$2:$T$1000"),4,FALSE),0)</f>
        <v>0</v>
      </c>
      <c r="U503" s="36">
        <f ca="1">COUNTIF(C503:T503,"&gt; 15")</f>
        <v>0</v>
      </c>
      <c r="V503" s="36">
        <f ca="1">SUM(C503:T503)</f>
        <v>7.9</v>
      </c>
      <c r="W503" s="36"/>
      <c r="X503" s="38"/>
    </row>
    <row r="504" spans="1:24" ht="12.75" x14ac:dyDescent="0.2">
      <c r="A504" s="36" t="s">
        <v>788</v>
      </c>
      <c r="B504" s="36" t="e">
        <f ca="1">VLOOKUP(A504,CumulativePlayerList!$T$3:$U$550,2,FALSE)</f>
        <v>#NAME?</v>
      </c>
      <c r="C504" s="37">
        <f ca="1">_xlfn.IFNA(VLOOKUP($A504,INDIRECT("'W"&amp;C$1&amp;"'!$A$2:$T$1000"),4,FALSE),0)</f>
        <v>0</v>
      </c>
      <c r="D504" s="37">
        <f ca="1">_xlfn.IFNA(VLOOKUP($A504,INDIRECT("'W"&amp;D$1&amp;"'!$A$2:$T$1000"),4,FALSE),0)</f>
        <v>0</v>
      </c>
      <c r="E504" s="37">
        <f ca="1">_xlfn.IFNA(VLOOKUP($A504,INDIRECT("'W"&amp;E$1&amp;"'!$A$2:$T$1000"),4,FALSE),0)</f>
        <v>0</v>
      </c>
      <c r="F504" s="37">
        <f ca="1">_xlfn.IFNA(VLOOKUP($A504,INDIRECT("'W"&amp;F$1&amp;"'!$A$2:$T$1000"),4,FALSE),0)</f>
        <v>0</v>
      </c>
      <c r="G504" s="37">
        <f ca="1">_xlfn.IFNA(VLOOKUP($A504,INDIRECT("'W"&amp;G$1&amp;"'!$A$2:$T$1000"),4,FALSE),0)</f>
        <v>0</v>
      </c>
      <c r="H504" s="37">
        <f ca="1">_xlfn.IFNA(VLOOKUP($A504,INDIRECT("'W"&amp;H$1&amp;"'!$A$2:$T$1000"),4,FALSE),0)</f>
        <v>0</v>
      </c>
      <c r="I504" s="37">
        <f ca="1">_xlfn.IFNA(VLOOKUP($A504,INDIRECT("'W"&amp;I$1&amp;"'!$A$2:$T$1000"),4,FALSE),0)</f>
        <v>0</v>
      </c>
      <c r="J504" s="37">
        <f ca="1">_xlfn.IFNA(VLOOKUP($A504,INDIRECT("'W"&amp;J$1&amp;"'!$A$2:$T$1000"),4,FALSE),0)</f>
        <v>0</v>
      </c>
      <c r="K504" s="37">
        <f ca="1">_xlfn.IFNA(VLOOKUP($A504,INDIRECT("'W"&amp;K$1&amp;"'!$A$2:$T$1000"),4,FALSE),0)</f>
        <v>0</v>
      </c>
      <c r="L504" s="37">
        <f ca="1">_xlfn.IFNA(VLOOKUP($A504,INDIRECT("'W"&amp;L$1&amp;"'!$A$2:$T$1000"),4,FALSE),0)</f>
        <v>0</v>
      </c>
      <c r="M504" s="37">
        <f ca="1">_xlfn.IFNA(VLOOKUP($A504,INDIRECT("'W"&amp;M$1&amp;"'!$A$2:$T$1000"),4,FALSE),0)</f>
        <v>0</v>
      </c>
      <c r="N504" s="37">
        <f ca="1">_xlfn.IFNA(VLOOKUP($A504,INDIRECT("'W"&amp;N$1&amp;"'!$A$2:$T$1000"),4,FALSE),0)</f>
        <v>0</v>
      </c>
      <c r="O504" s="37">
        <f ca="1">_xlfn.IFNA(VLOOKUP($A504,INDIRECT("'W"&amp;O$1&amp;"'!$A$2:$T$1000"),4,FALSE),0)</f>
        <v>0</v>
      </c>
      <c r="P504" s="37">
        <f ca="1">_xlfn.IFNA(VLOOKUP($A504,INDIRECT("'W"&amp;P$1&amp;"'!$A$2:$T$1000"),4,FALSE),0)</f>
        <v>0</v>
      </c>
      <c r="Q504" s="37">
        <f ca="1">_xlfn.IFNA(VLOOKUP($A504,INDIRECT("'W"&amp;Q$1&amp;"'!$A$2:$T$1000"),4,FALSE),0)</f>
        <v>0</v>
      </c>
      <c r="R504" s="37">
        <f ca="1">_xlfn.IFNA(VLOOKUP($A504,INDIRECT("'W"&amp;R$1&amp;"'!$A$2:$T$1000"),4,FALSE),0)</f>
        <v>4.0999999999999996</v>
      </c>
      <c r="S504" s="37">
        <f ca="1">_xlfn.IFNA(VLOOKUP($A504,INDIRECT("'W"&amp;S$1&amp;"'!$A$2:$T$1000"),4,FALSE),0)</f>
        <v>0</v>
      </c>
      <c r="T504" s="37">
        <f ca="1">_xlfn.IFNA(VLOOKUP($A504,INDIRECT("'W"&amp;T$1&amp;"'!$A$2:$T$1000"),4,FALSE),0)</f>
        <v>3.8</v>
      </c>
      <c r="U504" s="36">
        <f ca="1">COUNTIF(C504:T504,"&gt; 15")</f>
        <v>0</v>
      </c>
      <c r="V504" s="36">
        <f ca="1">SUM(C504:T504)</f>
        <v>7.8999999999999995</v>
      </c>
      <c r="W504" s="36"/>
      <c r="X504" s="38"/>
    </row>
    <row r="505" spans="1:24" ht="12.75" x14ac:dyDescent="0.2">
      <c r="A505" s="36" t="s">
        <v>396</v>
      </c>
      <c r="B505" s="36" t="s">
        <v>69</v>
      </c>
      <c r="C505" s="37">
        <f ca="1">_xlfn.IFNA(VLOOKUP($A505,INDIRECT("'W"&amp;C$1&amp;"'!$A$2:$T$1000"),4,FALSE),0)</f>
        <v>0</v>
      </c>
      <c r="D505" s="37">
        <f ca="1">_xlfn.IFNA(VLOOKUP($A505,INDIRECT("'W"&amp;D$1&amp;"'!$A$2:$T$1000"),4,FALSE),0)</f>
        <v>0</v>
      </c>
      <c r="E505" s="37">
        <f ca="1">_xlfn.IFNA(VLOOKUP($A505,INDIRECT("'W"&amp;E$1&amp;"'!$A$2:$T$1000"),4,FALSE),0)</f>
        <v>1.3</v>
      </c>
      <c r="F505" s="37">
        <f ca="1">_xlfn.IFNA(VLOOKUP($A505,INDIRECT("'W"&amp;F$1&amp;"'!$A$2:$T$1000"),4,FALSE),0)</f>
        <v>0</v>
      </c>
      <c r="G505" s="37">
        <f ca="1">_xlfn.IFNA(VLOOKUP($A505,INDIRECT("'W"&amp;G$1&amp;"'!$A$2:$T$1000"),4,FALSE),0)</f>
        <v>0</v>
      </c>
      <c r="H505" s="37">
        <f ca="1">_xlfn.IFNA(VLOOKUP($A505,INDIRECT("'W"&amp;H$1&amp;"'!$A$2:$T$1000"),4,FALSE),0)</f>
        <v>0</v>
      </c>
      <c r="I505" s="37">
        <f ca="1">_xlfn.IFNA(VLOOKUP($A505,INDIRECT("'W"&amp;I$1&amp;"'!$A$2:$T$1000"),4,FALSE),0)</f>
        <v>0</v>
      </c>
      <c r="J505" s="37">
        <f ca="1">_xlfn.IFNA(VLOOKUP($A505,INDIRECT("'W"&amp;J$1&amp;"'!$A$2:$T$1000"),4,FALSE),0)</f>
        <v>0</v>
      </c>
      <c r="K505" s="37">
        <f ca="1">_xlfn.IFNA(VLOOKUP($A505,INDIRECT("'W"&amp;K$1&amp;"'!$A$2:$T$1000"),4,FALSE),0)</f>
        <v>0</v>
      </c>
      <c r="L505" s="37">
        <f ca="1">_xlfn.IFNA(VLOOKUP($A505,INDIRECT("'W"&amp;L$1&amp;"'!$A$2:$T$1000"),4,FALSE),0)</f>
        <v>0</v>
      </c>
      <c r="M505" s="37">
        <f ca="1">_xlfn.IFNA(VLOOKUP($A505,INDIRECT("'W"&amp;M$1&amp;"'!$A$2:$T$1000"),4,FALSE),0)</f>
        <v>0</v>
      </c>
      <c r="N505" s="37">
        <f ca="1">_xlfn.IFNA(VLOOKUP($A505,INDIRECT("'W"&amp;N$1&amp;"'!$A$2:$T$1000"),4,FALSE),0)</f>
        <v>0</v>
      </c>
      <c r="O505" s="37">
        <f ca="1">_xlfn.IFNA(VLOOKUP($A505,INDIRECT("'W"&amp;O$1&amp;"'!$A$2:$T$1000"),4,FALSE),0)</f>
        <v>0</v>
      </c>
      <c r="P505" s="37">
        <f ca="1">_xlfn.IFNA(VLOOKUP($A505,INDIRECT("'W"&amp;P$1&amp;"'!$A$2:$T$1000"),4,FALSE),0)</f>
        <v>0</v>
      </c>
      <c r="Q505" s="37">
        <f ca="1">_xlfn.IFNA(VLOOKUP($A505,INDIRECT("'W"&amp;Q$1&amp;"'!$A$2:$T$1000"),4,FALSE),0)</f>
        <v>1.5</v>
      </c>
      <c r="R505" s="37">
        <f ca="1">_xlfn.IFNA(VLOOKUP($A505,INDIRECT("'W"&amp;R$1&amp;"'!$A$2:$T$1000"),4,FALSE),0)</f>
        <v>0</v>
      </c>
      <c r="S505" s="37">
        <f ca="1">_xlfn.IFNA(VLOOKUP($A505,INDIRECT("'W"&amp;S$1&amp;"'!$A$2:$T$1000"),4,FALSE),0)</f>
        <v>1.6</v>
      </c>
      <c r="T505" s="37">
        <f ca="1">_xlfn.IFNA(VLOOKUP($A505,INDIRECT("'W"&amp;T$1&amp;"'!$A$2:$T$1000"),4,FALSE),0)</f>
        <v>3.4000000000000004</v>
      </c>
      <c r="U505" s="36">
        <f ca="1">COUNTIF(C505:T505,"&gt; 15")</f>
        <v>0</v>
      </c>
      <c r="V505" s="36">
        <f ca="1">SUM(C505:T505)</f>
        <v>7.8000000000000007</v>
      </c>
      <c r="W505" s="36"/>
      <c r="X505" s="38"/>
    </row>
    <row r="506" spans="1:24" ht="12.75" x14ac:dyDescent="0.2">
      <c r="A506" s="36" t="s">
        <v>549</v>
      </c>
      <c r="B506" s="36" t="s">
        <v>75</v>
      </c>
      <c r="C506" s="37">
        <f ca="1">_xlfn.IFNA(VLOOKUP($A506,INDIRECT("'W"&amp;C$1&amp;"'!$A$2:$T$1000"),4,FALSE),0)</f>
        <v>0</v>
      </c>
      <c r="D506" s="37">
        <f ca="1">_xlfn.IFNA(VLOOKUP($A506,INDIRECT("'W"&amp;D$1&amp;"'!$A$2:$T$1000"),4,FALSE),0)</f>
        <v>0</v>
      </c>
      <c r="E506" s="37">
        <f ca="1">_xlfn.IFNA(VLOOKUP($A506,INDIRECT("'W"&amp;E$1&amp;"'!$A$2:$T$1000"),4,FALSE),0)</f>
        <v>0</v>
      </c>
      <c r="F506" s="37">
        <f ca="1">_xlfn.IFNA(VLOOKUP($A506,INDIRECT("'W"&amp;F$1&amp;"'!$A$2:$T$1000"),4,FALSE),0)</f>
        <v>0</v>
      </c>
      <c r="G506" s="37">
        <f ca="1">_xlfn.IFNA(VLOOKUP($A506,INDIRECT("'W"&amp;G$1&amp;"'!$A$2:$T$1000"),4,FALSE),0)</f>
        <v>0</v>
      </c>
      <c r="H506" s="37">
        <f ca="1">_xlfn.IFNA(VLOOKUP($A506,INDIRECT("'W"&amp;H$1&amp;"'!$A$2:$T$1000"),4,FALSE),0)</f>
        <v>5.3999999999999995</v>
      </c>
      <c r="I506" s="37">
        <f ca="1">_xlfn.IFNA(VLOOKUP($A506,INDIRECT("'W"&amp;I$1&amp;"'!$A$2:$T$1000"),4,FALSE),0)</f>
        <v>0.2</v>
      </c>
      <c r="J506" s="37">
        <f ca="1">_xlfn.IFNA(VLOOKUP($A506,INDIRECT("'W"&amp;J$1&amp;"'!$A$2:$T$1000"),4,FALSE),0)</f>
        <v>1.9</v>
      </c>
      <c r="K506" s="37">
        <f ca="1">_xlfn.IFNA(VLOOKUP($A506,INDIRECT("'W"&amp;K$1&amp;"'!$A$2:$T$1000"),4,FALSE),0)</f>
        <v>0</v>
      </c>
      <c r="L506" s="37">
        <f ca="1">_xlfn.IFNA(VLOOKUP($A506,INDIRECT("'W"&amp;L$1&amp;"'!$A$2:$T$1000"),4,FALSE),0)</f>
        <v>0</v>
      </c>
      <c r="M506" s="37">
        <f ca="1">_xlfn.IFNA(VLOOKUP($A506,INDIRECT("'W"&amp;M$1&amp;"'!$A$2:$T$1000"),4,FALSE),0)</f>
        <v>0</v>
      </c>
      <c r="N506" s="37">
        <f ca="1">_xlfn.IFNA(VLOOKUP($A506,INDIRECT("'W"&amp;N$1&amp;"'!$A$2:$T$1000"),4,FALSE),0)</f>
        <v>0</v>
      </c>
      <c r="O506" s="37">
        <f ca="1">_xlfn.IFNA(VLOOKUP($A506,INDIRECT("'W"&amp;O$1&amp;"'!$A$2:$T$1000"),4,FALSE),0)</f>
        <v>0</v>
      </c>
      <c r="P506" s="37">
        <f ca="1">_xlfn.IFNA(VLOOKUP($A506,INDIRECT("'W"&amp;P$1&amp;"'!$A$2:$T$1000"),4,FALSE),0)</f>
        <v>0</v>
      </c>
      <c r="Q506" s="37">
        <f ca="1">_xlfn.IFNA(VLOOKUP($A506,INDIRECT("'W"&amp;Q$1&amp;"'!$A$2:$T$1000"),4,FALSE),0)</f>
        <v>0</v>
      </c>
      <c r="R506" s="37">
        <f ca="1">_xlfn.IFNA(VLOOKUP($A506,INDIRECT("'W"&amp;R$1&amp;"'!$A$2:$T$1000"),4,FALSE),0)</f>
        <v>0</v>
      </c>
      <c r="S506" s="37">
        <f ca="1">_xlfn.IFNA(VLOOKUP($A506,INDIRECT("'W"&amp;S$1&amp;"'!$A$2:$T$1000"),4,FALSE),0)</f>
        <v>0</v>
      </c>
      <c r="T506" s="37">
        <f ca="1">_xlfn.IFNA(VLOOKUP($A506,INDIRECT("'W"&amp;T$1&amp;"'!$A$2:$T$1000"),4,FALSE),0)</f>
        <v>0</v>
      </c>
      <c r="U506" s="36">
        <f ca="1">COUNTIF(C506:T506,"&gt; 15")</f>
        <v>0</v>
      </c>
      <c r="V506" s="36">
        <f ca="1">SUM(C506:T506)</f>
        <v>7.5</v>
      </c>
      <c r="W506" s="36"/>
      <c r="X506" s="38"/>
    </row>
    <row r="507" spans="1:24" ht="12.75" x14ac:dyDescent="0.2">
      <c r="A507" s="36" t="s">
        <v>584</v>
      </c>
      <c r="B507" s="36" t="s">
        <v>17</v>
      </c>
      <c r="C507" s="37">
        <f ca="1">_xlfn.IFNA(VLOOKUP($A507,INDIRECT("'W"&amp;C$1&amp;"'!$A$2:$T$1000"),4,FALSE),0)</f>
        <v>0</v>
      </c>
      <c r="D507" s="37">
        <f ca="1">_xlfn.IFNA(VLOOKUP($A507,INDIRECT("'W"&amp;D$1&amp;"'!$A$2:$T$1000"),4,FALSE),0)</f>
        <v>0</v>
      </c>
      <c r="E507" s="37">
        <f ca="1">_xlfn.IFNA(VLOOKUP($A507,INDIRECT("'W"&amp;E$1&amp;"'!$A$2:$T$1000"),4,FALSE),0)</f>
        <v>0</v>
      </c>
      <c r="F507" s="37">
        <f ca="1">_xlfn.IFNA(VLOOKUP($A507,INDIRECT("'W"&amp;F$1&amp;"'!$A$2:$T$1000"),4,FALSE),0)</f>
        <v>0</v>
      </c>
      <c r="G507" s="37">
        <f ca="1">_xlfn.IFNA(VLOOKUP($A507,INDIRECT("'W"&amp;G$1&amp;"'!$A$2:$T$1000"),4,FALSE),0)</f>
        <v>0</v>
      </c>
      <c r="H507" s="37">
        <f ca="1">_xlfn.IFNA(VLOOKUP($A507,INDIRECT("'W"&amp;H$1&amp;"'!$A$2:$T$1000"),4,FALSE),0)</f>
        <v>0</v>
      </c>
      <c r="I507" s="37">
        <f ca="1">_xlfn.IFNA(VLOOKUP($A507,INDIRECT("'W"&amp;I$1&amp;"'!$A$2:$T$1000"),4,FALSE),0)</f>
        <v>0.16</v>
      </c>
      <c r="J507" s="37">
        <f ca="1">_xlfn.IFNA(VLOOKUP($A507,INDIRECT("'W"&amp;J$1&amp;"'!$A$2:$T$1000"),4,FALSE),0)</f>
        <v>0</v>
      </c>
      <c r="K507" s="37">
        <f ca="1">_xlfn.IFNA(VLOOKUP($A507,INDIRECT("'W"&amp;K$1&amp;"'!$A$2:$T$1000"),4,FALSE),0)</f>
        <v>-0.87999999999999989</v>
      </c>
      <c r="L507" s="37">
        <f ca="1">_xlfn.IFNA(VLOOKUP($A507,INDIRECT("'W"&amp;L$1&amp;"'!$A$2:$T$1000"),4,FALSE),0)</f>
        <v>6.1</v>
      </c>
      <c r="M507" s="37">
        <f ca="1">_xlfn.IFNA(VLOOKUP($A507,INDIRECT("'W"&amp;M$1&amp;"'!$A$2:$T$1000"),4,FALSE),0)</f>
        <v>0</v>
      </c>
      <c r="N507" s="37">
        <f ca="1">_xlfn.IFNA(VLOOKUP($A507,INDIRECT("'W"&amp;N$1&amp;"'!$A$2:$T$1000"),4,FALSE),0)</f>
        <v>2</v>
      </c>
      <c r="O507" s="37">
        <f ca="1">_xlfn.IFNA(VLOOKUP($A507,INDIRECT("'W"&amp;O$1&amp;"'!$A$2:$T$1000"),4,FALSE),0)</f>
        <v>0</v>
      </c>
      <c r="P507" s="37">
        <f ca="1">_xlfn.IFNA(VLOOKUP($A507,INDIRECT("'W"&amp;P$1&amp;"'!$A$2:$T$1000"),4,FALSE),0)</f>
        <v>0</v>
      </c>
      <c r="Q507" s="37">
        <f ca="1">_xlfn.IFNA(VLOOKUP($A507,INDIRECT("'W"&amp;Q$1&amp;"'!$A$2:$T$1000"),4,FALSE),0)</f>
        <v>0</v>
      </c>
      <c r="R507" s="37">
        <f ca="1">_xlfn.IFNA(VLOOKUP($A507,INDIRECT("'W"&amp;R$1&amp;"'!$A$2:$T$1000"),4,FALSE),0)</f>
        <v>0</v>
      </c>
      <c r="S507" s="37">
        <f ca="1">_xlfn.IFNA(VLOOKUP($A507,INDIRECT("'W"&amp;S$1&amp;"'!$A$2:$T$1000"),4,FALSE),0)</f>
        <v>0</v>
      </c>
      <c r="T507" s="37">
        <f ca="1">_xlfn.IFNA(VLOOKUP($A507,INDIRECT("'W"&amp;T$1&amp;"'!$A$2:$T$1000"),4,FALSE),0)</f>
        <v>0.1</v>
      </c>
      <c r="U507" s="36">
        <f ca="1">COUNTIF(C507:T507,"&gt; 15")</f>
        <v>0</v>
      </c>
      <c r="V507" s="36">
        <f ca="1">SUM(C507:T507)</f>
        <v>7.4799999999999995</v>
      </c>
      <c r="W507" s="36"/>
      <c r="X507" s="38"/>
    </row>
    <row r="508" spans="1:24" ht="12.75" x14ac:dyDescent="0.2">
      <c r="A508" s="36" t="s">
        <v>392</v>
      </c>
      <c r="B508" s="36" t="s">
        <v>75</v>
      </c>
      <c r="C508" s="37">
        <f ca="1">_xlfn.IFNA(VLOOKUP($A508,INDIRECT("'W"&amp;C$1&amp;"'!$A$2:$T$1000"),4,FALSE),0)</f>
        <v>0</v>
      </c>
      <c r="D508" s="37">
        <f ca="1">_xlfn.IFNA(VLOOKUP($A508,INDIRECT("'W"&amp;D$1&amp;"'!$A$2:$T$1000"),4,FALSE),0)</f>
        <v>0.4</v>
      </c>
      <c r="E508" s="37">
        <f ca="1">_xlfn.IFNA(VLOOKUP($A508,INDIRECT("'W"&amp;E$1&amp;"'!$A$2:$T$1000"),4,FALSE),0)</f>
        <v>0</v>
      </c>
      <c r="F508" s="37">
        <f ca="1">_xlfn.IFNA(VLOOKUP($A508,INDIRECT("'W"&amp;F$1&amp;"'!$A$2:$T$1000"),4,FALSE),0)</f>
        <v>0</v>
      </c>
      <c r="G508" s="37">
        <f ca="1">_xlfn.IFNA(VLOOKUP($A508,INDIRECT("'W"&amp;G$1&amp;"'!$A$2:$T$1000"),4,FALSE),0)</f>
        <v>0</v>
      </c>
      <c r="H508" s="37">
        <f ca="1">_xlfn.IFNA(VLOOKUP($A508,INDIRECT("'W"&amp;H$1&amp;"'!$A$2:$T$1000"),4,FALSE),0)</f>
        <v>0</v>
      </c>
      <c r="I508" s="37">
        <f ca="1">_xlfn.IFNA(VLOOKUP($A508,INDIRECT("'W"&amp;I$1&amp;"'!$A$2:$T$1000"),4,FALSE),0)</f>
        <v>0</v>
      </c>
      <c r="J508" s="37">
        <f ca="1">_xlfn.IFNA(VLOOKUP($A508,INDIRECT("'W"&amp;J$1&amp;"'!$A$2:$T$1000"),4,FALSE),0)</f>
        <v>0</v>
      </c>
      <c r="K508" s="37">
        <f ca="1">_xlfn.IFNA(VLOOKUP($A508,INDIRECT("'W"&amp;K$1&amp;"'!$A$2:$T$1000"),4,FALSE),0)</f>
        <v>0</v>
      </c>
      <c r="L508" s="37">
        <f ca="1">_xlfn.IFNA(VLOOKUP($A508,INDIRECT("'W"&amp;L$1&amp;"'!$A$2:$T$1000"),4,FALSE),0)</f>
        <v>0</v>
      </c>
      <c r="M508" s="37">
        <f ca="1">_xlfn.IFNA(VLOOKUP($A508,INDIRECT("'W"&amp;M$1&amp;"'!$A$2:$T$1000"),4,FALSE),0)</f>
        <v>0</v>
      </c>
      <c r="N508" s="37">
        <f ca="1">_xlfn.IFNA(VLOOKUP($A508,INDIRECT("'W"&amp;N$1&amp;"'!$A$2:$T$1000"),4,FALSE),0)</f>
        <v>0</v>
      </c>
      <c r="O508" s="37">
        <f ca="1">_xlfn.IFNA(VLOOKUP($A508,INDIRECT("'W"&amp;O$1&amp;"'!$A$2:$T$1000"),4,FALSE),0)</f>
        <v>2.5</v>
      </c>
      <c r="P508" s="37">
        <f ca="1">_xlfn.IFNA(VLOOKUP($A508,INDIRECT("'W"&amp;P$1&amp;"'!$A$2:$T$1000"),4,FALSE),0)</f>
        <v>2.1</v>
      </c>
      <c r="Q508" s="37">
        <f ca="1">_xlfn.IFNA(VLOOKUP($A508,INDIRECT("'W"&amp;Q$1&amp;"'!$A$2:$T$1000"),4,FALSE),0)</f>
        <v>1.7000000000000002</v>
      </c>
      <c r="R508" s="37">
        <f ca="1">_xlfn.IFNA(VLOOKUP($A508,INDIRECT("'W"&amp;R$1&amp;"'!$A$2:$T$1000"),4,FALSE),0)</f>
        <v>0.60000000000000009</v>
      </c>
      <c r="S508" s="37">
        <f ca="1">_xlfn.IFNA(VLOOKUP($A508,INDIRECT("'W"&amp;S$1&amp;"'!$A$2:$T$1000"),4,FALSE),0)</f>
        <v>0</v>
      </c>
      <c r="T508" s="37">
        <f ca="1">_xlfn.IFNA(VLOOKUP($A508,INDIRECT("'W"&amp;T$1&amp;"'!$A$2:$T$1000"),4,FALSE),0)</f>
        <v>0</v>
      </c>
      <c r="U508" s="36">
        <f ca="1">COUNTIF(C508:T508,"&gt; 15")</f>
        <v>0</v>
      </c>
      <c r="V508" s="36">
        <f ca="1">SUM(C508:T508)</f>
        <v>7.3000000000000007</v>
      </c>
      <c r="W508" s="36"/>
      <c r="X508" s="38"/>
    </row>
    <row r="509" spans="1:24" ht="12.75" x14ac:dyDescent="0.2">
      <c r="A509" s="36" t="s">
        <v>382</v>
      </c>
      <c r="B509" s="36" t="s">
        <v>162</v>
      </c>
      <c r="C509" s="37">
        <f ca="1">_xlfn.IFNA(VLOOKUP($A509,INDIRECT("'W"&amp;C$1&amp;"'!$A$2:$T$1000"),4,FALSE),0)</f>
        <v>0</v>
      </c>
      <c r="D509" s="37">
        <f ca="1">_xlfn.IFNA(VLOOKUP($A509,INDIRECT("'W"&amp;D$1&amp;"'!$A$2:$T$1000"),4,FALSE),0)</f>
        <v>1.5</v>
      </c>
      <c r="E509" s="37">
        <f ca="1">_xlfn.IFNA(VLOOKUP($A509,INDIRECT("'W"&amp;E$1&amp;"'!$A$2:$T$1000"),4,FALSE),0)</f>
        <v>0</v>
      </c>
      <c r="F509" s="37">
        <f ca="1">_xlfn.IFNA(VLOOKUP($A509,INDIRECT("'W"&amp;F$1&amp;"'!$A$2:$T$1000"),4,FALSE),0)</f>
        <v>2.8</v>
      </c>
      <c r="G509" s="37">
        <f ca="1">_xlfn.IFNA(VLOOKUP($A509,INDIRECT("'W"&amp;G$1&amp;"'!$A$2:$T$1000"),4,FALSE),0)</f>
        <v>0</v>
      </c>
      <c r="H509" s="37">
        <f ca="1">_xlfn.IFNA(VLOOKUP($A509,INDIRECT("'W"&amp;H$1&amp;"'!$A$2:$T$1000"),4,FALSE),0)</f>
        <v>0</v>
      </c>
      <c r="I509" s="37">
        <f ca="1">_xlfn.IFNA(VLOOKUP($A509,INDIRECT("'W"&amp;I$1&amp;"'!$A$2:$T$1000"),4,FALSE),0)</f>
        <v>0</v>
      </c>
      <c r="J509" s="37">
        <f ca="1">_xlfn.IFNA(VLOOKUP($A509,INDIRECT("'W"&amp;J$1&amp;"'!$A$2:$T$1000"),4,FALSE),0)</f>
        <v>0</v>
      </c>
      <c r="K509" s="37">
        <f ca="1">_xlfn.IFNA(VLOOKUP($A509,INDIRECT("'W"&amp;K$1&amp;"'!$A$2:$T$1000"),4,FALSE),0)</f>
        <v>3</v>
      </c>
      <c r="L509" s="37">
        <f ca="1">_xlfn.IFNA(VLOOKUP($A509,INDIRECT("'W"&amp;L$1&amp;"'!$A$2:$T$1000"),4,FALSE),0)</f>
        <v>0</v>
      </c>
      <c r="M509" s="37">
        <f ca="1">_xlfn.IFNA(VLOOKUP($A509,INDIRECT("'W"&amp;M$1&amp;"'!$A$2:$T$1000"),4,FALSE),0)</f>
        <v>0</v>
      </c>
      <c r="N509" s="37">
        <f ca="1">_xlfn.IFNA(VLOOKUP($A509,INDIRECT("'W"&amp;N$1&amp;"'!$A$2:$T$1000"),4,FALSE),0)</f>
        <v>0</v>
      </c>
      <c r="O509" s="37">
        <f ca="1">_xlfn.IFNA(VLOOKUP($A509,INDIRECT("'W"&amp;O$1&amp;"'!$A$2:$T$1000"),4,FALSE),0)</f>
        <v>0</v>
      </c>
      <c r="P509" s="37">
        <f ca="1">_xlfn.IFNA(VLOOKUP($A509,INDIRECT("'W"&amp;P$1&amp;"'!$A$2:$T$1000"),4,FALSE),0)</f>
        <v>0</v>
      </c>
      <c r="Q509" s="37">
        <f ca="1">_xlfn.IFNA(VLOOKUP($A509,INDIRECT("'W"&amp;Q$1&amp;"'!$A$2:$T$1000"),4,FALSE),0)</f>
        <v>0</v>
      </c>
      <c r="R509" s="37">
        <f ca="1">_xlfn.IFNA(VLOOKUP($A509,INDIRECT("'W"&amp;R$1&amp;"'!$A$2:$T$1000"),4,FALSE),0)</f>
        <v>0</v>
      </c>
      <c r="S509" s="37">
        <f ca="1">_xlfn.IFNA(VLOOKUP($A509,INDIRECT("'W"&amp;S$1&amp;"'!$A$2:$T$1000"),4,FALSE),0)</f>
        <v>0</v>
      </c>
      <c r="T509" s="37">
        <f ca="1">_xlfn.IFNA(VLOOKUP($A509,INDIRECT("'W"&amp;T$1&amp;"'!$A$2:$T$1000"),4,FALSE),0)</f>
        <v>0</v>
      </c>
      <c r="U509" s="36">
        <f ca="1">COUNTIF(C509:T509,"&gt; 15")</f>
        <v>0</v>
      </c>
      <c r="V509" s="36">
        <f ca="1">SUM(C509:T509)</f>
        <v>7.3</v>
      </c>
      <c r="W509" s="36"/>
      <c r="X509" s="38"/>
    </row>
    <row r="510" spans="1:24" ht="12.75" x14ac:dyDescent="0.2">
      <c r="A510" s="36" t="s">
        <v>765</v>
      </c>
      <c r="B510" s="36" t="e">
        <f ca="1">VLOOKUP(A510,CumulativePlayerList!$T$3:$U$550,2,FALSE)</f>
        <v>#NAME?</v>
      </c>
      <c r="C510" s="37">
        <f ca="1">_xlfn.IFNA(VLOOKUP($A510,INDIRECT("'W"&amp;C$1&amp;"'!$A$2:$T$1000"),4,FALSE),0)</f>
        <v>0</v>
      </c>
      <c r="D510" s="37">
        <f ca="1">_xlfn.IFNA(VLOOKUP($A510,INDIRECT("'W"&amp;D$1&amp;"'!$A$2:$T$1000"),4,FALSE),0)</f>
        <v>0</v>
      </c>
      <c r="E510" s="37">
        <f ca="1">_xlfn.IFNA(VLOOKUP($A510,INDIRECT("'W"&amp;E$1&amp;"'!$A$2:$T$1000"),4,FALSE),0)</f>
        <v>0</v>
      </c>
      <c r="F510" s="37">
        <f ca="1">_xlfn.IFNA(VLOOKUP($A510,INDIRECT("'W"&amp;F$1&amp;"'!$A$2:$T$1000"),4,FALSE),0)</f>
        <v>0</v>
      </c>
      <c r="G510" s="37">
        <f ca="1">_xlfn.IFNA(VLOOKUP($A510,INDIRECT("'W"&amp;G$1&amp;"'!$A$2:$T$1000"),4,FALSE),0)</f>
        <v>0</v>
      </c>
      <c r="H510" s="37">
        <f ca="1">_xlfn.IFNA(VLOOKUP($A510,INDIRECT("'W"&amp;H$1&amp;"'!$A$2:$T$1000"),4,FALSE),0)</f>
        <v>0</v>
      </c>
      <c r="I510" s="37">
        <f ca="1">_xlfn.IFNA(VLOOKUP($A510,INDIRECT("'W"&amp;I$1&amp;"'!$A$2:$T$1000"),4,FALSE),0)</f>
        <v>0</v>
      </c>
      <c r="J510" s="37">
        <f ca="1">_xlfn.IFNA(VLOOKUP($A510,INDIRECT("'W"&amp;J$1&amp;"'!$A$2:$T$1000"),4,FALSE),0)</f>
        <v>0</v>
      </c>
      <c r="K510" s="37">
        <f ca="1">_xlfn.IFNA(VLOOKUP($A510,INDIRECT("'W"&amp;K$1&amp;"'!$A$2:$T$1000"),4,FALSE),0)</f>
        <v>0</v>
      </c>
      <c r="L510" s="37">
        <f ca="1">_xlfn.IFNA(VLOOKUP($A510,INDIRECT("'W"&amp;L$1&amp;"'!$A$2:$T$1000"),4,FALSE),0)</f>
        <v>0</v>
      </c>
      <c r="M510" s="37">
        <f ca="1">_xlfn.IFNA(VLOOKUP($A510,INDIRECT("'W"&amp;M$1&amp;"'!$A$2:$T$1000"),4,FALSE),0)</f>
        <v>0</v>
      </c>
      <c r="N510" s="37">
        <f ca="1">_xlfn.IFNA(VLOOKUP($A510,INDIRECT("'W"&amp;N$1&amp;"'!$A$2:$T$1000"),4,FALSE),0)</f>
        <v>0</v>
      </c>
      <c r="O510" s="37">
        <f ca="1">_xlfn.IFNA(VLOOKUP($A510,INDIRECT("'W"&amp;O$1&amp;"'!$A$2:$T$1000"),4,FALSE),0)</f>
        <v>0</v>
      </c>
      <c r="P510" s="37">
        <f ca="1">_xlfn.IFNA(VLOOKUP($A510,INDIRECT("'W"&amp;P$1&amp;"'!$A$2:$T$1000"),4,FALSE),0)</f>
        <v>0</v>
      </c>
      <c r="Q510" s="37">
        <f ca="1">_xlfn.IFNA(VLOOKUP($A510,INDIRECT("'W"&amp;Q$1&amp;"'!$A$2:$T$1000"),4,FALSE),0)</f>
        <v>7.2</v>
      </c>
      <c r="R510" s="37">
        <f ca="1">_xlfn.IFNA(VLOOKUP($A510,INDIRECT("'W"&amp;R$1&amp;"'!$A$2:$T$1000"),4,FALSE),0)</f>
        <v>0</v>
      </c>
      <c r="S510" s="37">
        <f ca="1">_xlfn.IFNA(VLOOKUP($A510,INDIRECT("'W"&amp;S$1&amp;"'!$A$2:$T$1000"),4,FALSE),0)</f>
        <v>0</v>
      </c>
      <c r="T510" s="37">
        <f ca="1">_xlfn.IFNA(VLOOKUP($A510,INDIRECT("'W"&amp;T$1&amp;"'!$A$2:$T$1000"),4,FALSE),0)</f>
        <v>0</v>
      </c>
      <c r="U510" s="36">
        <f ca="1">COUNTIF(C510:T510,"&gt; 15")</f>
        <v>0</v>
      </c>
      <c r="V510" s="36">
        <f ca="1">SUM(C510:T510)</f>
        <v>7.2</v>
      </c>
      <c r="W510" s="36"/>
      <c r="X510" s="38"/>
    </row>
    <row r="511" spans="1:24" ht="12.75" x14ac:dyDescent="0.2">
      <c r="A511" s="36" t="s">
        <v>784</v>
      </c>
      <c r="B511" s="36" t="e">
        <f ca="1">VLOOKUP(A511,CumulativePlayerList!$T$3:$U$550,2,FALSE)</f>
        <v>#NAME?</v>
      </c>
      <c r="C511" s="37">
        <f ca="1">_xlfn.IFNA(VLOOKUP($A511,INDIRECT("'W"&amp;C$1&amp;"'!$A$2:$T$1000"),4,FALSE),0)</f>
        <v>0</v>
      </c>
      <c r="D511" s="37">
        <f ca="1">_xlfn.IFNA(VLOOKUP($A511,INDIRECT("'W"&amp;D$1&amp;"'!$A$2:$T$1000"),4,FALSE),0)</f>
        <v>0</v>
      </c>
      <c r="E511" s="37">
        <f ca="1">_xlfn.IFNA(VLOOKUP($A511,INDIRECT("'W"&amp;E$1&amp;"'!$A$2:$T$1000"),4,FALSE),0)</f>
        <v>0</v>
      </c>
      <c r="F511" s="37">
        <f ca="1">_xlfn.IFNA(VLOOKUP($A511,INDIRECT("'W"&amp;F$1&amp;"'!$A$2:$T$1000"),4,FALSE),0)</f>
        <v>0</v>
      </c>
      <c r="G511" s="37">
        <f ca="1">_xlfn.IFNA(VLOOKUP($A511,INDIRECT("'W"&amp;G$1&amp;"'!$A$2:$T$1000"),4,FALSE),0)</f>
        <v>0</v>
      </c>
      <c r="H511" s="37">
        <f ca="1">_xlfn.IFNA(VLOOKUP($A511,INDIRECT("'W"&amp;H$1&amp;"'!$A$2:$T$1000"),4,FALSE),0)</f>
        <v>0</v>
      </c>
      <c r="I511" s="37">
        <f ca="1">_xlfn.IFNA(VLOOKUP($A511,INDIRECT("'W"&amp;I$1&amp;"'!$A$2:$T$1000"),4,FALSE),0)</f>
        <v>0</v>
      </c>
      <c r="J511" s="37">
        <f ca="1">_xlfn.IFNA(VLOOKUP($A511,INDIRECT("'W"&amp;J$1&amp;"'!$A$2:$T$1000"),4,FALSE),0)</f>
        <v>0</v>
      </c>
      <c r="K511" s="37">
        <f ca="1">_xlfn.IFNA(VLOOKUP($A511,INDIRECT("'W"&amp;K$1&amp;"'!$A$2:$T$1000"),4,FALSE),0)</f>
        <v>0</v>
      </c>
      <c r="L511" s="37">
        <f ca="1">_xlfn.IFNA(VLOOKUP($A511,INDIRECT("'W"&amp;L$1&amp;"'!$A$2:$T$1000"),4,FALSE),0)</f>
        <v>0</v>
      </c>
      <c r="M511" s="37">
        <f ca="1">_xlfn.IFNA(VLOOKUP($A511,INDIRECT("'W"&amp;M$1&amp;"'!$A$2:$T$1000"),4,FALSE),0)</f>
        <v>0</v>
      </c>
      <c r="N511" s="37">
        <f ca="1">_xlfn.IFNA(VLOOKUP($A511,INDIRECT("'W"&amp;N$1&amp;"'!$A$2:$T$1000"),4,FALSE),0)</f>
        <v>0</v>
      </c>
      <c r="O511" s="37">
        <f ca="1">_xlfn.IFNA(VLOOKUP($A511,INDIRECT("'W"&amp;O$1&amp;"'!$A$2:$T$1000"),4,FALSE),0)</f>
        <v>0</v>
      </c>
      <c r="P511" s="37">
        <f ca="1">_xlfn.IFNA(VLOOKUP($A511,INDIRECT("'W"&amp;P$1&amp;"'!$A$2:$T$1000"),4,FALSE),0)</f>
        <v>0</v>
      </c>
      <c r="Q511" s="37">
        <f ca="1">_xlfn.IFNA(VLOOKUP($A511,INDIRECT("'W"&amp;Q$1&amp;"'!$A$2:$T$1000"),4,FALSE),0)</f>
        <v>0</v>
      </c>
      <c r="R511" s="37">
        <f ca="1">_xlfn.IFNA(VLOOKUP($A511,INDIRECT("'W"&amp;R$1&amp;"'!$A$2:$T$1000"),4,FALSE),0)</f>
        <v>6.8000000000000007</v>
      </c>
      <c r="S511" s="37">
        <f ca="1">_xlfn.IFNA(VLOOKUP($A511,INDIRECT("'W"&amp;S$1&amp;"'!$A$2:$T$1000"),4,FALSE),0)</f>
        <v>0</v>
      </c>
      <c r="T511" s="37">
        <f ca="1">_xlfn.IFNA(VLOOKUP($A511,INDIRECT("'W"&amp;T$1&amp;"'!$A$2:$T$1000"),4,FALSE),0)</f>
        <v>0</v>
      </c>
      <c r="U511" s="36">
        <f ca="1">COUNTIF(C511:T511,"&gt; 15")</f>
        <v>0</v>
      </c>
      <c r="V511" s="36">
        <f ca="1">SUM(C511:T511)</f>
        <v>6.8000000000000007</v>
      </c>
      <c r="W511" s="36"/>
      <c r="X511" s="38"/>
    </row>
    <row r="512" spans="1:24" ht="12.75" x14ac:dyDescent="0.2">
      <c r="A512" s="36" t="s">
        <v>143</v>
      </c>
      <c r="B512" s="36" t="s">
        <v>75</v>
      </c>
      <c r="C512" s="37">
        <f ca="1">_xlfn.IFNA(VLOOKUP($A512,INDIRECT("'W"&amp;C$1&amp;"'!$A$2:$T$1000"),4,FALSE),0)</f>
        <v>1.3</v>
      </c>
      <c r="D512" s="37">
        <f ca="1">_xlfn.IFNA(VLOOKUP($A512,INDIRECT("'W"&amp;D$1&amp;"'!$A$2:$T$1000"),4,FALSE),0)</f>
        <v>0.30000000000000004</v>
      </c>
      <c r="E512" s="37">
        <f ca="1">_xlfn.IFNA(VLOOKUP($A512,INDIRECT("'W"&amp;E$1&amp;"'!$A$2:$T$1000"),4,FALSE),0)</f>
        <v>0</v>
      </c>
      <c r="F512" s="37">
        <f ca="1">_xlfn.IFNA(VLOOKUP($A512,INDIRECT("'W"&amp;F$1&amp;"'!$A$2:$T$1000"),4,FALSE),0)</f>
        <v>0</v>
      </c>
      <c r="G512" s="37">
        <f ca="1">_xlfn.IFNA(VLOOKUP($A512,INDIRECT("'W"&amp;G$1&amp;"'!$A$2:$T$1000"),4,FALSE),0)</f>
        <v>2</v>
      </c>
      <c r="H512" s="37">
        <f ca="1">_xlfn.IFNA(VLOOKUP($A512,INDIRECT("'W"&amp;H$1&amp;"'!$A$2:$T$1000"),4,FALSE),0)</f>
        <v>0.2</v>
      </c>
      <c r="I512" s="37">
        <f ca="1">_xlfn.IFNA(VLOOKUP($A512,INDIRECT("'W"&amp;I$1&amp;"'!$A$2:$T$1000"),4,FALSE),0)</f>
        <v>-0.2</v>
      </c>
      <c r="J512" s="37">
        <f ca="1">_xlfn.IFNA(VLOOKUP($A512,INDIRECT("'W"&amp;J$1&amp;"'!$A$2:$T$1000"),4,FALSE),0)</f>
        <v>0</v>
      </c>
      <c r="K512" s="37">
        <f ca="1">_xlfn.IFNA(VLOOKUP($A512,INDIRECT("'W"&amp;K$1&amp;"'!$A$2:$T$1000"),4,FALSE),0)</f>
        <v>0</v>
      </c>
      <c r="L512" s="37">
        <f ca="1">_xlfn.IFNA(VLOOKUP($A512,INDIRECT("'W"&amp;L$1&amp;"'!$A$2:$T$1000"),4,FALSE),0)</f>
        <v>0</v>
      </c>
      <c r="M512" s="37">
        <f ca="1">_xlfn.IFNA(VLOOKUP($A512,INDIRECT("'W"&amp;M$1&amp;"'!$A$2:$T$1000"),4,FALSE),0)</f>
        <v>0</v>
      </c>
      <c r="N512" s="37">
        <f ca="1">_xlfn.IFNA(VLOOKUP($A512,INDIRECT("'W"&amp;N$1&amp;"'!$A$2:$T$1000"),4,FALSE),0)</f>
        <v>0</v>
      </c>
      <c r="O512" s="37">
        <f ca="1">_xlfn.IFNA(VLOOKUP($A512,INDIRECT("'W"&amp;O$1&amp;"'!$A$2:$T$1000"),4,FALSE),0)</f>
        <v>0.4</v>
      </c>
      <c r="P512" s="37">
        <f ca="1">_xlfn.IFNA(VLOOKUP($A512,INDIRECT("'W"&amp;P$1&amp;"'!$A$2:$T$1000"),4,FALSE),0)</f>
        <v>1.3</v>
      </c>
      <c r="Q512" s="37">
        <f ca="1">_xlfn.IFNA(VLOOKUP($A512,INDIRECT("'W"&amp;Q$1&amp;"'!$A$2:$T$1000"),4,FALSE),0)</f>
        <v>0</v>
      </c>
      <c r="R512" s="37">
        <f ca="1">_xlfn.IFNA(VLOOKUP($A512,INDIRECT("'W"&amp;R$1&amp;"'!$A$2:$T$1000"),4,FALSE),0)</f>
        <v>1.4</v>
      </c>
      <c r="S512" s="37">
        <f ca="1">_xlfn.IFNA(VLOOKUP($A512,INDIRECT("'W"&amp;S$1&amp;"'!$A$2:$T$1000"),4,FALSE),0)</f>
        <v>0</v>
      </c>
      <c r="T512" s="37">
        <f ca="1">_xlfn.IFNA(VLOOKUP($A512,INDIRECT("'W"&amp;T$1&amp;"'!$A$2:$T$1000"),4,FALSE),0)</f>
        <v>0</v>
      </c>
      <c r="U512" s="36">
        <f ca="1">COUNTIF(C512:T512,"&gt; 15")</f>
        <v>0</v>
      </c>
      <c r="V512" s="36">
        <f ca="1">SUM(C512:T512)</f>
        <v>6.6999999999999993</v>
      </c>
      <c r="W512" s="36"/>
      <c r="X512" s="38"/>
    </row>
    <row r="513" spans="1:24" ht="12.75" x14ac:dyDescent="0.2">
      <c r="A513" s="36" t="s">
        <v>262</v>
      </c>
      <c r="B513" s="36" t="s">
        <v>162</v>
      </c>
      <c r="C513" s="37">
        <f ca="1">_xlfn.IFNA(VLOOKUP($A513,INDIRECT("'W"&amp;C$1&amp;"'!$A$2:$T$1000"),4,FALSE),0)</f>
        <v>0.79999999999999982</v>
      </c>
      <c r="D513" s="37">
        <f ca="1">_xlfn.IFNA(VLOOKUP($A513,INDIRECT("'W"&amp;D$1&amp;"'!$A$2:$T$1000"),4,FALSE),0)</f>
        <v>0</v>
      </c>
      <c r="E513" s="37">
        <f ca="1">_xlfn.IFNA(VLOOKUP($A513,INDIRECT("'W"&amp;E$1&amp;"'!$A$2:$T$1000"),4,FALSE),0)</f>
        <v>0</v>
      </c>
      <c r="F513" s="37">
        <f ca="1">_xlfn.IFNA(VLOOKUP($A513,INDIRECT("'W"&amp;F$1&amp;"'!$A$2:$T$1000"),4,FALSE),0)</f>
        <v>0</v>
      </c>
      <c r="G513" s="37">
        <f ca="1">_xlfn.IFNA(VLOOKUP($A513,INDIRECT("'W"&amp;G$1&amp;"'!$A$2:$T$1000"),4,FALSE),0)</f>
        <v>4.2</v>
      </c>
      <c r="H513" s="37">
        <f ca="1">_xlfn.IFNA(VLOOKUP($A513,INDIRECT("'W"&amp;H$1&amp;"'!$A$2:$T$1000"),4,FALSE),0)</f>
        <v>1.5</v>
      </c>
      <c r="I513" s="37">
        <f ca="1">_xlfn.IFNA(VLOOKUP($A513,INDIRECT("'W"&amp;I$1&amp;"'!$A$2:$T$1000"),4,FALSE),0)</f>
        <v>0</v>
      </c>
      <c r="J513" s="37">
        <f ca="1">_xlfn.IFNA(VLOOKUP($A513,INDIRECT("'W"&amp;J$1&amp;"'!$A$2:$T$1000"),4,FALSE),0)</f>
        <v>0</v>
      </c>
      <c r="K513" s="37">
        <f ca="1">_xlfn.IFNA(VLOOKUP($A513,INDIRECT("'W"&amp;K$1&amp;"'!$A$2:$T$1000"),4,FALSE),0)</f>
        <v>0</v>
      </c>
      <c r="L513" s="37">
        <f ca="1">_xlfn.IFNA(VLOOKUP($A513,INDIRECT("'W"&amp;L$1&amp;"'!$A$2:$T$1000"),4,FALSE),0)</f>
        <v>0</v>
      </c>
      <c r="M513" s="37">
        <f ca="1">_xlfn.IFNA(VLOOKUP($A513,INDIRECT("'W"&amp;M$1&amp;"'!$A$2:$T$1000"),4,FALSE),0)</f>
        <v>0</v>
      </c>
      <c r="N513" s="37">
        <f ca="1">_xlfn.IFNA(VLOOKUP($A513,INDIRECT("'W"&amp;N$1&amp;"'!$A$2:$T$1000"),4,FALSE),0)</f>
        <v>0</v>
      </c>
      <c r="O513" s="37">
        <f ca="1">_xlfn.IFNA(VLOOKUP($A513,INDIRECT("'W"&amp;O$1&amp;"'!$A$2:$T$1000"),4,FALSE),0)</f>
        <v>0</v>
      </c>
      <c r="P513" s="37">
        <f ca="1">_xlfn.IFNA(VLOOKUP($A513,INDIRECT("'W"&amp;P$1&amp;"'!$A$2:$T$1000"),4,FALSE),0)</f>
        <v>0</v>
      </c>
      <c r="Q513" s="37">
        <f ca="1">_xlfn.IFNA(VLOOKUP($A513,INDIRECT("'W"&amp;Q$1&amp;"'!$A$2:$T$1000"),4,FALSE),0)</f>
        <v>0</v>
      </c>
      <c r="R513" s="37">
        <f ca="1">_xlfn.IFNA(VLOOKUP($A513,INDIRECT("'W"&amp;R$1&amp;"'!$A$2:$T$1000"),4,FALSE),0)</f>
        <v>0</v>
      </c>
      <c r="S513" s="37">
        <f ca="1">_xlfn.IFNA(VLOOKUP($A513,INDIRECT("'W"&amp;S$1&amp;"'!$A$2:$T$1000"),4,FALSE),0)</f>
        <v>0</v>
      </c>
      <c r="T513" s="37">
        <f ca="1">_xlfn.IFNA(VLOOKUP($A513,INDIRECT("'W"&amp;T$1&amp;"'!$A$2:$T$1000"),4,FALSE),0)</f>
        <v>0</v>
      </c>
      <c r="U513" s="36">
        <f ca="1">COUNTIF(C513:T513,"&gt; 15")</f>
        <v>0</v>
      </c>
      <c r="V513" s="36">
        <f ca="1">SUM(C513:T513)</f>
        <v>6.5</v>
      </c>
      <c r="W513" s="36"/>
      <c r="X513" s="38"/>
    </row>
    <row r="514" spans="1:24" ht="12.75" x14ac:dyDescent="0.2">
      <c r="A514" s="36" t="s">
        <v>482</v>
      </c>
      <c r="B514" s="36" t="s">
        <v>75</v>
      </c>
      <c r="C514" s="37">
        <f ca="1">_xlfn.IFNA(VLOOKUP($A514,INDIRECT("'W"&amp;C$1&amp;"'!$A$2:$T$1000"),4,FALSE),0)</f>
        <v>0</v>
      </c>
      <c r="D514" s="37">
        <f ca="1">_xlfn.IFNA(VLOOKUP($A514,INDIRECT("'W"&amp;D$1&amp;"'!$A$2:$T$1000"),4,FALSE),0)</f>
        <v>0</v>
      </c>
      <c r="E514" s="37">
        <f ca="1">_xlfn.IFNA(VLOOKUP($A514,INDIRECT("'W"&amp;E$1&amp;"'!$A$2:$T$1000"),4,FALSE),0)</f>
        <v>0</v>
      </c>
      <c r="F514" s="37">
        <f ca="1">_xlfn.IFNA(VLOOKUP($A514,INDIRECT("'W"&amp;F$1&amp;"'!$A$2:$T$1000"),4,FALSE),0)</f>
        <v>2.9000000000000004</v>
      </c>
      <c r="G514" s="37">
        <f ca="1">_xlfn.IFNA(VLOOKUP($A514,INDIRECT("'W"&amp;G$1&amp;"'!$A$2:$T$1000"),4,FALSE),0)</f>
        <v>0</v>
      </c>
      <c r="H514" s="37">
        <f ca="1">_xlfn.IFNA(VLOOKUP($A514,INDIRECT("'W"&amp;H$1&amp;"'!$A$2:$T$1000"),4,FALSE),0)</f>
        <v>0.9</v>
      </c>
      <c r="I514" s="37">
        <f ca="1">_xlfn.IFNA(VLOOKUP($A514,INDIRECT("'W"&amp;I$1&amp;"'!$A$2:$T$1000"),4,FALSE),0)</f>
        <v>0.70000000000000007</v>
      </c>
      <c r="J514" s="37">
        <f ca="1">_xlfn.IFNA(VLOOKUP($A514,INDIRECT("'W"&amp;J$1&amp;"'!$A$2:$T$1000"),4,FALSE),0)</f>
        <v>0.1</v>
      </c>
      <c r="K514" s="37">
        <f ca="1">_xlfn.IFNA(VLOOKUP($A514,INDIRECT("'W"&amp;K$1&amp;"'!$A$2:$T$1000"),4,FALSE),0)</f>
        <v>1.7999999999999998</v>
      </c>
      <c r="L514" s="37">
        <f ca="1">_xlfn.IFNA(VLOOKUP($A514,INDIRECT("'W"&amp;L$1&amp;"'!$A$2:$T$1000"),4,FALSE),0)</f>
        <v>0</v>
      </c>
      <c r="M514" s="37">
        <f ca="1">_xlfn.IFNA(VLOOKUP($A514,INDIRECT("'W"&amp;M$1&amp;"'!$A$2:$T$1000"),4,FALSE),0)</f>
        <v>0</v>
      </c>
      <c r="N514" s="37">
        <f ca="1">_xlfn.IFNA(VLOOKUP($A514,INDIRECT("'W"&amp;N$1&amp;"'!$A$2:$T$1000"),4,FALSE),0)</f>
        <v>0</v>
      </c>
      <c r="O514" s="37">
        <f ca="1">_xlfn.IFNA(VLOOKUP($A514,INDIRECT("'W"&amp;O$1&amp;"'!$A$2:$T$1000"),4,FALSE),0)</f>
        <v>0</v>
      </c>
      <c r="P514" s="37">
        <f ca="1">_xlfn.IFNA(VLOOKUP($A514,INDIRECT("'W"&amp;P$1&amp;"'!$A$2:$T$1000"),4,FALSE),0)</f>
        <v>0</v>
      </c>
      <c r="Q514" s="37">
        <f ca="1">_xlfn.IFNA(VLOOKUP($A514,INDIRECT("'W"&amp;Q$1&amp;"'!$A$2:$T$1000"),4,FALSE),0)</f>
        <v>0</v>
      </c>
      <c r="R514" s="37">
        <f ca="1">_xlfn.IFNA(VLOOKUP($A514,INDIRECT("'W"&amp;R$1&amp;"'!$A$2:$T$1000"),4,FALSE),0)</f>
        <v>0</v>
      </c>
      <c r="S514" s="37">
        <f ca="1">_xlfn.IFNA(VLOOKUP($A514,INDIRECT("'W"&amp;S$1&amp;"'!$A$2:$T$1000"),4,FALSE),0)</f>
        <v>0</v>
      </c>
      <c r="T514" s="37">
        <f ca="1">_xlfn.IFNA(VLOOKUP($A514,INDIRECT("'W"&amp;T$1&amp;"'!$A$2:$T$1000"),4,FALSE),0)</f>
        <v>0</v>
      </c>
      <c r="U514" s="36">
        <f ca="1">COUNTIF(C514:T514,"&gt; 15")</f>
        <v>0</v>
      </c>
      <c r="V514" s="36">
        <f ca="1">SUM(C514:T514)</f>
        <v>6.3999999999999995</v>
      </c>
      <c r="W514" s="36"/>
      <c r="X514" s="38"/>
    </row>
    <row r="515" spans="1:24" ht="12.75" x14ac:dyDescent="0.2">
      <c r="A515" s="36" t="s">
        <v>518</v>
      </c>
      <c r="B515" s="36" t="s">
        <v>75</v>
      </c>
      <c r="C515" s="37">
        <f ca="1">_xlfn.IFNA(VLOOKUP($A515,INDIRECT("'W"&amp;C$1&amp;"'!$A$2:$T$1000"),4,FALSE),0)</f>
        <v>0</v>
      </c>
      <c r="D515" s="37">
        <f ca="1">_xlfn.IFNA(VLOOKUP($A515,INDIRECT("'W"&amp;D$1&amp;"'!$A$2:$T$1000"),4,FALSE),0)</f>
        <v>0</v>
      </c>
      <c r="E515" s="37">
        <f ca="1">_xlfn.IFNA(VLOOKUP($A515,INDIRECT("'W"&amp;E$1&amp;"'!$A$2:$T$1000"),4,FALSE),0)</f>
        <v>0</v>
      </c>
      <c r="F515" s="37">
        <f ca="1">_xlfn.IFNA(VLOOKUP($A515,INDIRECT("'W"&amp;F$1&amp;"'!$A$2:$T$1000"),4,FALSE),0)</f>
        <v>0</v>
      </c>
      <c r="G515" s="37">
        <f ca="1">_xlfn.IFNA(VLOOKUP($A515,INDIRECT("'W"&amp;G$1&amp;"'!$A$2:$T$1000"),4,FALSE),0)</f>
        <v>3.8000000000000003</v>
      </c>
      <c r="H515" s="37">
        <f ca="1">_xlfn.IFNA(VLOOKUP($A515,INDIRECT("'W"&amp;H$1&amp;"'!$A$2:$T$1000"),4,FALSE),0)</f>
        <v>0</v>
      </c>
      <c r="I515" s="37">
        <f ca="1">_xlfn.IFNA(VLOOKUP($A515,INDIRECT("'W"&amp;I$1&amp;"'!$A$2:$T$1000"),4,FALSE),0)</f>
        <v>0.9</v>
      </c>
      <c r="J515" s="37">
        <f ca="1">_xlfn.IFNA(VLOOKUP($A515,INDIRECT("'W"&amp;J$1&amp;"'!$A$2:$T$1000"),4,FALSE),0)</f>
        <v>0</v>
      </c>
      <c r="K515" s="37">
        <f ca="1">_xlfn.IFNA(VLOOKUP($A515,INDIRECT("'W"&amp;K$1&amp;"'!$A$2:$T$1000"),4,FALSE),0)</f>
        <v>0</v>
      </c>
      <c r="L515" s="37">
        <f ca="1">_xlfn.IFNA(VLOOKUP($A515,INDIRECT("'W"&amp;L$1&amp;"'!$A$2:$T$1000"),4,FALSE),0)</f>
        <v>0</v>
      </c>
      <c r="M515" s="37">
        <f ca="1">_xlfn.IFNA(VLOOKUP($A515,INDIRECT("'W"&amp;M$1&amp;"'!$A$2:$T$1000"),4,FALSE),0)</f>
        <v>0</v>
      </c>
      <c r="N515" s="37">
        <f ca="1">_xlfn.IFNA(VLOOKUP($A515,INDIRECT("'W"&amp;N$1&amp;"'!$A$2:$T$1000"),4,FALSE),0)</f>
        <v>1.6</v>
      </c>
      <c r="O515" s="37">
        <f ca="1">_xlfn.IFNA(VLOOKUP($A515,INDIRECT("'W"&amp;O$1&amp;"'!$A$2:$T$1000"),4,FALSE),0)</f>
        <v>0</v>
      </c>
      <c r="P515" s="37">
        <f ca="1">_xlfn.IFNA(VLOOKUP($A515,INDIRECT("'W"&amp;P$1&amp;"'!$A$2:$T$1000"),4,FALSE),0)</f>
        <v>0</v>
      </c>
      <c r="Q515" s="37">
        <f ca="1">_xlfn.IFNA(VLOOKUP($A515,INDIRECT("'W"&amp;Q$1&amp;"'!$A$2:$T$1000"),4,FALSE),0)</f>
        <v>0</v>
      </c>
      <c r="R515" s="37">
        <f ca="1">_xlfn.IFNA(VLOOKUP($A515,INDIRECT("'W"&amp;R$1&amp;"'!$A$2:$T$1000"),4,FALSE),0)</f>
        <v>0</v>
      </c>
      <c r="S515" s="37">
        <f ca="1">_xlfn.IFNA(VLOOKUP($A515,INDIRECT("'W"&amp;S$1&amp;"'!$A$2:$T$1000"),4,FALSE),0)</f>
        <v>0</v>
      </c>
      <c r="T515" s="37">
        <f ca="1">_xlfn.IFNA(VLOOKUP($A515,INDIRECT("'W"&amp;T$1&amp;"'!$A$2:$T$1000"),4,FALSE),0)</f>
        <v>0</v>
      </c>
      <c r="U515" s="36">
        <f ca="1">COUNTIF(C515:T515,"&gt; 15")</f>
        <v>0</v>
      </c>
      <c r="V515" s="36">
        <f ca="1">SUM(C515:T515)</f>
        <v>6.3000000000000007</v>
      </c>
      <c r="W515" s="36"/>
      <c r="X515" s="38"/>
    </row>
    <row r="516" spans="1:24" ht="12.75" x14ac:dyDescent="0.2">
      <c r="A516" s="36" t="s">
        <v>700</v>
      </c>
      <c r="B516" s="36" t="s">
        <v>69</v>
      </c>
      <c r="C516" s="37">
        <f ca="1">_xlfn.IFNA(VLOOKUP($A516,INDIRECT("'W"&amp;C$1&amp;"'!$A$2:$T$1000"),4,FALSE),0)</f>
        <v>0</v>
      </c>
      <c r="D516" s="37">
        <f ca="1">_xlfn.IFNA(VLOOKUP($A516,INDIRECT("'W"&amp;D$1&amp;"'!$A$2:$T$1000"),4,FALSE),0)</f>
        <v>0</v>
      </c>
      <c r="E516" s="37">
        <f ca="1">_xlfn.IFNA(VLOOKUP($A516,INDIRECT("'W"&amp;E$1&amp;"'!$A$2:$T$1000"),4,FALSE),0)</f>
        <v>0</v>
      </c>
      <c r="F516" s="37">
        <f ca="1">_xlfn.IFNA(VLOOKUP($A516,INDIRECT("'W"&amp;F$1&amp;"'!$A$2:$T$1000"),4,FALSE),0)</f>
        <v>0</v>
      </c>
      <c r="G516" s="37">
        <f ca="1">_xlfn.IFNA(VLOOKUP($A516,INDIRECT("'W"&amp;G$1&amp;"'!$A$2:$T$1000"),4,FALSE),0)</f>
        <v>0</v>
      </c>
      <c r="H516" s="37">
        <f ca="1">_xlfn.IFNA(VLOOKUP($A516,INDIRECT("'W"&amp;H$1&amp;"'!$A$2:$T$1000"),4,FALSE),0)</f>
        <v>0</v>
      </c>
      <c r="I516" s="37">
        <f ca="1">_xlfn.IFNA(VLOOKUP($A516,INDIRECT("'W"&amp;I$1&amp;"'!$A$2:$T$1000"),4,FALSE),0)</f>
        <v>0</v>
      </c>
      <c r="J516" s="37">
        <f ca="1">_xlfn.IFNA(VLOOKUP($A516,INDIRECT("'W"&amp;J$1&amp;"'!$A$2:$T$1000"),4,FALSE),0)</f>
        <v>0</v>
      </c>
      <c r="K516" s="37">
        <f ca="1">_xlfn.IFNA(VLOOKUP($A516,INDIRECT("'W"&amp;K$1&amp;"'!$A$2:$T$1000"),4,FALSE),0)</f>
        <v>0</v>
      </c>
      <c r="L516" s="37">
        <f ca="1">_xlfn.IFNA(VLOOKUP($A516,INDIRECT("'W"&amp;L$1&amp;"'!$A$2:$T$1000"),4,FALSE),0)</f>
        <v>0</v>
      </c>
      <c r="M516" s="37">
        <f ca="1">_xlfn.IFNA(VLOOKUP($A516,INDIRECT("'W"&amp;M$1&amp;"'!$A$2:$T$1000"),4,FALSE),0)</f>
        <v>0</v>
      </c>
      <c r="N516" s="37">
        <f ca="1">_xlfn.IFNA(VLOOKUP($A516,INDIRECT("'W"&amp;N$1&amp;"'!$A$2:$T$1000"),4,FALSE),0)</f>
        <v>1.9</v>
      </c>
      <c r="O516" s="37">
        <f ca="1">_xlfn.IFNA(VLOOKUP($A516,INDIRECT("'W"&amp;O$1&amp;"'!$A$2:$T$1000"),4,FALSE),0)</f>
        <v>0</v>
      </c>
      <c r="P516" s="37">
        <f ca="1">_xlfn.IFNA(VLOOKUP($A516,INDIRECT("'W"&amp;P$1&amp;"'!$A$2:$T$1000"),4,FALSE),0)</f>
        <v>1.3</v>
      </c>
      <c r="Q516" s="37">
        <f ca="1">_xlfn.IFNA(VLOOKUP($A516,INDIRECT("'W"&amp;Q$1&amp;"'!$A$2:$T$1000"),4,FALSE),0)</f>
        <v>0</v>
      </c>
      <c r="R516" s="37">
        <f ca="1">_xlfn.IFNA(VLOOKUP($A516,INDIRECT("'W"&amp;R$1&amp;"'!$A$2:$T$1000"),4,FALSE),0)</f>
        <v>0</v>
      </c>
      <c r="S516" s="37">
        <f ca="1">_xlfn.IFNA(VLOOKUP($A516,INDIRECT("'W"&amp;S$1&amp;"'!$A$2:$T$1000"),4,FALSE),0)</f>
        <v>0</v>
      </c>
      <c r="T516" s="37">
        <f ca="1">_xlfn.IFNA(VLOOKUP($A516,INDIRECT("'W"&amp;T$1&amp;"'!$A$2:$T$1000"),4,FALSE),0)</f>
        <v>3</v>
      </c>
      <c r="U516" s="36">
        <f ca="1">COUNTIF(C516:T516,"&gt; 15")</f>
        <v>0</v>
      </c>
      <c r="V516" s="36">
        <f ca="1">SUM(C516:T516)</f>
        <v>6.2</v>
      </c>
      <c r="W516" s="36"/>
      <c r="X516" s="38"/>
    </row>
    <row r="517" spans="1:24" ht="12.75" x14ac:dyDescent="0.2">
      <c r="A517" s="36" t="s">
        <v>442</v>
      </c>
      <c r="B517" s="36" t="s">
        <v>69</v>
      </c>
      <c r="C517" s="37">
        <f ca="1">_xlfn.IFNA(VLOOKUP($A517,INDIRECT("'W"&amp;C$1&amp;"'!$A$2:$T$1000"),4,FALSE),0)</f>
        <v>0</v>
      </c>
      <c r="D517" s="37">
        <f ca="1">_xlfn.IFNA(VLOOKUP($A517,INDIRECT("'W"&amp;D$1&amp;"'!$A$2:$T$1000"),4,FALSE),0)</f>
        <v>0</v>
      </c>
      <c r="E517" s="37">
        <f ca="1">_xlfn.IFNA(VLOOKUP($A517,INDIRECT("'W"&amp;E$1&amp;"'!$A$2:$T$1000"),4,FALSE),0)</f>
        <v>2.1</v>
      </c>
      <c r="F517" s="37">
        <f ca="1">_xlfn.IFNA(VLOOKUP($A517,INDIRECT("'W"&amp;F$1&amp;"'!$A$2:$T$1000"),4,FALSE),0)</f>
        <v>2.8</v>
      </c>
      <c r="G517" s="37">
        <f ca="1">_xlfn.IFNA(VLOOKUP($A517,INDIRECT("'W"&amp;G$1&amp;"'!$A$2:$T$1000"),4,FALSE),0)</f>
        <v>0</v>
      </c>
      <c r="H517" s="37">
        <f ca="1">_xlfn.IFNA(VLOOKUP($A517,INDIRECT("'W"&amp;H$1&amp;"'!$A$2:$T$1000"),4,FALSE),0)</f>
        <v>0</v>
      </c>
      <c r="I517" s="37">
        <f ca="1">_xlfn.IFNA(VLOOKUP($A517,INDIRECT("'W"&amp;I$1&amp;"'!$A$2:$T$1000"),4,FALSE),0)</f>
        <v>1.3</v>
      </c>
      <c r="J517" s="37">
        <f ca="1">_xlfn.IFNA(VLOOKUP($A517,INDIRECT("'W"&amp;J$1&amp;"'!$A$2:$T$1000"),4,FALSE),0)</f>
        <v>0</v>
      </c>
      <c r="K517" s="37">
        <f ca="1">_xlfn.IFNA(VLOOKUP($A517,INDIRECT("'W"&amp;K$1&amp;"'!$A$2:$T$1000"),4,FALSE),0)</f>
        <v>0</v>
      </c>
      <c r="L517" s="37">
        <f ca="1">_xlfn.IFNA(VLOOKUP($A517,INDIRECT("'W"&amp;L$1&amp;"'!$A$2:$T$1000"),4,FALSE),0)</f>
        <v>0</v>
      </c>
      <c r="M517" s="37">
        <f ca="1">_xlfn.IFNA(VLOOKUP($A517,INDIRECT("'W"&amp;M$1&amp;"'!$A$2:$T$1000"),4,FALSE),0)</f>
        <v>0</v>
      </c>
      <c r="N517" s="37">
        <f ca="1">_xlfn.IFNA(VLOOKUP($A517,INDIRECT("'W"&amp;N$1&amp;"'!$A$2:$T$1000"),4,FALSE),0)</f>
        <v>0</v>
      </c>
      <c r="O517" s="37">
        <f ca="1">_xlfn.IFNA(VLOOKUP($A517,INDIRECT("'W"&amp;O$1&amp;"'!$A$2:$T$1000"),4,FALSE),0)</f>
        <v>0</v>
      </c>
      <c r="P517" s="37">
        <f ca="1">_xlfn.IFNA(VLOOKUP($A517,INDIRECT("'W"&amp;P$1&amp;"'!$A$2:$T$1000"),4,FALSE),0)</f>
        <v>0</v>
      </c>
      <c r="Q517" s="37">
        <f ca="1">_xlfn.IFNA(VLOOKUP($A517,INDIRECT("'W"&amp;Q$1&amp;"'!$A$2:$T$1000"),4,FALSE),0)</f>
        <v>0</v>
      </c>
      <c r="R517" s="37">
        <f ca="1">_xlfn.IFNA(VLOOKUP($A517,INDIRECT("'W"&amp;R$1&amp;"'!$A$2:$T$1000"),4,FALSE),0)</f>
        <v>0</v>
      </c>
      <c r="S517" s="37">
        <f ca="1">_xlfn.IFNA(VLOOKUP($A517,INDIRECT("'W"&amp;S$1&amp;"'!$A$2:$T$1000"),4,FALSE),0)</f>
        <v>0</v>
      </c>
      <c r="T517" s="37">
        <f ca="1">_xlfn.IFNA(VLOOKUP($A517,INDIRECT("'W"&amp;T$1&amp;"'!$A$2:$T$1000"),4,FALSE),0)</f>
        <v>0</v>
      </c>
      <c r="U517" s="36">
        <f ca="1">COUNTIF(C517:T517,"&gt; 15")</f>
        <v>0</v>
      </c>
      <c r="V517" s="36">
        <f ca="1">SUM(C517:T517)</f>
        <v>6.2</v>
      </c>
      <c r="W517" s="36"/>
      <c r="X517" s="38"/>
    </row>
    <row r="518" spans="1:24" ht="12.75" x14ac:dyDescent="0.2">
      <c r="A518" s="36" t="s">
        <v>456</v>
      </c>
      <c r="B518" s="36" t="s">
        <v>17</v>
      </c>
      <c r="C518" s="37">
        <f ca="1">_xlfn.IFNA(VLOOKUP($A518,INDIRECT("'W"&amp;C$1&amp;"'!$A$2:$T$1000"),4,FALSE),0)</f>
        <v>0</v>
      </c>
      <c r="D518" s="37">
        <f ca="1">_xlfn.IFNA(VLOOKUP($A518,INDIRECT("'W"&amp;D$1&amp;"'!$A$2:$T$1000"),4,FALSE),0)</f>
        <v>0</v>
      </c>
      <c r="E518" s="37">
        <f ca="1">_xlfn.IFNA(VLOOKUP($A518,INDIRECT("'W"&amp;E$1&amp;"'!$A$2:$T$1000"),4,FALSE),0)</f>
        <v>-2.86</v>
      </c>
      <c r="F518" s="37">
        <f ca="1">_xlfn.IFNA(VLOOKUP($A518,INDIRECT("'W"&amp;F$1&amp;"'!$A$2:$T$1000"),4,FALSE),0)</f>
        <v>0</v>
      </c>
      <c r="G518" s="37">
        <f ca="1">_xlfn.IFNA(VLOOKUP($A518,INDIRECT("'W"&amp;G$1&amp;"'!$A$2:$T$1000"),4,FALSE),0)</f>
        <v>0</v>
      </c>
      <c r="H518" s="37">
        <f ca="1">_xlfn.IFNA(VLOOKUP($A518,INDIRECT("'W"&amp;H$1&amp;"'!$A$2:$T$1000"),4,FALSE),0)</f>
        <v>0</v>
      </c>
      <c r="I518" s="37">
        <f ca="1">_xlfn.IFNA(VLOOKUP($A518,INDIRECT("'W"&amp;I$1&amp;"'!$A$2:$T$1000"),4,FALSE),0)</f>
        <v>0</v>
      </c>
      <c r="J518" s="37">
        <f ca="1">_xlfn.IFNA(VLOOKUP($A518,INDIRECT("'W"&amp;J$1&amp;"'!$A$2:$T$1000"),4,FALSE),0)</f>
        <v>0</v>
      </c>
      <c r="K518" s="37">
        <f ca="1">_xlfn.IFNA(VLOOKUP($A518,INDIRECT("'W"&amp;K$1&amp;"'!$A$2:$T$1000"),4,FALSE),0)</f>
        <v>0</v>
      </c>
      <c r="L518" s="37">
        <f ca="1">_xlfn.IFNA(VLOOKUP($A518,INDIRECT("'W"&amp;L$1&amp;"'!$A$2:$T$1000"),4,FALSE),0)</f>
        <v>0</v>
      </c>
      <c r="M518" s="37">
        <f ca="1">_xlfn.IFNA(VLOOKUP($A518,INDIRECT("'W"&amp;M$1&amp;"'!$A$2:$T$1000"),4,FALSE),0)</f>
        <v>0</v>
      </c>
      <c r="N518" s="37">
        <f ca="1">_xlfn.IFNA(VLOOKUP($A518,INDIRECT("'W"&amp;N$1&amp;"'!$A$2:$T$1000"),4,FALSE),0)</f>
        <v>0</v>
      </c>
      <c r="O518" s="37">
        <f ca="1">_xlfn.IFNA(VLOOKUP($A518,INDIRECT("'W"&amp;O$1&amp;"'!$A$2:$T$1000"),4,FALSE),0)</f>
        <v>0</v>
      </c>
      <c r="P518" s="37">
        <f ca="1">_xlfn.IFNA(VLOOKUP($A518,INDIRECT("'W"&amp;P$1&amp;"'!$A$2:$T$1000"),4,FALSE),0)</f>
        <v>0</v>
      </c>
      <c r="Q518" s="37">
        <f ca="1">_xlfn.IFNA(VLOOKUP($A518,INDIRECT("'W"&amp;Q$1&amp;"'!$A$2:$T$1000"),4,FALSE),0)</f>
        <v>0</v>
      </c>
      <c r="R518" s="37">
        <f ca="1">_xlfn.IFNA(VLOOKUP($A518,INDIRECT("'W"&amp;R$1&amp;"'!$A$2:$T$1000"),4,FALSE),0)</f>
        <v>0</v>
      </c>
      <c r="S518" s="37">
        <f ca="1">_xlfn.IFNA(VLOOKUP($A518,INDIRECT("'W"&amp;S$1&amp;"'!$A$2:$T$1000"),4,FALSE),0)</f>
        <v>0</v>
      </c>
      <c r="T518" s="37">
        <f ca="1">_xlfn.IFNA(VLOOKUP($A518,INDIRECT("'W"&amp;T$1&amp;"'!$A$2:$T$1000"),4,FALSE),0)</f>
        <v>8.7600000000000016</v>
      </c>
      <c r="U518" s="36">
        <f ca="1">COUNTIF(C518:T518,"&gt; 15")</f>
        <v>0</v>
      </c>
      <c r="V518" s="36">
        <f ca="1">SUM(C518:T518)</f>
        <v>5.9000000000000021</v>
      </c>
      <c r="W518" s="36"/>
      <c r="X518" s="38"/>
    </row>
    <row r="519" spans="1:24" ht="12.75" x14ac:dyDescent="0.2">
      <c r="A519" s="36" t="s">
        <v>376</v>
      </c>
      <c r="B519" s="36" t="s">
        <v>162</v>
      </c>
      <c r="C519" s="37">
        <f ca="1">_xlfn.IFNA(VLOOKUP($A519,INDIRECT("'W"&amp;C$1&amp;"'!$A$2:$T$1000"),4,FALSE),0)</f>
        <v>0</v>
      </c>
      <c r="D519" s="37">
        <f ca="1">_xlfn.IFNA(VLOOKUP($A519,INDIRECT("'W"&amp;D$1&amp;"'!$A$2:$T$1000"),4,FALSE),0)</f>
        <v>1.9</v>
      </c>
      <c r="E519" s="37">
        <f ca="1">_xlfn.IFNA(VLOOKUP($A519,INDIRECT("'W"&amp;E$1&amp;"'!$A$2:$T$1000"),4,FALSE),0)</f>
        <v>0</v>
      </c>
      <c r="F519" s="37">
        <f ca="1">_xlfn.IFNA(VLOOKUP($A519,INDIRECT("'W"&amp;F$1&amp;"'!$A$2:$T$1000"),4,FALSE),0)</f>
        <v>4</v>
      </c>
      <c r="G519" s="37">
        <f ca="1">_xlfn.IFNA(VLOOKUP($A519,INDIRECT("'W"&amp;G$1&amp;"'!$A$2:$T$1000"),4,FALSE),0)</f>
        <v>0</v>
      </c>
      <c r="H519" s="37">
        <f ca="1">_xlfn.IFNA(VLOOKUP($A519,INDIRECT("'W"&amp;H$1&amp;"'!$A$2:$T$1000"),4,FALSE),0)</f>
        <v>0</v>
      </c>
      <c r="I519" s="37">
        <f ca="1">_xlfn.IFNA(VLOOKUP($A519,INDIRECT("'W"&amp;I$1&amp;"'!$A$2:$T$1000"),4,FALSE),0)</f>
        <v>0</v>
      </c>
      <c r="J519" s="37">
        <f ca="1">_xlfn.IFNA(VLOOKUP($A519,INDIRECT("'W"&amp;J$1&amp;"'!$A$2:$T$1000"),4,FALSE),0)</f>
        <v>0</v>
      </c>
      <c r="K519" s="37">
        <f ca="1">_xlfn.IFNA(VLOOKUP($A519,INDIRECT("'W"&amp;K$1&amp;"'!$A$2:$T$1000"),4,FALSE),0)</f>
        <v>0</v>
      </c>
      <c r="L519" s="37">
        <f ca="1">_xlfn.IFNA(VLOOKUP($A519,INDIRECT("'W"&amp;L$1&amp;"'!$A$2:$T$1000"),4,FALSE),0)</f>
        <v>0</v>
      </c>
      <c r="M519" s="37">
        <f ca="1">_xlfn.IFNA(VLOOKUP($A519,INDIRECT("'W"&amp;M$1&amp;"'!$A$2:$T$1000"),4,FALSE),0)</f>
        <v>0</v>
      </c>
      <c r="N519" s="37">
        <f ca="1">_xlfn.IFNA(VLOOKUP($A519,INDIRECT("'W"&amp;N$1&amp;"'!$A$2:$T$1000"),4,FALSE),0)</f>
        <v>0</v>
      </c>
      <c r="O519" s="37">
        <f ca="1">_xlfn.IFNA(VLOOKUP($A519,INDIRECT("'W"&amp;O$1&amp;"'!$A$2:$T$1000"),4,FALSE),0)</f>
        <v>0</v>
      </c>
      <c r="P519" s="37">
        <f ca="1">_xlfn.IFNA(VLOOKUP($A519,INDIRECT("'W"&amp;P$1&amp;"'!$A$2:$T$1000"),4,FALSE),0)</f>
        <v>0</v>
      </c>
      <c r="Q519" s="37">
        <f ca="1">_xlfn.IFNA(VLOOKUP($A519,INDIRECT("'W"&amp;Q$1&amp;"'!$A$2:$T$1000"),4,FALSE),0)</f>
        <v>0</v>
      </c>
      <c r="R519" s="37">
        <f ca="1">_xlfn.IFNA(VLOOKUP($A519,INDIRECT("'W"&amp;R$1&amp;"'!$A$2:$T$1000"),4,FALSE),0)</f>
        <v>0</v>
      </c>
      <c r="S519" s="37">
        <f ca="1">_xlfn.IFNA(VLOOKUP($A519,INDIRECT("'W"&amp;S$1&amp;"'!$A$2:$T$1000"),4,FALSE),0)</f>
        <v>0</v>
      </c>
      <c r="T519" s="37">
        <f ca="1">_xlfn.IFNA(VLOOKUP($A519,INDIRECT("'W"&amp;T$1&amp;"'!$A$2:$T$1000"),4,FALSE),0)</f>
        <v>0</v>
      </c>
      <c r="U519" s="36">
        <f ca="1">COUNTIF(C519:T519,"&gt; 15")</f>
        <v>0</v>
      </c>
      <c r="V519" s="36">
        <f ca="1">SUM(C519:T519)</f>
        <v>5.9</v>
      </c>
      <c r="W519" s="36"/>
      <c r="X519" s="38"/>
    </row>
    <row r="520" spans="1:24" ht="12.75" x14ac:dyDescent="0.2">
      <c r="A520" s="36" t="s">
        <v>651</v>
      </c>
      <c r="B520" s="36" t="s">
        <v>162</v>
      </c>
      <c r="C520" s="37">
        <f ca="1">_xlfn.IFNA(VLOOKUP($A520,INDIRECT("'W"&amp;C$1&amp;"'!$A$2:$T$1000"),4,FALSE),0)</f>
        <v>0</v>
      </c>
      <c r="D520" s="37">
        <f ca="1">_xlfn.IFNA(VLOOKUP($A520,INDIRECT("'W"&amp;D$1&amp;"'!$A$2:$T$1000"),4,FALSE),0)</f>
        <v>0</v>
      </c>
      <c r="E520" s="37">
        <f ca="1">_xlfn.IFNA(VLOOKUP($A520,INDIRECT("'W"&amp;E$1&amp;"'!$A$2:$T$1000"),4,FALSE),0)</f>
        <v>0</v>
      </c>
      <c r="F520" s="37">
        <f ca="1">_xlfn.IFNA(VLOOKUP($A520,INDIRECT("'W"&amp;F$1&amp;"'!$A$2:$T$1000"),4,FALSE),0)</f>
        <v>0</v>
      </c>
      <c r="G520" s="37">
        <f ca="1">_xlfn.IFNA(VLOOKUP($A520,INDIRECT("'W"&amp;G$1&amp;"'!$A$2:$T$1000"),4,FALSE),0)</f>
        <v>0</v>
      </c>
      <c r="H520" s="37">
        <f ca="1">_xlfn.IFNA(VLOOKUP($A520,INDIRECT("'W"&amp;H$1&amp;"'!$A$2:$T$1000"),4,FALSE),0)</f>
        <v>0</v>
      </c>
      <c r="I520" s="37">
        <f ca="1">_xlfn.IFNA(VLOOKUP($A520,INDIRECT("'W"&amp;I$1&amp;"'!$A$2:$T$1000"),4,FALSE),0)</f>
        <v>0</v>
      </c>
      <c r="J520" s="37">
        <f ca="1">_xlfn.IFNA(VLOOKUP($A520,INDIRECT("'W"&amp;J$1&amp;"'!$A$2:$T$1000"),4,FALSE),0)</f>
        <v>0</v>
      </c>
      <c r="K520" s="37">
        <f ca="1">_xlfn.IFNA(VLOOKUP($A520,INDIRECT("'W"&amp;K$1&amp;"'!$A$2:$T$1000"),4,FALSE),0)</f>
        <v>0</v>
      </c>
      <c r="L520" s="37">
        <f ca="1">_xlfn.IFNA(VLOOKUP($A520,INDIRECT("'W"&amp;L$1&amp;"'!$A$2:$T$1000"),4,FALSE),0)</f>
        <v>2.6</v>
      </c>
      <c r="M520" s="37">
        <f ca="1">_xlfn.IFNA(VLOOKUP($A520,INDIRECT("'W"&amp;M$1&amp;"'!$A$2:$T$1000"),4,FALSE),0)</f>
        <v>0</v>
      </c>
      <c r="N520" s="37">
        <f ca="1">_xlfn.IFNA(VLOOKUP($A520,INDIRECT("'W"&amp;N$1&amp;"'!$A$2:$T$1000"),4,FALSE),0)</f>
        <v>0</v>
      </c>
      <c r="O520" s="37">
        <f ca="1">_xlfn.IFNA(VLOOKUP($A520,INDIRECT("'W"&amp;O$1&amp;"'!$A$2:$T$1000"),4,FALSE),0)</f>
        <v>0</v>
      </c>
      <c r="P520" s="37">
        <f ca="1">_xlfn.IFNA(VLOOKUP($A520,INDIRECT("'W"&amp;P$1&amp;"'!$A$2:$T$1000"),4,FALSE),0)</f>
        <v>3.3</v>
      </c>
      <c r="Q520" s="37">
        <f ca="1">_xlfn.IFNA(VLOOKUP($A520,INDIRECT("'W"&amp;Q$1&amp;"'!$A$2:$T$1000"),4,FALSE),0)</f>
        <v>0</v>
      </c>
      <c r="R520" s="37">
        <f ca="1">_xlfn.IFNA(VLOOKUP($A520,INDIRECT("'W"&amp;R$1&amp;"'!$A$2:$T$1000"),4,FALSE),0)</f>
        <v>0</v>
      </c>
      <c r="S520" s="37">
        <f ca="1">_xlfn.IFNA(VLOOKUP($A520,INDIRECT("'W"&amp;S$1&amp;"'!$A$2:$T$1000"),4,FALSE),0)</f>
        <v>0</v>
      </c>
      <c r="T520" s="37">
        <f ca="1">_xlfn.IFNA(VLOOKUP($A520,INDIRECT("'W"&amp;T$1&amp;"'!$A$2:$T$1000"),4,FALSE),0)</f>
        <v>0</v>
      </c>
      <c r="U520" s="36">
        <f ca="1">COUNTIF(C520:T520,"&gt; 15")</f>
        <v>0</v>
      </c>
      <c r="V520" s="36">
        <f ca="1">SUM(C520:T520)</f>
        <v>5.9</v>
      </c>
      <c r="W520" s="36"/>
      <c r="X520" s="38"/>
    </row>
    <row r="521" spans="1:24" ht="12.75" x14ac:dyDescent="0.2">
      <c r="A521" s="36" t="s">
        <v>522</v>
      </c>
      <c r="B521" s="36" t="s">
        <v>75</v>
      </c>
      <c r="C521" s="37">
        <f ca="1">_xlfn.IFNA(VLOOKUP($A521,INDIRECT("'W"&amp;C$1&amp;"'!$A$2:$T$1000"),4,FALSE),0)</f>
        <v>0</v>
      </c>
      <c r="D521" s="37">
        <f ca="1">_xlfn.IFNA(VLOOKUP($A521,INDIRECT("'W"&amp;D$1&amp;"'!$A$2:$T$1000"),4,FALSE),0)</f>
        <v>0</v>
      </c>
      <c r="E521" s="37">
        <f ca="1">_xlfn.IFNA(VLOOKUP($A521,INDIRECT("'W"&amp;E$1&amp;"'!$A$2:$T$1000"),4,FALSE),0)</f>
        <v>0</v>
      </c>
      <c r="F521" s="37">
        <f ca="1">_xlfn.IFNA(VLOOKUP($A521,INDIRECT("'W"&amp;F$1&amp;"'!$A$2:$T$1000"),4,FALSE),0)</f>
        <v>0</v>
      </c>
      <c r="G521" s="37">
        <f ca="1">_xlfn.IFNA(VLOOKUP($A521,INDIRECT("'W"&amp;G$1&amp;"'!$A$2:$T$1000"),4,FALSE),0)</f>
        <v>2.6</v>
      </c>
      <c r="H521" s="37">
        <f ca="1">_xlfn.IFNA(VLOOKUP($A521,INDIRECT("'W"&amp;H$1&amp;"'!$A$2:$T$1000"),4,FALSE),0)</f>
        <v>1.1000000000000001</v>
      </c>
      <c r="I521" s="37">
        <f ca="1">_xlfn.IFNA(VLOOKUP($A521,INDIRECT("'W"&amp;I$1&amp;"'!$A$2:$T$1000"),4,FALSE),0)</f>
        <v>1.4</v>
      </c>
      <c r="J521" s="37">
        <f ca="1">_xlfn.IFNA(VLOOKUP($A521,INDIRECT("'W"&amp;J$1&amp;"'!$A$2:$T$1000"),4,FALSE),0)</f>
        <v>0</v>
      </c>
      <c r="K521" s="37">
        <f ca="1">_xlfn.IFNA(VLOOKUP($A521,INDIRECT("'W"&amp;K$1&amp;"'!$A$2:$T$1000"),4,FALSE),0)</f>
        <v>0</v>
      </c>
      <c r="L521" s="37">
        <f ca="1">_xlfn.IFNA(VLOOKUP($A521,INDIRECT("'W"&amp;L$1&amp;"'!$A$2:$T$1000"),4,FALSE),0)</f>
        <v>0</v>
      </c>
      <c r="M521" s="37">
        <f ca="1">_xlfn.IFNA(VLOOKUP($A521,INDIRECT("'W"&amp;M$1&amp;"'!$A$2:$T$1000"),4,FALSE),0)</f>
        <v>0</v>
      </c>
      <c r="N521" s="37">
        <f ca="1">_xlfn.IFNA(VLOOKUP($A521,INDIRECT("'W"&amp;N$1&amp;"'!$A$2:$T$1000"),4,FALSE),0)</f>
        <v>0</v>
      </c>
      <c r="O521" s="37">
        <f ca="1">_xlfn.IFNA(VLOOKUP($A521,INDIRECT("'W"&amp;O$1&amp;"'!$A$2:$T$1000"),4,FALSE),0)</f>
        <v>0</v>
      </c>
      <c r="P521" s="37">
        <f ca="1">_xlfn.IFNA(VLOOKUP($A521,INDIRECT("'W"&amp;P$1&amp;"'!$A$2:$T$1000"),4,FALSE),0)</f>
        <v>0.7</v>
      </c>
      <c r="Q521" s="37">
        <f ca="1">_xlfn.IFNA(VLOOKUP($A521,INDIRECT("'W"&amp;Q$1&amp;"'!$A$2:$T$1000"),4,FALSE),0)</f>
        <v>0</v>
      </c>
      <c r="R521" s="37">
        <f ca="1">_xlfn.IFNA(VLOOKUP($A521,INDIRECT("'W"&amp;R$1&amp;"'!$A$2:$T$1000"),4,FALSE),0)</f>
        <v>0</v>
      </c>
      <c r="S521" s="37">
        <f ca="1">_xlfn.IFNA(VLOOKUP($A521,INDIRECT("'W"&amp;S$1&amp;"'!$A$2:$T$1000"),4,FALSE),0)</f>
        <v>0</v>
      </c>
      <c r="T521" s="37">
        <f ca="1">_xlfn.IFNA(VLOOKUP($A521,INDIRECT("'W"&amp;T$1&amp;"'!$A$2:$T$1000"),4,FALSE),0)</f>
        <v>0</v>
      </c>
      <c r="U521" s="36">
        <f ca="1">COUNTIF(C521:T521,"&gt; 15")</f>
        <v>0</v>
      </c>
      <c r="V521" s="36">
        <f ca="1">SUM(C521:T521)</f>
        <v>5.8</v>
      </c>
      <c r="W521" s="36"/>
      <c r="X521" s="38"/>
    </row>
    <row r="522" spans="1:24" ht="12.75" x14ac:dyDescent="0.2">
      <c r="A522" s="36" t="s">
        <v>677</v>
      </c>
      <c r="B522" s="36" t="s">
        <v>162</v>
      </c>
      <c r="C522" s="37">
        <f ca="1">_xlfn.IFNA(VLOOKUP($A522,INDIRECT("'W"&amp;C$1&amp;"'!$A$2:$T$1000"),4,FALSE),0)</f>
        <v>0</v>
      </c>
      <c r="D522" s="37">
        <f ca="1">_xlfn.IFNA(VLOOKUP($A522,INDIRECT("'W"&amp;D$1&amp;"'!$A$2:$T$1000"),4,FALSE),0)</f>
        <v>0</v>
      </c>
      <c r="E522" s="37">
        <f ca="1">_xlfn.IFNA(VLOOKUP($A522,INDIRECT("'W"&amp;E$1&amp;"'!$A$2:$T$1000"),4,FALSE),0)</f>
        <v>0</v>
      </c>
      <c r="F522" s="37">
        <f ca="1">_xlfn.IFNA(VLOOKUP($A522,INDIRECT("'W"&amp;F$1&amp;"'!$A$2:$T$1000"),4,FALSE),0)</f>
        <v>0</v>
      </c>
      <c r="G522" s="37">
        <f ca="1">_xlfn.IFNA(VLOOKUP($A522,INDIRECT("'W"&amp;G$1&amp;"'!$A$2:$T$1000"),4,FALSE),0)</f>
        <v>0</v>
      </c>
      <c r="H522" s="37">
        <f ca="1">_xlfn.IFNA(VLOOKUP($A522,INDIRECT("'W"&amp;H$1&amp;"'!$A$2:$T$1000"),4,FALSE),0)</f>
        <v>0</v>
      </c>
      <c r="I522" s="37">
        <f ca="1">_xlfn.IFNA(VLOOKUP($A522,INDIRECT("'W"&amp;I$1&amp;"'!$A$2:$T$1000"),4,FALSE),0)</f>
        <v>0</v>
      </c>
      <c r="J522" s="37">
        <f ca="1">_xlfn.IFNA(VLOOKUP($A522,INDIRECT("'W"&amp;J$1&amp;"'!$A$2:$T$1000"),4,FALSE),0)</f>
        <v>0</v>
      </c>
      <c r="K522" s="37">
        <f ca="1">_xlfn.IFNA(VLOOKUP($A522,INDIRECT("'W"&amp;K$1&amp;"'!$A$2:$T$1000"),4,FALSE),0)</f>
        <v>0</v>
      </c>
      <c r="L522" s="37">
        <f ca="1">_xlfn.IFNA(VLOOKUP($A522,INDIRECT("'W"&amp;L$1&amp;"'!$A$2:$T$1000"),4,FALSE),0)</f>
        <v>0</v>
      </c>
      <c r="M522" s="37">
        <f ca="1">_xlfn.IFNA(VLOOKUP($A522,INDIRECT("'W"&amp;M$1&amp;"'!$A$2:$T$1000"),4,FALSE),0)</f>
        <v>4.5</v>
      </c>
      <c r="N522" s="37">
        <f ca="1">_xlfn.IFNA(VLOOKUP($A522,INDIRECT("'W"&amp;N$1&amp;"'!$A$2:$T$1000"),4,FALSE),0)</f>
        <v>0</v>
      </c>
      <c r="O522" s="37">
        <f ca="1">_xlfn.IFNA(VLOOKUP($A522,INDIRECT("'W"&amp;O$1&amp;"'!$A$2:$T$1000"),4,FALSE),0)</f>
        <v>0</v>
      </c>
      <c r="P522" s="37">
        <f ca="1">_xlfn.IFNA(VLOOKUP($A522,INDIRECT("'W"&amp;P$1&amp;"'!$A$2:$T$1000"),4,FALSE),0)</f>
        <v>0</v>
      </c>
      <c r="Q522" s="37">
        <f ca="1">_xlfn.IFNA(VLOOKUP($A522,INDIRECT("'W"&amp;Q$1&amp;"'!$A$2:$T$1000"),4,FALSE),0)</f>
        <v>1.1000000000000001</v>
      </c>
      <c r="R522" s="37">
        <f ca="1">_xlfn.IFNA(VLOOKUP($A522,INDIRECT("'W"&amp;R$1&amp;"'!$A$2:$T$1000"),4,FALSE),0)</f>
        <v>0</v>
      </c>
      <c r="S522" s="37">
        <f ca="1">_xlfn.IFNA(VLOOKUP($A522,INDIRECT("'W"&amp;S$1&amp;"'!$A$2:$T$1000"),4,FALSE),0)</f>
        <v>0</v>
      </c>
      <c r="T522" s="37">
        <f ca="1">_xlfn.IFNA(VLOOKUP($A522,INDIRECT("'W"&amp;T$1&amp;"'!$A$2:$T$1000"),4,FALSE),0)</f>
        <v>0</v>
      </c>
      <c r="U522" s="36">
        <f ca="1">COUNTIF(C522:T522,"&gt; 15")</f>
        <v>0</v>
      </c>
      <c r="V522" s="36">
        <f ca="1">SUM(C522:T522)</f>
        <v>5.6</v>
      </c>
      <c r="W522" s="36"/>
      <c r="X522" s="38"/>
    </row>
    <row r="523" spans="1:24" ht="12.75" x14ac:dyDescent="0.2">
      <c r="A523" s="36" t="s">
        <v>296</v>
      </c>
      <c r="B523" s="36" t="s">
        <v>69</v>
      </c>
      <c r="C523" s="37">
        <f ca="1">_xlfn.IFNA(VLOOKUP($A523,INDIRECT("'W"&amp;C$1&amp;"'!$A$2:$T$1000"),4,FALSE),0)</f>
        <v>4.2</v>
      </c>
      <c r="D523" s="37">
        <f ca="1">_xlfn.IFNA(VLOOKUP($A523,INDIRECT("'W"&amp;D$1&amp;"'!$A$2:$T$1000"),4,FALSE),0)</f>
        <v>0</v>
      </c>
      <c r="E523" s="37">
        <f ca="1">_xlfn.IFNA(VLOOKUP($A523,INDIRECT("'W"&amp;E$1&amp;"'!$A$2:$T$1000"),4,FALSE),0)</f>
        <v>0</v>
      </c>
      <c r="F523" s="37">
        <f ca="1">_xlfn.IFNA(VLOOKUP($A523,INDIRECT("'W"&amp;F$1&amp;"'!$A$2:$T$1000"),4,FALSE),0)</f>
        <v>0</v>
      </c>
      <c r="G523" s="37">
        <f ca="1">_xlfn.IFNA(VLOOKUP($A523,INDIRECT("'W"&amp;G$1&amp;"'!$A$2:$T$1000"),4,FALSE),0)</f>
        <v>0</v>
      </c>
      <c r="H523" s="37">
        <f ca="1">_xlfn.IFNA(VLOOKUP($A523,INDIRECT("'W"&amp;H$1&amp;"'!$A$2:$T$1000"),4,FALSE),0)</f>
        <v>1.3</v>
      </c>
      <c r="I523" s="37">
        <f ca="1">_xlfn.IFNA(VLOOKUP($A523,INDIRECT("'W"&amp;I$1&amp;"'!$A$2:$T$1000"),4,FALSE),0)</f>
        <v>0</v>
      </c>
      <c r="J523" s="37">
        <f ca="1">_xlfn.IFNA(VLOOKUP($A523,INDIRECT("'W"&amp;J$1&amp;"'!$A$2:$T$1000"),4,FALSE),0)</f>
        <v>0</v>
      </c>
      <c r="K523" s="37">
        <f ca="1">_xlfn.IFNA(VLOOKUP($A523,INDIRECT("'W"&amp;K$1&amp;"'!$A$2:$T$1000"),4,FALSE),0)</f>
        <v>0</v>
      </c>
      <c r="L523" s="37">
        <f ca="1">_xlfn.IFNA(VLOOKUP($A523,INDIRECT("'W"&amp;L$1&amp;"'!$A$2:$T$1000"),4,FALSE),0)</f>
        <v>0</v>
      </c>
      <c r="M523" s="37">
        <f ca="1">_xlfn.IFNA(VLOOKUP($A523,INDIRECT("'W"&amp;M$1&amp;"'!$A$2:$T$1000"),4,FALSE),0)</f>
        <v>0</v>
      </c>
      <c r="N523" s="37">
        <f ca="1">_xlfn.IFNA(VLOOKUP($A523,INDIRECT("'W"&amp;N$1&amp;"'!$A$2:$T$1000"),4,FALSE),0)</f>
        <v>0</v>
      </c>
      <c r="O523" s="37">
        <f ca="1">_xlfn.IFNA(VLOOKUP($A523,INDIRECT("'W"&amp;O$1&amp;"'!$A$2:$T$1000"),4,FALSE),0)</f>
        <v>0</v>
      </c>
      <c r="P523" s="37">
        <f ca="1">_xlfn.IFNA(VLOOKUP($A523,INDIRECT("'W"&amp;P$1&amp;"'!$A$2:$T$1000"),4,FALSE),0)</f>
        <v>0</v>
      </c>
      <c r="Q523" s="37">
        <f ca="1">_xlfn.IFNA(VLOOKUP($A523,INDIRECT("'W"&amp;Q$1&amp;"'!$A$2:$T$1000"),4,FALSE),0)</f>
        <v>0</v>
      </c>
      <c r="R523" s="37">
        <f ca="1">_xlfn.IFNA(VLOOKUP($A523,INDIRECT("'W"&amp;R$1&amp;"'!$A$2:$T$1000"),4,FALSE),0)</f>
        <v>0</v>
      </c>
      <c r="S523" s="37">
        <f ca="1">_xlfn.IFNA(VLOOKUP($A523,INDIRECT("'W"&amp;S$1&amp;"'!$A$2:$T$1000"),4,FALSE),0)</f>
        <v>0</v>
      </c>
      <c r="T523" s="37">
        <f ca="1">_xlfn.IFNA(VLOOKUP($A523,INDIRECT("'W"&amp;T$1&amp;"'!$A$2:$T$1000"),4,FALSE),0)</f>
        <v>0</v>
      </c>
      <c r="U523" s="36">
        <f ca="1">COUNTIF(C523:T523,"&gt; 15")</f>
        <v>0</v>
      </c>
      <c r="V523" s="36">
        <f ca="1">SUM(C523:T523)</f>
        <v>5.5</v>
      </c>
      <c r="W523" s="36"/>
      <c r="X523" s="38"/>
    </row>
    <row r="524" spans="1:24" ht="12.75" x14ac:dyDescent="0.2">
      <c r="A524" s="36" t="s">
        <v>649</v>
      </c>
      <c r="B524" s="36" t="s">
        <v>162</v>
      </c>
      <c r="C524" s="37">
        <f ca="1">_xlfn.IFNA(VLOOKUP($A524,INDIRECT("'W"&amp;C$1&amp;"'!$A$2:$T$1000"),4,FALSE),0)</f>
        <v>0</v>
      </c>
      <c r="D524" s="37">
        <f ca="1">_xlfn.IFNA(VLOOKUP($A524,INDIRECT("'W"&amp;D$1&amp;"'!$A$2:$T$1000"),4,FALSE),0)</f>
        <v>0</v>
      </c>
      <c r="E524" s="37">
        <f ca="1">_xlfn.IFNA(VLOOKUP($A524,INDIRECT("'W"&amp;E$1&amp;"'!$A$2:$T$1000"),4,FALSE),0)</f>
        <v>0</v>
      </c>
      <c r="F524" s="37">
        <f ca="1">_xlfn.IFNA(VLOOKUP($A524,INDIRECT("'W"&amp;F$1&amp;"'!$A$2:$T$1000"),4,FALSE),0)</f>
        <v>0</v>
      </c>
      <c r="G524" s="37">
        <f ca="1">_xlfn.IFNA(VLOOKUP($A524,INDIRECT("'W"&amp;G$1&amp;"'!$A$2:$T$1000"),4,FALSE),0)</f>
        <v>0</v>
      </c>
      <c r="H524" s="37">
        <f ca="1">_xlfn.IFNA(VLOOKUP($A524,INDIRECT("'W"&amp;H$1&amp;"'!$A$2:$T$1000"),4,FALSE),0)</f>
        <v>0</v>
      </c>
      <c r="I524" s="37">
        <f ca="1">_xlfn.IFNA(VLOOKUP($A524,INDIRECT("'W"&amp;I$1&amp;"'!$A$2:$T$1000"),4,FALSE),0)</f>
        <v>0</v>
      </c>
      <c r="J524" s="37">
        <f ca="1">_xlfn.IFNA(VLOOKUP($A524,INDIRECT("'W"&amp;J$1&amp;"'!$A$2:$T$1000"),4,FALSE),0)</f>
        <v>0</v>
      </c>
      <c r="K524" s="37">
        <f ca="1">_xlfn.IFNA(VLOOKUP($A524,INDIRECT("'W"&amp;K$1&amp;"'!$A$2:$T$1000"),4,FALSE),0)</f>
        <v>0</v>
      </c>
      <c r="L524" s="37">
        <f ca="1">_xlfn.IFNA(VLOOKUP($A524,INDIRECT("'W"&amp;L$1&amp;"'!$A$2:$T$1000"),4,FALSE),0)</f>
        <v>5.5</v>
      </c>
      <c r="M524" s="37">
        <f ca="1">_xlfn.IFNA(VLOOKUP($A524,INDIRECT("'W"&amp;M$1&amp;"'!$A$2:$T$1000"),4,FALSE),0)</f>
        <v>0</v>
      </c>
      <c r="N524" s="37">
        <f ca="1">_xlfn.IFNA(VLOOKUP($A524,INDIRECT("'W"&amp;N$1&amp;"'!$A$2:$T$1000"),4,FALSE),0)</f>
        <v>0</v>
      </c>
      <c r="O524" s="37">
        <f ca="1">_xlfn.IFNA(VLOOKUP($A524,INDIRECT("'W"&amp;O$1&amp;"'!$A$2:$T$1000"),4,FALSE),0)</f>
        <v>0</v>
      </c>
      <c r="P524" s="37">
        <f ca="1">_xlfn.IFNA(VLOOKUP($A524,INDIRECT("'W"&amp;P$1&amp;"'!$A$2:$T$1000"),4,FALSE),0)</f>
        <v>0</v>
      </c>
      <c r="Q524" s="37">
        <f ca="1">_xlfn.IFNA(VLOOKUP($A524,INDIRECT("'W"&amp;Q$1&amp;"'!$A$2:$T$1000"),4,FALSE),0)</f>
        <v>0</v>
      </c>
      <c r="R524" s="37">
        <f ca="1">_xlfn.IFNA(VLOOKUP($A524,INDIRECT("'W"&amp;R$1&amp;"'!$A$2:$T$1000"),4,FALSE),0)</f>
        <v>0</v>
      </c>
      <c r="S524" s="37">
        <f ca="1">_xlfn.IFNA(VLOOKUP($A524,INDIRECT("'W"&amp;S$1&amp;"'!$A$2:$T$1000"),4,FALSE),0)</f>
        <v>0</v>
      </c>
      <c r="T524" s="37">
        <f ca="1">_xlfn.IFNA(VLOOKUP($A524,INDIRECT("'W"&amp;T$1&amp;"'!$A$2:$T$1000"),4,FALSE),0)</f>
        <v>0</v>
      </c>
      <c r="U524" s="36">
        <f ca="1">COUNTIF(C524:T524,"&gt; 15")</f>
        <v>0</v>
      </c>
      <c r="V524" s="36">
        <f ca="1">SUM(C524:T524)</f>
        <v>5.5</v>
      </c>
      <c r="W524" s="36"/>
      <c r="X524" s="38"/>
    </row>
    <row r="525" spans="1:24" ht="12.75" x14ac:dyDescent="0.2">
      <c r="A525" s="36" t="s">
        <v>312</v>
      </c>
      <c r="B525" s="36" t="s">
        <v>69</v>
      </c>
      <c r="C525" s="37">
        <f ca="1">_xlfn.IFNA(VLOOKUP($A525,INDIRECT("'W"&amp;C$1&amp;"'!$A$2:$T$1000"),4,FALSE),0)</f>
        <v>2.1</v>
      </c>
      <c r="D525" s="37">
        <f ca="1">_xlfn.IFNA(VLOOKUP($A525,INDIRECT("'W"&amp;D$1&amp;"'!$A$2:$T$1000"),4,FALSE),0)</f>
        <v>0</v>
      </c>
      <c r="E525" s="37">
        <f ca="1">_xlfn.IFNA(VLOOKUP($A525,INDIRECT("'W"&amp;E$1&amp;"'!$A$2:$T$1000"),4,FALSE),0)</f>
        <v>0</v>
      </c>
      <c r="F525" s="37">
        <f ca="1">_xlfn.IFNA(VLOOKUP($A525,INDIRECT("'W"&amp;F$1&amp;"'!$A$2:$T$1000"),4,FALSE),0)</f>
        <v>0</v>
      </c>
      <c r="G525" s="37">
        <f ca="1">_xlfn.IFNA(VLOOKUP($A525,INDIRECT("'W"&amp;G$1&amp;"'!$A$2:$T$1000"),4,FALSE),0)</f>
        <v>3.2</v>
      </c>
      <c r="H525" s="37">
        <f ca="1">_xlfn.IFNA(VLOOKUP($A525,INDIRECT("'W"&amp;H$1&amp;"'!$A$2:$T$1000"),4,FALSE),0)</f>
        <v>0</v>
      </c>
      <c r="I525" s="37">
        <f ca="1">_xlfn.IFNA(VLOOKUP($A525,INDIRECT("'W"&amp;I$1&amp;"'!$A$2:$T$1000"),4,FALSE),0)</f>
        <v>0</v>
      </c>
      <c r="J525" s="37">
        <f ca="1">_xlfn.IFNA(VLOOKUP($A525,INDIRECT("'W"&amp;J$1&amp;"'!$A$2:$T$1000"),4,FALSE),0)</f>
        <v>0</v>
      </c>
      <c r="K525" s="37">
        <f ca="1">_xlfn.IFNA(VLOOKUP($A525,INDIRECT("'W"&amp;K$1&amp;"'!$A$2:$T$1000"),4,FALSE),0)</f>
        <v>0</v>
      </c>
      <c r="L525" s="37">
        <f ca="1">_xlfn.IFNA(VLOOKUP($A525,INDIRECT("'W"&amp;L$1&amp;"'!$A$2:$T$1000"),4,FALSE),0)</f>
        <v>0</v>
      </c>
      <c r="M525" s="37">
        <f ca="1">_xlfn.IFNA(VLOOKUP($A525,INDIRECT("'W"&amp;M$1&amp;"'!$A$2:$T$1000"),4,FALSE),0)</f>
        <v>0</v>
      </c>
      <c r="N525" s="37">
        <f ca="1">_xlfn.IFNA(VLOOKUP($A525,INDIRECT("'W"&amp;N$1&amp;"'!$A$2:$T$1000"),4,FALSE),0)</f>
        <v>0</v>
      </c>
      <c r="O525" s="37">
        <f ca="1">_xlfn.IFNA(VLOOKUP($A525,INDIRECT("'W"&amp;O$1&amp;"'!$A$2:$T$1000"),4,FALSE),0)</f>
        <v>0</v>
      </c>
      <c r="P525" s="37">
        <f ca="1">_xlfn.IFNA(VLOOKUP($A525,INDIRECT("'W"&amp;P$1&amp;"'!$A$2:$T$1000"),4,FALSE),0)</f>
        <v>0</v>
      </c>
      <c r="Q525" s="37">
        <f ca="1">_xlfn.IFNA(VLOOKUP($A525,INDIRECT("'W"&amp;Q$1&amp;"'!$A$2:$T$1000"),4,FALSE),0)</f>
        <v>0</v>
      </c>
      <c r="R525" s="37">
        <f ca="1">_xlfn.IFNA(VLOOKUP($A525,INDIRECT("'W"&amp;R$1&amp;"'!$A$2:$T$1000"),4,FALSE),0)</f>
        <v>0</v>
      </c>
      <c r="S525" s="37">
        <f ca="1">_xlfn.IFNA(VLOOKUP($A525,INDIRECT("'W"&amp;S$1&amp;"'!$A$2:$T$1000"),4,FALSE),0)</f>
        <v>0</v>
      </c>
      <c r="T525" s="37">
        <f ca="1">_xlfn.IFNA(VLOOKUP($A525,INDIRECT("'W"&amp;T$1&amp;"'!$A$2:$T$1000"),4,FALSE),0)</f>
        <v>0</v>
      </c>
      <c r="U525" s="36">
        <f ca="1">COUNTIF(C525:T525,"&gt; 15")</f>
        <v>0</v>
      </c>
      <c r="V525" s="36">
        <f ca="1">SUM(C525:T525)</f>
        <v>5.3000000000000007</v>
      </c>
      <c r="W525" s="36"/>
      <c r="X525" s="38"/>
    </row>
    <row r="526" spans="1:24" ht="12.75" x14ac:dyDescent="0.2">
      <c r="A526" s="36" t="s">
        <v>130</v>
      </c>
      <c r="B526" s="36" t="s">
        <v>75</v>
      </c>
      <c r="C526" s="37">
        <f ca="1">_xlfn.IFNA(VLOOKUP($A526,INDIRECT("'W"&amp;C$1&amp;"'!$A$2:$T$1000"),4,FALSE),0)</f>
        <v>4.4000000000000004</v>
      </c>
      <c r="D526" s="37">
        <f ca="1">_xlfn.IFNA(VLOOKUP($A526,INDIRECT("'W"&amp;D$1&amp;"'!$A$2:$T$1000"),4,FALSE),0)</f>
        <v>0.70000000000000007</v>
      </c>
      <c r="E526" s="37">
        <f ca="1">_xlfn.IFNA(VLOOKUP($A526,INDIRECT("'W"&amp;E$1&amp;"'!$A$2:$T$1000"),4,FALSE),0)</f>
        <v>0.1</v>
      </c>
      <c r="F526" s="37">
        <f ca="1">_xlfn.IFNA(VLOOKUP($A526,INDIRECT("'W"&amp;F$1&amp;"'!$A$2:$T$1000"),4,FALSE),0)</f>
        <v>0</v>
      </c>
      <c r="G526" s="37">
        <f ca="1">_xlfn.IFNA(VLOOKUP($A526,INDIRECT("'W"&amp;G$1&amp;"'!$A$2:$T$1000"),4,FALSE),0)</f>
        <v>0</v>
      </c>
      <c r="H526" s="37">
        <f ca="1">_xlfn.IFNA(VLOOKUP($A526,INDIRECT("'W"&amp;H$1&amp;"'!$A$2:$T$1000"),4,FALSE),0)</f>
        <v>0</v>
      </c>
      <c r="I526" s="37">
        <f ca="1">_xlfn.IFNA(VLOOKUP($A526,INDIRECT("'W"&amp;I$1&amp;"'!$A$2:$T$1000"),4,FALSE),0)</f>
        <v>0</v>
      </c>
      <c r="J526" s="37">
        <f ca="1">_xlfn.IFNA(VLOOKUP($A526,INDIRECT("'W"&amp;J$1&amp;"'!$A$2:$T$1000"),4,FALSE),0)</f>
        <v>0</v>
      </c>
      <c r="K526" s="37">
        <f ca="1">_xlfn.IFNA(VLOOKUP($A526,INDIRECT("'W"&amp;K$1&amp;"'!$A$2:$T$1000"),4,FALSE),0)</f>
        <v>0</v>
      </c>
      <c r="L526" s="37">
        <f ca="1">_xlfn.IFNA(VLOOKUP($A526,INDIRECT("'W"&amp;L$1&amp;"'!$A$2:$T$1000"),4,FALSE),0)</f>
        <v>0</v>
      </c>
      <c r="M526" s="37">
        <f ca="1">_xlfn.IFNA(VLOOKUP($A526,INDIRECT("'W"&amp;M$1&amp;"'!$A$2:$T$1000"),4,FALSE),0)</f>
        <v>0</v>
      </c>
      <c r="N526" s="37">
        <f ca="1">_xlfn.IFNA(VLOOKUP($A526,INDIRECT("'W"&amp;N$1&amp;"'!$A$2:$T$1000"),4,FALSE),0)</f>
        <v>0</v>
      </c>
      <c r="O526" s="37">
        <f ca="1">_xlfn.IFNA(VLOOKUP($A526,INDIRECT("'W"&amp;O$1&amp;"'!$A$2:$T$1000"),4,FALSE),0)</f>
        <v>0</v>
      </c>
      <c r="P526" s="37">
        <f ca="1">_xlfn.IFNA(VLOOKUP($A526,INDIRECT("'W"&amp;P$1&amp;"'!$A$2:$T$1000"),4,FALSE),0)</f>
        <v>0</v>
      </c>
      <c r="Q526" s="37">
        <f ca="1">_xlfn.IFNA(VLOOKUP($A526,INDIRECT("'W"&amp;Q$1&amp;"'!$A$2:$T$1000"),4,FALSE),0)</f>
        <v>0</v>
      </c>
      <c r="R526" s="37">
        <f ca="1">_xlfn.IFNA(VLOOKUP($A526,INDIRECT("'W"&amp;R$1&amp;"'!$A$2:$T$1000"),4,FALSE),0)</f>
        <v>0</v>
      </c>
      <c r="S526" s="37">
        <f ca="1">_xlfn.IFNA(VLOOKUP($A526,INDIRECT("'W"&amp;S$1&amp;"'!$A$2:$T$1000"),4,FALSE),0)</f>
        <v>0</v>
      </c>
      <c r="T526" s="37">
        <f ca="1">_xlfn.IFNA(VLOOKUP($A526,INDIRECT("'W"&amp;T$1&amp;"'!$A$2:$T$1000"),4,FALSE),0)</f>
        <v>0</v>
      </c>
      <c r="U526" s="36">
        <f ca="1">COUNTIF(C526:T526,"&gt; 15")</f>
        <v>0</v>
      </c>
      <c r="V526" s="36">
        <f ca="1">SUM(C526:T526)</f>
        <v>5.2</v>
      </c>
      <c r="W526" s="36"/>
      <c r="X526" s="38"/>
    </row>
    <row r="527" spans="1:24" ht="12.75" x14ac:dyDescent="0.2">
      <c r="A527" s="36" t="s">
        <v>552</v>
      </c>
      <c r="B527" s="36" t="s">
        <v>17</v>
      </c>
      <c r="C527" s="37">
        <f ca="1">_xlfn.IFNA(VLOOKUP($A527,INDIRECT("'W"&amp;C$1&amp;"'!$A$2:$T$1000"),4,FALSE),0)</f>
        <v>0</v>
      </c>
      <c r="D527" s="37">
        <f ca="1">_xlfn.IFNA(VLOOKUP($A527,INDIRECT("'W"&amp;D$1&amp;"'!$A$2:$T$1000"),4,FALSE),0)</f>
        <v>0</v>
      </c>
      <c r="E527" s="37">
        <f ca="1">_xlfn.IFNA(VLOOKUP($A527,INDIRECT("'W"&amp;E$1&amp;"'!$A$2:$T$1000"),4,FALSE),0)</f>
        <v>0</v>
      </c>
      <c r="F527" s="37">
        <f ca="1">_xlfn.IFNA(VLOOKUP($A527,INDIRECT("'W"&amp;F$1&amp;"'!$A$2:$T$1000"),4,FALSE),0)</f>
        <v>0</v>
      </c>
      <c r="G527" s="37">
        <f ca="1">_xlfn.IFNA(VLOOKUP($A527,INDIRECT("'W"&amp;G$1&amp;"'!$A$2:$T$1000"),4,FALSE),0)</f>
        <v>0</v>
      </c>
      <c r="H527" s="37">
        <f ca="1">_xlfn.IFNA(VLOOKUP($A527,INDIRECT("'W"&amp;H$1&amp;"'!$A$2:$T$1000"),4,FALSE),0)</f>
        <v>3.7800000000000002</v>
      </c>
      <c r="I527" s="37">
        <f ca="1">_xlfn.IFNA(VLOOKUP($A527,INDIRECT("'W"&amp;I$1&amp;"'!$A$2:$T$1000"),4,FALSE),0)</f>
        <v>1.1600000000000001</v>
      </c>
      <c r="J527" s="37">
        <f ca="1">_xlfn.IFNA(VLOOKUP($A527,INDIRECT("'W"&amp;J$1&amp;"'!$A$2:$T$1000"),4,FALSE),0)</f>
        <v>0</v>
      </c>
      <c r="K527" s="37">
        <f ca="1">_xlfn.IFNA(VLOOKUP($A527,INDIRECT("'W"&amp;K$1&amp;"'!$A$2:$T$1000"),4,FALSE),0)</f>
        <v>0</v>
      </c>
      <c r="L527" s="37">
        <f ca="1">_xlfn.IFNA(VLOOKUP($A527,INDIRECT("'W"&amp;L$1&amp;"'!$A$2:$T$1000"),4,FALSE),0)</f>
        <v>0</v>
      </c>
      <c r="M527" s="37">
        <f ca="1">_xlfn.IFNA(VLOOKUP($A527,INDIRECT("'W"&amp;M$1&amp;"'!$A$2:$T$1000"),4,FALSE),0)</f>
        <v>0</v>
      </c>
      <c r="N527" s="37">
        <f ca="1">_xlfn.IFNA(VLOOKUP($A527,INDIRECT("'W"&amp;N$1&amp;"'!$A$2:$T$1000"),4,FALSE),0)</f>
        <v>0</v>
      </c>
      <c r="O527" s="37">
        <f ca="1">_xlfn.IFNA(VLOOKUP($A527,INDIRECT("'W"&amp;O$1&amp;"'!$A$2:$T$1000"),4,FALSE),0)</f>
        <v>0</v>
      </c>
      <c r="P527" s="37">
        <f ca="1">_xlfn.IFNA(VLOOKUP($A527,INDIRECT("'W"&amp;P$1&amp;"'!$A$2:$T$1000"),4,FALSE),0)</f>
        <v>0</v>
      </c>
      <c r="Q527" s="37">
        <f ca="1">_xlfn.IFNA(VLOOKUP($A527,INDIRECT("'W"&amp;Q$1&amp;"'!$A$2:$T$1000"),4,FALSE),0)</f>
        <v>0</v>
      </c>
      <c r="R527" s="37">
        <f ca="1">_xlfn.IFNA(VLOOKUP($A527,INDIRECT("'W"&amp;R$1&amp;"'!$A$2:$T$1000"),4,FALSE),0)</f>
        <v>0</v>
      </c>
      <c r="S527" s="37">
        <f ca="1">_xlfn.IFNA(VLOOKUP($A527,INDIRECT("'W"&amp;S$1&amp;"'!$A$2:$T$1000"),4,FALSE),0)</f>
        <v>0</v>
      </c>
      <c r="T527" s="37">
        <f ca="1">_xlfn.IFNA(VLOOKUP($A527,INDIRECT("'W"&amp;T$1&amp;"'!$A$2:$T$1000"),4,FALSE),0)</f>
        <v>0</v>
      </c>
      <c r="U527" s="36">
        <f ca="1">COUNTIF(C527:T527,"&gt; 15")</f>
        <v>0</v>
      </c>
      <c r="V527" s="36">
        <f ca="1">SUM(C527:T527)</f>
        <v>4.9400000000000004</v>
      </c>
      <c r="W527" s="36"/>
      <c r="X527" s="38"/>
    </row>
    <row r="528" spans="1:24" ht="12.75" x14ac:dyDescent="0.2">
      <c r="A528" s="36" t="s">
        <v>579</v>
      </c>
      <c r="B528" s="36" t="s">
        <v>162</v>
      </c>
      <c r="C528" s="37">
        <f ca="1">_xlfn.IFNA(VLOOKUP($A528,INDIRECT("'W"&amp;C$1&amp;"'!$A$2:$T$1000"),4,FALSE),0)</f>
        <v>0</v>
      </c>
      <c r="D528" s="37">
        <f ca="1">_xlfn.IFNA(VLOOKUP($A528,INDIRECT("'W"&amp;D$1&amp;"'!$A$2:$T$1000"),4,FALSE),0)</f>
        <v>0</v>
      </c>
      <c r="E528" s="37">
        <f ca="1">_xlfn.IFNA(VLOOKUP($A528,INDIRECT("'W"&amp;E$1&amp;"'!$A$2:$T$1000"),4,FALSE),0)</f>
        <v>0</v>
      </c>
      <c r="F528" s="37">
        <f ca="1">_xlfn.IFNA(VLOOKUP($A528,INDIRECT("'W"&amp;F$1&amp;"'!$A$2:$T$1000"),4,FALSE),0)</f>
        <v>0</v>
      </c>
      <c r="G528" s="37">
        <f ca="1">_xlfn.IFNA(VLOOKUP($A528,INDIRECT("'W"&amp;G$1&amp;"'!$A$2:$T$1000"),4,FALSE),0)</f>
        <v>0</v>
      </c>
      <c r="H528" s="37">
        <f ca="1">_xlfn.IFNA(VLOOKUP($A528,INDIRECT("'W"&amp;H$1&amp;"'!$A$2:$T$1000"),4,FALSE),0)</f>
        <v>0</v>
      </c>
      <c r="I528" s="37">
        <f ca="1">_xlfn.IFNA(VLOOKUP($A528,INDIRECT("'W"&amp;I$1&amp;"'!$A$2:$T$1000"),4,FALSE),0)</f>
        <v>1.7000000000000002</v>
      </c>
      <c r="J528" s="37">
        <f ca="1">_xlfn.IFNA(VLOOKUP($A528,INDIRECT("'W"&amp;J$1&amp;"'!$A$2:$T$1000"),4,FALSE),0)</f>
        <v>0</v>
      </c>
      <c r="K528" s="37">
        <f ca="1">_xlfn.IFNA(VLOOKUP($A528,INDIRECT("'W"&amp;K$1&amp;"'!$A$2:$T$1000"),4,FALSE),0)</f>
        <v>3.2</v>
      </c>
      <c r="L528" s="37">
        <f ca="1">_xlfn.IFNA(VLOOKUP($A528,INDIRECT("'W"&amp;L$1&amp;"'!$A$2:$T$1000"),4,FALSE),0)</f>
        <v>0</v>
      </c>
      <c r="M528" s="37">
        <f ca="1">_xlfn.IFNA(VLOOKUP($A528,INDIRECT("'W"&amp;M$1&amp;"'!$A$2:$T$1000"),4,FALSE),0)</f>
        <v>0</v>
      </c>
      <c r="N528" s="37">
        <f ca="1">_xlfn.IFNA(VLOOKUP($A528,INDIRECT("'W"&amp;N$1&amp;"'!$A$2:$T$1000"),4,FALSE),0)</f>
        <v>0</v>
      </c>
      <c r="O528" s="37">
        <f ca="1">_xlfn.IFNA(VLOOKUP($A528,INDIRECT("'W"&amp;O$1&amp;"'!$A$2:$T$1000"),4,FALSE),0)</f>
        <v>0</v>
      </c>
      <c r="P528" s="37">
        <f ca="1">_xlfn.IFNA(VLOOKUP($A528,INDIRECT("'W"&amp;P$1&amp;"'!$A$2:$T$1000"),4,FALSE),0)</f>
        <v>0</v>
      </c>
      <c r="Q528" s="37">
        <f ca="1">_xlfn.IFNA(VLOOKUP($A528,INDIRECT("'W"&amp;Q$1&amp;"'!$A$2:$T$1000"),4,FALSE),0)</f>
        <v>0</v>
      </c>
      <c r="R528" s="37">
        <f ca="1">_xlfn.IFNA(VLOOKUP($A528,INDIRECT("'W"&amp;R$1&amp;"'!$A$2:$T$1000"),4,FALSE),0)</f>
        <v>0</v>
      </c>
      <c r="S528" s="37">
        <f ca="1">_xlfn.IFNA(VLOOKUP($A528,INDIRECT("'W"&amp;S$1&amp;"'!$A$2:$T$1000"),4,FALSE),0)</f>
        <v>0</v>
      </c>
      <c r="T528" s="37">
        <f ca="1">_xlfn.IFNA(VLOOKUP($A528,INDIRECT("'W"&amp;T$1&amp;"'!$A$2:$T$1000"),4,FALSE),0)</f>
        <v>0</v>
      </c>
      <c r="U528" s="36">
        <f ca="1">COUNTIF(C528:T528,"&gt; 15")</f>
        <v>0</v>
      </c>
      <c r="V528" s="36">
        <f ca="1">SUM(C528:T528)</f>
        <v>4.9000000000000004</v>
      </c>
      <c r="W528" s="36"/>
      <c r="X528" s="38"/>
    </row>
    <row r="529" spans="1:24" ht="12.75" x14ac:dyDescent="0.2">
      <c r="A529" s="36" t="s">
        <v>560</v>
      </c>
      <c r="B529" s="36" t="s">
        <v>162</v>
      </c>
      <c r="C529" s="37">
        <f ca="1">_xlfn.IFNA(VLOOKUP($A529,INDIRECT("'W"&amp;C$1&amp;"'!$A$2:$T$1000"),4,FALSE),0)</f>
        <v>0</v>
      </c>
      <c r="D529" s="37">
        <f ca="1">_xlfn.IFNA(VLOOKUP($A529,INDIRECT("'W"&amp;D$1&amp;"'!$A$2:$T$1000"),4,FALSE),0)</f>
        <v>0</v>
      </c>
      <c r="E529" s="37">
        <f ca="1">_xlfn.IFNA(VLOOKUP($A529,INDIRECT("'W"&amp;E$1&amp;"'!$A$2:$T$1000"),4,FALSE),0)</f>
        <v>0</v>
      </c>
      <c r="F529" s="37">
        <f ca="1">_xlfn.IFNA(VLOOKUP($A529,INDIRECT("'W"&amp;F$1&amp;"'!$A$2:$T$1000"),4,FALSE),0)</f>
        <v>0</v>
      </c>
      <c r="G529" s="37">
        <f ca="1">_xlfn.IFNA(VLOOKUP($A529,INDIRECT("'W"&amp;G$1&amp;"'!$A$2:$T$1000"),4,FALSE),0)</f>
        <v>0</v>
      </c>
      <c r="H529" s="37">
        <f ca="1">_xlfn.IFNA(VLOOKUP($A529,INDIRECT("'W"&amp;H$1&amp;"'!$A$2:$T$1000"),4,FALSE),0)</f>
        <v>-2</v>
      </c>
      <c r="I529" s="37">
        <f ca="1">_xlfn.IFNA(VLOOKUP($A529,INDIRECT("'W"&amp;I$1&amp;"'!$A$2:$T$1000"),4,FALSE),0)</f>
        <v>0</v>
      </c>
      <c r="J529" s="37">
        <f ca="1">_xlfn.IFNA(VLOOKUP($A529,INDIRECT("'W"&amp;J$1&amp;"'!$A$2:$T$1000"),4,FALSE),0)</f>
        <v>0</v>
      </c>
      <c r="K529" s="37">
        <f ca="1">_xlfn.IFNA(VLOOKUP($A529,INDIRECT("'W"&amp;K$1&amp;"'!$A$2:$T$1000"),4,FALSE),0)</f>
        <v>1.6</v>
      </c>
      <c r="L529" s="37">
        <f ca="1">_xlfn.IFNA(VLOOKUP($A529,INDIRECT("'W"&amp;L$1&amp;"'!$A$2:$T$1000"),4,FALSE),0)</f>
        <v>0</v>
      </c>
      <c r="M529" s="37">
        <f ca="1">_xlfn.IFNA(VLOOKUP($A529,INDIRECT("'W"&amp;M$1&amp;"'!$A$2:$T$1000"),4,FALSE),0)</f>
        <v>5.3000000000000007</v>
      </c>
      <c r="N529" s="37">
        <f ca="1">_xlfn.IFNA(VLOOKUP($A529,INDIRECT("'W"&amp;N$1&amp;"'!$A$2:$T$1000"),4,FALSE),0)</f>
        <v>0</v>
      </c>
      <c r="O529" s="37">
        <f ca="1">_xlfn.IFNA(VLOOKUP($A529,INDIRECT("'W"&amp;O$1&amp;"'!$A$2:$T$1000"),4,FALSE),0)</f>
        <v>0</v>
      </c>
      <c r="P529" s="37">
        <f ca="1">_xlfn.IFNA(VLOOKUP($A529,INDIRECT("'W"&amp;P$1&amp;"'!$A$2:$T$1000"),4,FALSE),0)</f>
        <v>0</v>
      </c>
      <c r="Q529" s="37">
        <f ca="1">_xlfn.IFNA(VLOOKUP($A529,INDIRECT("'W"&amp;Q$1&amp;"'!$A$2:$T$1000"),4,FALSE),0)</f>
        <v>0</v>
      </c>
      <c r="R529" s="37">
        <f ca="1">_xlfn.IFNA(VLOOKUP($A529,INDIRECT("'W"&amp;R$1&amp;"'!$A$2:$T$1000"),4,FALSE),0)</f>
        <v>0</v>
      </c>
      <c r="S529" s="37">
        <f ca="1">_xlfn.IFNA(VLOOKUP($A529,INDIRECT("'W"&amp;S$1&amp;"'!$A$2:$T$1000"),4,FALSE),0)</f>
        <v>0</v>
      </c>
      <c r="T529" s="37">
        <f ca="1">_xlfn.IFNA(VLOOKUP($A529,INDIRECT("'W"&amp;T$1&amp;"'!$A$2:$T$1000"),4,FALSE),0)</f>
        <v>0</v>
      </c>
      <c r="U529" s="36">
        <f ca="1">COUNTIF(C529:T529,"&gt; 15")</f>
        <v>0</v>
      </c>
      <c r="V529" s="36">
        <f ca="1">SUM(C529:T529)</f>
        <v>4.9000000000000004</v>
      </c>
      <c r="W529" s="36"/>
      <c r="X529" s="38"/>
    </row>
    <row r="530" spans="1:24" ht="12.75" x14ac:dyDescent="0.2">
      <c r="A530" s="36" t="s">
        <v>374</v>
      </c>
      <c r="B530" s="36" t="s">
        <v>75</v>
      </c>
      <c r="C530" s="37">
        <f ca="1">_xlfn.IFNA(VLOOKUP($A530,INDIRECT("'W"&amp;C$1&amp;"'!$A$2:$T$1000"),4,FALSE),0)</f>
        <v>0</v>
      </c>
      <c r="D530" s="37">
        <f ca="1">_xlfn.IFNA(VLOOKUP($A530,INDIRECT("'W"&amp;D$1&amp;"'!$A$2:$T$1000"),4,FALSE),0)</f>
        <v>2.4</v>
      </c>
      <c r="E530" s="37">
        <f ca="1">_xlfn.IFNA(VLOOKUP($A530,INDIRECT("'W"&amp;E$1&amp;"'!$A$2:$T$1000"),4,FALSE),0)</f>
        <v>0</v>
      </c>
      <c r="F530" s="37">
        <f ca="1">_xlfn.IFNA(VLOOKUP($A530,INDIRECT("'W"&amp;F$1&amp;"'!$A$2:$T$1000"),4,FALSE),0)</f>
        <v>0</v>
      </c>
      <c r="G530" s="37">
        <f ca="1">_xlfn.IFNA(VLOOKUP($A530,INDIRECT("'W"&amp;G$1&amp;"'!$A$2:$T$1000"),4,FALSE),0)</f>
        <v>0</v>
      </c>
      <c r="H530" s="37">
        <f ca="1">_xlfn.IFNA(VLOOKUP($A530,INDIRECT("'W"&amp;H$1&amp;"'!$A$2:$T$1000"),4,FALSE),0)</f>
        <v>0</v>
      </c>
      <c r="I530" s="37">
        <f ca="1">_xlfn.IFNA(VLOOKUP($A530,INDIRECT("'W"&amp;I$1&amp;"'!$A$2:$T$1000"),4,FALSE),0)</f>
        <v>0</v>
      </c>
      <c r="J530" s="37">
        <f ca="1">_xlfn.IFNA(VLOOKUP($A530,INDIRECT("'W"&amp;J$1&amp;"'!$A$2:$T$1000"),4,FALSE),0)</f>
        <v>0</v>
      </c>
      <c r="K530" s="37">
        <f ca="1">_xlfn.IFNA(VLOOKUP($A530,INDIRECT("'W"&amp;K$1&amp;"'!$A$2:$T$1000"),4,FALSE),0)</f>
        <v>0.8</v>
      </c>
      <c r="L530" s="37">
        <f ca="1">_xlfn.IFNA(VLOOKUP($A530,INDIRECT("'W"&amp;L$1&amp;"'!$A$2:$T$1000"),4,FALSE),0)</f>
        <v>0</v>
      </c>
      <c r="M530" s="37">
        <f ca="1">_xlfn.IFNA(VLOOKUP($A530,INDIRECT("'W"&amp;M$1&amp;"'!$A$2:$T$1000"),4,FALSE),0)</f>
        <v>0</v>
      </c>
      <c r="N530" s="37">
        <f ca="1">_xlfn.IFNA(VLOOKUP($A530,INDIRECT("'W"&amp;N$1&amp;"'!$A$2:$T$1000"),4,FALSE),0)</f>
        <v>0</v>
      </c>
      <c r="O530" s="37">
        <f ca="1">_xlfn.IFNA(VLOOKUP($A530,INDIRECT("'W"&amp;O$1&amp;"'!$A$2:$T$1000"),4,FALSE),0)</f>
        <v>0</v>
      </c>
      <c r="P530" s="37">
        <f ca="1">_xlfn.IFNA(VLOOKUP($A530,INDIRECT("'W"&amp;P$1&amp;"'!$A$2:$T$1000"),4,FALSE),0)</f>
        <v>0</v>
      </c>
      <c r="Q530" s="37">
        <f ca="1">_xlfn.IFNA(VLOOKUP($A530,INDIRECT("'W"&amp;Q$1&amp;"'!$A$2:$T$1000"),4,FALSE),0)</f>
        <v>0</v>
      </c>
      <c r="R530" s="37">
        <f ca="1">_xlfn.IFNA(VLOOKUP($A530,INDIRECT("'W"&amp;R$1&amp;"'!$A$2:$T$1000"),4,FALSE),0)</f>
        <v>0</v>
      </c>
      <c r="S530" s="37">
        <f ca="1">_xlfn.IFNA(VLOOKUP($A530,INDIRECT("'W"&amp;S$1&amp;"'!$A$2:$T$1000"),4,FALSE),0)</f>
        <v>0</v>
      </c>
      <c r="T530" s="37">
        <f ca="1">_xlfn.IFNA(VLOOKUP($A530,INDIRECT("'W"&amp;T$1&amp;"'!$A$2:$T$1000"),4,FALSE),0)</f>
        <v>1.6</v>
      </c>
      <c r="U530" s="36">
        <f ca="1">COUNTIF(C530:T530,"&gt; 15")</f>
        <v>0</v>
      </c>
      <c r="V530" s="36">
        <f ca="1">SUM(C530:T530)</f>
        <v>4.8000000000000007</v>
      </c>
      <c r="W530" s="36"/>
      <c r="X530" s="38"/>
    </row>
    <row r="531" spans="1:24" ht="12.75" x14ac:dyDescent="0.2">
      <c r="A531" s="36" t="s">
        <v>811</v>
      </c>
      <c r="B531" s="36" t="e">
        <f ca="1">VLOOKUP(A531,CumulativePlayerList!$T$3:$U$550,2,FALSE)</f>
        <v>#NAME?</v>
      </c>
      <c r="C531" s="37">
        <f ca="1">_xlfn.IFNA(VLOOKUP($A531,INDIRECT("'W"&amp;C$1&amp;"'!$A$2:$T$1000"),4,FALSE),0)</f>
        <v>0</v>
      </c>
      <c r="D531" s="37">
        <f ca="1">_xlfn.IFNA(VLOOKUP($A531,INDIRECT("'W"&amp;D$1&amp;"'!$A$2:$T$1000"),4,FALSE),0)</f>
        <v>0</v>
      </c>
      <c r="E531" s="37">
        <f ca="1">_xlfn.IFNA(VLOOKUP($A531,INDIRECT("'W"&amp;E$1&amp;"'!$A$2:$T$1000"),4,FALSE),0)</f>
        <v>0</v>
      </c>
      <c r="F531" s="37">
        <f ca="1">_xlfn.IFNA(VLOOKUP($A531,INDIRECT("'W"&amp;F$1&amp;"'!$A$2:$T$1000"),4,FALSE),0)</f>
        <v>0</v>
      </c>
      <c r="G531" s="37">
        <f ca="1">_xlfn.IFNA(VLOOKUP($A531,INDIRECT("'W"&amp;G$1&amp;"'!$A$2:$T$1000"),4,FALSE),0)</f>
        <v>0</v>
      </c>
      <c r="H531" s="37">
        <f ca="1">_xlfn.IFNA(VLOOKUP($A531,INDIRECT("'W"&amp;H$1&amp;"'!$A$2:$T$1000"),4,FALSE),0)</f>
        <v>0</v>
      </c>
      <c r="I531" s="37">
        <f ca="1">_xlfn.IFNA(VLOOKUP($A531,INDIRECT("'W"&amp;I$1&amp;"'!$A$2:$T$1000"),4,FALSE),0)</f>
        <v>0</v>
      </c>
      <c r="J531" s="37">
        <f ca="1">_xlfn.IFNA(VLOOKUP($A531,INDIRECT("'W"&amp;J$1&amp;"'!$A$2:$T$1000"),4,FALSE),0)</f>
        <v>0</v>
      </c>
      <c r="K531" s="37">
        <f ca="1">_xlfn.IFNA(VLOOKUP($A531,INDIRECT("'W"&amp;K$1&amp;"'!$A$2:$T$1000"),4,FALSE),0)</f>
        <v>0</v>
      </c>
      <c r="L531" s="37">
        <f ca="1">_xlfn.IFNA(VLOOKUP($A531,INDIRECT("'W"&amp;L$1&amp;"'!$A$2:$T$1000"),4,FALSE),0)</f>
        <v>0</v>
      </c>
      <c r="M531" s="37">
        <f ca="1">_xlfn.IFNA(VLOOKUP($A531,INDIRECT("'W"&amp;M$1&amp;"'!$A$2:$T$1000"),4,FALSE),0)</f>
        <v>0</v>
      </c>
      <c r="N531" s="37">
        <f ca="1">_xlfn.IFNA(VLOOKUP($A531,INDIRECT("'W"&amp;N$1&amp;"'!$A$2:$T$1000"),4,FALSE),0)</f>
        <v>0</v>
      </c>
      <c r="O531" s="37">
        <f ca="1">_xlfn.IFNA(VLOOKUP($A531,INDIRECT("'W"&amp;O$1&amp;"'!$A$2:$T$1000"),4,FALSE),0)</f>
        <v>0</v>
      </c>
      <c r="P531" s="37">
        <f ca="1">_xlfn.IFNA(VLOOKUP($A531,INDIRECT("'W"&amp;P$1&amp;"'!$A$2:$T$1000"),4,FALSE),0)</f>
        <v>0</v>
      </c>
      <c r="Q531" s="37">
        <f ca="1">_xlfn.IFNA(VLOOKUP($A531,INDIRECT("'W"&amp;Q$1&amp;"'!$A$2:$T$1000"),4,FALSE),0)</f>
        <v>0</v>
      </c>
      <c r="R531" s="37">
        <f ca="1">_xlfn.IFNA(VLOOKUP($A531,INDIRECT("'W"&amp;R$1&amp;"'!$A$2:$T$1000"),4,FALSE),0)</f>
        <v>0</v>
      </c>
      <c r="S531" s="37">
        <f ca="1">_xlfn.IFNA(VLOOKUP($A531,INDIRECT("'W"&amp;S$1&amp;"'!$A$2:$T$1000"),4,FALSE),0)</f>
        <v>4.8000000000000007</v>
      </c>
      <c r="T531" s="37">
        <f ca="1">_xlfn.IFNA(VLOOKUP($A531,INDIRECT("'W"&amp;T$1&amp;"'!$A$2:$T$1000"),4,FALSE),0)</f>
        <v>0</v>
      </c>
      <c r="U531" s="36">
        <f ca="1">COUNTIF(C531:T531,"&gt; 15")</f>
        <v>0</v>
      </c>
      <c r="V531" s="36">
        <f ca="1">SUM(C531:T531)</f>
        <v>4.8000000000000007</v>
      </c>
      <c r="W531" s="36"/>
      <c r="X531" s="38"/>
    </row>
    <row r="532" spans="1:24" ht="12.75" x14ac:dyDescent="0.2">
      <c r="A532" s="36" t="s">
        <v>812</v>
      </c>
      <c r="B532" s="36" t="e">
        <f ca="1">VLOOKUP(A532,CumulativePlayerList!$T$3:$U$550,2,FALSE)</f>
        <v>#NAME?</v>
      </c>
      <c r="C532" s="37">
        <f ca="1">_xlfn.IFNA(VLOOKUP($A532,INDIRECT("'W"&amp;C$1&amp;"'!$A$2:$T$1000"),4,FALSE),0)</f>
        <v>0</v>
      </c>
      <c r="D532" s="37">
        <f ca="1">_xlfn.IFNA(VLOOKUP($A532,INDIRECT("'W"&amp;D$1&amp;"'!$A$2:$T$1000"),4,FALSE),0)</f>
        <v>0</v>
      </c>
      <c r="E532" s="37">
        <f ca="1">_xlfn.IFNA(VLOOKUP($A532,INDIRECT("'W"&amp;E$1&amp;"'!$A$2:$T$1000"),4,FALSE),0)</f>
        <v>0</v>
      </c>
      <c r="F532" s="37">
        <f ca="1">_xlfn.IFNA(VLOOKUP($A532,INDIRECT("'W"&amp;F$1&amp;"'!$A$2:$T$1000"),4,FALSE),0)</f>
        <v>0</v>
      </c>
      <c r="G532" s="37">
        <f ca="1">_xlfn.IFNA(VLOOKUP($A532,INDIRECT("'W"&amp;G$1&amp;"'!$A$2:$T$1000"),4,FALSE),0)</f>
        <v>0</v>
      </c>
      <c r="H532" s="37">
        <f ca="1">_xlfn.IFNA(VLOOKUP($A532,INDIRECT("'W"&amp;H$1&amp;"'!$A$2:$T$1000"),4,FALSE),0)</f>
        <v>0</v>
      </c>
      <c r="I532" s="37">
        <f ca="1">_xlfn.IFNA(VLOOKUP($A532,INDIRECT("'W"&amp;I$1&amp;"'!$A$2:$T$1000"),4,FALSE),0)</f>
        <v>0</v>
      </c>
      <c r="J532" s="37">
        <f ca="1">_xlfn.IFNA(VLOOKUP($A532,INDIRECT("'W"&amp;J$1&amp;"'!$A$2:$T$1000"),4,FALSE),0)</f>
        <v>0</v>
      </c>
      <c r="K532" s="37">
        <f ca="1">_xlfn.IFNA(VLOOKUP($A532,INDIRECT("'W"&amp;K$1&amp;"'!$A$2:$T$1000"),4,FALSE),0)</f>
        <v>0</v>
      </c>
      <c r="L532" s="37">
        <f ca="1">_xlfn.IFNA(VLOOKUP($A532,INDIRECT("'W"&amp;L$1&amp;"'!$A$2:$T$1000"),4,FALSE),0)</f>
        <v>0</v>
      </c>
      <c r="M532" s="37">
        <f ca="1">_xlfn.IFNA(VLOOKUP($A532,INDIRECT("'W"&amp;M$1&amp;"'!$A$2:$T$1000"),4,FALSE),0)</f>
        <v>0</v>
      </c>
      <c r="N532" s="37">
        <f ca="1">_xlfn.IFNA(VLOOKUP($A532,INDIRECT("'W"&amp;N$1&amp;"'!$A$2:$T$1000"),4,FALSE),0)</f>
        <v>0</v>
      </c>
      <c r="O532" s="37">
        <f ca="1">_xlfn.IFNA(VLOOKUP($A532,INDIRECT("'W"&amp;O$1&amp;"'!$A$2:$T$1000"),4,FALSE),0)</f>
        <v>0</v>
      </c>
      <c r="P532" s="37">
        <f ca="1">_xlfn.IFNA(VLOOKUP($A532,INDIRECT("'W"&amp;P$1&amp;"'!$A$2:$T$1000"),4,FALSE),0)</f>
        <v>0</v>
      </c>
      <c r="Q532" s="37">
        <f ca="1">_xlfn.IFNA(VLOOKUP($A532,INDIRECT("'W"&amp;Q$1&amp;"'!$A$2:$T$1000"),4,FALSE),0)</f>
        <v>0</v>
      </c>
      <c r="R532" s="37">
        <f ca="1">_xlfn.IFNA(VLOOKUP($A532,INDIRECT("'W"&amp;R$1&amp;"'!$A$2:$T$1000"),4,FALSE),0)</f>
        <v>0</v>
      </c>
      <c r="S532" s="37">
        <f ca="1">_xlfn.IFNA(VLOOKUP($A532,INDIRECT("'W"&amp;S$1&amp;"'!$A$2:$T$1000"),4,FALSE),0)</f>
        <v>1.4</v>
      </c>
      <c r="T532" s="37">
        <f ca="1">_xlfn.IFNA(VLOOKUP($A532,INDIRECT("'W"&amp;T$1&amp;"'!$A$2:$T$1000"),4,FALSE),0)</f>
        <v>3.4000000000000004</v>
      </c>
      <c r="U532" s="36">
        <f ca="1">COUNTIF(C532:T532,"&gt; 15")</f>
        <v>0</v>
      </c>
      <c r="V532" s="36">
        <f ca="1">SUM(C532:T532)</f>
        <v>4.8000000000000007</v>
      </c>
      <c r="W532" s="36"/>
      <c r="X532" s="38"/>
    </row>
    <row r="533" spans="1:24" ht="12.75" x14ac:dyDescent="0.2">
      <c r="A533" s="36" t="s">
        <v>607</v>
      </c>
      <c r="B533" s="36" t="s">
        <v>17</v>
      </c>
      <c r="C533" s="37">
        <f ca="1">_xlfn.IFNA(VLOOKUP($A533,INDIRECT("'W"&amp;C$1&amp;"'!$A$2:$T$1000"),4,FALSE),0)</f>
        <v>0</v>
      </c>
      <c r="D533" s="37">
        <f ca="1">_xlfn.IFNA(VLOOKUP($A533,INDIRECT("'W"&amp;D$1&amp;"'!$A$2:$T$1000"),4,FALSE),0)</f>
        <v>0</v>
      </c>
      <c r="E533" s="37">
        <f ca="1">_xlfn.IFNA(VLOOKUP($A533,INDIRECT("'W"&amp;E$1&amp;"'!$A$2:$T$1000"),4,FALSE),0)</f>
        <v>0</v>
      </c>
      <c r="F533" s="37">
        <f ca="1">_xlfn.IFNA(VLOOKUP($A533,INDIRECT("'W"&amp;F$1&amp;"'!$A$2:$T$1000"),4,FALSE),0)</f>
        <v>0</v>
      </c>
      <c r="G533" s="37">
        <f ca="1">_xlfn.IFNA(VLOOKUP($A533,INDIRECT("'W"&amp;G$1&amp;"'!$A$2:$T$1000"),4,FALSE),0)</f>
        <v>0</v>
      </c>
      <c r="H533" s="37">
        <f ca="1">_xlfn.IFNA(VLOOKUP($A533,INDIRECT("'W"&amp;H$1&amp;"'!$A$2:$T$1000"),4,FALSE),0)</f>
        <v>0</v>
      </c>
      <c r="I533" s="37">
        <f ca="1">_xlfn.IFNA(VLOOKUP($A533,INDIRECT("'W"&amp;I$1&amp;"'!$A$2:$T$1000"),4,FALSE),0)</f>
        <v>0</v>
      </c>
      <c r="J533" s="37">
        <f ca="1">_xlfn.IFNA(VLOOKUP($A533,INDIRECT("'W"&amp;J$1&amp;"'!$A$2:$T$1000"),4,FALSE),0)</f>
        <v>1.68</v>
      </c>
      <c r="K533" s="37">
        <f ca="1">_xlfn.IFNA(VLOOKUP($A533,INDIRECT("'W"&amp;K$1&amp;"'!$A$2:$T$1000"),4,FALSE),0)</f>
        <v>3.1000000000000005</v>
      </c>
      <c r="L533" s="37">
        <f ca="1">_xlfn.IFNA(VLOOKUP($A533,INDIRECT("'W"&amp;L$1&amp;"'!$A$2:$T$1000"),4,FALSE),0)</f>
        <v>0</v>
      </c>
      <c r="M533" s="37">
        <f ca="1">_xlfn.IFNA(VLOOKUP($A533,INDIRECT("'W"&amp;M$1&amp;"'!$A$2:$T$1000"),4,FALSE),0)</f>
        <v>0</v>
      </c>
      <c r="N533" s="37">
        <f ca="1">_xlfn.IFNA(VLOOKUP($A533,INDIRECT("'W"&amp;N$1&amp;"'!$A$2:$T$1000"),4,FALSE),0)</f>
        <v>0</v>
      </c>
      <c r="O533" s="37">
        <f ca="1">_xlfn.IFNA(VLOOKUP($A533,INDIRECT("'W"&amp;O$1&amp;"'!$A$2:$T$1000"),4,FALSE),0)</f>
        <v>0</v>
      </c>
      <c r="P533" s="37">
        <f ca="1">_xlfn.IFNA(VLOOKUP($A533,INDIRECT("'W"&amp;P$1&amp;"'!$A$2:$T$1000"),4,FALSE),0)</f>
        <v>0</v>
      </c>
      <c r="Q533" s="37">
        <f ca="1">_xlfn.IFNA(VLOOKUP($A533,INDIRECT("'W"&amp;Q$1&amp;"'!$A$2:$T$1000"),4,FALSE),0)</f>
        <v>0</v>
      </c>
      <c r="R533" s="37">
        <f ca="1">_xlfn.IFNA(VLOOKUP($A533,INDIRECT("'W"&amp;R$1&amp;"'!$A$2:$T$1000"),4,FALSE),0)</f>
        <v>0</v>
      </c>
      <c r="S533" s="37">
        <f ca="1">_xlfn.IFNA(VLOOKUP($A533,INDIRECT("'W"&amp;S$1&amp;"'!$A$2:$T$1000"),4,FALSE),0)</f>
        <v>0</v>
      </c>
      <c r="T533" s="37">
        <f ca="1">_xlfn.IFNA(VLOOKUP($A533,INDIRECT("'W"&amp;T$1&amp;"'!$A$2:$T$1000"),4,FALSE),0)</f>
        <v>0</v>
      </c>
      <c r="U533" s="36">
        <f ca="1">COUNTIF(C533:T533,"&gt; 15")</f>
        <v>0</v>
      </c>
      <c r="V533" s="36">
        <f ca="1">SUM(C533:T533)</f>
        <v>4.78</v>
      </c>
      <c r="W533" s="36"/>
      <c r="X533" s="38"/>
    </row>
    <row r="534" spans="1:24" ht="12.75" x14ac:dyDescent="0.2">
      <c r="A534" s="36" t="s">
        <v>381</v>
      </c>
      <c r="B534" s="36" t="s">
        <v>162</v>
      </c>
      <c r="C534" s="37">
        <f ca="1">_xlfn.IFNA(VLOOKUP($A534,INDIRECT("'W"&amp;C$1&amp;"'!$A$2:$T$1000"),4,FALSE),0)</f>
        <v>0</v>
      </c>
      <c r="D534" s="37">
        <f ca="1">_xlfn.IFNA(VLOOKUP($A534,INDIRECT("'W"&amp;D$1&amp;"'!$A$2:$T$1000"),4,FALSE),0)</f>
        <v>1.5</v>
      </c>
      <c r="E534" s="37">
        <f ca="1">_xlfn.IFNA(VLOOKUP($A534,INDIRECT("'W"&amp;E$1&amp;"'!$A$2:$T$1000"),4,FALSE),0)</f>
        <v>0</v>
      </c>
      <c r="F534" s="37">
        <f ca="1">_xlfn.IFNA(VLOOKUP($A534,INDIRECT("'W"&amp;F$1&amp;"'!$A$2:$T$1000"),4,FALSE),0)</f>
        <v>0</v>
      </c>
      <c r="G534" s="37">
        <f ca="1">_xlfn.IFNA(VLOOKUP($A534,INDIRECT("'W"&amp;G$1&amp;"'!$A$2:$T$1000"),4,FALSE),0)</f>
        <v>0</v>
      </c>
      <c r="H534" s="37">
        <f ca="1">_xlfn.IFNA(VLOOKUP($A534,INDIRECT("'W"&amp;H$1&amp;"'!$A$2:$T$1000"),4,FALSE),0)</f>
        <v>0</v>
      </c>
      <c r="I534" s="37">
        <f ca="1">_xlfn.IFNA(VLOOKUP($A534,INDIRECT("'W"&amp;I$1&amp;"'!$A$2:$T$1000"),4,FALSE),0)</f>
        <v>0</v>
      </c>
      <c r="J534" s="37">
        <f ca="1">_xlfn.IFNA(VLOOKUP($A534,INDIRECT("'W"&amp;J$1&amp;"'!$A$2:$T$1000"),4,FALSE),0)</f>
        <v>0</v>
      </c>
      <c r="K534" s="37">
        <f ca="1">_xlfn.IFNA(VLOOKUP($A534,INDIRECT("'W"&amp;K$1&amp;"'!$A$2:$T$1000"),4,FALSE),0)</f>
        <v>1.6</v>
      </c>
      <c r="L534" s="37">
        <f ca="1">_xlfn.IFNA(VLOOKUP($A534,INDIRECT("'W"&amp;L$1&amp;"'!$A$2:$T$1000"),4,FALSE),0)</f>
        <v>0</v>
      </c>
      <c r="M534" s="37">
        <f ca="1">_xlfn.IFNA(VLOOKUP($A534,INDIRECT("'W"&amp;M$1&amp;"'!$A$2:$T$1000"),4,FALSE),0)</f>
        <v>0</v>
      </c>
      <c r="N534" s="37">
        <f ca="1">_xlfn.IFNA(VLOOKUP($A534,INDIRECT("'W"&amp;N$1&amp;"'!$A$2:$T$1000"),4,FALSE),0)</f>
        <v>0</v>
      </c>
      <c r="O534" s="37">
        <f ca="1">_xlfn.IFNA(VLOOKUP($A534,INDIRECT("'W"&amp;O$1&amp;"'!$A$2:$T$1000"),4,FALSE),0)</f>
        <v>0</v>
      </c>
      <c r="P534" s="37">
        <f ca="1">_xlfn.IFNA(VLOOKUP($A534,INDIRECT("'W"&amp;P$1&amp;"'!$A$2:$T$1000"),4,FALSE),0)</f>
        <v>0</v>
      </c>
      <c r="Q534" s="37">
        <f ca="1">_xlfn.IFNA(VLOOKUP($A534,INDIRECT("'W"&amp;Q$1&amp;"'!$A$2:$T$1000"),4,FALSE),0)</f>
        <v>0</v>
      </c>
      <c r="R534" s="37">
        <f ca="1">_xlfn.IFNA(VLOOKUP($A534,INDIRECT("'W"&amp;R$1&amp;"'!$A$2:$T$1000"),4,FALSE),0)</f>
        <v>1.6</v>
      </c>
      <c r="S534" s="37">
        <f ca="1">_xlfn.IFNA(VLOOKUP($A534,INDIRECT("'W"&amp;S$1&amp;"'!$A$2:$T$1000"),4,FALSE),0)</f>
        <v>0</v>
      </c>
      <c r="T534" s="37">
        <f ca="1">_xlfn.IFNA(VLOOKUP($A534,INDIRECT("'W"&amp;T$1&amp;"'!$A$2:$T$1000"),4,FALSE),0)</f>
        <v>0</v>
      </c>
      <c r="U534" s="36">
        <f ca="1">COUNTIF(C534:T534,"&gt; 15")</f>
        <v>0</v>
      </c>
      <c r="V534" s="36">
        <f ca="1">SUM(C534:T534)</f>
        <v>4.7</v>
      </c>
      <c r="W534" s="36"/>
      <c r="X534" s="38"/>
    </row>
    <row r="535" spans="1:24" ht="12.75" x14ac:dyDescent="0.2">
      <c r="A535" s="36" t="s">
        <v>650</v>
      </c>
      <c r="B535" s="36" t="s">
        <v>75</v>
      </c>
      <c r="C535" s="37">
        <f ca="1">_xlfn.IFNA(VLOOKUP($A535,INDIRECT("'W"&amp;C$1&amp;"'!$A$2:$T$1000"),4,FALSE),0)</f>
        <v>0</v>
      </c>
      <c r="D535" s="37">
        <f ca="1">_xlfn.IFNA(VLOOKUP($A535,INDIRECT("'W"&amp;D$1&amp;"'!$A$2:$T$1000"),4,FALSE),0)</f>
        <v>0</v>
      </c>
      <c r="E535" s="37">
        <f ca="1">_xlfn.IFNA(VLOOKUP($A535,INDIRECT("'W"&amp;E$1&amp;"'!$A$2:$T$1000"),4,FALSE),0)</f>
        <v>0</v>
      </c>
      <c r="F535" s="37">
        <f ca="1">_xlfn.IFNA(VLOOKUP($A535,INDIRECT("'W"&amp;F$1&amp;"'!$A$2:$T$1000"),4,FALSE),0)</f>
        <v>0</v>
      </c>
      <c r="G535" s="37">
        <f ca="1">_xlfn.IFNA(VLOOKUP($A535,INDIRECT("'W"&amp;G$1&amp;"'!$A$2:$T$1000"),4,FALSE),0)</f>
        <v>0</v>
      </c>
      <c r="H535" s="37">
        <f ca="1">_xlfn.IFNA(VLOOKUP($A535,INDIRECT("'W"&amp;H$1&amp;"'!$A$2:$T$1000"),4,FALSE),0)</f>
        <v>0</v>
      </c>
      <c r="I535" s="37">
        <f ca="1">_xlfn.IFNA(VLOOKUP($A535,INDIRECT("'W"&amp;I$1&amp;"'!$A$2:$T$1000"),4,FALSE),0)</f>
        <v>0</v>
      </c>
      <c r="J535" s="37">
        <f ca="1">_xlfn.IFNA(VLOOKUP($A535,INDIRECT("'W"&amp;J$1&amp;"'!$A$2:$T$1000"),4,FALSE),0)</f>
        <v>0</v>
      </c>
      <c r="K535" s="37">
        <f ca="1">_xlfn.IFNA(VLOOKUP($A535,INDIRECT("'W"&amp;K$1&amp;"'!$A$2:$T$1000"),4,FALSE),0)</f>
        <v>0</v>
      </c>
      <c r="L535" s="37">
        <f ca="1">_xlfn.IFNA(VLOOKUP($A535,INDIRECT("'W"&amp;L$1&amp;"'!$A$2:$T$1000"),4,FALSE),0)</f>
        <v>4.3000000000000007</v>
      </c>
      <c r="M535" s="37">
        <f ca="1">_xlfn.IFNA(VLOOKUP($A535,INDIRECT("'W"&amp;M$1&amp;"'!$A$2:$T$1000"),4,FALSE),0)</f>
        <v>0</v>
      </c>
      <c r="N535" s="37">
        <f ca="1">_xlfn.IFNA(VLOOKUP($A535,INDIRECT("'W"&amp;N$1&amp;"'!$A$2:$T$1000"),4,FALSE),0)</f>
        <v>0</v>
      </c>
      <c r="O535" s="37">
        <f ca="1">_xlfn.IFNA(VLOOKUP($A535,INDIRECT("'W"&amp;O$1&amp;"'!$A$2:$T$1000"),4,FALSE),0)</f>
        <v>0</v>
      </c>
      <c r="P535" s="37">
        <f ca="1">_xlfn.IFNA(VLOOKUP($A535,INDIRECT("'W"&amp;P$1&amp;"'!$A$2:$T$1000"),4,FALSE),0)</f>
        <v>0</v>
      </c>
      <c r="Q535" s="37">
        <f ca="1">_xlfn.IFNA(VLOOKUP($A535,INDIRECT("'W"&amp;Q$1&amp;"'!$A$2:$T$1000"),4,FALSE),0)</f>
        <v>0</v>
      </c>
      <c r="R535" s="37">
        <f ca="1">_xlfn.IFNA(VLOOKUP($A535,INDIRECT("'W"&amp;R$1&amp;"'!$A$2:$T$1000"),4,FALSE),0)</f>
        <v>0</v>
      </c>
      <c r="S535" s="37">
        <f ca="1">_xlfn.IFNA(VLOOKUP($A535,INDIRECT("'W"&amp;S$1&amp;"'!$A$2:$T$1000"),4,FALSE),0)</f>
        <v>0</v>
      </c>
      <c r="T535" s="37">
        <f ca="1">_xlfn.IFNA(VLOOKUP($A535,INDIRECT("'W"&amp;T$1&amp;"'!$A$2:$T$1000"),4,FALSE),0)</f>
        <v>0</v>
      </c>
      <c r="U535" s="36">
        <f ca="1">COUNTIF(C535:T535,"&gt; 15")</f>
        <v>0</v>
      </c>
      <c r="V535" s="36">
        <f ca="1">SUM(C535:T535)</f>
        <v>4.3000000000000007</v>
      </c>
      <c r="W535" s="36"/>
      <c r="X535" s="38"/>
    </row>
    <row r="536" spans="1:24" ht="12.75" x14ac:dyDescent="0.2">
      <c r="A536" s="36" t="s">
        <v>609</v>
      </c>
      <c r="B536" s="36" t="s">
        <v>75</v>
      </c>
      <c r="C536" s="37">
        <f ca="1">_xlfn.IFNA(VLOOKUP($A536,INDIRECT("'W"&amp;C$1&amp;"'!$A$2:$T$1000"),4,FALSE),0)</f>
        <v>0</v>
      </c>
      <c r="D536" s="37">
        <f ca="1">_xlfn.IFNA(VLOOKUP($A536,INDIRECT("'W"&amp;D$1&amp;"'!$A$2:$T$1000"),4,FALSE),0)</f>
        <v>0</v>
      </c>
      <c r="E536" s="37">
        <f ca="1">_xlfn.IFNA(VLOOKUP($A536,INDIRECT("'W"&amp;E$1&amp;"'!$A$2:$T$1000"),4,FALSE),0)</f>
        <v>0</v>
      </c>
      <c r="F536" s="37">
        <f ca="1">_xlfn.IFNA(VLOOKUP($A536,INDIRECT("'W"&amp;F$1&amp;"'!$A$2:$T$1000"),4,FALSE),0)</f>
        <v>0</v>
      </c>
      <c r="G536" s="37">
        <f ca="1">_xlfn.IFNA(VLOOKUP($A536,INDIRECT("'W"&amp;G$1&amp;"'!$A$2:$T$1000"),4,FALSE),0)</f>
        <v>0</v>
      </c>
      <c r="H536" s="37">
        <f ca="1">_xlfn.IFNA(VLOOKUP($A536,INDIRECT("'W"&amp;H$1&amp;"'!$A$2:$T$1000"),4,FALSE),0)</f>
        <v>0</v>
      </c>
      <c r="I536" s="37">
        <f ca="1">_xlfn.IFNA(VLOOKUP($A536,INDIRECT("'W"&amp;I$1&amp;"'!$A$2:$T$1000"),4,FALSE),0)</f>
        <v>0</v>
      </c>
      <c r="J536" s="37">
        <f ca="1">_xlfn.IFNA(VLOOKUP($A536,INDIRECT("'W"&amp;J$1&amp;"'!$A$2:$T$1000"),4,FALSE),0)</f>
        <v>1</v>
      </c>
      <c r="K536" s="37">
        <f ca="1">_xlfn.IFNA(VLOOKUP($A536,INDIRECT("'W"&amp;K$1&amp;"'!$A$2:$T$1000"),4,FALSE),0)</f>
        <v>0</v>
      </c>
      <c r="L536" s="37">
        <f ca="1">_xlfn.IFNA(VLOOKUP($A536,INDIRECT("'W"&amp;L$1&amp;"'!$A$2:$T$1000"),4,FALSE),0)</f>
        <v>1.3</v>
      </c>
      <c r="M536" s="37">
        <f ca="1">_xlfn.IFNA(VLOOKUP($A536,INDIRECT("'W"&amp;M$1&amp;"'!$A$2:$T$1000"),4,FALSE),0)</f>
        <v>0</v>
      </c>
      <c r="N536" s="37">
        <f ca="1">_xlfn.IFNA(VLOOKUP($A536,INDIRECT("'W"&amp;N$1&amp;"'!$A$2:$T$1000"),4,FALSE),0)</f>
        <v>0</v>
      </c>
      <c r="O536" s="37">
        <f ca="1">_xlfn.IFNA(VLOOKUP($A536,INDIRECT("'W"&amp;O$1&amp;"'!$A$2:$T$1000"),4,FALSE),0)</f>
        <v>0</v>
      </c>
      <c r="P536" s="37">
        <f ca="1">_xlfn.IFNA(VLOOKUP($A536,INDIRECT("'W"&amp;P$1&amp;"'!$A$2:$T$1000"),4,FALSE),0)</f>
        <v>0</v>
      </c>
      <c r="Q536" s="37">
        <f ca="1">_xlfn.IFNA(VLOOKUP($A536,INDIRECT("'W"&amp;Q$1&amp;"'!$A$2:$T$1000"),4,FALSE),0)</f>
        <v>0</v>
      </c>
      <c r="R536" s="37">
        <f ca="1">_xlfn.IFNA(VLOOKUP($A536,INDIRECT("'W"&amp;R$1&amp;"'!$A$2:$T$1000"),4,FALSE),0)</f>
        <v>0</v>
      </c>
      <c r="S536" s="37">
        <f ca="1">_xlfn.IFNA(VLOOKUP($A536,INDIRECT("'W"&amp;S$1&amp;"'!$A$2:$T$1000"),4,FALSE),0)</f>
        <v>0</v>
      </c>
      <c r="T536" s="37">
        <f ca="1">_xlfn.IFNA(VLOOKUP($A536,INDIRECT("'W"&amp;T$1&amp;"'!$A$2:$T$1000"),4,FALSE),0)</f>
        <v>2</v>
      </c>
      <c r="U536" s="36">
        <f ca="1">COUNTIF(C536:T536,"&gt; 15")</f>
        <v>0</v>
      </c>
      <c r="V536" s="36">
        <f ca="1">SUM(C536:T536)</f>
        <v>4.3</v>
      </c>
      <c r="W536" s="36"/>
      <c r="X536" s="38"/>
    </row>
    <row r="537" spans="1:24" ht="12.75" x14ac:dyDescent="0.2">
      <c r="A537" s="36" t="s">
        <v>717</v>
      </c>
      <c r="B537" s="36" t="s">
        <v>69</v>
      </c>
      <c r="C537" s="37">
        <f ca="1">_xlfn.IFNA(VLOOKUP($A537,INDIRECT("'W"&amp;C$1&amp;"'!$A$2:$T$1000"),4,FALSE),0)</f>
        <v>0</v>
      </c>
      <c r="D537" s="37">
        <f ca="1">_xlfn.IFNA(VLOOKUP($A537,INDIRECT("'W"&amp;D$1&amp;"'!$A$2:$T$1000"),4,FALSE),0)</f>
        <v>0</v>
      </c>
      <c r="E537" s="37">
        <f ca="1">_xlfn.IFNA(VLOOKUP($A537,INDIRECT("'W"&amp;E$1&amp;"'!$A$2:$T$1000"),4,FALSE),0)</f>
        <v>0</v>
      </c>
      <c r="F537" s="37">
        <f ca="1">_xlfn.IFNA(VLOOKUP($A537,INDIRECT("'W"&amp;F$1&amp;"'!$A$2:$T$1000"),4,FALSE),0)</f>
        <v>0</v>
      </c>
      <c r="G537" s="37">
        <f ca="1">_xlfn.IFNA(VLOOKUP($A537,INDIRECT("'W"&amp;G$1&amp;"'!$A$2:$T$1000"),4,FALSE),0)</f>
        <v>0</v>
      </c>
      <c r="H537" s="37">
        <f ca="1">_xlfn.IFNA(VLOOKUP($A537,INDIRECT("'W"&amp;H$1&amp;"'!$A$2:$T$1000"),4,FALSE),0)</f>
        <v>0</v>
      </c>
      <c r="I537" s="37">
        <f ca="1">_xlfn.IFNA(VLOOKUP($A537,INDIRECT("'W"&amp;I$1&amp;"'!$A$2:$T$1000"),4,FALSE),0)</f>
        <v>0</v>
      </c>
      <c r="J537" s="37">
        <f ca="1">_xlfn.IFNA(VLOOKUP($A537,INDIRECT("'W"&amp;J$1&amp;"'!$A$2:$T$1000"),4,FALSE),0)</f>
        <v>0</v>
      </c>
      <c r="K537" s="37">
        <f ca="1">_xlfn.IFNA(VLOOKUP($A537,INDIRECT("'W"&amp;K$1&amp;"'!$A$2:$T$1000"),4,FALSE),0)</f>
        <v>0</v>
      </c>
      <c r="L537" s="37">
        <f ca="1">_xlfn.IFNA(VLOOKUP($A537,INDIRECT("'W"&amp;L$1&amp;"'!$A$2:$T$1000"),4,FALSE),0)</f>
        <v>0</v>
      </c>
      <c r="M537" s="37">
        <f ca="1">_xlfn.IFNA(VLOOKUP($A537,INDIRECT("'W"&amp;M$1&amp;"'!$A$2:$T$1000"),4,FALSE),0)</f>
        <v>0</v>
      </c>
      <c r="N537" s="37">
        <f ca="1">_xlfn.IFNA(VLOOKUP($A537,INDIRECT("'W"&amp;N$1&amp;"'!$A$2:$T$1000"),4,FALSE),0)</f>
        <v>0</v>
      </c>
      <c r="O537" s="37">
        <f ca="1">_xlfn.IFNA(VLOOKUP($A537,INDIRECT("'W"&amp;O$1&amp;"'!$A$2:$T$1000"),4,FALSE),0)</f>
        <v>1.5</v>
      </c>
      <c r="P537" s="37">
        <f ca="1">_xlfn.IFNA(VLOOKUP($A537,INDIRECT("'W"&amp;P$1&amp;"'!$A$2:$T$1000"),4,FALSE),0)</f>
        <v>0</v>
      </c>
      <c r="Q537" s="37">
        <f ca="1">_xlfn.IFNA(VLOOKUP($A537,INDIRECT("'W"&amp;Q$1&amp;"'!$A$2:$T$1000"),4,FALSE),0)</f>
        <v>0</v>
      </c>
      <c r="R537" s="37">
        <f ca="1">_xlfn.IFNA(VLOOKUP($A537,INDIRECT("'W"&amp;R$1&amp;"'!$A$2:$T$1000"),4,FALSE),0)</f>
        <v>0</v>
      </c>
      <c r="S537" s="37">
        <f ca="1">_xlfn.IFNA(VLOOKUP($A537,INDIRECT("'W"&amp;S$1&amp;"'!$A$2:$T$1000"),4,FALSE),0)</f>
        <v>1.2</v>
      </c>
      <c r="T537" s="37">
        <f ca="1">_xlfn.IFNA(VLOOKUP($A537,INDIRECT("'W"&amp;T$1&amp;"'!$A$2:$T$1000"),4,FALSE),0)</f>
        <v>1.5</v>
      </c>
      <c r="U537" s="36">
        <f ca="1">COUNTIF(C537:T537,"&gt; 15")</f>
        <v>0</v>
      </c>
      <c r="V537" s="36">
        <f ca="1">SUM(C537:T537)</f>
        <v>4.2</v>
      </c>
      <c r="W537" s="36"/>
      <c r="X537" s="38"/>
    </row>
    <row r="538" spans="1:24" ht="12.75" x14ac:dyDescent="0.2">
      <c r="A538" s="36" t="s">
        <v>119</v>
      </c>
      <c r="B538" s="36" t="s">
        <v>75</v>
      </c>
      <c r="C538" s="37">
        <f ca="1">_xlfn.IFNA(VLOOKUP($A538,INDIRECT("'W"&amp;C$1&amp;"'!$A$2:$T$1000"),4,FALSE),0)</f>
        <v>3.8000000000000007</v>
      </c>
      <c r="D538" s="37">
        <f ca="1">_xlfn.IFNA(VLOOKUP($A538,INDIRECT("'W"&amp;D$1&amp;"'!$A$2:$T$1000"),4,FALSE),0)</f>
        <v>0</v>
      </c>
      <c r="E538" s="37">
        <f ca="1">_xlfn.IFNA(VLOOKUP($A538,INDIRECT("'W"&amp;E$1&amp;"'!$A$2:$T$1000"),4,FALSE),0)</f>
        <v>0</v>
      </c>
      <c r="F538" s="37">
        <f ca="1">_xlfn.IFNA(VLOOKUP($A538,INDIRECT("'W"&amp;F$1&amp;"'!$A$2:$T$1000"),4,FALSE),0)</f>
        <v>0</v>
      </c>
      <c r="G538" s="37">
        <f ca="1">_xlfn.IFNA(VLOOKUP($A538,INDIRECT("'W"&amp;G$1&amp;"'!$A$2:$T$1000"),4,FALSE),0)</f>
        <v>0</v>
      </c>
      <c r="H538" s="37">
        <f ca="1">_xlfn.IFNA(VLOOKUP($A538,INDIRECT("'W"&amp;H$1&amp;"'!$A$2:$T$1000"),4,FALSE),0)</f>
        <v>0</v>
      </c>
      <c r="I538" s="37">
        <f ca="1">_xlfn.IFNA(VLOOKUP($A538,INDIRECT("'W"&amp;I$1&amp;"'!$A$2:$T$1000"),4,FALSE),0)</f>
        <v>0</v>
      </c>
      <c r="J538" s="37">
        <f ca="1">_xlfn.IFNA(VLOOKUP($A538,INDIRECT("'W"&amp;J$1&amp;"'!$A$2:$T$1000"),4,FALSE),0)</f>
        <v>0</v>
      </c>
      <c r="K538" s="37">
        <f ca="1">_xlfn.IFNA(VLOOKUP($A538,INDIRECT("'W"&amp;K$1&amp;"'!$A$2:$T$1000"),4,FALSE),0)</f>
        <v>0.2</v>
      </c>
      <c r="L538" s="37">
        <f ca="1">_xlfn.IFNA(VLOOKUP($A538,INDIRECT("'W"&amp;L$1&amp;"'!$A$2:$T$1000"),4,FALSE),0)</f>
        <v>0</v>
      </c>
      <c r="M538" s="37">
        <f ca="1">_xlfn.IFNA(VLOOKUP($A538,INDIRECT("'W"&amp;M$1&amp;"'!$A$2:$T$1000"),4,FALSE),0)</f>
        <v>0</v>
      </c>
      <c r="N538" s="37">
        <f ca="1">_xlfn.IFNA(VLOOKUP($A538,INDIRECT("'W"&amp;N$1&amp;"'!$A$2:$T$1000"),4,FALSE),0)</f>
        <v>0</v>
      </c>
      <c r="O538" s="37">
        <f ca="1">_xlfn.IFNA(VLOOKUP($A538,INDIRECT("'W"&amp;O$1&amp;"'!$A$2:$T$1000"),4,FALSE),0)</f>
        <v>0</v>
      </c>
      <c r="P538" s="37">
        <f ca="1">_xlfn.IFNA(VLOOKUP($A538,INDIRECT("'W"&amp;P$1&amp;"'!$A$2:$T$1000"),4,FALSE),0)</f>
        <v>0</v>
      </c>
      <c r="Q538" s="37">
        <f ca="1">_xlfn.IFNA(VLOOKUP($A538,INDIRECT("'W"&amp;Q$1&amp;"'!$A$2:$T$1000"),4,FALSE),0)</f>
        <v>0</v>
      </c>
      <c r="R538" s="37">
        <f ca="1">_xlfn.IFNA(VLOOKUP($A538,INDIRECT("'W"&amp;R$1&amp;"'!$A$2:$T$1000"),4,FALSE),0)</f>
        <v>0</v>
      </c>
      <c r="S538" s="37">
        <f ca="1">_xlfn.IFNA(VLOOKUP($A538,INDIRECT("'W"&amp;S$1&amp;"'!$A$2:$T$1000"),4,FALSE),0)</f>
        <v>0</v>
      </c>
      <c r="T538" s="37">
        <f ca="1">_xlfn.IFNA(VLOOKUP($A538,INDIRECT("'W"&amp;T$1&amp;"'!$A$2:$T$1000"),4,FALSE),0)</f>
        <v>0</v>
      </c>
      <c r="U538" s="36">
        <f ca="1">COUNTIF(C538:T538,"&gt; 15")</f>
        <v>0</v>
      </c>
      <c r="V538" s="36">
        <f ca="1">SUM(C538:T538)</f>
        <v>4.0000000000000009</v>
      </c>
      <c r="W538" s="36"/>
      <c r="X538" s="38"/>
    </row>
    <row r="539" spans="1:24" ht="12.75" x14ac:dyDescent="0.2">
      <c r="A539" s="36" t="s">
        <v>783</v>
      </c>
      <c r="B539" s="36" t="e">
        <f ca="1">VLOOKUP(A539,CumulativePlayerList!$T$3:$U$550,2,FALSE)</f>
        <v>#NAME?</v>
      </c>
      <c r="C539" s="37">
        <f ca="1">_xlfn.IFNA(VLOOKUP($A539,INDIRECT("'W"&amp;C$1&amp;"'!$A$2:$T$1000"),4,FALSE),0)</f>
        <v>0</v>
      </c>
      <c r="D539" s="37">
        <f ca="1">_xlfn.IFNA(VLOOKUP($A539,INDIRECT("'W"&amp;D$1&amp;"'!$A$2:$T$1000"),4,FALSE),0)</f>
        <v>0</v>
      </c>
      <c r="E539" s="37">
        <f ca="1">_xlfn.IFNA(VLOOKUP($A539,INDIRECT("'W"&amp;E$1&amp;"'!$A$2:$T$1000"),4,FALSE),0)</f>
        <v>0</v>
      </c>
      <c r="F539" s="37">
        <f ca="1">_xlfn.IFNA(VLOOKUP($A539,INDIRECT("'W"&amp;F$1&amp;"'!$A$2:$T$1000"),4,FALSE),0)</f>
        <v>0</v>
      </c>
      <c r="G539" s="37">
        <f ca="1">_xlfn.IFNA(VLOOKUP($A539,INDIRECT("'W"&amp;G$1&amp;"'!$A$2:$T$1000"),4,FALSE),0)</f>
        <v>0</v>
      </c>
      <c r="H539" s="37">
        <f ca="1">_xlfn.IFNA(VLOOKUP($A539,INDIRECT("'W"&amp;H$1&amp;"'!$A$2:$T$1000"),4,FALSE),0)</f>
        <v>0</v>
      </c>
      <c r="I539" s="37">
        <f ca="1">_xlfn.IFNA(VLOOKUP($A539,INDIRECT("'W"&amp;I$1&amp;"'!$A$2:$T$1000"),4,FALSE),0)</f>
        <v>0</v>
      </c>
      <c r="J539" s="37">
        <f ca="1">_xlfn.IFNA(VLOOKUP($A539,INDIRECT("'W"&amp;J$1&amp;"'!$A$2:$T$1000"),4,FALSE),0)</f>
        <v>0</v>
      </c>
      <c r="K539" s="37">
        <f ca="1">_xlfn.IFNA(VLOOKUP($A539,INDIRECT("'W"&amp;K$1&amp;"'!$A$2:$T$1000"),4,FALSE),0)</f>
        <v>0</v>
      </c>
      <c r="L539" s="37">
        <f ca="1">_xlfn.IFNA(VLOOKUP($A539,INDIRECT("'W"&amp;L$1&amp;"'!$A$2:$T$1000"),4,FALSE),0)</f>
        <v>0</v>
      </c>
      <c r="M539" s="37">
        <f ca="1">_xlfn.IFNA(VLOOKUP($A539,INDIRECT("'W"&amp;M$1&amp;"'!$A$2:$T$1000"),4,FALSE),0)</f>
        <v>0</v>
      </c>
      <c r="N539" s="37">
        <f ca="1">_xlfn.IFNA(VLOOKUP($A539,INDIRECT("'W"&amp;N$1&amp;"'!$A$2:$T$1000"),4,FALSE),0)</f>
        <v>0</v>
      </c>
      <c r="O539" s="37">
        <f ca="1">_xlfn.IFNA(VLOOKUP($A539,INDIRECT("'W"&amp;O$1&amp;"'!$A$2:$T$1000"),4,FALSE),0)</f>
        <v>0</v>
      </c>
      <c r="P539" s="37">
        <f ca="1">_xlfn.IFNA(VLOOKUP($A539,INDIRECT("'W"&amp;P$1&amp;"'!$A$2:$T$1000"),4,FALSE),0)</f>
        <v>0</v>
      </c>
      <c r="Q539" s="37">
        <f ca="1">_xlfn.IFNA(VLOOKUP($A539,INDIRECT("'W"&amp;Q$1&amp;"'!$A$2:$T$1000"),4,FALSE),0)</f>
        <v>0</v>
      </c>
      <c r="R539" s="37">
        <f ca="1">_xlfn.IFNA(VLOOKUP($A539,INDIRECT("'W"&amp;R$1&amp;"'!$A$2:$T$1000"),4,FALSE),0)</f>
        <v>2</v>
      </c>
      <c r="S539" s="37">
        <f ca="1">_xlfn.IFNA(VLOOKUP($A539,INDIRECT("'W"&amp;S$1&amp;"'!$A$2:$T$1000"),4,FALSE),0)</f>
        <v>0</v>
      </c>
      <c r="T539" s="37">
        <f ca="1">_xlfn.IFNA(VLOOKUP($A539,INDIRECT("'W"&amp;T$1&amp;"'!$A$2:$T$1000"),4,FALSE),0)</f>
        <v>2</v>
      </c>
      <c r="U539" s="36">
        <f ca="1">COUNTIF(C539:T539,"&gt; 15")</f>
        <v>0</v>
      </c>
      <c r="V539" s="36">
        <f ca="1">SUM(C539:T539)</f>
        <v>4</v>
      </c>
      <c r="W539" s="36"/>
      <c r="X539" s="38"/>
    </row>
    <row r="540" spans="1:24" ht="12.75" x14ac:dyDescent="0.2">
      <c r="A540" s="36" t="s">
        <v>364</v>
      </c>
      <c r="B540" s="36" t="s">
        <v>75</v>
      </c>
      <c r="C540" s="37">
        <f ca="1">_xlfn.IFNA(VLOOKUP($A540,INDIRECT("'W"&amp;C$1&amp;"'!$A$2:$T$1000"),4,FALSE),0)</f>
        <v>0</v>
      </c>
      <c r="D540" s="37">
        <f ca="1">_xlfn.IFNA(VLOOKUP($A540,INDIRECT("'W"&amp;D$1&amp;"'!$A$2:$T$1000"),4,FALSE),0)</f>
        <v>3.9000000000000004</v>
      </c>
      <c r="E540" s="37">
        <f ca="1">_xlfn.IFNA(VLOOKUP($A540,INDIRECT("'W"&amp;E$1&amp;"'!$A$2:$T$1000"),4,FALSE),0)</f>
        <v>0</v>
      </c>
      <c r="F540" s="37">
        <f ca="1">_xlfn.IFNA(VLOOKUP($A540,INDIRECT("'W"&amp;F$1&amp;"'!$A$2:$T$1000"),4,FALSE),0)</f>
        <v>0</v>
      </c>
      <c r="G540" s="37">
        <f ca="1">_xlfn.IFNA(VLOOKUP($A540,INDIRECT("'W"&amp;G$1&amp;"'!$A$2:$T$1000"),4,FALSE),0)</f>
        <v>0</v>
      </c>
      <c r="H540" s="37">
        <f ca="1">_xlfn.IFNA(VLOOKUP($A540,INDIRECT("'W"&amp;H$1&amp;"'!$A$2:$T$1000"),4,FALSE),0)</f>
        <v>0</v>
      </c>
      <c r="I540" s="37">
        <f ca="1">_xlfn.IFNA(VLOOKUP($A540,INDIRECT("'W"&amp;I$1&amp;"'!$A$2:$T$1000"),4,FALSE),0)</f>
        <v>0</v>
      </c>
      <c r="J540" s="37">
        <f ca="1">_xlfn.IFNA(VLOOKUP($A540,INDIRECT("'W"&amp;J$1&amp;"'!$A$2:$T$1000"),4,FALSE),0)</f>
        <v>0</v>
      </c>
      <c r="K540" s="37">
        <f ca="1">_xlfn.IFNA(VLOOKUP($A540,INDIRECT("'W"&amp;K$1&amp;"'!$A$2:$T$1000"),4,FALSE),0)</f>
        <v>0</v>
      </c>
      <c r="L540" s="37">
        <f ca="1">_xlfn.IFNA(VLOOKUP($A540,INDIRECT("'W"&amp;L$1&amp;"'!$A$2:$T$1000"),4,FALSE),0)</f>
        <v>0</v>
      </c>
      <c r="M540" s="37">
        <f ca="1">_xlfn.IFNA(VLOOKUP($A540,INDIRECT("'W"&amp;M$1&amp;"'!$A$2:$T$1000"),4,FALSE),0)</f>
        <v>0</v>
      </c>
      <c r="N540" s="37">
        <f ca="1">_xlfn.IFNA(VLOOKUP($A540,INDIRECT("'W"&amp;N$1&amp;"'!$A$2:$T$1000"),4,FALSE),0)</f>
        <v>0</v>
      </c>
      <c r="O540" s="37">
        <f ca="1">_xlfn.IFNA(VLOOKUP($A540,INDIRECT("'W"&amp;O$1&amp;"'!$A$2:$T$1000"),4,FALSE),0)</f>
        <v>0</v>
      </c>
      <c r="P540" s="37">
        <f ca="1">_xlfn.IFNA(VLOOKUP($A540,INDIRECT("'W"&amp;P$1&amp;"'!$A$2:$T$1000"),4,FALSE),0)</f>
        <v>0</v>
      </c>
      <c r="Q540" s="37">
        <f ca="1">_xlfn.IFNA(VLOOKUP($A540,INDIRECT("'W"&amp;Q$1&amp;"'!$A$2:$T$1000"),4,FALSE),0)</f>
        <v>0</v>
      </c>
      <c r="R540" s="37">
        <f ca="1">_xlfn.IFNA(VLOOKUP($A540,INDIRECT("'W"&amp;R$1&amp;"'!$A$2:$T$1000"),4,FALSE),0)</f>
        <v>0</v>
      </c>
      <c r="S540" s="37">
        <f ca="1">_xlfn.IFNA(VLOOKUP($A540,INDIRECT("'W"&amp;S$1&amp;"'!$A$2:$T$1000"),4,FALSE),0)</f>
        <v>0</v>
      </c>
      <c r="T540" s="37">
        <f ca="1">_xlfn.IFNA(VLOOKUP($A540,INDIRECT("'W"&amp;T$1&amp;"'!$A$2:$T$1000"),4,FALSE),0)</f>
        <v>0</v>
      </c>
      <c r="U540" s="36">
        <f ca="1">COUNTIF(C540:T540,"&gt; 15")</f>
        <v>0</v>
      </c>
      <c r="V540" s="36">
        <f ca="1">SUM(C540:T540)</f>
        <v>3.9000000000000004</v>
      </c>
      <c r="W540" s="36"/>
      <c r="X540" s="38"/>
    </row>
    <row r="541" spans="1:24" ht="12.75" x14ac:dyDescent="0.2">
      <c r="A541" s="36" t="s">
        <v>653</v>
      </c>
      <c r="B541" s="36" t="s">
        <v>162</v>
      </c>
      <c r="C541" s="37">
        <f ca="1">_xlfn.IFNA(VLOOKUP($A541,INDIRECT("'W"&amp;C$1&amp;"'!$A$2:$T$1000"),4,FALSE),0)</f>
        <v>0</v>
      </c>
      <c r="D541" s="37">
        <f ca="1">_xlfn.IFNA(VLOOKUP($A541,INDIRECT("'W"&amp;D$1&amp;"'!$A$2:$T$1000"),4,FALSE),0)</f>
        <v>0</v>
      </c>
      <c r="E541" s="37">
        <f ca="1">_xlfn.IFNA(VLOOKUP($A541,INDIRECT("'W"&amp;E$1&amp;"'!$A$2:$T$1000"),4,FALSE),0)</f>
        <v>0</v>
      </c>
      <c r="F541" s="37">
        <f ca="1">_xlfn.IFNA(VLOOKUP($A541,INDIRECT("'W"&amp;F$1&amp;"'!$A$2:$T$1000"),4,FALSE),0)</f>
        <v>0</v>
      </c>
      <c r="G541" s="37">
        <f ca="1">_xlfn.IFNA(VLOOKUP($A541,INDIRECT("'W"&amp;G$1&amp;"'!$A$2:$T$1000"),4,FALSE),0)</f>
        <v>0</v>
      </c>
      <c r="H541" s="37">
        <f ca="1">_xlfn.IFNA(VLOOKUP($A541,INDIRECT("'W"&amp;H$1&amp;"'!$A$2:$T$1000"),4,FALSE),0)</f>
        <v>0</v>
      </c>
      <c r="I541" s="37">
        <f ca="1">_xlfn.IFNA(VLOOKUP($A541,INDIRECT("'W"&amp;I$1&amp;"'!$A$2:$T$1000"),4,FALSE),0)</f>
        <v>0</v>
      </c>
      <c r="J541" s="37">
        <f ca="1">_xlfn.IFNA(VLOOKUP($A541,INDIRECT("'W"&amp;J$1&amp;"'!$A$2:$T$1000"),4,FALSE),0)</f>
        <v>0</v>
      </c>
      <c r="K541" s="37">
        <f ca="1">_xlfn.IFNA(VLOOKUP($A541,INDIRECT("'W"&amp;K$1&amp;"'!$A$2:$T$1000"),4,FALSE),0)</f>
        <v>0</v>
      </c>
      <c r="L541" s="37">
        <f ca="1">_xlfn.IFNA(VLOOKUP($A541,INDIRECT("'W"&amp;L$1&amp;"'!$A$2:$T$1000"),4,FALSE),0)</f>
        <v>2.1</v>
      </c>
      <c r="M541" s="37">
        <f ca="1">_xlfn.IFNA(VLOOKUP($A541,INDIRECT("'W"&amp;M$1&amp;"'!$A$2:$T$1000"),4,FALSE),0)</f>
        <v>0</v>
      </c>
      <c r="N541" s="37">
        <f ca="1">_xlfn.IFNA(VLOOKUP($A541,INDIRECT("'W"&amp;N$1&amp;"'!$A$2:$T$1000"),4,FALSE),0)</f>
        <v>1.8</v>
      </c>
      <c r="O541" s="37">
        <f ca="1">_xlfn.IFNA(VLOOKUP($A541,INDIRECT("'W"&amp;O$1&amp;"'!$A$2:$T$1000"),4,FALSE),0)</f>
        <v>0</v>
      </c>
      <c r="P541" s="37">
        <f ca="1">_xlfn.IFNA(VLOOKUP($A541,INDIRECT("'W"&amp;P$1&amp;"'!$A$2:$T$1000"),4,FALSE),0)</f>
        <v>0</v>
      </c>
      <c r="Q541" s="37">
        <f ca="1">_xlfn.IFNA(VLOOKUP($A541,INDIRECT("'W"&amp;Q$1&amp;"'!$A$2:$T$1000"),4,FALSE),0)</f>
        <v>0</v>
      </c>
      <c r="R541" s="37">
        <f ca="1">_xlfn.IFNA(VLOOKUP($A541,INDIRECT("'W"&amp;R$1&amp;"'!$A$2:$T$1000"),4,FALSE),0)</f>
        <v>0</v>
      </c>
      <c r="S541" s="37">
        <f ca="1">_xlfn.IFNA(VLOOKUP($A541,INDIRECT("'W"&amp;S$1&amp;"'!$A$2:$T$1000"),4,FALSE),0)</f>
        <v>0</v>
      </c>
      <c r="T541" s="37">
        <f ca="1">_xlfn.IFNA(VLOOKUP($A541,INDIRECT("'W"&amp;T$1&amp;"'!$A$2:$T$1000"),4,FALSE),0)</f>
        <v>0</v>
      </c>
      <c r="U541" s="36">
        <f ca="1">COUNTIF(C541:T541,"&gt; 15")</f>
        <v>0</v>
      </c>
      <c r="V541" s="36">
        <f ca="1">SUM(C541:T541)</f>
        <v>3.9000000000000004</v>
      </c>
      <c r="W541" s="36"/>
      <c r="X541" s="38"/>
    </row>
    <row r="542" spans="1:24" ht="12.75" x14ac:dyDescent="0.2">
      <c r="A542" s="36" t="s">
        <v>491</v>
      </c>
      <c r="B542" s="36" t="s">
        <v>69</v>
      </c>
      <c r="C542" s="37">
        <f ca="1">_xlfn.IFNA(VLOOKUP($A542,INDIRECT("'W"&amp;C$1&amp;"'!$A$2:$T$1000"),4,FALSE),0)</f>
        <v>0</v>
      </c>
      <c r="D542" s="37">
        <f ca="1">_xlfn.IFNA(VLOOKUP($A542,INDIRECT("'W"&amp;D$1&amp;"'!$A$2:$T$1000"),4,FALSE),0)</f>
        <v>0</v>
      </c>
      <c r="E542" s="37">
        <f ca="1">_xlfn.IFNA(VLOOKUP($A542,INDIRECT("'W"&amp;E$1&amp;"'!$A$2:$T$1000"),4,FALSE),0)</f>
        <v>0</v>
      </c>
      <c r="F542" s="37">
        <f ca="1">_xlfn.IFNA(VLOOKUP($A542,INDIRECT("'W"&amp;F$1&amp;"'!$A$2:$T$1000"),4,FALSE),0)</f>
        <v>2</v>
      </c>
      <c r="G542" s="37">
        <f ca="1">_xlfn.IFNA(VLOOKUP($A542,INDIRECT("'W"&amp;G$1&amp;"'!$A$2:$T$1000"),4,FALSE),0)</f>
        <v>0</v>
      </c>
      <c r="H542" s="37">
        <f ca="1">_xlfn.IFNA(VLOOKUP($A542,INDIRECT("'W"&amp;H$1&amp;"'!$A$2:$T$1000"),4,FALSE),0)</f>
        <v>0</v>
      </c>
      <c r="I542" s="37">
        <f ca="1">_xlfn.IFNA(VLOOKUP($A542,INDIRECT("'W"&amp;I$1&amp;"'!$A$2:$T$1000"),4,FALSE),0)</f>
        <v>0</v>
      </c>
      <c r="J542" s="37">
        <f ca="1">_xlfn.IFNA(VLOOKUP($A542,INDIRECT("'W"&amp;J$1&amp;"'!$A$2:$T$1000"),4,FALSE),0)</f>
        <v>0</v>
      </c>
      <c r="K542" s="37">
        <f ca="1">_xlfn.IFNA(VLOOKUP($A542,INDIRECT("'W"&amp;K$1&amp;"'!$A$2:$T$1000"),4,FALSE),0)</f>
        <v>0</v>
      </c>
      <c r="L542" s="37">
        <f ca="1">_xlfn.IFNA(VLOOKUP($A542,INDIRECT("'W"&amp;L$1&amp;"'!$A$2:$T$1000"),4,FALSE),0)</f>
        <v>1.6</v>
      </c>
      <c r="M542" s="37">
        <f ca="1">_xlfn.IFNA(VLOOKUP($A542,INDIRECT("'W"&amp;M$1&amp;"'!$A$2:$T$1000"),4,FALSE),0)</f>
        <v>0</v>
      </c>
      <c r="N542" s="37">
        <f ca="1">_xlfn.IFNA(VLOOKUP($A542,INDIRECT("'W"&amp;N$1&amp;"'!$A$2:$T$1000"),4,FALSE),0)</f>
        <v>0</v>
      </c>
      <c r="O542" s="37">
        <f ca="1">_xlfn.IFNA(VLOOKUP($A542,INDIRECT("'W"&amp;O$1&amp;"'!$A$2:$T$1000"),4,FALSE),0)</f>
        <v>0</v>
      </c>
      <c r="P542" s="37">
        <f ca="1">_xlfn.IFNA(VLOOKUP($A542,INDIRECT("'W"&amp;P$1&amp;"'!$A$2:$T$1000"),4,FALSE),0)</f>
        <v>0</v>
      </c>
      <c r="Q542" s="37">
        <f ca="1">_xlfn.IFNA(VLOOKUP($A542,INDIRECT("'W"&amp;Q$1&amp;"'!$A$2:$T$1000"),4,FALSE),0)</f>
        <v>0</v>
      </c>
      <c r="R542" s="37">
        <f ca="1">_xlfn.IFNA(VLOOKUP($A542,INDIRECT("'W"&amp;R$1&amp;"'!$A$2:$T$1000"),4,FALSE),0)</f>
        <v>0</v>
      </c>
      <c r="S542" s="37">
        <f ca="1">_xlfn.IFNA(VLOOKUP($A542,INDIRECT("'W"&amp;S$1&amp;"'!$A$2:$T$1000"),4,FALSE),0)</f>
        <v>0</v>
      </c>
      <c r="T542" s="37">
        <f ca="1">_xlfn.IFNA(VLOOKUP($A542,INDIRECT("'W"&amp;T$1&amp;"'!$A$2:$T$1000"),4,FALSE),0)</f>
        <v>0</v>
      </c>
      <c r="U542" s="36">
        <f ca="1">COUNTIF(C542:T542,"&gt; 15")</f>
        <v>0</v>
      </c>
      <c r="V542" s="36">
        <f ca="1">SUM(C542:T542)</f>
        <v>3.6</v>
      </c>
      <c r="W542" s="36"/>
      <c r="X542" s="38"/>
    </row>
    <row r="543" spans="1:24" ht="12.75" x14ac:dyDescent="0.2">
      <c r="A543" s="36" t="s">
        <v>493</v>
      </c>
      <c r="B543" s="36" t="s">
        <v>162</v>
      </c>
      <c r="C543" s="37">
        <f ca="1">_xlfn.IFNA(VLOOKUP($A543,INDIRECT("'W"&amp;C$1&amp;"'!$A$2:$T$1000"),4,FALSE),0)</f>
        <v>0</v>
      </c>
      <c r="D543" s="37">
        <f ca="1">_xlfn.IFNA(VLOOKUP($A543,INDIRECT("'W"&amp;D$1&amp;"'!$A$2:$T$1000"),4,FALSE),0)</f>
        <v>0</v>
      </c>
      <c r="E543" s="37">
        <f ca="1">_xlfn.IFNA(VLOOKUP($A543,INDIRECT("'W"&amp;E$1&amp;"'!$A$2:$T$1000"),4,FALSE),0)</f>
        <v>0</v>
      </c>
      <c r="F543" s="37">
        <f ca="1">_xlfn.IFNA(VLOOKUP($A543,INDIRECT("'W"&amp;F$1&amp;"'!$A$2:$T$1000"),4,FALSE),0)</f>
        <v>1.9</v>
      </c>
      <c r="G543" s="37">
        <f ca="1">_xlfn.IFNA(VLOOKUP($A543,INDIRECT("'W"&amp;G$1&amp;"'!$A$2:$T$1000"),4,FALSE),0)</f>
        <v>0</v>
      </c>
      <c r="H543" s="37">
        <f ca="1">_xlfn.IFNA(VLOOKUP($A543,INDIRECT("'W"&amp;H$1&amp;"'!$A$2:$T$1000"),4,FALSE),0)</f>
        <v>0</v>
      </c>
      <c r="I543" s="37">
        <f ca="1">_xlfn.IFNA(VLOOKUP($A543,INDIRECT("'W"&amp;I$1&amp;"'!$A$2:$T$1000"),4,FALSE),0)</f>
        <v>0</v>
      </c>
      <c r="J543" s="37">
        <f ca="1">_xlfn.IFNA(VLOOKUP($A543,INDIRECT("'W"&amp;J$1&amp;"'!$A$2:$T$1000"),4,FALSE),0)</f>
        <v>0</v>
      </c>
      <c r="K543" s="37">
        <f ca="1">_xlfn.IFNA(VLOOKUP($A543,INDIRECT("'W"&amp;K$1&amp;"'!$A$2:$T$1000"),4,FALSE),0)</f>
        <v>0</v>
      </c>
      <c r="L543" s="37">
        <f ca="1">_xlfn.IFNA(VLOOKUP($A543,INDIRECT("'W"&amp;L$1&amp;"'!$A$2:$T$1000"),4,FALSE),0)</f>
        <v>0</v>
      </c>
      <c r="M543" s="37">
        <f ca="1">_xlfn.IFNA(VLOOKUP($A543,INDIRECT("'W"&amp;M$1&amp;"'!$A$2:$T$1000"),4,FALSE),0)</f>
        <v>0</v>
      </c>
      <c r="N543" s="37">
        <f ca="1">_xlfn.IFNA(VLOOKUP($A543,INDIRECT("'W"&amp;N$1&amp;"'!$A$2:$T$1000"),4,FALSE),0)</f>
        <v>0</v>
      </c>
      <c r="O543" s="37">
        <f ca="1">_xlfn.IFNA(VLOOKUP($A543,INDIRECT("'W"&amp;O$1&amp;"'!$A$2:$T$1000"),4,FALSE),0)</f>
        <v>0</v>
      </c>
      <c r="P543" s="37">
        <f ca="1">_xlfn.IFNA(VLOOKUP($A543,INDIRECT("'W"&amp;P$1&amp;"'!$A$2:$T$1000"),4,FALSE),0)</f>
        <v>0</v>
      </c>
      <c r="Q543" s="37">
        <f ca="1">_xlfn.IFNA(VLOOKUP($A543,INDIRECT("'W"&amp;Q$1&amp;"'!$A$2:$T$1000"),4,FALSE),0)</f>
        <v>0</v>
      </c>
      <c r="R543" s="37">
        <f ca="1">_xlfn.IFNA(VLOOKUP($A543,INDIRECT("'W"&amp;R$1&amp;"'!$A$2:$T$1000"),4,FALSE),0)</f>
        <v>1.5</v>
      </c>
      <c r="S543" s="37">
        <f ca="1">_xlfn.IFNA(VLOOKUP($A543,INDIRECT("'W"&amp;S$1&amp;"'!$A$2:$T$1000"),4,FALSE),0)</f>
        <v>0</v>
      </c>
      <c r="T543" s="37">
        <f ca="1">_xlfn.IFNA(VLOOKUP($A543,INDIRECT("'W"&amp;T$1&amp;"'!$A$2:$T$1000"),4,FALSE),0)</f>
        <v>0</v>
      </c>
      <c r="U543" s="36">
        <f ca="1">COUNTIF(C543:T543,"&gt; 15")</f>
        <v>0</v>
      </c>
      <c r="V543" s="36">
        <f ca="1">SUM(C543:T543)</f>
        <v>3.4</v>
      </c>
      <c r="W543" s="36"/>
      <c r="X543" s="38"/>
    </row>
    <row r="544" spans="1:24" ht="12.75" x14ac:dyDescent="0.2">
      <c r="A544" s="36" t="s">
        <v>628</v>
      </c>
      <c r="B544" s="36" t="s">
        <v>162</v>
      </c>
      <c r="C544" s="37">
        <f ca="1">_xlfn.IFNA(VLOOKUP($A544,INDIRECT("'W"&amp;C$1&amp;"'!$A$2:$T$1000"),4,FALSE),0)</f>
        <v>0</v>
      </c>
      <c r="D544" s="37">
        <f ca="1">_xlfn.IFNA(VLOOKUP($A544,INDIRECT("'W"&amp;D$1&amp;"'!$A$2:$T$1000"),4,FALSE),0)</f>
        <v>0</v>
      </c>
      <c r="E544" s="37">
        <f ca="1">_xlfn.IFNA(VLOOKUP($A544,INDIRECT("'W"&amp;E$1&amp;"'!$A$2:$T$1000"),4,FALSE),0)</f>
        <v>0</v>
      </c>
      <c r="F544" s="37">
        <f ca="1">_xlfn.IFNA(VLOOKUP($A544,INDIRECT("'W"&amp;F$1&amp;"'!$A$2:$T$1000"),4,FALSE),0)</f>
        <v>0</v>
      </c>
      <c r="G544" s="37">
        <f ca="1">_xlfn.IFNA(VLOOKUP($A544,INDIRECT("'W"&amp;G$1&amp;"'!$A$2:$T$1000"),4,FALSE),0)</f>
        <v>0</v>
      </c>
      <c r="H544" s="37">
        <f ca="1">_xlfn.IFNA(VLOOKUP($A544,INDIRECT("'W"&amp;H$1&amp;"'!$A$2:$T$1000"),4,FALSE),0)</f>
        <v>0</v>
      </c>
      <c r="I544" s="37">
        <f ca="1">_xlfn.IFNA(VLOOKUP($A544,INDIRECT("'W"&amp;I$1&amp;"'!$A$2:$T$1000"),4,FALSE),0)</f>
        <v>0</v>
      </c>
      <c r="J544" s="37">
        <f ca="1">_xlfn.IFNA(VLOOKUP($A544,INDIRECT("'W"&amp;J$1&amp;"'!$A$2:$T$1000"),4,FALSE),0)</f>
        <v>0</v>
      </c>
      <c r="K544" s="37">
        <f ca="1">_xlfn.IFNA(VLOOKUP($A544,INDIRECT("'W"&amp;K$1&amp;"'!$A$2:$T$1000"),4,FALSE),0)</f>
        <v>1.7000000000000002</v>
      </c>
      <c r="L544" s="37">
        <f ca="1">_xlfn.IFNA(VLOOKUP($A544,INDIRECT("'W"&amp;L$1&amp;"'!$A$2:$T$1000"),4,FALSE),0)</f>
        <v>1.6</v>
      </c>
      <c r="M544" s="37">
        <f ca="1">_xlfn.IFNA(VLOOKUP($A544,INDIRECT("'W"&amp;M$1&amp;"'!$A$2:$T$1000"),4,FALSE),0)</f>
        <v>0</v>
      </c>
      <c r="N544" s="37">
        <f ca="1">_xlfn.IFNA(VLOOKUP($A544,INDIRECT("'W"&amp;N$1&amp;"'!$A$2:$T$1000"),4,FALSE),0)</f>
        <v>0</v>
      </c>
      <c r="O544" s="37">
        <f ca="1">_xlfn.IFNA(VLOOKUP($A544,INDIRECT("'W"&amp;O$1&amp;"'!$A$2:$T$1000"),4,FALSE),0)</f>
        <v>0</v>
      </c>
      <c r="P544" s="37">
        <f ca="1">_xlfn.IFNA(VLOOKUP($A544,INDIRECT("'W"&amp;P$1&amp;"'!$A$2:$T$1000"),4,FALSE),0)</f>
        <v>0</v>
      </c>
      <c r="Q544" s="37">
        <f ca="1">_xlfn.IFNA(VLOOKUP($A544,INDIRECT("'W"&amp;Q$1&amp;"'!$A$2:$T$1000"),4,FALSE),0)</f>
        <v>0</v>
      </c>
      <c r="R544" s="37">
        <f ca="1">_xlfn.IFNA(VLOOKUP($A544,INDIRECT("'W"&amp;R$1&amp;"'!$A$2:$T$1000"),4,FALSE),0)</f>
        <v>0</v>
      </c>
      <c r="S544" s="37">
        <f ca="1">_xlfn.IFNA(VLOOKUP($A544,INDIRECT("'W"&amp;S$1&amp;"'!$A$2:$T$1000"),4,FALSE),0)</f>
        <v>0</v>
      </c>
      <c r="T544" s="37">
        <f ca="1">_xlfn.IFNA(VLOOKUP($A544,INDIRECT("'W"&amp;T$1&amp;"'!$A$2:$T$1000"),4,FALSE),0)</f>
        <v>0</v>
      </c>
      <c r="U544" s="36">
        <f ca="1">COUNTIF(C544:T544,"&gt; 15")</f>
        <v>0</v>
      </c>
      <c r="V544" s="36">
        <f ca="1">SUM(C544:T544)</f>
        <v>3.3000000000000003</v>
      </c>
      <c r="W544" s="36"/>
      <c r="X544" s="38"/>
    </row>
    <row r="545" spans="1:24" ht="12.75" x14ac:dyDescent="0.2">
      <c r="A545" s="36" t="s">
        <v>72</v>
      </c>
      <c r="B545" s="36" t="s">
        <v>17</v>
      </c>
      <c r="C545" s="37">
        <f ca="1">_xlfn.IFNA(VLOOKUP($A545,INDIRECT("'W"&amp;C$1&amp;"'!$A$2:$T$1000"),4,FALSE),0)</f>
        <v>0</v>
      </c>
      <c r="D545" s="37">
        <f ca="1">_xlfn.IFNA(VLOOKUP($A545,INDIRECT("'W"&amp;D$1&amp;"'!$A$2:$T$1000"),4,FALSE),0)</f>
        <v>0</v>
      </c>
      <c r="E545" s="37">
        <f ca="1">_xlfn.IFNA(VLOOKUP($A545,INDIRECT("'W"&amp;E$1&amp;"'!$A$2:$T$1000"),4,FALSE),0)</f>
        <v>0</v>
      </c>
      <c r="F545" s="37">
        <f ca="1">_xlfn.IFNA(VLOOKUP($A545,INDIRECT("'W"&amp;F$1&amp;"'!$A$2:$T$1000"),4,FALSE),0)</f>
        <v>0.60000000000000009</v>
      </c>
      <c r="G545" s="37">
        <f ca="1">_xlfn.IFNA(VLOOKUP($A545,INDIRECT("'W"&amp;G$1&amp;"'!$A$2:$T$1000"),4,FALSE),0)</f>
        <v>0.12</v>
      </c>
      <c r="H545" s="37">
        <f ca="1">_xlfn.IFNA(VLOOKUP($A545,INDIRECT("'W"&amp;H$1&amp;"'!$A$2:$T$1000"),4,FALSE),0)</f>
        <v>0</v>
      </c>
      <c r="I545" s="37">
        <f ca="1">_xlfn.IFNA(VLOOKUP($A545,INDIRECT("'W"&amp;I$1&amp;"'!$A$2:$T$1000"),4,FALSE),0)</f>
        <v>0</v>
      </c>
      <c r="J545" s="37">
        <f ca="1">_xlfn.IFNA(VLOOKUP($A545,INDIRECT("'W"&amp;J$1&amp;"'!$A$2:$T$1000"),4,FALSE),0)</f>
        <v>-0.18000000000000005</v>
      </c>
      <c r="K545" s="37">
        <f ca="1">_xlfn.IFNA(VLOOKUP($A545,INDIRECT("'W"&amp;K$1&amp;"'!$A$2:$T$1000"),4,FALSE),0)</f>
        <v>0</v>
      </c>
      <c r="L545" s="37">
        <f ca="1">_xlfn.IFNA(VLOOKUP($A545,INDIRECT("'W"&amp;L$1&amp;"'!$A$2:$T$1000"),4,FALSE),0)</f>
        <v>1.2200000000000002</v>
      </c>
      <c r="M545" s="37">
        <f ca="1">_xlfn.IFNA(VLOOKUP($A545,INDIRECT("'W"&amp;M$1&amp;"'!$A$2:$T$1000"),4,FALSE),0)</f>
        <v>0.29999999999999993</v>
      </c>
      <c r="N545" s="37">
        <f ca="1">_xlfn.IFNA(VLOOKUP($A545,INDIRECT("'W"&amp;N$1&amp;"'!$A$2:$T$1000"),4,FALSE),0)</f>
        <v>0</v>
      </c>
      <c r="O545" s="37">
        <f ca="1">_xlfn.IFNA(VLOOKUP($A545,INDIRECT("'W"&amp;O$1&amp;"'!$A$2:$T$1000"),4,FALSE),0)</f>
        <v>0</v>
      </c>
      <c r="P545" s="37">
        <f ca="1">_xlfn.IFNA(VLOOKUP($A545,INDIRECT("'W"&amp;P$1&amp;"'!$A$2:$T$1000"),4,FALSE),0)</f>
        <v>0</v>
      </c>
      <c r="Q545" s="37">
        <f ca="1">_xlfn.IFNA(VLOOKUP($A545,INDIRECT("'W"&amp;Q$1&amp;"'!$A$2:$T$1000"),4,FALSE),0)</f>
        <v>0</v>
      </c>
      <c r="R545" s="37">
        <f ca="1">_xlfn.IFNA(VLOOKUP($A545,INDIRECT("'W"&amp;R$1&amp;"'!$A$2:$T$1000"),4,FALSE),0)</f>
        <v>0</v>
      </c>
      <c r="S545" s="37">
        <f ca="1">_xlfn.IFNA(VLOOKUP($A545,INDIRECT("'W"&amp;S$1&amp;"'!$A$2:$T$1000"),4,FALSE),0)</f>
        <v>0</v>
      </c>
      <c r="T545" s="37">
        <f ca="1">_xlfn.IFNA(VLOOKUP($A545,INDIRECT("'W"&amp;T$1&amp;"'!$A$2:$T$1000"),4,FALSE),0)</f>
        <v>1.2</v>
      </c>
      <c r="U545" s="36">
        <f ca="1">COUNTIF(C545:T545,"&gt; 15")</f>
        <v>0</v>
      </c>
      <c r="V545" s="36">
        <f ca="1">SUM(C545:T545)</f>
        <v>3.26</v>
      </c>
      <c r="W545" s="36"/>
      <c r="X545" s="38"/>
    </row>
    <row r="546" spans="1:24" ht="12.75" x14ac:dyDescent="0.2">
      <c r="A546" s="36" t="s">
        <v>126</v>
      </c>
      <c r="B546" s="36" t="s">
        <v>75</v>
      </c>
      <c r="C546" s="37">
        <f ca="1">_xlfn.IFNA(VLOOKUP($A546,INDIRECT("'W"&amp;C$1&amp;"'!$A$2:$T$1000"),4,FALSE),0)</f>
        <v>3.2</v>
      </c>
      <c r="D546" s="37">
        <f ca="1">_xlfn.IFNA(VLOOKUP($A546,INDIRECT("'W"&amp;D$1&amp;"'!$A$2:$T$1000"),4,FALSE),0)</f>
        <v>0</v>
      </c>
      <c r="E546" s="37">
        <f ca="1">_xlfn.IFNA(VLOOKUP($A546,INDIRECT("'W"&amp;E$1&amp;"'!$A$2:$T$1000"),4,FALSE),0)</f>
        <v>0</v>
      </c>
      <c r="F546" s="37">
        <f ca="1">_xlfn.IFNA(VLOOKUP($A546,INDIRECT("'W"&amp;F$1&amp;"'!$A$2:$T$1000"),4,FALSE),0)</f>
        <v>0</v>
      </c>
      <c r="G546" s="37">
        <f ca="1">_xlfn.IFNA(VLOOKUP($A546,INDIRECT("'W"&amp;G$1&amp;"'!$A$2:$T$1000"),4,FALSE),0)</f>
        <v>0</v>
      </c>
      <c r="H546" s="37">
        <f ca="1">_xlfn.IFNA(VLOOKUP($A546,INDIRECT("'W"&amp;H$1&amp;"'!$A$2:$T$1000"),4,FALSE),0)</f>
        <v>0</v>
      </c>
      <c r="I546" s="37">
        <f ca="1">_xlfn.IFNA(VLOOKUP($A546,INDIRECT("'W"&amp;I$1&amp;"'!$A$2:$T$1000"),4,FALSE),0)</f>
        <v>0</v>
      </c>
      <c r="J546" s="37">
        <f ca="1">_xlfn.IFNA(VLOOKUP($A546,INDIRECT("'W"&amp;J$1&amp;"'!$A$2:$T$1000"),4,FALSE),0)</f>
        <v>0</v>
      </c>
      <c r="K546" s="37">
        <f ca="1">_xlfn.IFNA(VLOOKUP($A546,INDIRECT("'W"&amp;K$1&amp;"'!$A$2:$T$1000"),4,FALSE),0)</f>
        <v>0</v>
      </c>
      <c r="L546" s="37">
        <f ca="1">_xlfn.IFNA(VLOOKUP($A546,INDIRECT("'W"&amp;L$1&amp;"'!$A$2:$T$1000"),4,FALSE),0)</f>
        <v>0</v>
      </c>
      <c r="M546" s="37">
        <f ca="1">_xlfn.IFNA(VLOOKUP($A546,INDIRECT("'W"&amp;M$1&amp;"'!$A$2:$T$1000"),4,FALSE),0)</f>
        <v>0</v>
      </c>
      <c r="N546" s="37">
        <f ca="1">_xlfn.IFNA(VLOOKUP($A546,INDIRECT("'W"&amp;N$1&amp;"'!$A$2:$T$1000"),4,FALSE),0)</f>
        <v>0</v>
      </c>
      <c r="O546" s="37">
        <f ca="1">_xlfn.IFNA(VLOOKUP($A546,INDIRECT("'W"&amp;O$1&amp;"'!$A$2:$T$1000"),4,FALSE),0)</f>
        <v>0</v>
      </c>
      <c r="P546" s="37">
        <f ca="1">_xlfn.IFNA(VLOOKUP($A546,INDIRECT("'W"&amp;P$1&amp;"'!$A$2:$T$1000"),4,FALSE),0)</f>
        <v>0</v>
      </c>
      <c r="Q546" s="37">
        <f ca="1">_xlfn.IFNA(VLOOKUP($A546,INDIRECT("'W"&amp;Q$1&amp;"'!$A$2:$T$1000"),4,FALSE),0)</f>
        <v>0</v>
      </c>
      <c r="R546" s="37">
        <f ca="1">_xlfn.IFNA(VLOOKUP($A546,INDIRECT("'W"&amp;R$1&amp;"'!$A$2:$T$1000"),4,FALSE),0)</f>
        <v>0</v>
      </c>
      <c r="S546" s="37">
        <f ca="1">_xlfn.IFNA(VLOOKUP($A546,INDIRECT("'W"&amp;S$1&amp;"'!$A$2:$T$1000"),4,FALSE),0)</f>
        <v>0</v>
      </c>
      <c r="T546" s="37">
        <f ca="1">_xlfn.IFNA(VLOOKUP($A546,INDIRECT("'W"&amp;T$1&amp;"'!$A$2:$T$1000"),4,FALSE),0)</f>
        <v>0</v>
      </c>
      <c r="U546" s="36">
        <f ca="1">COUNTIF(C546:T546,"&gt; 15")</f>
        <v>0</v>
      </c>
      <c r="V546" s="36">
        <f ca="1">SUM(C546:T546)</f>
        <v>3.2</v>
      </c>
      <c r="W546" s="36"/>
      <c r="X546" s="38"/>
    </row>
    <row r="547" spans="1:24" ht="12.75" x14ac:dyDescent="0.2">
      <c r="A547" s="36" t="s">
        <v>837</v>
      </c>
      <c r="B547" s="36" t="e">
        <f ca="1">VLOOKUP(A547,CumulativePlayerList!$T$3:$U$550,2,FALSE)</f>
        <v>#NAME?</v>
      </c>
      <c r="C547" s="37">
        <f ca="1">_xlfn.IFNA(VLOOKUP($A547,INDIRECT("'W"&amp;C$1&amp;"'!$A$2:$T$1000"),4,FALSE),0)</f>
        <v>0</v>
      </c>
      <c r="D547" s="37">
        <f ca="1">_xlfn.IFNA(VLOOKUP($A547,INDIRECT("'W"&amp;D$1&amp;"'!$A$2:$T$1000"),4,FALSE),0)</f>
        <v>0</v>
      </c>
      <c r="E547" s="37">
        <f ca="1">_xlfn.IFNA(VLOOKUP($A547,INDIRECT("'W"&amp;E$1&amp;"'!$A$2:$T$1000"),4,FALSE),0)</f>
        <v>0</v>
      </c>
      <c r="F547" s="37">
        <f ca="1">_xlfn.IFNA(VLOOKUP($A547,INDIRECT("'W"&amp;F$1&amp;"'!$A$2:$T$1000"),4,FALSE),0)</f>
        <v>0</v>
      </c>
      <c r="G547" s="37">
        <f ca="1">_xlfn.IFNA(VLOOKUP($A547,INDIRECT("'W"&amp;G$1&amp;"'!$A$2:$T$1000"),4,FALSE),0)</f>
        <v>0</v>
      </c>
      <c r="H547" s="37">
        <f ca="1">_xlfn.IFNA(VLOOKUP($A547,INDIRECT("'W"&amp;H$1&amp;"'!$A$2:$T$1000"),4,FALSE),0)</f>
        <v>0</v>
      </c>
      <c r="I547" s="37">
        <f ca="1">_xlfn.IFNA(VLOOKUP($A547,INDIRECT("'W"&amp;I$1&amp;"'!$A$2:$T$1000"),4,FALSE),0)</f>
        <v>0</v>
      </c>
      <c r="J547" s="37">
        <f ca="1">_xlfn.IFNA(VLOOKUP($A547,INDIRECT("'W"&amp;J$1&amp;"'!$A$2:$T$1000"),4,FALSE),0)</f>
        <v>0</v>
      </c>
      <c r="K547" s="37">
        <f ca="1">_xlfn.IFNA(VLOOKUP($A547,INDIRECT("'W"&amp;K$1&amp;"'!$A$2:$T$1000"),4,FALSE),0)</f>
        <v>0</v>
      </c>
      <c r="L547" s="37">
        <f ca="1">_xlfn.IFNA(VLOOKUP($A547,INDIRECT("'W"&amp;L$1&amp;"'!$A$2:$T$1000"),4,FALSE),0)</f>
        <v>0</v>
      </c>
      <c r="M547" s="37">
        <f ca="1">_xlfn.IFNA(VLOOKUP($A547,INDIRECT("'W"&amp;M$1&amp;"'!$A$2:$T$1000"),4,FALSE),0)</f>
        <v>0</v>
      </c>
      <c r="N547" s="37">
        <f ca="1">_xlfn.IFNA(VLOOKUP($A547,INDIRECT("'W"&amp;N$1&amp;"'!$A$2:$T$1000"),4,FALSE),0)</f>
        <v>0</v>
      </c>
      <c r="O547" s="37">
        <f ca="1">_xlfn.IFNA(VLOOKUP($A547,INDIRECT("'W"&amp;O$1&amp;"'!$A$2:$T$1000"),4,FALSE),0)</f>
        <v>0</v>
      </c>
      <c r="P547" s="37">
        <f ca="1">_xlfn.IFNA(VLOOKUP($A547,INDIRECT("'W"&amp;P$1&amp;"'!$A$2:$T$1000"),4,FALSE),0)</f>
        <v>0</v>
      </c>
      <c r="Q547" s="37">
        <f ca="1">_xlfn.IFNA(VLOOKUP($A547,INDIRECT("'W"&amp;Q$1&amp;"'!$A$2:$T$1000"),4,FALSE),0)</f>
        <v>0</v>
      </c>
      <c r="R547" s="37">
        <f ca="1">_xlfn.IFNA(VLOOKUP($A547,INDIRECT("'W"&amp;R$1&amp;"'!$A$2:$T$1000"),4,FALSE),0)</f>
        <v>0</v>
      </c>
      <c r="S547" s="37">
        <f ca="1">_xlfn.IFNA(VLOOKUP($A547,INDIRECT("'W"&amp;S$1&amp;"'!$A$2:$T$1000"),4,FALSE),0)</f>
        <v>0</v>
      </c>
      <c r="T547" s="37">
        <f ca="1">_xlfn.IFNA(VLOOKUP($A547,INDIRECT("'W"&amp;T$1&amp;"'!$A$2:$T$1000"),4,FALSE),0)</f>
        <v>3.2</v>
      </c>
      <c r="U547" s="36">
        <f ca="1">COUNTIF(C547:T547,"&gt; 15")</f>
        <v>0</v>
      </c>
      <c r="V547" s="36">
        <f ca="1">SUM(C547:T547)</f>
        <v>3.2</v>
      </c>
      <c r="W547" s="36"/>
      <c r="X547" s="38"/>
    </row>
    <row r="548" spans="1:24" ht="12.75" x14ac:dyDescent="0.2">
      <c r="A548" s="36" t="s">
        <v>128</v>
      </c>
      <c r="B548" s="36" t="s">
        <v>75</v>
      </c>
      <c r="C548" s="37">
        <f ca="1">_xlfn.IFNA(VLOOKUP($A548,INDIRECT("'W"&amp;C$1&amp;"'!$A$2:$T$1000"),4,FALSE),0)</f>
        <v>3.1</v>
      </c>
      <c r="D548" s="37">
        <f ca="1">_xlfn.IFNA(VLOOKUP($A548,INDIRECT("'W"&amp;D$1&amp;"'!$A$2:$T$1000"),4,FALSE),0)</f>
        <v>0</v>
      </c>
      <c r="E548" s="37">
        <f ca="1">_xlfn.IFNA(VLOOKUP($A548,INDIRECT("'W"&amp;E$1&amp;"'!$A$2:$T$1000"),4,FALSE),0)</f>
        <v>0</v>
      </c>
      <c r="F548" s="37">
        <f ca="1">_xlfn.IFNA(VLOOKUP($A548,INDIRECT("'W"&amp;F$1&amp;"'!$A$2:$T$1000"),4,FALSE),0)</f>
        <v>0</v>
      </c>
      <c r="G548" s="37">
        <f ca="1">_xlfn.IFNA(VLOOKUP($A548,INDIRECT("'W"&amp;G$1&amp;"'!$A$2:$T$1000"),4,FALSE),0)</f>
        <v>0</v>
      </c>
      <c r="H548" s="37">
        <f ca="1">_xlfn.IFNA(VLOOKUP($A548,INDIRECT("'W"&amp;H$1&amp;"'!$A$2:$T$1000"),4,FALSE),0)</f>
        <v>0</v>
      </c>
      <c r="I548" s="37">
        <f ca="1">_xlfn.IFNA(VLOOKUP($A548,INDIRECT("'W"&amp;I$1&amp;"'!$A$2:$T$1000"),4,FALSE),0)</f>
        <v>0</v>
      </c>
      <c r="J548" s="37">
        <f ca="1">_xlfn.IFNA(VLOOKUP($A548,INDIRECT("'W"&amp;J$1&amp;"'!$A$2:$T$1000"),4,FALSE),0)</f>
        <v>0</v>
      </c>
      <c r="K548" s="37">
        <f ca="1">_xlfn.IFNA(VLOOKUP($A548,INDIRECT("'W"&amp;K$1&amp;"'!$A$2:$T$1000"),4,FALSE),0)</f>
        <v>0</v>
      </c>
      <c r="L548" s="37">
        <f ca="1">_xlfn.IFNA(VLOOKUP($A548,INDIRECT("'W"&amp;L$1&amp;"'!$A$2:$T$1000"),4,FALSE),0)</f>
        <v>0</v>
      </c>
      <c r="M548" s="37">
        <f ca="1">_xlfn.IFNA(VLOOKUP($A548,INDIRECT("'W"&amp;M$1&amp;"'!$A$2:$T$1000"),4,FALSE),0)</f>
        <v>0</v>
      </c>
      <c r="N548" s="37">
        <f ca="1">_xlfn.IFNA(VLOOKUP($A548,INDIRECT("'W"&amp;N$1&amp;"'!$A$2:$T$1000"),4,FALSE),0)</f>
        <v>0</v>
      </c>
      <c r="O548" s="37">
        <f ca="1">_xlfn.IFNA(VLOOKUP($A548,INDIRECT("'W"&amp;O$1&amp;"'!$A$2:$T$1000"),4,FALSE),0)</f>
        <v>0</v>
      </c>
      <c r="P548" s="37">
        <f ca="1">_xlfn.IFNA(VLOOKUP($A548,INDIRECT("'W"&amp;P$1&amp;"'!$A$2:$T$1000"),4,FALSE),0)</f>
        <v>0</v>
      </c>
      <c r="Q548" s="37">
        <f ca="1">_xlfn.IFNA(VLOOKUP($A548,INDIRECT("'W"&amp;Q$1&amp;"'!$A$2:$T$1000"),4,FALSE),0)</f>
        <v>0</v>
      </c>
      <c r="R548" s="37">
        <f ca="1">_xlfn.IFNA(VLOOKUP($A548,INDIRECT("'W"&amp;R$1&amp;"'!$A$2:$T$1000"),4,FALSE),0)</f>
        <v>0</v>
      </c>
      <c r="S548" s="37">
        <f ca="1">_xlfn.IFNA(VLOOKUP($A548,INDIRECT("'W"&amp;S$1&amp;"'!$A$2:$T$1000"),4,FALSE),0)</f>
        <v>0</v>
      </c>
      <c r="T548" s="37">
        <f ca="1">_xlfn.IFNA(VLOOKUP($A548,INDIRECT("'W"&amp;T$1&amp;"'!$A$2:$T$1000"),4,FALSE),0)</f>
        <v>0</v>
      </c>
      <c r="U548" s="36">
        <f ca="1">COUNTIF(C548:T548,"&gt; 15")</f>
        <v>0</v>
      </c>
      <c r="V548" s="36">
        <f ca="1">SUM(C548:T548)</f>
        <v>3.1</v>
      </c>
      <c r="W548" s="36"/>
      <c r="X548" s="38"/>
    </row>
    <row r="549" spans="1:24" ht="12.75" x14ac:dyDescent="0.2">
      <c r="A549" s="36" t="s">
        <v>450</v>
      </c>
      <c r="B549" s="36" t="s">
        <v>75</v>
      </c>
      <c r="C549" s="37">
        <f ca="1">_xlfn.IFNA(VLOOKUP($A549,INDIRECT("'W"&amp;C$1&amp;"'!$A$2:$T$1000"),4,FALSE),0)</f>
        <v>0</v>
      </c>
      <c r="D549" s="37">
        <f ca="1">_xlfn.IFNA(VLOOKUP($A549,INDIRECT("'W"&amp;D$1&amp;"'!$A$2:$T$1000"),4,FALSE),0)</f>
        <v>0</v>
      </c>
      <c r="E549" s="37">
        <f ca="1">_xlfn.IFNA(VLOOKUP($A549,INDIRECT("'W"&amp;E$1&amp;"'!$A$2:$T$1000"),4,FALSE),0)</f>
        <v>1.3</v>
      </c>
      <c r="F549" s="37">
        <f ca="1">_xlfn.IFNA(VLOOKUP($A549,INDIRECT("'W"&amp;F$1&amp;"'!$A$2:$T$1000"),4,FALSE),0)</f>
        <v>0</v>
      </c>
      <c r="G549" s="37">
        <f ca="1">_xlfn.IFNA(VLOOKUP($A549,INDIRECT("'W"&amp;G$1&amp;"'!$A$2:$T$1000"),4,FALSE),0)</f>
        <v>1.8</v>
      </c>
      <c r="H549" s="37">
        <f ca="1">_xlfn.IFNA(VLOOKUP($A549,INDIRECT("'W"&amp;H$1&amp;"'!$A$2:$T$1000"),4,FALSE),0)</f>
        <v>0</v>
      </c>
      <c r="I549" s="37">
        <f ca="1">_xlfn.IFNA(VLOOKUP($A549,INDIRECT("'W"&amp;I$1&amp;"'!$A$2:$T$1000"),4,FALSE),0)</f>
        <v>0</v>
      </c>
      <c r="J549" s="37">
        <f ca="1">_xlfn.IFNA(VLOOKUP($A549,INDIRECT("'W"&amp;J$1&amp;"'!$A$2:$T$1000"),4,FALSE),0)</f>
        <v>0</v>
      </c>
      <c r="K549" s="37">
        <f ca="1">_xlfn.IFNA(VLOOKUP($A549,INDIRECT("'W"&amp;K$1&amp;"'!$A$2:$T$1000"),4,FALSE),0)</f>
        <v>0</v>
      </c>
      <c r="L549" s="37">
        <f ca="1">_xlfn.IFNA(VLOOKUP($A549,INDIRECT("'W"&amp;L$1&amp;"'!$A$2:$T$1000"),4,FALSE),0)</f>
        <v>0</v>
      </c>
      <c r="M549" s="37">
        <f ca="1">_xlfn.IFNA(VLOOKUP($A549,INDIRECT("'W"&amp;M$1&amp;"'!$A$2:$T$1000"),4,FALSE),0)</f>
        <v>0</v>
      </c>
      <c r="N549" s="37">
        <f ca="1">_xlfn.IFNA(VLOOKUP($A549,INDIRECT("'W"&amp;N$1&amp;"'!$A$2:$T$1000"),4,FALSE),0)</f>
        <v>0</v>
      </c>
      <c r="O549" s="37">
        <f ca="1">_xlfn.IFNA(VLOOKUP($A549,INDIRECT("'W"&amp;O$1&amp;"'!$A$2:$T$1000"),4,FALSE),0)</f>
        <v>0</v>
      </c>
      <c r="P549" s="37">
        <f ca="1">_xlfn.IFNA(VLOOKUP($A549,INDIRECT("'W"&amp;P$1&amp;"'!$A$2:$T$1000"),4,FALSE),0)</f>
        <v>0</v>
      </c>
      <c r="Q549" s="37">
        <f ca="1">_xlfn.IFNA(VLOOKUP($A549,INDIRECT("'W"&amp;Q$1&amp;"'!$A$2:$T$1000"),4,FALSE),0)</f>
        <v>0</v>
      </c>
      <c r="R549" s="37">
        <f ca="1">_xlfn.IFNA(VLOOKUP($A549,INDIRECT("'W"&amp;R$1&amp;"'!$A$2:$T$1000"),4,FALSE),0)</f>
        <v>0</v>
      </c>
      <c r="S549" s="37">
        <f ca="1">_xlfn.IFNA(VLOOKUP($A549,INDIRECT("'W"&amp;S$1&amp;"'!$A$2:$T$1000"),4,FALSE),0)</f>
        <v>0</v>
      </c>
      <c r="T549" s="37">
        <f ca="1">_xlfn.IFNA(VLOOKUP($A549,INDIRECT("'W"&amp;T$1&amp;"'!$A$2:$T$1000"),4,FALSE),0)</f>
        <v>0</v>
      </c>
      <c r="U549" s="36">
        <f ca="1">COUNTIF(C549:T549,"&gt; 15")</f>
        <v>0</v>
      </c>
      <c r="V549" s="36">
        <f ca="1">SUM(C549:T549)</f>
        <v>3.1</v>
      </c>
      <c r="W549" s="36"/>
      <c r="X549" s="68"/>
    </row>
    <row r="550" spans="1:24" ht="12.75" x14ac:dyDescent="0.2">
      <c r="A550" s="36" t="s">
        <v>520</v>
      </c>
      <c r="B550" s="36" t="s">
        <v>69</v>
      </c>
      <c r="C550" s="37">
        <f ca="1">_xlfn.IFNA(VLOOKUP($A550,INDIRECT("'W"&amp;C$1&amp;"'!$A$2:$T$1000"),4,FALSE),0)</f>
        <v>0</v>
      </c>
      <c r="D550" s="37">
        <f ca="1">_xlfn.IFNA(VLOOKUP($A550,INDIRECT("'W"&amp;D$1&amp;"'!$A$2:$T$1000"),4,FALSE),0)</f>
        <v>0</v>
      </c>
      <c r="E550" s="37">
        <f ca="1">_xlfn.IFNA(VLOOKUP($A550,INDIRECT("'W"&amp;E$1&amp;"'!$A$2:$T$1000"),4,FALSE),0)</f>
        <v>0</v>
      </c>
      <c r="F550" s="37">
        <f ca="1">_xlfn.IFNA(VLOOKUP($A550,INDIRECT("'W"&amp;F$1&amp;"'!$A$2:$T$1000"),4,FALSE),0)</f>
        <v>0</v>
      </c>
      <c r="G550" s="37">
        <f ca="1">_xlfn.IFNA(VLOOKUP($A550,INDIRECT("'W"&amp;G$1&amp;"'!$A$2:$T$1000"),4,FALSE),0)</f>
        <v>3.1</v>
      </c>
      <c r="H550" s="37">
        <f ca="1">_xlfn.IFNA(VLOOKUP($A550,INDIRECT("'W"&amp;H$1&amp;"'!$A$2:$T$1000"),4,FALSE),0)</f>
        <v>0</v>
      </c>
      <c r="I550" s="37">
        <f ca="1">_xlfn.IFNA(VLOOKUP($A550,INDIRECT("'W"&amp;I$1&amp;"'!$A$2:$T$1000"),4,FALSE),0)</f>
        <v>0</v>
      </c>
      <c r="J550" s="37">
        <f ca="1">_xlfn.IFNA(VLOOKUP($A550,INDIRECT("'W"&amp;J$1&amp;"'!$A$2:$T$1000"),4,FALSE),0)</f>
        <v>0</v>
      </c>
      <c r="K550" s="37">
        <f ca="1">_xlfn.IFNA(VLOOKUP($A550,INDIRECT("'W"&amp;K$1&amp;"'!$A$2:$T$1000"),4,FALSE),0)</f>
        <v>0</v>
      </c>
      <c r="L550" s="37">
        <f ca="1">_xlfn.IFNA(VLOOKUP($A550,INDIRECT("'W"&amp;L$1&amp;"'!$A$2:$T$1000"),4,FALSE),0)</f>
        <v>0</v>
      </c>
      <c r="M550" s="37">
        <f ca="1">_xlfn.IFNA(VLOOKUP($A550,INDIRECT("'W"&amp;M$1&amp;"'!$A$2:$T$1000"),4,FALSE),0)</f>
        <v>0</v>
      </c>
      <c r="N550" s="37">
        <f ca="1">_xlfn.IFNA(VLOOKUP($A550,INDIRECT("'W"&amp;N$1&amp;"'!$A$2:$T$1000"),4,FALSE),0)</f>
        <v>0</v>
      </c>
      <c r="O550" s="37">
        <f ca="1">_xlfn.IFNA(VLOOKUP($A550,INDIRECT("'W"&amp;O$1&amp;"'!$A$2:$T$1000"),4,FALSE),0)</f>
        <v>0</v>
      </c>
      <c r="P550" s="37">
        <f ca="1">_xlfn.IFNA(VLOOKUP($A550,INDIRECT("'W"&amp;P$1&amp;"'!$A$2:$T$1000"),4,FALSE),0)</f>
        <v>0</v>
      </c>
      <c r="Q550" s="37">
        <f ca="1">_xlfn.IFNA(VLOOKUP($A550,INDIRECT("'W"&amp;Q$1&amp;"'!$A$2:$T$1000"),4,FALSE),0)</f>
        <v>0</v>
      </c>
      <c r="R550" s="37">
        <f ca="1">_xlfn.IFNA(VLOOKUP($A550,INDIRECT("'W"&amp;R$1&amp;"'!$A$2:$T$1000"),4,FALSE),0)</f>
        <v>0</v>
      </c>
      <c r="S550" s="37">
        <f ca="1">_xlfn.IFNA(VLOOKUP($A550,INDIRECT("'W"&amp;S$1&amp;"'!$A$2:$T$1000"),4,FALSE),0)</f>
        <v>0</v>
      </c>
      <c r="T550" s="37">
        <f ca="1">_xlfn.IFNA(VLOOKUP($A550,INDIRECT("'W"&amp;T$1&amp;"'!$A$2:$T$1000"),4,FALSE),0)</f>
        <v>0</v>
      </c>
      <c r="U550" s="36">
        <f ca="1">COUNTIF(C550:T550,"&gt; 15")</f>
        <v>0</v>
      </c>
      <c r="V550" s="36">
        <f ca="1">SUM(C550:T550)</f>
        <v>3.1</v>
      </c>
      <c r="W550" s="36"/>
      <c r="X550" s="68"/>
    </row>
    <row r="551" spans="1:24" ht="12.75" x14ac:dyDescent="0.2">
      <c r="A551" s="36" t="s">
        <v>436</v>
      </c>
      <c r="B551" s="36" t="s">
        <v>75</v>
      </c>
      <c r="C551" s="37">
        <f ca="1">_xlfn.IFNA(VLOOKUP($A551,INDIRECT("'W"&amp;C$1&amp;"'!$A$2:$T$1000"),4,FALSE),0)</f>
        <v>0</v>
      </c>
      <c r="D551" s="37">
        <f ca="1">_xlfn.IFNA(VLOOKUP($A551,INDIRECT("'W"&amp;D$1&amp;"'!$A$2:$T$1000"),4,FALSE),0)</f>
        <v>0</v>
      </c>
      <c r="E551" s="37">
        <f ca="1">_xlfn.IFNA(VLOOKUP($A551,INDIRECT("'W"&amp;E$1&amp;"'!$A$2:$T$1000"),4,FALSE),0)</f>
        <v>3.0999999999999996</v>
      </c>
      <c r="F551" s="37">
        <f ca="1">_xlfn.IFNA(VLOOKUP($A551,INDIRECT("'W"&amp;F$1&amp;"'!$A$2:$T$1000"),4,FALSE),0)</f>
        <v>0</v>
      </c>
      <c r="G551" s="37">
        <f ca="1">_xlfn.IFNA(VLOOKUP($A551,INDIRECT("'W"&amp;G$1&amp;"'!$A$2:$T$1000"),4,FALSE),0)</f>
        <v>0</v>
      </c>
      <c r="H551" s="37">
        <f ca="1">_xlfn.IFNA(VLOOKUP($A551,INDIRECT("'W"&amp;H$1&amp;"'!$A$2:$T$1000"),4,FALSE),0)</f>
        <v>0</v>
      </c>
      <c r="I551" s="37">
        <f ca="1">_xlfn.IFNA(VLOOKUP($A551,INDIRECT("'W"&amp;I$1&amp;"'!$A$2:$T$1000"),4,FALSE),0)</f>
        <v>0</v>
      </c>
      <c r="J551" s="37">
        <f ca="1">_xlfn.IFNA(VLOOKUP($A551,INDIRECT("'W"&amp;J$1&amp;"'!$A$2:$T$1000"),4,FALSE),0)</f>
        <v>0</v>
      </c>
      <c r="K551" s="37">
        <f ca="1">_xlfn.IFNA(VLOOKUP($A551,INDIRECT("'W"&amp;K$1&amp;"'!$A$2:$T$1000"),4,FALSE),0)</f>
        <v>0</v>
      </c>
      <c r="L551" s="37">
        <f ca="1">_xlfn.IFNA(VLOOKUP($A551,INDIRECT("'W"&amp;L$1&amp;"'!$A$2:$T$1000"),4,FALSE),0)</f>
        <v>0</v>
      </c>
      <c r="M551" s="37">
        <f ca="1">_xlfn.IFNA(VLOOKUP($A551,INDIRECT("'W"&amp;M$1&amp;"'!$A$2:$T$1000"),4,FALSE),0)</f>
        <v>0</v>
      </c>
      <c r="N551" s="37">
        <f ca="1">_xlfn.IFNA(VLOOKUP($A551,INDIRECT("'W"&amp;N$1&amp;"'!$A$2:$T$1000"),4,FALSE),0)</f>
        <v>0</v>
      </c>
      <c r="O551" s="37">
        <f ca="1">_xlfn.IFNA(VLOOKUP($A551,INDIRECT("'W"&amp;O$1&amp;"'!$A$2:$T$1000"),4,FALSE),0)</f>
        <v>0</v>
      </c>
      <c r="P551" s="37">
        <f ca="1">_xlfn.IFNA(VLOOKUP($A551,INDIRECT("'W"&amp;P$1&amp;"'!$A$2:$T$1000"),4,FALSE),0)</f>
        <v>0</v>
      </c>
      <c r="Q551" s="37">
        <f ca="1">_xlfn.IFNA(VLOOKUP($A551,INDIRECT("'W"&amp;Q$1&amp;"'!$A$2:$T$1000"),4,FALSE),0)</f>
        <v>0</v>
      </c>
      <c r="R551" s="37">
        <f ca="1">_xlfn.IFNA(VLOOKUP($A551,INDIRECT("'W"&amp;R$1&amp;"'!$A$2:$T$1000"),4,FALSE),0)</f>
        <v>0</v>
      </c>
      <c r="S551" s="37">
        <f ca="1">_xlfn.IFNA(VLOOKUP($A551,INDIRECT("'W"&amp;S$1&amp;"'!$A$2:$T$1000"),4,FALSE),0)</f>
        <v>0</v>
      </c>
      <c r="T551" s="37">
        <f ca="1">_xlfn.IFNA(VLOOKUP($A551,INDIRECT("'W"&amp;T$1&amp;"'!$A$2:$T$1000"),4,FALSE),0)</f>
        <v>0</v>
      </c>
      <c r="U551" s="36">
        <f ca="1">COUNTIF(C551:T551,"&gt; 15")</f>
        <v>0</v>
      </c>
      <c r="V551" s="36">
        <f ca="1">SUM(C551:T551)</f>
        <v>3.0999999999999996</v>
      </c>
      <c r="W551" s="36"/>
      <c r="X551" s="68"/>
    </row>
    <row r="552" spans="1:24" ht="12.75" x14ac:dyDescent="0.2">
      <c r="A552" s="36" t="s">
        <v>550</v>
      </c>
      <c r="B552" s="36" t="s">
        <v>17</v>
      </c>
      <c r="C552" s="37">
        <f ca="1">_xlfn.IFNA(VLOOKUP($A552,INDIRECT("'W"&amp;C$1&amp;"'!$A$2:$T$1000"),4,FALSE),0)</f>
        <v>0</v>
      </c>
      <c r="D552" s="37">
        <f ca="1">_xlfn.IFNA(VLOOKUP($A552,INDIRECT("'W"&amp;D$1&amp;"'!$A$2:$T$1000"),4,FALSE),0)</f>
        <v>0</v>
      </c>
      <c r="E552" s="37">
        <f ca="1">_xlfn.IFNA(VLOOKUP($A552,INDIRECT("'W"&amp;E$1&amp;"'!$A$2:$T$1000"),4,FALSE),0)</f>
        <v>0</v>
      </c>
      <c r="F552" s="37">
        <f ca="1">_xlfn.IFNA(VLOOKUP($A552,INDIRECT("'W"&amp;F$1&amp;"'!$A$2:$T$1000"),4,FALSE),0)</f>
        <v>0</v>
      </c>
      <c r="G552" s="37">
        <f ca="1">_xlfn.IFNA(VLOOKUP($A552,INDIRECT("'W"&amp;G$1&amp;"'!$A$2:$T$1000"),4,FALSE),0)</f>
        <v>0</v>
      </c>
      <c r="H552" s="37">
        <f ca="1">_xlfn.IFNA(VLOOKUP($A552,INDIRECT("'W"&amp;H$1&amp;"'!$A$2:$T$1000"),4,FALSE),0)</f>
        <v>4.66</v>
      </c>
      <c r="I552" s="37">
        <f ca="1">_xlfn.IFNA(VLOOKUP($A552,INDIRECT("'W"&amp;I$1&amp;"'!$A$2:$T$1000"),4,FALSE),0)</f>
        <v>0</v>
      </c>
      <c r="J552" s="37">
        <f ca="1">_xlfn.IFNA(VLOOKUP($A552,INDIRECT("'W"&amp;J$1&amp;"'!$A$2:$T$1000"),4,FALSE),0)</f>
        <v>-1.6</v>
      </c>
      <c r="K552" s="37">
        <f ca="1">_xlfn.IFNA(VLOOKUP($A552,INDIRECT("'W"&amp;K$1&amp;"'!$A$2:$T$1000"),4,FALSE),0)</f>
        <v>0</v>
      </c>
      <c r="L552" s="37">
        <f ca="1">_xlfn.IFNA(VLOOKUP($A552,INDIRECT("'W"&amp;L$1&amp;"'!$A$2:$T$1000"),4,FALSE),0)</f>
        <v>0</v>
      </c>
      <c r="M552" s="37">
        <f ca="1">_xlfn.IFNA(VLOOKUP($A552,INDIRECT("'W"&amp;M$1&amp;"'!$A$2:$T$1000"),4,FALSE),0)</f>
        <v>0</v>
      </c>
      <c r="N552" s="37">
        <f ca="1">_xlfn.IFNA(VLOOKUP($A552,INDIRECT("'W"&amp;N$1&amp;"'!$A$2:$T$1000"),4,FALSE),0)</f>
        <v>0</v>
      </c>
      <c r="O552" s="37">
        <f ca="1">_xlfn.IFNA(VLOOKUP($A552,INDIRECT("'W"&amp;O$1&amp;"'!$A$2:$T$1000"),4,FALSE),0)</f>
        <v>0</v>
      </c>
      <c r="P552" s="37">
        <f ca="1">_xlfn.IFNA(VLOOKUP($A552,INDIRECT("'W"&amp;P$1&amp;"'!$A$2:$T$1000"),4,FALSE),0)</f>
        <v>0</v>
      </c>
      <c r="Q552" s="37">
        <f ca="1">_xlfn.IFNA(VLOOKUP($A552,INDIRECT("'W"&amp;Q$1&amp;"'!$A$2:$T$1000"),4,FALSE),0)</f>
        <v>0</v>
      </c>
      <c r="R552" s="37">
        <f ca="1">_xlfn.IFNA(VLOOKUP($A552,INDIRECT("'W"&amp;R$1&amp;"'!$A$2:$T$1000"),4,FALSE),0)</f>
        <v>0</v>
      </c>
      <c r="S552" s="37">
        <f ca="1">_xlfn.IFNA(VLOOKUP($A552,INDIRECT("'W"&amp;S$1&amp;"'!$A$2:$T$1000"),4,FALSE),0)</f>
        <v>0</v>
      </c>
      <c r="T552" s="37">
        <f ca="1">_xlfn.IFNA(VLOOKUP($A552,INDIRECT("'W"&amp;T$1&amp;"'!$A$2:$T$1000"),4,FALSE),0)</f>
        <v>0</v>
      </c>
      <c r="U552" s="36">
        <f ca="1">COUNTIF(C552:T552,"&gt; 15")</f>
        <v>0</v>
      </c>
      <c r="V552" s="36">
        <f ca="1">SUM(C552:T552)</f>
        <v>3.06</v>
      </c>
      <c r="W552" s="36"/>
      <c r="X552" s="68"/>
    </row>
    <row r="553" spans="1:24" ht="12.75" x14ac:dyDescent="0.2">
      <c r="A553" s="36" t="s">
        <v>675</v>
      </c>
      <c r="B553" s="36" t="s">
        <v>75</v>
      </c>
      <c r="C553" s="37">
        <f ca="1">_xlfn.IFNA(VLOOKUP($A553,INDIRECT("'W"&amp;C$1&amp;"'!$A$2:$T$1000"),4,FALSE),0)</f>
        <v>0</v>
      </c>
      <c r="D553" s="37">
        <f ca="1">_xlfn.IFNA(VLOOKUP($A553,INDIRECT("'W"&amp;D$1&amp;"'!$A$2:$T$1000"),4,FALSE),0)</f>
        <v>0</v>
      </c>
      <c r="E553" s="37">
        <f ca="1">_xlfn.IFNA(VLOOKUP($A553,INDIRECT("'W"&amp;E$1&amp;"'!$A$2:$T$1000"),4,FALSE),0)</f>
        <v>0</v>
      </c>
      <c r="F553" s="37">
        <f ca="1">_xlfn.IFNA(VLOOKUP($A553,INDIRECT("'W"&amp;F$1&amp;"'!$A$2:$T$1000"),4,FALSE),0)</f>
        <v>0</v>
      </c>
      <c r="G553" s="37">
        <f ca="1">_xlfn.IFNA(VLOOKUP($A553,INDIRECT("'W"&amp;G$1&amp;"'!$A$2:$T$1000"),4,FALSE),0)</f>
        <v>0</v>
      </c>
      <c r="H553" s="37">
        <f ca="1">_xlfn.IFNA(VLOOKUP($A553,INDIRECT("'W"&amp;H$1&amp;"'!$A$2:$T$1000"),4,FALSE),0)</f>
        <v>0</v>
      </c>
      <c r="I553" s="37">
        <f ca="1">_xlfn.IFNA(VLOOKUP($A553,INDIRECT("'W"&amp;I$1&amp;"'!$A$2:$T$1000"),4,FALSE),0)</f>
        <v>0</v>
      </c>
      <c r="J553" s="37">
        <f ca="1">_xlfn.IFNA(VLOOKUP($A553,INDIRECT("'W"&amp;J$1&amp;"'!$A$2:$T$1000"),4,FALSE),0)</f>
        <v>0</v>
      </c>
      <c r="K553" s="37">
        <f ca="1">_xlfn.IFNA(VLOOKUP($A553,INDIRECT("'W"&amp;K$1&amp;"'!$A$2:$T$1000"),4,FALSE),0)</f>
        <v>0</v>
      </c>
      <c r="L553" s="37">
        <f ca="1">_xlfn.IFNA(VLOOKUP($A553,INDIRECT("'W"&amp;L$1&amp;"'!$A$2:$T$1000"),4,FALSE),0)</f>
        <v>0</v>
      </c>
      <c r="M553" s="37">
        <f ca="1">_xlfn.IFNA(VLOOKUP($A553,INDIRECT("'W"&amp;M$1&amp;"'!$A$2:$T$1000"),4,FALSE),0)</f>
        <v>2.3000000000000003</v>
      </c>
      <c r="N553" s="37">
        <f ca="1">_xlfn.IFNA(VLOOKUP($A553,INDIRECT("'W"&amp;N$1&amp;"'!$A$2:$T$1000"),4,FALSE),0)</f>
        <v>0</v>
      </c>
      <c r="O553" s="37">
        <f ca="1">_xlfn.IFNA(VLOOKUP($A553,INDIRECT("'W"&amp;O$1&amp;"'!$A$2:$T$1000"),4,FALSE),0)</f>
        <v>0</v>
      </c>
      <c r="P553" s="37">
        <f ca="1">_xlfn.IFNA(VLOOKUP($A553,INDIRECT("'W"&amp;P$1&amp;"'!$A$2:$T$1000"),4,FALSE),0)</f>
        <v>0</v>
      </c>
      <c r="Q553" s="37">
        <f ca="1">_xlfn.IFNA(VLOOKUP($A553,INDIRECT("'W"&amp;Q$1&amp;"'!$A$2:$T$1000"),4,FALSE),0)</f>
        <v>0</v>
      </c>
      <c r="R553" s="37">
        <f ca="1">_xlfn.IFNA(VLOOKUP($A553,INDIRECT("'W"&amp;R$1&amp;"'!$A$2:$T$1000"),4,FALSE),0)</f>
        <v>0</v>
      </c>
      <c r="S553" s="37">
        <f ca="1">_xlfn.IFNA(VLOOKUP($A553,INDIRECT("'W"&amp;S$1&amp;"'!$A$2:$T$1000"),4,FALSE),0)</f>
        <v>0</v>
      </c>
      <c r="T553" s="37">
        <f ca="1">_xlfn.IFNA(VLOOKUP($A553,INDIRECT("'W"&amp;T$1&amp;"'!$A$2:$T$1000"),4,FALSE),0)</f>
        <v>0.30000000000000004</v>
      </c>
      <c r="U553" s="36">
        <f ca="1">COUNTIF(C553:T553,"&gt; 15")</f>
        <v>0</v>
      </c>
      <c r="V553" s="36">
        <f ca="1">SUM(C553:T553)</f>
        <v>2.6000000000000005</v>
      </c>
      <c r="W553" s="36"/>
      <c r="X553" s="68"/>
    </row>
    <row r="554" spans="1:24" ht="12.75" x14ac:dyDescent="0.2">
      <c r="A554" s="36" t="s">
        <v>835</v>
      </c>
      <c r="B554" s="36" t="e">
        <f ca="1">VLOOKUP(A554,CumulativePlayerList!$T$3:$U$550,2,FALSE)</f>
        <v>#NAME?</v>
      </c>
      <c r="C554" s="37">
        <f ca="1">_xlfn.IFNA(VLOOKUP($A554,INDIRECT("'W"&amp;C$1&amp;"'!$A$2:$T$1000"),4,FALSE),0)</f>
        <v>0</v>
      </c>
      <c r="D554" s="37">
        <f ca="1">_xlfn.IFNA(VLOOKUP($A554,INDIRECT("'W"&amp;D$1&amp;"'!$A$2:$T$1000"),4,FALSE),0)</f>
        <v>0</v>
      </c>
      <c r="E554" s="37">
        <f ca="1">_xlfn.IFNA(VLOOKUP($A554,INDIRECT("'W"&amp;E$1&amp;"'!$A$2:$T$1000"),4,FALSE),0)</f>
        <v>0</v>
      </c>
      <c r="F554" s="37">
        <f ca="1">_xlfn.IFNA(VLOOKUP($A554,INDIRECT("'W"&amp;F$1&amp;"'!$A$2:$T$1000"),4,FALSE),0)</f>
        <v>0</v>
      </c>
      <c r="G554" s="37">
        <f ca="1">_xlfn.IFNA(VLOOKUP($A554,INDIRECT("'W"&amp;G$1&amp;"'!$A$2:$T$1000"),4,FALSE),0)</f>
        <v>0</v>
      </c>
      <c r="H554" s="37">
        <f ca="1">_xlfn.IFNA(VLOOKUP($A554,INDIRECT("'W"&amp;H$1&amp;"'!$A$2:$T$1000"),4,FALSE),0)</f>
        <v>0</v>
      </c>
      <c r="I554" s="37">
        <f ca="1">_xlfn.IFNA(VLOOKUP($A554,INDIRECT("'W"&amp;I$1&amp;"'!$A$2:$T$1000"),4,FALSE),0)</f>
        <v>0</v>
      </c>
      <c r="J554" s="37">
        <f ca="1">_xlfn.IFNA(VLOOKUP($A554,INDIRECT("'W"&amp;J$1&amp;"'!$A$2:$T$1000"),4,FALSE),0)</f>
        <v>0</v>
      </c>
      <c r="K554" s="37">
        <f ca="1">_xlfn.IFNA(VLOOKUP($A554,INDIRECT("'W"&amp;K$1&amp;"'!$A$2:$T$1000"),4,FALSE),0)</f>
        <v>0</v>
      </c>
      <c r="L554" s="37">
        <f ca="1">_xlfn.IFNA(VLOOKUP($A554,INDIRECT("'W"&amp;L$1&amp;"'!$A$2:$T$1000"),4,FALSE),0)</f>
        <v>0</v>
      </c>
      <c r="M554" s="37">
        <f ca="1">_xlfn.IFNA(VLOOKUP($A554,INDIRECT("'W"&amp;M$1&amp;"'!$A$2:$T$1000"),4,FALSE),0)</f>
        <v>0</v>
      </c>
      <c r="N554" s="37">
        <f ca="1">_xlfn.IFNA(VLOOKUP($A554,INDIRECT("'W"&amp;N$1&amp;"'!$A$2:$T$1000"),4,FALSE),0)</f>
        <v>0</v>
      </c>
      <c r="O554" s="37">
        <f ca="1">_xlfn.IFNA(VLOOKUP($A554,INDIRECT("'W"&amp;O$1&amp;"'!$A$2:$T$1000"),4,FALSE),0)</f>
        <v>0</v>
      </c>
      <c r="P554" s="37">
        <f ca="1">_xlfn.IFNA(VLOOKUP($A554,INDIRECT("'W"&amp;P$1&amp;"'!$A$2:$T$1000"),4,FALSE),0)</f>
        <v>0</v>
      </c>
      <c r="Q554" s="37">
        <f ca="1">_xlfn.IFNA(VLOOKUP($A554,INDIRECT("'W"&amp;Q$1&amp;"'!$A$2:$T$1000"),4,FALSE),0)</f>
        <v>0</v>
      </c>
      <c r="R554" s="37">
        <f ca="1">_xlfn.IFNA(VLOOKUP($A554,INDIRECT("'W"&amp;R$1&amp;"'!$A$2:$T$1000"),4,FALSE),0)</f>
        <v>0</v>
      </c>
      <c r="S554" s="37">
        <f ca="1">_xlfn.IFNA(VLOOKUP($A554,INDIRECT("'W"&amp;S$1&amp;"'!$A$2:$T$1000"),4,FALSE),0)</f>
        <v>0</v>
      </c>
      <c r="T554" s="37">
        <f ca="1">_xlfn.IFNA(VLOOKUP($A554,INDIRECT("'W"&amp;T$1&amp;"'!$A$2:$T$1000"),4,FALSE),0)</f>
        <v>2.6</v>
      </c>
      <c r="U554" s="36">
        <f ca="1">COUNTIF(C554:T554,"&gt; 15")</f>
        <v>0</v>
      </c>
      <c r="V554" s="36">
        <f ca="1">SUM(C554:T554)</f>
        <v>2.6</v>
      </c>
      <c r="W554" s="36"/>
      <c r="X554" s="39"/>
    </row>
    <row r="555" spans="1:24" ht="12.75" x14ac:dyDescent="0.2">
      <c r="A555" s="36" t="s">
        <v>499</v>
      </c>
      <c r="B555" s="36" t="s">
        <v>75</v>
      </c>
      <c r="C555" s="37">
        <f ca="1">_xlfn.IFNA(VLOOKUP($A555,INDIRECT("'W"&amp;C$1&amp;"'!$A$2:$T$1000"),4,FALSE),0)</f>
        <v>0</v>
      </c>
      <c r="D555" s="37">
        <f ca="1">_xlfn.IFNA(VLOOKUP($A555,INDIRECT("'W"&amp;D$1&amp;"'!$A$2:$T$1000"),4,FALSE),0)</f>
        <v>0</v>
      </c>
      <c r="E555" s="37">
        <f ca="1">_xlfn.IFNA(VLOOKUP($A555,INDIRECT("'W"&amp;E$1&amp;"'!$A$2:$T$1000"),4,FALSE),0)</f>
        <v>0</v>
      </c>
      <c r="F555" s="37">
        <f ca="1">_xlfn.IFNA(VLOOKUP($A555,INDIRECT("'W"&amp;F$1&amp;"'!$A$2:$T$1000"),4,FALSE),0)</f>
        <v>0</v>
      </c>
      <c r="G555" s="37">
        <f ca="1">_xlfn.IFNA(VLOOKUP($A555,INDIRECT("'W"&amp;G$1&amp;"'!$A$2:$T$1000"),4,FALSE),0)</f>
        <v>0</v>
      </c>
      <c r="H555" s="37">
        <f ca="1">_xlfn.IFNA(VLOOKUP($A555,INDIRECT("'W"&amp;H$1&amp;"'!$A$2:$T$1000"),4,FALSE),0)</f>
        <v>0</v>
      </c>
      <c r="I555" s="37">
        <f ca="1">_xlfn.IFNA(VLOOKUP($A555,INDIRECT("'W"&amp;I$1&amp;"'!$A$2:$T$1000"),4,FALSE),0)</f>
        <v>0</v>
      </c>
      <c r="J555" s="37">
        <f ca="1">_xlfn.IFNA(VLOOKUP($A555,INDIRECT("'W"&amp;J$1&amp;"'!$A$2:$T$1000"),4,FALSE),0)</f>
        <v>0</v>
      </c>
      <c r="K555" s="37">
        <f ca="1">_xlfn.IFNA(VLOOKUP($A555,INDIRECT("'W"&amp;K$1&amp;"'!$A$2:$T$1000"),4,FALSE),0)</f>
        <v>0</v>
      </c>
      <c r="L555" s="37">
        <f ca="1">_xlfn.IFNA(VLOOKUP($A555,INDIRECT("'W"&amp;L$1&amp;"'!$A$2:$T$1000"),4,FALSE),0)</f>
        <v>0</v>
      </c>
      <c r="M555" s="37">
        <f ca="1">_xlfn.IFNA(VLOOKUP($A555,INDIRECT("'W"&amp;M$1&amp;"'!$A$2:$T$1000"),4,FALSE),0)</f>
        <v>0</v>
      </c>
      <c r="N555" s="37">
        <f ca="1">_xlfn.IFNA(VLOOKUP($A555,INDIRECT("'W"&amp;N$1&amp;"'!$A$2:$T$1000"),4,FALSE),0)</f>
        <v>0</v>
      </c>
      <c r="O555" s="37">
        <f ca="1">_xlfn.IFNA(VLOOKUP($A555,INDIRECT("'W"&amp;O$1&amp;"'!$A$2:$T$1000"),4,FALSE),0)</f>
        <v>0</v>
      </c>
      <c r="P555" s="37">
        <f ca="1">_xlfn.IFNA(VLOOKUP($A555,INDIRECT("'W"&amp;P$1&amp;"'!$A$2:$T$1000"),4,FALSE),0)</f>
        <v>0</v>
      </c>
      <c r="Q555" s="37">
        <f ca="1">_xlfn.IFNA(VLOOKUP($A555,INDIRECT("'W"&amp;Q$1&amp;"'!$A$2:$T$1000"),4,FALSE),0)</f>
        <v>0</v>
      </c>
      <c r="R555" s="37">
        <f ca="1">_xlfn.IFNA(VLOOKUP($A555,INDIRECT("'W"&amp;R$1&amp;"'!$A$2:$T$1000"),4,FALSE),0)</f>
        <v>0</v>
      </c>
      <c r="S555" s="37">
        <f ca="1">_xlfn.IFNA(VLOOKUP($A555,INDIRECT("'W"&amp;S$1&amp;"'!$A$2:$T$1000"),4,FALSE),0)</f>
        <v>2.4000000000000004</v>
      </c>
      <c r="T555" s="37">
        <f ca="1">_xlfn.IFNA(VLOOKUP($A555,INDIRECT("'W"&amp;T$1&amp;"'!$A$2:$T$1000"),4,FALSE),0)</f>
        <v>0</v>
      </c>
      <c r="U555" s="36">
        <f ca="1">COUNTIF(C555:T555,"&gt; 15")</f>
        <v>0</v>
      </c>
      <c r="V555" s="36">
        <f ca="1">SUM(C555:T555)</f>
        <v>2.4000000000000004</v>
      </c>
      <c r="W555" s="36"/>
      <c r="X555" s="68"/>
    </row>
    <row r="556" spans="1:24" ht="12.75" x14ac:dyDescent="0.2">
      <c r="A556" s="36" t="s">
        <v>555</v>
      </c>
      <c r="B556" s="36" t="s">
        <v>75</v>
      </c>
      <c r="C556" s="37">
        <f ca="1">_xlfn.IFNA(VLOOKUP($A556,INDIRECT("'W"&amp;C$1&amp;"'!$A$2:$T$1000"),4,FALSE),0)</f>
        <v>0</v>
      </c>
      <c r="D556" s="37">
        <f ca="1">_xlfn.IFNA(VLOOKUP($A556,INDIRECT("'W"&amp;D$1&amp;"'!$A$2:$T$1000"),4,FALSE),0)</f>
        <v>0</v>
      </c>
      <c r="E556" s="37">
        <f ca="1">_xlfn.IFNA(VLOOKUP($A556,INDIRECT("'W"&amp;E$1&amp;"'!$A$2:$T$1000"),4,FALSE),0)</f>
        <v>0</v>
      </c>
      <c r="F556" s="37">
        <f ca="1">_xlfn.IFNA(VLOOKUP($A556,INDIRECT("'W"&amp;F$1&amp;"'!$A$2:$T$1000"),4,FALSE),0)</f>
        <v>0</v>
      </c>
      <c r="G556" s="37">
        <f ca="1">_xlfn.IFNA(VLOOKUP($A556,INDIRECT("'W"&amp;G$1&amp;"'!$A$2:$T$1000"),4,FALSE),0)</f>
        <v>0</v>
      </c>
      <c r="H556" s="37">
        <f ca="1">_xlfn.IFNA(VLOOKUP($A556,INDIRECT("'W"&amp;H$1&amp;"'!$A$2:$T$1000"),4,FALSE),0)</f>
        <v>2.2999999999999998</v>
      </c>
      <c r="I556" s="37">
        <f ca="1">_xlfn.IFNA(VLOOKUP($A556,INDIRECT("'W"&amp;I$1&amp;"'!$A$2:$T$1000"),4,FALSE),0)</f>
        <v>0</v>
      </c>
      <c r="J556" s="37">
        <f ca="1">_xlfn.IFNA(VLOOKUP($A556,INDIRECT("'W"&amp;J$1&amp;"'!$A$2:$T$1000"),4,FALSE),0)</f>
        <v>0</v>
      </c>
      <c r="K556" s="37">
        <f ca="1">_xlfn.IFNA(VLOOKUP($A556,INDIRECT("'W"&amp;K$1&amp;"'!$A$2:$T$1000"),4,FALSE),0)</f>
        <v>0</v>
      </c>
      <c r="L556" s="37">
        <f ca="1">_xlfn.IFNA(VLOOKUP($A556,INDIRECT("'W"&amp;L$1&amp;"'!$A$2:$T$1000"),4,FALSE),0)</f>
        <v>0</v>
      </c>
      <c r="M556" s="37">
        <f ca="1">_xlfn.IFNA(VLOOKUP($A556,INDIRECT("'W"&amp;M$1&amp;"'!$A$2:$T$1000"),4,FALSE),0)</f>
        <v>0</v>
      </c>
      <c r="N556" s="37">
        <f ca="1">_xlfn.IFNA(VLOOKUP($A556,INDIRECT("'W"&amp;N$1&amp;"'!$A$2:$T$1000"),4,FALSE),0)</f>
        <v>0</v>
      </c>
      <c r="O556" s="37">
        <f ca="1">_xlfn.IFNA(VLOOKUP($A556,INDIRECT("'W"&amp;O$1&amp;"'!$A$2:$T$1000"),4,FALSE),0)</f>
        <v>0</v>
      </c>
      <c r="P556" s="37">
        <f ca="1">_xlfn.IFNA(VLOOKUP($A556,INDIRECT("'W"&amp;P$1&amp;"'!$A$2:$T$1000"),4,FALSE),0)</f>
        <v>0</v>
      </c>
      <c r="Q556" s="37">
        <f ca="1">_xlfn.IFNA(VLOOKUP($A556,INDIRECT("'W"&amp;Q$1&amp;"'!$A$2:$T$1000"),4,FALSE),0)</f>
        <v>0</v>
      </c>
      <c r="R556" s="37">
        <f ca="1">_xlfn.IFNA(VLOOKUP($A556,INDIRECT("'W"&amp;R$1&amp;"'!$A$2:$T$1000"),4,FALSE),0)</f>
        <v>0</v>
      </c>
      <c r="S556" s="37">
        <f ca="1">_xlfn.IFNA(VLOOKUP($A556,INDIRECT("'W"&amp;S$1&amp;"'!$A$2:$T$1000"),4,FALSE),0)</f>
        <v>0</v>
      </c>
      <c r="T556" s="37">
        <f ca="1">_xlfn.IFNA(VLOOKUP($A556,INDIRECT("'W"&amp;T$1&amp;"'!$A$2:$T$1000"),4,FALSE),0)</f>
        <v>0</v>
      </c>
      <c r="U556" s="36">
        <f ca="1">COUNTIF(C556:T556,"&gt; 15")</f>
        <v>0</v>
      </c>
      <c r="V556" s="36">
        <f ca="1">SUM(C556:T556)</f>
        <v>2.2999999999999998</v>
      </c>
      <c r="W556" s="36"/>
      <c r="X556" s="68"/>
    </row>
    <row r="557" spans="1:24" ht="12.75" x14ac:dyDescent="0.2">
      <c r="A557" s="36" t="s">
        <v>489</v>
      </c>
      <c r="B557" s="36" t="s">
        <v>75</v>
      </c>
      <c r="C557" s="37">
        <f ca="1">_xlfn.IFNA(VLOOKUP($A557,INDIRECT("'W"&amp;C$1&amp;"'!$A$2:$T$1000"),4,FALSE),0)</f>
        <v>0</v>
      </c>
      <c r="D557" s="37">
        <f ca="1">_xlfn.IFNA(VLOOKUP($A557,INDIRECT("'W"&amp;D$1&amp;"'!$A$2:$T$1000"),4,FALSE),0)</f>
        <v>0</v>
      </c>
      <c r="E557" s="37">
        <f ca="1">_xlfn.IFNA(VLOOKUP($A557,INDIRECT("'W"&amp;E$1&amp;"'!$A$2:$T$1000"),4,FALSE),0)</f>
        <v>0</v>
      </c>
      <c r="F557" s="37">
        <f ca="1">_xlfn.IFNA(VLOOKUP($A557,INDIRECT("'W"&amp;F$1&amp;"'!$A$2:$T$1000"),4,FALSE),0)</f>
        <v>2.2000000000000002</v>
      </c>
      <c r="G557" s="37">
        <f ca="1">_xlfn.IFNA(VLOOKUP($A557,INDIRECT("'W"&amp;G$1&amp;"'!$A$2:$T$1000"),4,FALSE),0)</f>
        <v>0</v>
      </c>
      <c r="H557" s="37">
        <f ca="1">_xlfn.IFNA(VLOOKUP($A557,INDIRECT("'W"&amp;H$1&amp;"'!$A$2:$T$1000"),4,FALSE),0)</f>
        <v>0</v>
      </c>
      <c r="I557" s="37">
        <f ca="1">_xlfn.IFNA(VLOOKUP($A557,INDIRECT("'W"&amp;I$1&amp;"'!$A$2:$T$1000"),4,FALSE),0)</f>
        <v>0</v>
      </c>
      <c r="J557" s="37">
        <f ca="1">_xlfn.IFNA(VLOOKUP($A557,INDIRECT("'W"&amp;J$1&amp;"'!$A$2:$T$1000"),4,FALSE),0)</f>
        <v>0</v>
      </c>
      <c r="K557" s="37">
        <f ca="1">_xlfn.IFNA(VLOOKUP($A557,INDIRECT("'W"&amp;K$1&amp;"'!$A$2:$T$1000"),4,FALSE),0)</f>
        <v>0</v>
      </c>
      <c r="L557" s="37">
        <f ca="1">_xlfn.IFNA(VLOOKUP($A557,INDIRECT("'W"&amp;L$1&amp;"'!$A$2:$T$1000"),4,FALSE),0)</f>
        <v>0</v>
      </c>
      <c r="M557" s="37">
        <f ca="1">_xlfn.IFNA(VLOOKUP($A557,INDIRECT("'W"&amp;M$1&amp;"'!$A$2:$T$1000"),4,FALSE),0)</f>
        <v>0</v>
      </c>
      <c r="N557" s="37">
        <f ca="1">_xlfn.IFNA(VLOOKUP($A557,INDIRECT("'W"&amp;N$1&amp;"'!$A$2:$T$1000"),4,FALSE),0)</f>
        <v>0</v>
      </c>
      <c r="O557" s="37">
        <f ca="1">_xlfn.IFNA(VLOOKUP($A557,INDIRECT("'W"&amp;O$1&amp;"'!$A$2:$T$1000"),4,FALSE),0)</f>
        <v>0</v>
      </c>
      <c r="P557" s="37">
        <f ca="1">_xlfn.IFNA(VLOOKUP($A557,INDIRECT("'W"&amp;P$1&amp;"'!$A$2:$T$1000"),4,FALSE),0)</f>
        <v>0</v>
      </c>
      <c r="Q557" s="37">
        <f ca="1">_xlfn.IFNA(VLOOKUP($A557,INDIRECT("'W"&amp;Q$1&amp;"'!$A$2:$T$1000"),4,FALSE),0)</f>
        <v>0</v>
      </c>
      <c r="R557" s="37">
        <f ca="1">_xlfn.IFNA(VLOOKUP($A557,INDIRECT("'W"&amp;R$1&amp;"'!$A$2:$T$1000"),4,FALSE),0)</f>
        <v>0</v>
      </c>
      <c r="S557" s="37">
        <f ca="1">_xlfn.IFNA(VLOOKUP($A557,INDIRECT("'W"&amp;S$1&amp;"'!$A$2:$T$1000"),4,FALSE),0)</f>
        <v>0</v>
      </c>
      <c r="T557" s="37">
        <f ca="1">_xlfn.IFNA(VLOOKUP($A557,INDIRECT("'W"&amp;T$1&amp;"'!$A$2:$T$1000"),4,FALSE),0)</f>
        <v>0</v>
      </c>
      <c r="U557" s="36">
        <f ca="1">COUNTIF(C557:T557,"&gt; 15")</f>
        <v>0</v>
      </c>
      <c r="V557" s="36">
        <f ca="1">SUM(C557:T557)</f>
        <v>2.2000000000000002</v>
      </c>
      <c r="W557" s="36"/>
      <c r="X557" s="68"/>
    </row>
    <row r="558" spans="1:24" ht="12.75" x14ac:dyDescent="0.2">
      <c r="A558" s="36" t="s">
        <v>576</v>
      </c>
      <c r="B558" s="36" t="s">
        <v>69</v>
      </c>
      <c r="C558" s="37">
        <f ca="1">_xlfn.IFNA(VLOOKUP($A558,INDIRECT("'W"&amp;C$1&amp;"'!$A$2:$T$1000"),4,FALSE),0)</f>
        <v>0</v>
      </c>
      <c r="D558" s="37">
        <f ca="1">_xlfn.IFNA(VLOOKUP($A558,INDIRECT("'W"&amp;D$1&amp;"'!$A$2:$T$1000"),4,FALSE),0)</f>
        <v>0</v>
      </c>
      <c r="E558" s="37">
        <f ca="1">_xlfn.IFNA(VLOOKUP($A558,INDIRECT("'W"&amp;E$1&amp;"'!$A$2:$T$1000"),4,FALSE),0)</f>
        <v>0</v>
      </c>
      <c r="F558" s="37">
        <f ca="1">_xlfn.IFNA(VLOOKUP($A558,INDIRECT("'W"&amp;F$1&amp;"'!$A$2:$T$1000"),4,FALSE),0)</f>
        <v>0</v>
      </c>
      <c r="G558" s="37">
        <f ca="1">_xlfn.IFNA(VLOOKUP($A558,INDIRECT("'W"&amp;G$1&amp;"'!$A$2:$T$1000"),4,FALSE),0)</f>
        <v>0</v>
      </c>
      <c r="H558" s="37">
        <f ca="1">_xlfn.IFNA(VLOOKUP($A558,INDIRECT("'W"&amp;H$1&amp;"'!$A$2:$T$1000"),4,FALSE),0)</f>
        <v>0</v>
      </c>
      <c r="I558" s="37">
        <f ca="1">_xlfn.IFNA(VLOOKUP($A558,INDIRECT("'W"&amp;I$1&amp;"'!$A$2:$T$1000"),4,FALSE),0)</f>
        <v>2.2000000000000002</v>
      </c>
      <c r="J558" s="37">
        <f ca="1">_xlfn.IFNA(VLOOKUP($A558,INDIRECT("'W"&amp;J$1&amp;"'!$A$2:$T$1000"),4,FALSE),0)</f>
        <v>0</v>
      </c>
      <c r="K558" s="37">
        <f ca="1">_xlfn.IFNA(VLOOKUP($A558,INDIRECT("'W"&amp;K$1&amp;"'!$A$2:$T$1000"),4,FALSE),0)</f>
        <v>0</v>
      </c>
      <c r="L558" s="37">
        <f ca="1">_xlfn.IFNA(VLOOKUP($A558,INDIRECT("'W"&amp;L$1&amp;"'!$A$2:$T$1000"),4,FALSE),0)</f>
        <v>0</v>
      </c>
      <c r="M558" s="37">
        <f ca="1">_xlfn.IFNA(VLOOKUP($A558,INDIRECT("'W"&amp;M$1&amp;"'!$A$2:$T$1000"),4,FALSE),0)</f>
        <v>0</v>
      </c>
      <c r="N558" s="37">
        <f ca="1">_xlfn.IFNA(VLOOKUP($A558,INDIRECT("'W"&amp;N$1&amp;"'!$A$2:$T$1000"),4,FALSE),0)</f>
        <v>0</v>
      </c>
      <c r="O558" s="37">
        <f ca="1">_xlfn.IFNA(VLOOKUP($A558,INDIRECT("'W"&amp;O$1&amp;"'!$A$2:$T$1000"),4,FALSE),0)</f>
        <v>0</v>
      </c>
      <c r="P558" s="37">
        <f ca="1">_xlfn.IFNA(VLOOKUP($A558,INDIRECT("'W"&amp;P$1&amp;"'!$A$2:$T$1000"),4,FALSE),0)</f>
        <v>0</v>
      </c>
      <c r="Q558" s="37">
        <f ca="1">_xlfn.IFNA(VLOOKUP($A558,INDIRECT("'W"&amp;Q$1&amp;"'!$A$2:$T$1000"),4,FALSE),0)</f>
        <v>0</v>
      </c>
      <c r="R558" s="37">
        <f ca="1">_xlfn.IFNA(VLOOKUP($A558,INDIRECT("'W"&amp;R$1&amp;"'!$A$2:$T$1000"),4,FALSE),0)</f>
        <v>0</v>
      </c>
      <c r="S558" s="37">
        <f ca="1">_xlfn.IFNA(VLOOKUP($A558,INDIRECT("'W"&amp;S$1&amp;"'!$A$2:$T$1000"),4,FALSE),0)</f>
        <v>0</v>
      </c>
      <c r="T558" s="37">
        <f ca="1">_xlfn.IFNA(VLOOKUP($A558,INDIRECT("'W"&amp;T$1&amp;"'!$A$2:$T$1000"),4,FALSE),0)</f>
        <v>0</v>
      </c>
      <c r="U558" s="36">
        <f ca="1">COUNTIF(C558:T558,"&gt; 15")</f>
        <v>0</v>
      </c>
      <c r="V558" s="36">
        <f ca="1">SUM(C558:T558)</f>
        <v>2.2000000000000002</v>
      </c>
      <c r="W558" s="36"/>
      <c r="X558" s="68"/>
    </row>
    <row r="559" spans="1:24" ht="12.75" x14ac:dyDescent="0.2">
      <c r="A559" s="36" t="s">
        <v>259</v>
      </c>
      <c r="B559" s="36" t="s">
        <v>162</v>
      </c>
      <c r="C559" s="37">
        <f ca="1">_xlfn.IFNA(VLOOKUP($A559,INDIRECT("'W"&amp;C$1&amp;"'!$A$2:$T$1000"),4,FALSE),0)</f>
        <v>1.7000000000000002</v>
      </c>
      <c r="D559" s="37">
        <f ca="1">_xlfn.IFNA(VLOOKUP($A559,INDIRECT("'W"&amp;D$1&amp;"'!$A$2:$T$1000"),4,FALSE),0)</f>
        <v>0.5</v>
      </c>
      <c r="E559" s="37">
        <f ca="1">_xlfn.IFNA(VLOOKUP($A559,INDIRECT("'W"&amp;E$1&amp;"'!$A$2:$T$1000"),4,FALSE),0)</f>
        <v>0</v>
      </c>
      <c r="F559" s="37">
        <f ca="1">_xlfn.IFNA(VLOOKUP($A559,INDIRECT("'W"&amp;F$1&amp;"'!$A$2:$T$1000"),4,FALSE),0)</f>
        <v>0</v>
      </c>
      <c r="G559" s="37">
        <f ca="1">_xlfn.IFNA(VLOOKUP($A559,INDIRECT("'W"&amp;G$1&amp;"'!$A$2:$T$1000"),4,FALSE),0)</f>
        <v>0</v>
      </c>
      <c r="H559" s="37">
        <f ca="1">_xlfn.IFNA(VLOOKUP($A559,INDIRECT("'W"&amp;H$1&amp;"'!$A$2:$T$1000"),4,FALSE),0)</f>
        <v>0</v>
      </c>
      <c r="I559" s="37">
        <f ca="1">_xlfn.IFNA(VLOOKUP($A559,INDIRECT("'W"&amp;I$1&amp;"'!$A$2:$T$1000"),4,FALSE),0)</f>
        <v>0</v>
      </c>
      <c r="J559" s="37">
        <f ca="1">_xlfn.IFNA(VLOOKUP($A559,INDIRECT("'W"&amp;J$1&amp;"'!$A$2:$T$1000"),4,FALSE),0)</f>
        <v>0</v>
      </c>
      <c r="K559" s="37">
        <f ca="1">_xlfn.IFNA(VLOOKUP($A559,INDIRECT("'W"&amp;K$1&amp;"'!$A$2:$T$1000"),4,FALSE),0)</f>
        <v>0</v>
      </c>
      <c r="L559" s="37">
        <f ca="1">_xlfn.IFNA(VLOOKUP($A559,INDIRECT("'W"&amp;L$1&amp;"'!$A$2:$T$1000"),4,FALSE),0)</f>
        <v>0</v>
      </c>
      <c r="M559" s="37">
        <f ca="1">_xlfn.IFNA(VLOOKUP($A559,INDIRECT("'W"&amp;M$1&amp;"'!$A$2:$T$1000"),4,FALSE),0)</f>
        <v>0</v>
      </c>
      <c r="N559" s="37">
        <f ca="1">_xlfn.IFNA(VLOOKUP($A559,INDIRECT("'W"&amp;N$1&amp;"'!$A$2:$T$1000"),4,FALSE),0)</f>
        <v>0</v>
      </c>
      <c r="O559" s="37">
        <f ca="1">_xlfn.IFNA(VLOOKUP($A559,INDIRECT("'W"&amp;O$1&amp;"'!$A$2:$T$1000"),4,FALSE),0)</f>
        <v>0</v>
      </c>
      <c r="P559" s="37">
        <f ca="1">_xlfn.IFNA(VLOOKUP($A559,INDIRECT("'W"&amp;P$1&amp;"'!$A$2:$T$1000"),4,FALSE),0)</f>
        <v>0</v>
      </c>
      <c r="Q559" s="37">
        <f ca="1">_xlfn.IFNA(VLOOKUP($A559,INDIRECT("'W"&amp;Q$1&amp;"'!$A$2:$T$1000"),4,FALSE),0)</f>
        <v>0</v>
      </c>
      <c r="R559" s="37">
        <f ca="1">_xlfn.IFNA(VLOOKUP($A559,INDIRECT("'W"&amp;R$1&amp;"'!$A$2:$T$1000"),4,FALSE),0)</f>
        <v>0</v>
      </c>
      <c r="S559" s="37">
        <f ca="1">_xlfn.IFNA(VLOOKUP($A559,INDIRECT("'W"&amp;S$1&amp;"'!$A$2:$T$1000"),4,FALSE),0)</f>
        <v>0</v>
      </c>
      <c r="T559" s="37">
        <f ca="1">_xlfn.IFNA(VLOOKUP($A559,INDIRECT("'W"&amp;T$1&amp;"'!$A$2:$T$1000"),4,FALSE),0)</f>
        <v>0</v>
      </c>
      <c r="U559" s="36">
        <f ca="1">COUNTIF(C559:T559,"&gt; 15")</f>
        <v>0</v>
      </c>
      <c r="V559" s="36">
        <f ca="1">SUM(C559:T559)</f>
        <v>2.2000000000000002</v>
      </c>
      <c r="W559" s="36"/>
      <c r="X559" s="39"/>
    </row>
    <row r="560" spans="1:24" ht="12.75" x14ac:dyDescent="0.2">
      <c r="A560" s="36" t="s">
        <v>838</v>
      </c>
      <c r="B560" s="36" t="e">
        <f ca="1">VLOOKUP(A560,CumulativePlayerList!$T$3:$U$550,2,FALSE)</f>
        <v>#NAME?</v>
      </c>
      <c r="C560" s="37">
        <f ca="1">_xlfn.IFNA(VLOOKUP($A560,INDIRECT("'W"&amp;C$1&amp;"'!$A$2:$T$1000"),4,FALSE),0)</f>
        <v>0</v>
      </c>
      <c r="D560" s="37">
        <f ca="1">_xlfn.IFNA(VLOOKUP($A560,INDIRECT("'W"&amp;D$1&amp;"'!$A$2:$T$1000"),4,FALSE),0)</f>
        <v>0</v>
      </c>
      <c r="E560" s="37">
        <f ca="1">_xlfn.IFNA(VLOOKUP($A560,INDIRECT("'W"&amp;E$1&amp;"'!$A$2:$T$1000"),4,FALSE),0)</f>
        <v>0</v>
      </c>
      <c r="F560" s="37">
        <f ca="1">_xlfn.IFNA(VLOOKUP($A560,INDIRECT("'W"&amp;F$1&amp;"'!$A$2:$T$1000"),4,FALSE),0)</f>
        <v>0</v>
      </c>
      <c r="G560" s="37">
        <f ca="1">_xlfn.IFNA(VLOOKUP($A560,INDIRECT("'W"&amp;G$1&amp;"'!$A$2:$T$1000"),4,FALSE),0)</f>
        <v>0</v>
      </c>
      <c r="H560" s="37">
        <f ca="1">_xlfn.IFNA(VLOOKUP($A560,INDIRECT("'W"&amp;H$1&amp;"'!$A$2:$T$1000"),4,FALSE),0)</f>
        <v>0</v>
      </c>
      <c r="I560" s="37">
        <f ca="1">_xlfn.IFNA(VLOOKUP($A560,INDIRECT("'W"&amp;I$1&amp;"'!$A$2:$T$1000"),4,FALSE),0)</f>
        <v>0</v>
      </c>
      <c r="J560" s="37">
        <f ca="1">_xlfn.IFNA(VLOOKUP($A560,INDIRECT("'W"&amp;J$1&amp;"'!$A$2:$T$1000"),4,FALSE),0)</f>
        <v>0</v>
      </c>
      <c r="K560" s="37">
        <f ca="1">_xlfn.IFNA(VLOOKUP($A560,INDIRECT("'W"&amp;K$1&amp;"'!$A$2:$T$1000"),4,FALSE),0)</f>
        <v>0</v>
      </c>
      <c r="L560" s="37">
        <f ca="1">_xlfn.IFNA(VLOOKUP($A560,INDIRECT("'W"&amp;L$1&amp;"'!$A$2:$T$1000"),4,FALSE),0)</f>
        <v>0</v>
      </c>
      <c r="M560" s="37">
        <f ca="1">_xlfn.IFNA(VLOOKUP($A560,INDIRECT("'W"&amp;M$1&amp;"'!$A$2:$T$1000"),4,FALSE),0)</f>
        <v>0</v>
      </c>
      <c r="N560" s="37">
        <f ca="1">_xlfn.IFNA(VLOOKUP($A560,INDIRECT("'W"&amp;N$1&amp;"'!$A$2:$T$1000"),4,FALSE),0)</f>
        <v>0</v>
      </c>
      <c r="O560" s="37">
        <f ca="1">_xlfn.IFNA(VLOOKUP($A560,INDIRECT("'W"&amp;O$1&amp;"'!$A$2:$T$1000"),4,FALSE),0)</f>
        <v>0</v>
      </c>
      <c r="P560" s="37">
        <f ca="1">_xlfn.IFNA(VLOOKUP($A560,INDIRECT("'W"&amp;P$1&amp;"'!$A$2:$T$1000"),4,FALSE),0)</f>
        <v>0</v>
      </c>
      <c r="Q560" s="37">
        <f ca="1">_xlfn.IFNA(VLOOKUP($A560,INDIRECT("'W"&amp;Q$1&amp;"'!$A$2:$T$1000"),4,FALSE),0)</f>
        <v>0</v>
      </c>
      <c r="R560" s="37">
        <f ca="1">_xlfn.IFNA(VLOOKUP($A560,INDIRECT("'W"&amp;R$1&amp;"'!$A$2:$T$1000"),4,FALSE),0)</f>
        <v>0</v>
      </c>
      <c r="S560" s="37">
        <f ca="1">_xlfn.IFNA(VLOOKUP($A560,INDIRECT("'W"&amp;S$1&amp;"'!$A$2:$T$1000"),4,FALSE),0)</f>
        <v>0</v>
      </c>
      <c r="T560" s="37">
        <f ca="1">_xlfn.IFNA(VLOOKUP($A560,INDIRECT("'W"&amp;T$1&amp;"'!$A$2:$T$1000"),4,FALSE),0)</f>
        <v>2.2000000000000002</v>
      </c>
      <c r="U560" s="36">
        <f ca="1">COUNTIF(C560:T560,"&gt; 15")</f>
        <v>0</v>
      </c>
      <c r="V560" s="36">
        <f ca="1">SUM(C560:T560)</f>
        <v>2.2000000000000002</v>
      </c>
      <c r="W560" s="36"/>
      <c r="X560" s="39"/>
    </row>
    <row r="561" spans="1:24" ht="12.75" x14ac:dyDescent="0.2">
      <c r="A561" s="36" t="s">
        <v>612</v>
      </c>
      <c r="B561" s="36" t="s">
        <v>17</v>
      </c>
      <c r="C561" s="37">
        <f ca="1">_xlfn.IFNA(VLOOKUP($A561,INDIRECT("'W"&amp;C$1&amp;"'!$A$2:$T$1000"),4,FALSE),0)</f>
        <v>0</v>
      </c>
      <c r="D561" s="37">
        <f ca="1">_xlfn.IFNA(VLOOKUP($A561,INDIRECT("'W"&amp;D$1&amp;"'!$A$2:$T$1000"),4,FALSE),0)</f>
        <v>0</v>
      </c>
      <c r="E561" s="37">
        <f ca="1">_xlfn.IFNA(VLOOKUP($A561,INDIRECT("'W"&amp;E$1&amp;"'!$A$2:$T$1000"),4,FALSE),0)</f>
        <v>0</v>
      </c>
      <c r="F561" s="37">
        <f ca="1">_xlfn.IFNA(VLOOKUP($A561,INDIRECT("'W"&amp;F$1&amp;"'!$A$2:$T$1000"),4,FALSE),0)</f>
        <v>0</v>
      </c>
      <c r="G561" s="37">
        <f ca="1">_xlfn.IFNA(VLOOKUP($A561,INDIRECT("'W"&amp;G$1&amp;"'!$A$2:$T$1000"),4,FALSE),0)</f>
        <v>0</v>
      </c>
      <c r="H561" s="37">
        <f ca="1">_xlfn.IFNA(VLOOKUP($A561,INDIRECT("'W"&amp;H$1&amp;"'!$A$2:$T$1000"),4,FALSE),0)</f>
        <v>0</v>
      </c>
      <c r="I561" s="37">
        <f ca="1">_xlfn.IFNA(VLOOKUP($A561,INDIRECT("'W"&amp;I$1&amp;"'!$A$2:$T$1000"),4,FALSE),0)</f>
        <v>0</v>
      </c>
      <c r="J561" s="37">
        <f ca="1">_xlfn.IFNA(VLOOKUP($A561,INDIRECT("'W"&amp;J$1&amp;"'!$A$2:$T$1000"),4,FALSE),0)</f>
        <v>-1.18</v>
      </c>
      <c r="K561" s="37">
        <f ca="1">_xlfn.IFNA(VLOOKUP($A561,INDIRECT("'W"&amp;K$1&amp;"'!$A$2:$T$1000"),4,FALSE),0)</f>
        <v>4.2200000000000006</v>
      </c>
      <c r="L561" s="37">
        <f ca="1">_xlfn.IFNA(VLOOKUP($A561,INDIRECT("'W"&amp;L$1&amp;"'!$A$2:$T$1000"),4,FALSE),0)</f>
        <v>0</v>
      </c>
      <c r="M561" s="37">
        <f ca="1">_xlfn.IFNA(VLOOKUP($A561,INDIRECT("'W"&amp;M$1&amp;"'!$A$2:$T$1000"),4,FALSE),0)</f>
        <v>0</v>
      </c>
      <c r="N561" s="37">
        <f ca="1">_xlfn.IFNA(VLOOKUP($A561,INDIRECT("'W"&amp;N$1&amp;"'!$A$2:$T$1000"),4,FALSE),0)</f>
        <v>0</v>
      </c>
      <c r="O561" s="37">
        <f ca="1">_xlfn.IFNA(VLOOKUP($A561,INDIRECT("'W"&amp;O$1&amp;"'!$A$2:$T$1000"),4,FALSE),0)</f>
        <v>0</v>
      </c>
      <c r="P561" s="37">
        <f ca="1">_xlfn.IFNA(VLOOKUP($A561,INDIRECT("'W"&amp;P$1&amp;"'!$A$2:$T$1000"),4,FALSE),0)</f>
        <v>0</v>
      </c>
      <c r="Q561" s="37">
        <f ca="1">_xlfn.IFNA(VLOOKUP($A561,INDIRECT("'W"&amp;Q$1&amp;"'!$A$2:$T$1000"),4,FALSE),0)</f>
        <v>0</v>
      </c>
      <c r="R561" s="37">
        <f ca="1">_xlfn.IFNA(VLOOKUP($A561,INDIRECT("'W"&amp;R$1&amp;"'!$A$2:$T$1000"),4,FALSE),0)</f>
        <v>0</v>
      </c>
      <c r="S561" s="37">
        <f ca="1">_xlfn.IFNA(VLOOKUP($A561,INDIRECT("'W"&amp;S$1&amp;"'!$A$2:$T$1000"),4,FALSE),0)</f>
        <v>-0.91999999999999993</v>
      </c>
      <c r="T561" s="37">
        <f ca="1">_xlfn.IFNA(VLOOKUP($A561,INDIRECT("'W"&amp;T$1&amp;"'!$A$2:$T$1000"),4,FALSE),0)</f>
        <v>0</v>
      </c>
      <c r="U561" s="36">
        <f ca="1">COUNTIF(C561:T561,"&gt; 15")</f>
        <v>0</v>
      </c>
      <c r="V561" s="36">
        <f ca="1">SUM(C561:T561)</f>
        <v>2.120000000000001</v>
      </c>
      <c r="W561" s="36"/>
      <c r="X561" s="68"/>
    </row>
    <row r="562" spans="1:24" ht="12.75" x14ac:dyDescent="0.2">
      <c r="A562" s="36" t="s">
        <v>135</v>
      </c>
      <c r="B562" s="36" t="s">
        <v>75</v>
      </c>
      <c r="C562" s="37">
        <f ca="1">_xlfn.IFNA(VLOOKUP($A562,INDIRECT("'W"&amp;C$1&amp;"'!$A$2:$T$1000"),4,FALSE),0)</f>
        <v>2.1</v>
      </c>
      <c r="D562" s="37">
        <f ca="1">_xlfn.IFNA(VLOOKUP($A562,INDIRECT("'W"&amp;D$1&amp;"'!$A$2:$T$1000"),4,FALSE),0)</f>
        <v>0</v>
      </c>
      <c r="E562" s="37">
        <f ca="1">_xlfn.IFNA(VLOOKUP($A562,INDIRECT("'W"&amp;E$1&amp;"'!$A$2:$T$1000"),4,FALSE),0)</f>
        <v>0</v>
      </c>
      <c r="F562" s="37">
        <f ca="1">_xlfn.IFNA(VLOOKUP($A562,INDIRECT("'W"&amp;F$1&amp;"'!$A$2:$T$1000"),4,FALSE),0)</f>
        <v>0</v>
      </c>
      <c r="G562" s="37">
        <f ca="1">_xlfn.IFNA(VLOOKUP($A562,INDIRECT("'W"&amp;G$1&amp;"'!$A$2:$T$1000"),4,FALSE),0)</f>
        <v>0</v>
      </c>
      <c r="H562" s="37">
        <f ca="1">_xlfn.IFNA(VLOOKUP($A562,INDIRECT("'W"&amp;H$1&amp;"'!$A$2:$T$1000"),4,FALSE),0)</f>
        <v>0</v>
      </c>
      <c r="I562" s="37">
        <f ca="1">_xlfn.IFNA(VLOOKUP($A562,INDIRECT("'W"&amp;I$1&amp;"'!$A$2:$T$1000"),4,FALSE),0)</f>
        <v>0</v>
      </c>
      <c r="J562" s="37">
        <f ca="1">_xlfn.IFNA(VLOOKUP($A562,INDIRECT("'W"&amp;J$1&amp;"'!$A$2:$T$1000"),4,FALSE),0)</f>
        <v>0</v>
      </c>
      <c r="K562" s="37">
        <f ca="1">_xlfn.IFNA(VLOOKUP($A562,INDIRECT("'W"&amp;K$1&amp;"'!$A$2:$T$1000"),4,FALSE),0)</f>
        <v>0</v>
      </c>
      <c r="L562" s="37">
        <f ca="1">_xlfn.IFNA(VLOOKUP($A562,INDIRECT("'W"&amp;L$1&amp;"'!$A$2:$T$1000"),4,FALSE),0)</f>
        <v>0</v>
      </c>
      <c r="M562" s="37">
        <f ca="1">_xlfn.IFNA(VLOOKUP($A562,INDIRECT("'W"&amp;M$1&amp;"'!$A$2:$T$1000"),4,FALSE),0)</f>
        <v>0</v>
      </c>
      <c r="N562" s="37">
        <f ca="1">_xlfn.IFNA(VLOOKUP($A562,INDIRECT("'W"&amp;N$1&amp;"'!$A$2:$T$1000"),4,FALSE),0)</f>
        <v>0</v>
      </c>
      <c r="O562" s="37">
        <f ca="1">_xlfn.IFNA(VLOOKUP($A562,INDIRECT("'W"&amp;O$1&amp;"'!$A$2:$T$1000"),4,FALSE),0)</f>
        <v>0</v>
      </c>
      <c r="P562" s="37">
        <f ca="1">_xlfn.IFNA(VLOOKUP($A562,INDIRECT("'W"&amp;P$1&amp;"'!$A$2:$T$1000"),4,FALSE),0)</f>
        <v>0</v>
      </c>
      <c r="Q562" s="37">
        <f ca="1">_xlfn.IFNA(VLOOKUP($A562,INDIRECT("'W"&amp;Q$1&amp;"'!$A$2:$T$1000"),4,FALSE),0)</f>
        <v>0</v>
      </c>
      <c r="R562" s="37">
        <f ca="1">_xlfn.IFNA(VLOOKUP($A562,INDIRECT("'W"&amp;R$1&amp;"'!$A$2:$T$1000"),4,FALSE),0)</f>
        <v>0</v>
      </c>
      <c r="S562" s="37">
        <f ca="1">_xlfn.IFNA(VLOOKUP($A562,INDIRECT("'W"&amp;S$1&amp;"'!$A$2:$T$1000"),4,FALSE),0)</f>
        <v>0</v>
      </c>
      <c r="T562" s="37">
        <f ca="1">_xlfn.IFNA(VLOOKUP($A562,INDIRECT("'W"&amp;T$1&amp;"'!$A$2:$T$1000"),4,FALSE),0)</f>
        <v>0</v>
      </c>
      <c r="U562" s="36">
        <f ca="1">COUNTIF(C562:T562,"&gt; 15")</f>
        <v>0</v>
      </c>
      <c r="V562" s="36">
        <f ca="1">SUM(C562:T562)</f>
        <v>2.1</v>
      </c>
      <c r="W562" s="36"/>
      <c r="X562" s="68"/>
    </row>
    <row r="563" spans="1:24" ht="12.75" x14ac:dyDescent="0.2">
      <c r="A563" s="36" t="s">
        <v>525</v>
      </c>
      <c r="B563" s="36" t="s">
        <v>75</v>
      </c>
      <c r="C563" s="37">
        <f ca="1">_xlfn.IFNA(VLOOKUP($A563,INDIRECT("'W"&amp;C$1&amp;"'!$A$2:$T$1000"),4,FALSE),0)</f>
        <v>0</v>
      </c>
      <c r="D563" s="37">
        <f ca="1">_xlfn.IFNA(VLOOKUP($A563,INDIRECT("'W"&amp;D$1&amp;"'!$A$2:$T$1000"),4,FALSE),0)</f>
        <v>0</v>
      </c>
      <c r="E563" s="37">
        <f ca="1">_xlfn.IFNA(VLOOKUP($A563,INDIRECT("'W"&amp;E$1&amp;"'!$A$2:$T$1000"),4,FALSE),0)</f>
        <v>0</v>
      </c>
      <c r="F563" s="37">
        <f ca="1">_xlfn.IFNA(VLOOKUP($A563,INDIRECT("'W"&amp;F$1&amp;"'!$A$2:$T$1000"),4,FALSE),0)</f>
        <v>0</v>
      </c>
      <c r="G563" s="37">
        <f ca="1">_xlfn.IFNA(VLOOKUP($A563,INDIRECT("'W"&amp;G$1&amp;"'!$A$2:$T$1000"),4,FALSE),0)</f>
        <v>2.1</v>
      </c>
      <c r="H563" s="37">
        <f ca="1">_xlfn.IFNA(VLOOKUP($A563,INDIRECT("'W"&amp;H$1&amp;"'!$A$2:$T$1000"),4,FALSE),0)</f>
        <v>0</v>
      </c>
      <c r="I563" s="37">
        <f ca="1">_xlfn.IFNA(VLOOKUP($A563,INDIRECT("'W"&amp;I$1&amp;"'!$A$2:$T$1000"),4,FALSE),0)</f>
        <v>0</v>
      </c>
      <c r="J563" s="37">
        <f ca="1">_xlfn.IFNA(VLOOKUP($A563,INDIRECT("'W"&amp;J$1&amp;"'!$A$2:$T$1000"),4,FALSE),0)</f>
        <v>0</v>
      </c>
      <c r="K563" s="37">
        <f ca="1">_xlfn.IFNA(VLOOKUP($A563,INDIRECT("'W"&amp;K$1&amp;"'!$A$2:$T$1000"),4,FALSE),0)</f>
        <v>0</v>
      </c>
      <c r="L563" s="37">
        <f ca="1">_xlfn.IFNA(VLOOKUP($A563,INDIRECT("'W"&amp;L$1&amp;"'!$A$2:$T$1000"),4,FALSE),0)</f>
        <v>0</v>
      </c>
      <c r="M563" s="37">
        <f ca="1">_xlfn.IFNA(VLOOKUP($A563,INDIRECT("'W"&amp;M$1&amp;"'!$A$2:$T$1000"),4,FALSE),0)</f>
        <v>0</v>
      </c>
      <c r="N563" s="37">
        <f ca="1">_xlfn.IFNA(VLOOKUP($A563,INDIRECT("'W"&amp;N$1&amp;"'!$A$2:$T$1000"),4,FALSE),0)</f>
        <v>0</v>
      </c>
      <c r="O563" s="37">
        <f ca="1">_xlfn.IFNA(VLOOKUP($A563,INDIRECT("'W"&amp;O$1&amp;"'!$A$2:$T$1000"),4,FALSE),0)</f>
        <v>0</v>
      </c>
      <c r="P563" s="37">
        <f ca="1">_xlfn.IFNA(VLOOKUP($A563,INDIRECT("'W"&amp;P$1&amp;"'!$A$2:$T$1000"),4,FALSE),0)</f>
        <v>0</v>
      </c>
      <c r="Q563" s="37">
        <f ca="1">_xlfn.IFNA(VLOOKUP($A563,INDIRECT("'W"&amp;Q$1&amp;"'!$A$2:$T$1000"),4,FALSE),0)</f>
        <v>0</v>
      </c>
      <c r="R563" s="37">
        <f ca="1">_xlfn.IFNA(VLOOKUP($A563,INDIRECT("'W"&amp;R$1&amp;"'!$A$2:$T$1000"),4,FALSE),0)</f>
        <v>0</v>
      </c>
      <c r="S563" s="37">
        <f ca="1">_xlfn.IFNA(VLOOKUP($A563,INDIRECT("'W"&amp;S$1&amp;"'!$A$2:$T$1000"),4,FALSE),0)</f>
        <v>0</v>
      </c>
      <c r="T563" s="37">
        <f ca="1">_xlfn.IFNA(VLOOKUP($A563,INDIRECT("'W"&amp;T$1&amp;"'!$A$2:$T$1000"),4,FALSE),0)</f>
        <v>0</v>
      </c>
      <c r="U563" s="36">
        <f ca="1">COUNTIF(C563:T563,"&gt; 15")</f>
        <v>0</v>
      </c>
      <c r="V563" s="36">
        <f ca="1">SUM(C563:T563)</f>
        <v>2.1</v>
      </c>
      <c r="W563" s="36"/>
      <c r="X563" s="68"/>
    </row>
    <row r="564" spans="1:24" ht="12.75" x14ac:dyDescent="0.2">
      <c r="A564" s="36" t="s">
        <v>836</v>
      </c>
      <c r="B564" s="36" t="e">
        <f ca="1">VLOOKUP(A564,CumulativePlayerList!$T$3:$U$550,2,FALSE)</f>
        <v>#NAME?</v>
      </c>
      <c r="C564" s="37">
        <f ca="1">_xlfn.IFNA(VLOOKUP($A564,INDIRECT("'W"&amp;C$1&amp;"'!$A$2:$T$1000"),4,FALSE),0)</f>
        <v>0</v>
      </c>
      <c r="D564" s="37">
        <f ca="1">_xlfn.IFNA(VLOOKUP($A564,INDIRECT("'W"&amp;D$1&amp;"'!$A$2:$T$1000"),4,FALSE),0)</f>
        <v>0</v>
      </c>
      <c r="E564" s="37">
        <f ca="1">_xlfn.IFNA(VLOOKUP($A564,INDIRECT("'W"&amp;E$1&amp;"'!$A$2:$T$1000"),4,FALSE),0)</f>
        <v>0</v>
      </c>
      <c r="F564" s="37">
        <f ca="1">_xlfn.IFNA(VLOOKUP($A564,INDIRECT("'W"&amp;F$1&amp;"'!$A$2:$T$1000"),4,FALSE),0)</f>
        <v>0</v>
      </c>
      <c r="G564" s="37">
        <f ca="1">_xlfn.IFNA(VLOOKUP($A564,INDIRECT("'W"&amp;G$1&amp;"'!$A$2:$T$1000"),4,FALSE),0)</f>
        <v>0</v>
      </c>
      <c r="H564" s="37">
        <f ca="1">_xlfn.IFNA(VLOOKUP($A564,INDIRECT("'W"&amp;H$1&amp;"'!$A$2:$T$1000"),4,FALSE),0)</f>
        <v>0</v>
      </c>
      <c r="I564" s="37">
        <f ca="1">_xlfn.IFNA(VLOOKUP($A564,INDIRECT("'W"&amp;I$1&amp;"'!$A$2:$T$1000"),4,FALSE),0)</f>
        <v>0</v>
      </c>
      <c r="J564" s="37">
        <f ca="1">_xlfn.IFNA(VLOOKUP($A564,INDIRECT("'W"&amp;J$1&amp;"'!$A$2:$T$1000"),4,FALSE),0)</f>
        <v>0</v>
      </c>
      <c r="K564" s="37">
        <f ca="1">_xlfn.IFNA(VLOOKUP($A564,INDIRECT("'W"&amp;K$1&amp;"'!$A$2:$T$1000"),4,FALSE),0)</f>
        <v>0</v>
      </c>
      <c r="L564" s="37">
        <f ca="1">_xlfn.IFNA(VLOOKUP($A564,INDIRECT("'W"&amp;L$1&amp;"'!$A$2:$T$1000"),4,FALSE),0)</f>
        <v>0</v>
      </c>
      <c r="M564" s="37">
        <f ca="1">_xlfn.IFNA(VLOOKUP($A564,INDIRECT("'W"&amp;M$1&amp;"'!$A$2:$T$1000"),4,FALSE),0)</f>
        <v>0</v>
      </c>
      <c r="N564" s="37">
        <f ca="1">_xlfn.IFNA(VLOOKUP($A564,INDIRECT("'W"&amp;N$1&amp;"'!$A$2:$T$1000"),4,FALSE),0)</f>
        <v>0</v>
      </c>
      <c r="O564" s="37">
        <f ca="1">_xlfn.IFNA(VLOOKUP($A564,INDIRECT("'W"&amp;O$1&amp;"'!$A$2:$T$1000"),4,FALSE),0)</f>
        <v>0</v>
      </c>
      <c r="P564" s="37">
        <f ca="1">_xlfn.IFNA(VLOOKUP($A564,INDIRECT("'W"&amp;P$1&amp;"'!$A$2:$T$1000"),4,FALSE),0)</f>
        <v>0</v>
      </c>
      <c r="Q564" s="37">
        <f ca="1">_xlfn.IFNA(VLOOKUP($A564,INDIRECT("'W"&amp;Q$1&amp;"'!$A$2:$T$1000"),4,FALSE),0)</f>
        <v>0</v>
      </c>
      <c r="R564" s="37">
        <f ca="1">_xlfn.IFNA(VLOOKUP($A564,INDIRECT("'W"&amp;R$1&amp;"'!$A$2:$T$1000"),4,FALSE),0)</f>
        <v>0</v>
      </c>
      <c r="S564" s="37">
        <f ca="1">_xlfn.IFNA(VLOOKUP($A564,INDIRECT("'W"&amp;S$1&amp;"'!$A$2:$T$1000"),4,FALSE),0)</f>
        <v>0</v>
      </c>
      <c r="T564" s="37">
        <f ca="1">_xlfn.IFNA(VLOOKUP($A564,INDIRECT("'W"&amp;T$1&amp;"'!$A$2:$T$1000"),4,FALSE),0)</f>
        <v>2.1</v>
      </c>
      <c r="U564" s="36">
        <f ca="1">COUNTIF(C564:T564,"&gt; 15")</f>
        <v>0</v>
      </c>
      <c r="V564" s="36">
        <f ca="1">SUM(C564:T564)</f>
        <v>2.1</v>
      </c>
      <c r="W564" s="36"/>
      <c r="X564" s="39"/>
    </row>
    <row r="565" spans="1:24" ht="12.75" x14ac:dyDescent="0.2">
      <c r="A565" s="36" t="s">
        <v>810</v>
      </c>
      <c r="B565" s="36" t="e">
        <f ca="1">VLOOKUP(A565,CumulativePlayerList!$T$3:$U$550,2,FALSE)</f>
        <v>#NAME?</v>
      </c>
      <c r="C565" s="37">
        <f ca="1">_xlfn.IFNA(VLOOKUP($A565,INDIRECT("'W"&amp;C$1&amp;"'!$A$2:$T$1000"),4,FALSE),0)</f>
        <v>0</v>
      </c>
      <c r="D565" s="37">
        <f ca="1">_xlfn.IFNA(VLOOKUP($A565,INDIRECT("'W"&amp;D$1&amp;"'!$A$2:$T$1000"),4,FALSE),0)</f>
        <v>0</v>
      </c>
      <c r="E565" s="37">
        <f ca="1">_xlfn.IFNA(VLOOKUP($A565,INDIRECT("'W"&amp;E$1&amp;"'!$A$2:$T$1000"),4,FALSE),0)</f>
        <v>0</v>
      </c>
      <c r="F565" s="37">
        <f ca="1">_xlfn.IFNA(VLOOKUP($A565,INDIRECT("'W"&amp;F$1&amp;"'!$A$2:$T$1000"),4,FALSE),0)</f>
        <v>0</v>
      </c>
      <c r="G565" s="37">
        <f ca="1">_xlfn.IFNA(VLOOKUP($A565,INDIRECT("'W"&amp;G$1&amp;"'!$A$2:$T$1000"),4,FALSE),0)</f>
        <v>0</v>
      </c>
      <c r="H565" s="37">
        <f ca="1">_xlfn.IFNA(VLOOKUP($A565,INDIRECT("'W"&amp;H$1&amp;"'!$A$2:$T$1000"),4,FALSE),0)</f>
        <v>0</v>
      </c>
      <c r="I565" s="37">
        <f ca="1">_xlfn.IFNA(VLOOKUP($A565,INDIRECT("'W"&amp;I$1&amp;"'!$A$2:$T$1000"),4,FALSE),0)</f>
        <v>0</v>
      </c>
      <c r="J565" s="37">
        <f ca="1">_xlfn.IFNA(VLOOKUP($A565,INDIRECT("'W"&amp;J$1&amp;"'!$A$2:$T$1000"),4,FALSE),0)</f>
        <v>0</v>
      </c>
      <c r="K565" s="37">
        <f ca="1">_xlfn.IFNA(VLOOKUP($A565,INDIRECT("'W"&amp;K$1&amp;"'!$A$2:$T$1000"),4,FALSE),0)</f>
        <v>0</v>
      </c>
      <c r="L565" s="37">
        <f ca="1">_xlfn.IFNA(VLOOKUP($A565,INDIRECT("'W"&amp;L$1&amp;"'!$A$2:$T$1000"),4,FALSE),0)</f>
        <v>0</v>
      </c>
      <c r="M565" s="37">
        <f ca="1">_xlfn.IFNA(VLOOKUP($A565,INDIRECT("'W"&amp;M$1&amp;"'!$A$2:$T$1000"),4,FALSE),0)</f>
        <v>0</v>
      </c>
      <c r="N565" s="37">
        <f ca="1">_xlfn.IFNA(VLOOKUP($A565,INDIRECT("'W"&amp;N$1&amp;"'!$A$2:$T$1000"),4,FALSE),0)</f>
        <v>0</v>
      </c>
      <c r="O565" s="37">
        <f ca="1">_xlfn.IFNA(VLOOKUP($A565,INDIRECT("'W"&amp;O$1&amp;"'!$A$2:$T$1000"),4,FALSE),0)</f>
        <v>0</v>
      </c>
      <c r="P565" s="37">
        <f ca="1">_xlfn.IFNA(VLOOKUP($A565,INDIRECT("'W"&amp;P$1&amp;"'!$A$2:$T$1000"),4,FALSE),0)</f>
        <v>0</v>
      </c>
      <c r="Q565" s="37">
        <f ca="1">_xlfn.IFNA(VLOOKUP($A565,INDIRECT("'W"&amp;Q$1&amp;"'!$A$2:$T$1000"),4,FALSE),0)</f>
        <v>0</v>
      </c>
      <c r="R565" s="37">
        <f ca="1">_xlfn.IFNA(VLOOKUP($A565,INDIRECT("'W"&amp;R$1&amp;"'!$A$2:$T$1000"),4,FALSE),0)</f>
        <v>0</v>
      </c>
      <c r="S565" s="37">
        <f ca="1">_xlfn.IFNA(VLOOKUP($A565,INDIRECT("'W"&amp;S$1&amp;"'!$A$2:$T$1000"),4,FALSE),0)</f>
        <v>2.1</v>
      </c>
      <c r="T565" s="37">
        <f ca="1">_xlfn.IFNA(VLOOKUP($A565,INDIRECT("'W"&amp;T$1&amp;"'!$A$2:$T$1000"),4,FALSE),0)</f>
        <v>0</v>
      </c>
      <c r="U565" s="36">
        <f ca="1">COUNTIF(C565:T565,"&gt; 15")</f>
        <v>0</v>
      </c>
      <c r="V565" s="36">
        <f ca="1">SUM(C565:T565)</f>
        <v>2.1</v>
      </c>
      <c r="W565" s="36"/>
      <c r="X565" s="39"/>
    </row>
    <row r="566" spans="1:24" ht="12.75" x14ac:dyDescent="0.2">
      <c r="A566" s="36" t="s">
        <v>425</v>
      </c>
      <c r="B566" s="36" t="s">
        <v>17</v>
      </c>
      <c r="C566" s="37">
        <f ca="1">_xlfn.IFNA(VLOOKUP($A566,INDIRECT("'W"&amp;C$1&amp;"'!$A$2:$T$1000"),4,FALSE),0)</f>
        <v>0</v>
      </c>
      <c r="D566" s="37">
        <f ca="1">_xlfn.IFNA(VLOOKUP($A566,INDIRECT("'W"&amp;D$1&amp;"'!$A$2:$T$1000"),4,FALSE),0)</f>
        <v>0</v>
      </c>
      <c r="E566" s="37">
        <f ca="1">_xlfn.IFNA(VLOOKUP($A566,INDIRECT("'W"&amp;E$1&amp;"'!$A$2:$T$1000"),4,FALSE),0)</f>
        <v>6.58</v>
      </c>
      <c r="F566" s="37">
        <f ca="1">_xlfn.IFNA(VLOOKUP($A566,INDIRECT("'W"&amp;F$1&amp;"'!$A$2:$T$1000"),4,FALSE),0)</f>
        <v>0</v>
      </c>
      <c r="G566" s="37">
        <f ca="1">_xlfn.IFNA(VLOOKUP($A566,INDIRECT("'W"&amp;G$1&amp;"'!$A$2:$T$1000"),4,FALSE),0)</f>
        <v>0</v>
      </c>
      <c r="H566" s="37">
        <f ca="1">_xlfn.IFNA(VLOOKUP($A566,INDIRECT("'W"&amp;H$1&amp;"'!$A$2:$T$1000"),4,FALSE),0)</f>
        <v>-2.4</v>
      </c>
      <c r="I566" s="37">
        <f ca="1">_xlfn.IFNA(VLOOKUP($A566,INDIRECT("'W"&amp;I$1&amp;"'!$A$2:$T$1000"),4,FALSE),0)</f>
        <v>0</v>
      </c>
      <c r="J566" s="37">
        <f ca="1">_xlfn.IFNA(VLOOKUP($A566,INDIRECT("'W"&amp;J$1&amp;"'!$A$2:$T$1000"),4,FALSE),0)</f>
        <v>0</v>
      </c>
      <c r="K566" s="37">
        <f ca="1">_xlfn.IFNA(VLOOKUP($A566,INDIRECT("'W"&amp;K$1&amp;"'!$A$2:$T$1000"),4,FALSE),0)</f>
        <v>0</v>
      </c>
      <c r="L566" s="37">
        <f ca="1">_xlfn.IFNA(VLOOKUP($A566,INDIRECT("'W"&amp;L$1&amp;"'!$A$2:$T$1000"),4,FALSE),0)</f>
        <v>0</v>
      </c>
      <c r="M566" s="37">
        <f ca="1">_xlfn.IFNA(VLOOKUP($A566,INDIRECT("'W"&amp;M$1&amp;"'!$A$2:$T$1000"),4,FALSE),0)</f>
        <v>0</v>
      </c>
      <c r="N566" s="37">
        <f ca="1">_xlfn.IFNA(VLOOKUP($A566,INDIRECT("'W"&amp;N$1&amp;"'!$A$2:$T$1000"),4,FALSE),0)</f>
        <v>-0.2</v>
      </c>
      <c r="O566" s="37">
        <f ca="1">_xlfn.IFNA(VLOOKUP($A566,INDIRECT("'W"&amp;O$1&amp;"'!$A$2:$T$1000"),4,FALSE),0)</f>
        <v>0.12</v>
      </c>
      <c r="P566" s="37">
        <f ca="1">_xlfn.IFNA(VLOOKUP($A566,INDIRECT("'W"&amp;P$1&amp;"'!$A$2:$T$1000"),4,FALSE),0)</f>
        <v>0</v>
      </c>
      <c r="Q566" s="37">
        <f ca="1">_xlfn.IFNA(VLOOKUP($A566,INDIRECT("'W"&amp;Q$1&amp;"'!$A$2:$T$1000"),4,FALSE),0)</f>
        <v>-4.0000000000000008E-2</v>
      </c>
      <c r="R566" s="37">
        <f ca="1">_xlfn.IFNA(VLOOKUP($A566,INDIRECT("'W"&amp;R$1&amp;"'!$A$2:$T$1000"),4,FALSE),0)</f>
        <v>0</v>
      </c>
      <c r="S566" s="37">
        <f ca="1">_xlfn.IFNA(VLOOKUP($A566,INDIRECT("'W"&amp;S$1&amp;"'!$A$2:$T$1000"),4,FALSE),0)</f>
        <v>-2</v>
      </c>
      <c r="T566" s="37">
        <f ca="1">_xlfn.IFNA(VLOOKUP($A566,INDIRECT("'W"&amp;T$1&amp;"'!$A$2:$T$1000"),4,FALSE),0)</f>
        <v>0</v>
      </c>
      <c r="U566" s="36">
        <f ca="1">COUNTIF(C566:T566,"&gt; 15")</f>
        <v>0</v>
      </c>
      <c r="V566" s="36">
        <f ca="1">SUM(C566:T566)</f>
        <v>2.0599999999999996</v>
      </c>
      <c r="W566" s="36"/>
      <c r="X566" s="68"/>
    </row>
    <row r="567" spans="1:24" ht="12.75" x14ac:dyDescent="0.2">
      <c r="A567" s="36" t="s">
        <v>490</v>
      </c>
      <c r="B567" s="36" t="s">
        <v>162</v>
      </c>
      <c r="C567" s="37">
        <f ca="1">_xlfn.IFNA(VLOOKUP($A567,INDIRECT("'W"&amp;C$1&amp;"'!$A$2:$T$1000"),4,FALSE),0)</f>
        <v>0</v>
      </c>
      <c r="D567" s="37">
        <f ca="1">_xlfn.IFNA(VLOOKUP($A567,INDIRECT("'W"&amp;D$1&amp;"'!$A$2:$T$1000"),4,FALSE),0)</f>
        <v>0</v>
      </c>
      <c r="E567" s="37">
        <f ca="1">_xlfn.IFNA(VLOOKUP($A567,INDIRECT("'W"&amp;E$1&amp;"'!$A$2:$T$1000"),4,FALSE),0)</f>
        <v>0</v>
      </c>
      <c r="F567" s="37">
        <f ca="1">_xlfn.IFNA(VLOOKUP($A567,INDIRECT("'W"&amp;F$1&amp;"'!$A$2:$T$1000"),4,FALSE),0)</f>
        <v>2</v>
      </c>
      <c r="G567" s="37">
        <f ca="1">_xlfn.IFNA(VLOOKUP($A567,INDIRECT("'W"&amp;G$1&amp;"'!$A$2:$T$1000"),4,FALSE),0)</f>
        <v>0</v>
      </c>
      <c r="H567" s="37">
        <f ca="1">_xlfn.IFNA(VLOOKUP($A567,INDIRECT("'W"&amp;H$1&amp;"'!$A$2:$T$1000"),4,FALSE),0)</f>
        <v>0</v>
      </c>
      <c r="I567" s="37">
        <f ca="1">_xlfn.IFNA(VLOOKUP($A567,INDIRECT("'W"&amp;I$1&amp;"'!$A$2:$T$1000"),4,FALSE),0)</f>
        <v>0</v>
      </c>
      <c r="J567" s="37">
        <f ca="1">_xlfn.IFNA(VLOOKUP($A567,INDIRECT("'W"&amp;J$1&amp;"'!$A$2:$T$1000"),4,FALSE),0)</f>
        <v>0</v>
      </c>
      <c r="K567" s="37">
        <f ca="1">_xlfn.IFNA(VLOOKUP($A567,INDIRECT("'W"&amp;K$1&amp;"'!$A$2:$T$1000"),4,FALSE),0)</f>
        <v>0</v>
      </c>
      <c r="L567" s="37">
        <f ca="1">_xlfn.IFNA(VLOOKUP($A567,INDIRECT("'W"&amp;L$1&amp;"'!$A$2:$T$1000"),4,FALSE),0)</f>
        <v>0</v>
      </c>
      <c r="M567" s="37">
        <f ca="1">_xlfn.IFNA(VLOOKUP($A567,INDIRECT("'W"&amp;M$1&amp;"'!$A$2:$T$1000"),4,FALSE),0)</f>
        <v>0</v>
      </c>
      <c r="N567" s="37">
        <f ca="1">_xlfn.IFNA(VLOOKUP($A567,INDIRECT("'W"&amp;N$1&amp;"'!$A$2:$T$1000"),4,FALSE),0)</f>
        <v>0</v>
      </c>
      <c r="O567" s="37">
        <f ca="1">_xlfn.IFNA(VLOOKUP($A567,INDIRECT("'W"&amp;O$1&amp;"'!$A$2:$T$1000"),4,FALSE),0)</f>
        <v>0</v>
      </c>
      <c r="P567" s="37">
        <f ca="1">_xlfn.IFNA(VLOOKUP($A567,INDIRECT("'W"&amp;P$1&amp;"'!$A$2:$T$1000"),4,FALSE),0)</f>
        <v>0</v>
      </c>
      <c r="Q567" s="37">
        <f ca="1">_xlfn.IFNA(VLOOKUP($A567,INDIRECT("'W"&amp;Q$1&amp;"'!$A$2:$T$1000"),4,FALSE),0)</f>
        <v>0</v>
      </c>
      <c r="R567" s="37">
        <f ca="1">_xlfn.IFNA(VLOOKUP($A567,INDIRECT("'W"&amp;R$1&amp;"'!$A$2:$T$1000"),4,FALSE),0)</f>
        <v>0</v>
      </c>
      <c r="S567" s="37">
        <f ca="1">_xlfn.IFNA(VLOOKUP($A567,INDIRECT("'W"&amp;S$1&amp;"'!$A$2:$T$1000"),4,FALSE),0)</f>
        <v>0</v>
      </c>
      <c r="T567" s="37">
        <f ca="1">_xlfn.IFNA(VLOOKUP($A567,INDIRECT("'W"&amp;T$1&amp;"'!$A$2:$T$1000"),4,FALSE),0)</f>
        <v>0</v>
      </c>
      <c r="U567" s="36">
        <f ca="1">COUNTIF(C567:T567,"&gt; 15")</f>
        <v>0</v>
      </c>
      <c r="V567" s="36">
        <f ca="1">SUM(C567:T567)</f>
        <v>2</v>
      </c>
      <c r="W567" s="36"/>
      <c r="X567" s="39"/>
    </row>
    <row r="568" spans="1:24" ht="12.75" x14ac:dyDescent="0.2">
      <c r="A568" s="36" t="s">
        <v>558</v>
      </c>
      <c r="B568" s="36" t="s">
        <v>75</v>
      </c>
      <c r="C568" s="37">
        <f ca="1">_xlfn.IFNA(VLOOKUP($A568,INDIRECT("'W"&amp;C$1&amp;"'!$A$2:$T$1000"),4,FALSE),0)</f>
        <v>0</v>
      </c>
      <c r="D568" s="37">
        <f ca="1">_xlfn.IFNA(VLOOKUP($A568,INDIRECT("'W"&amp;D$1&amp;"'!$A$2:$T$1000"),4,FALSE),0)</f>
        <v>0</v>
      </c>
      <c r="E568" s="37">
        <f ca="1">_xlfn.IFNA(VLOOKUP($A568,INDIRECT("'W"&amp;E$1&amp;"'!$A$2:$T$1000"),4,FALSE),0)</f>
        <v>0</v>
      </c>
      <c r="F568" s="37">
        <f ca="1">_xlfn.IFNA(VLOOKUP($A568,INDIRECT("'W"&amp;F$1&amp;"'!$A$2:$T$1000"),4,FALSE),0)</f>
        <v>0</v>
      </c>
      <c r="G568" s="37">
        <f ca="1">_xlfn.IFNA(VLOOKUP($A568,INDIRECT("'W"&amp;G$1&amp;"'!$A$2:$T$1000"),4,FALSE),0)</f>
        <v>0</v>
      </c>
      <c r="H568" s="37">
        <f ca="1">_xlfn.IFNA(VLOOKUP($A568,INDIRECT("'W"&amp;H$1&amp;"'!$A$2:$T$1000"),4,FALSE),0)</f>
        <v>1</v>
      </c>
      <c r="I568" s="37">
        <f ca="1">_xlfn.IFNA(VLOOKUP($A568,INDIRECT("'W"&amp;I$1&amp;"'!$A$2:$T$1000"),4,FALSE),0)</f>
        <v>0</v>
      </c>
      <c r="J568" s="37">
        <f ca="1">_xlfn.IFNA(VLOOKUP($A568,INDIRECT("'W"&amp;J$1&amp;"'!$A$2:$T$1000"),4,FALSE),0)</f>
        <v>0</v>
      </c>
      <c r="K568" s="37">
        <f ca="1">_xlfn.IFNA(VLOOKUP($A568,INDIRECT("'W"&amp;K$1&amp;"'!$A$2:$T$1000"),4,FALSE),0)</f>
        <v>0</v>
      </c>
      <c r="L568" s="37">
        <f ca="1">_xlfn.IFNA(VLOOKUP($A568,INDIRECT("'W"&amp;L$1&amp;"'!$A$2:$T$1000"),4,FALSE),0)</f>
        <v>0</v>
      </c>
      <c r="M568" s="37">
        <f ca="1">_xlfn.IFNA(VLOOKUP($A568,INDIRECT("'W"&amp;M$1&amp;"'!$A$2:$T$1000"),4,FALSE),0)</f>
        <v>0</v>
      </c>
      <c r="N568" s="37">
        <f ca="1">_xlfn.IFNA(VLOOKUP($A568,INDIRECT("'W"&amp;N$1&amp;"'!$A$2:$T$1000"),4,FALSE),0)</f>
        <v>0.60000000000000009</v>
      </c>
      <c r="O568" s="37">
        <f ca="1">_xlfn.IFNA(VLOOKUP($A568,INDIRECT("'W"&amp;O$1&amp;"'!$A$2:$T$1000"),4,FALSE),0)</f>
        <v>0</v>
      </c>
      <c r="P568" s="37">
        <f ca="1">_xlfn.IFNA(VLOOKUP($A568,INDIRECT("'W"&amp;P$1&amp;"'!$A$2:$T$1000"),4,FALSE),0)</f>
        <v>0</v>
      </c>
      <c r="Q568" s="37">
        <f ca="1">_xlfn.IFNA(VLOOKUP($A568,INDIRECT("'W"&amp;Q$1&amp;"'!$A$2:$T$1000"),4,FALSE),0)</f>
        <v>0</v>
      </c>
      <c r="R568" s="37">
        <f ca="1">_xlfn.IFNA(VLOOKUP($A568,INDIRECT("'W"&amp;R$1&amp;"'!$A$2:$T$1000"),4,FALSE),0)</f>
        <v>0</v>
      </c>
      <c r="S568" s="37">
        <f ca="1">_xlfn.IFNA(VLOOKUP($A568,INDIRECT("'W"&amp;S$1&amp;"'!$A$2:$T$1000"),4,FALSE),0)</f>
        <v>0</v>
      </c>
      <c r="T568" s="37">
        <f ca="1">_xlfn.IFNA(VLOOKUP($A568,INDIRECT("'W"&amp;T$1&amp;"'!$A$2:$T$1000"),4,FALSE),0)</f>
        <v>0.30000000000000004</v>
      </c>
      <c r="U568" s="36">
        <f ca="1">COUNTIF(C568:T568,"&gt; 15")</f>
        <v>0</v>
      </c>
      <c r="V568" s="36">
        <f ca="1">SUM(C568:T568)</f>
        <v>1.9000000000000001</v>
      </c>
      <c r="W568" s="36"/>
      <c r="X568" s="68"/>
    </row>
    <row r="569" spans="1:24" ht="12.75" x14ac:dyDescent="0.2">
      <c r="A569" s="36" t="s">
        <v>766</v>
      </c>
      <c r="B569" s="36" t="e">
        <f ca="1">VLOOKUP(A569,CumulativePlayerList!$T$3:$U$550,2,FALSE)</f>
        <v>#NAME?</v>
      </c>
      <c r="C569" s="37">
        <f ca="1">_xlfn.IFNA(VLOOKUP($A569,INDIRECT("'W"&amp;C$1&amp;"'!$A$2:$T$1000"),4,FALSE),0)</f>
        <v>0</v>
      </c>
      <c r="D569" s="37">
        <f ca="1">_xlfn.IFNA(VLOOKUP($A569,INDIRECT("'W"&amp;D$1&amp;"'!$A$2:$T$1000"),4,FALSE),0)</f>
        <v>0</v>
      </c>
      <c r="E569" s="37">
        <f ca="1">_xlfn.IFNA(VLOOKUP($A569,INDIRECT("'W"&amp;E$1&amp;"'!$A$2:$T$1000"),4,FALSE),0)</f>
        <v>0</v>
      </c>
      <c r="F569" s="37">
        <f ca="1">_xlfn.IFNA(VLOOKUP($A569,INDIRECT("'W"&amp;F$1&amp;"'!$A$2:$T$1000"),4,FALSE),0)</f>
        <v>0</v>
      </c>
      <c r="G569" s="37">
        <f ca="1">_xlfn.IFNA(VLOOKUP($A569,INDIRECT("'W"&amp;G$1&amp;"'!$A$2:$T$1000"),4,FALSE),0)</f>
        <v>0</v>
      </c>
      <c r="H569" s="37">
        <f ca="1">_xlfn.IFNA(VLOOKUP($A569,INDIRECT("'W"&amp;H$1&amp;"'!$A$2:$T$1000"),4,FALSE),0)</f>
        <v>0</v>
      </c>
      <c r="I569" s="37">
        <f ca="1">_xlfn.IFNA(VLOOKUP($A569,INDIRECT("'W"&amp;I$1&amp;"'!$A$2:$T$1000"),4,FALSE),0)</f>
        <v>0</v>
      </c>
      <c r="J569" s="37">
        <f ca="1">_xlfn.IFNA(VLOOKUP($A569,INDIRECT("'W"&amp;J$1&amp;"'!$A$2:$T$1000"),4,FALSE),0)</f>
        <v>0</v>
      </c>
      <c r="K569" s="37">
        <f ca="1">_xlfn.IFNA(VLOOKUP($A569,INDIRECT("'W"&amp;K$1&amp;"'!$A$2:$T$1000"),4,FALSE),0)</f>
        <v>0</v>
      </c>
      <c r="L569" s="37">
        <f ca="1">_xlfn.IFNA(VLOOKUP($A569,INDIRECT("'W"&amp;L$1&amp;"'!$A$2:$T$1000"),4,FALSE),0)</f>
        <v>0</v>
      </c>
      <c r="M569" s="37">
        <f ca="1">_xlfn.IFNA(VLOOKUP($A569,INDIRECT("'W"&amp;M$1&amp;"'!$A$2:$T$1000"),4,FALSE),0)</f>
        <v>0</v>
      </c>
      <c r="N569" s="37">
        <f ca="1">_xlfn.IFNA(VLOOKUP($A569,INDIRECT("'W"&amp;N$1&amp;"'!$A$2:$T$1000"),4,FALSE),0)</f>
        <v>0</v>
      </c>
      <c r="O569" s="37">
        <f ca="1">_xlfn.IFNA(VLOOKUP($A569,INDIRECT("'W"&amp;O$1&amp;"'!$A$2:$T$1000"),4,FALSE),0)</f>
        <v>0</v>
      </c>
      <c r="P569" s="37">
        <f ca="1">_xlfn.IFNA(VLOOKUP($A569,INDIRECT("'W"&amp;P$1&amp;"'!$A$2:$T$1000"),4,FALSE),0)</f>
        <v>0</v>
      </c>
      <c r="Q569" s="37">
        <f ca="1">_xlfn.IFNA(VLOOKUP($A569,INDIRECT("'W"&amp;Q$1&amp;"'!$A$2:$T$1000"),4,FALSE),0)</f>
        <v>1.9</v>
      </c>
      <c r="R569" s="37">
        <f ca="1">_xlfn.IFNA(VLOOKUP($A569,INDIRECT("'W"&amp;R$1&amp;"'!$A$2:$T$1000"),4,FALSE),0)</f>
        <v>0</v>
      </c>
      <c r="S569" s="37">
        <f ca="1">_xlfn.IFNA(VLOOKUP($A569,INDIRECT("'W"&amp;S$1&amp;"'!$A$2:$T$1000"),4,FALSE),0)</f>
        <v>0</v>
      </c>
      <c r="T569" s="37">
        <f ca="1">_xlfn.IFNA(VLOOKUP($A569,INDIRECT("'W"&amp;T$1&amp;"'!$A$2:$T$1000"),4,FALSE),0)</f>
        <v>0</v>
      </c>
      <c r="U569" s="36">
        <f ca="1">COUNTIF(C569:T569,"&gt; 15")</f>
        <v>0</v>
      </c>
      <c r="V569" s="36">
        <f ca="1">SUM(C569:T569)</f>
        <v>1.9</v>
      </c>
      <c r="W569" s="36"/>
      <c r="X569" s="39"/>
    </row>
    <row r="570" spans="1:24" ht="12.75" x14ac:dyDescent="0.2">
      <c r="A570" s="36" t="s">
        <v>146</v>
      </c>
      <c r="B570" s="36" t="s">
        <v>75</v>
      </c>
      <c r="C570" s="37">
        <f ca="1">_xlfn.IFNA(VLOOKUP($A570,INDIRECT("'W"&amp;C$1&amp;"'!$A$2:$T$1000"),4,FALSE),0)</f>
        <v>1.7000000000000002</v>
      </c>
      <c r="D570" s="37">
        <f ca="1">_xlfn.IFNA(VLOOKUP($A570,INDIRECT("'W"&amp;D$1&amp;"'!$A$2:$T$1000"),4,FALSE),0)</f>
        <v>0</v>
      </c>
      <c r="E570" s="37">
        <f ca="1">_xlfn.IFNA(VLOOKUP($A570,INDIRECT("'W"&amp;E$1&amp;"'!$A$2:$T$1000"),4,FALSE),0)</f>
        <v>0</v>
      </c>
      <c r="F570" s="37">
        <f ca="1">_xlfn.IFNA(VLOOKUP($A570,INDIRECT("'W"&amp;F$1&amp;"'!$A$2:$T$1000"),4,FALSE),0)</f>
        <v>0</v>
      </c>
      <c r="G570" s="37">
        <f ca="1">_xlfn.IFNA(VLOOKUP($A570,INDIRECT("'W"&amp;G$1&amp;"'!$A$2:$T$1000"),4,FALSE),0)</f>
        <v>0</v>
      </c>
      <c r="H570" s="37">
        <f ca="1">_xlfn.IFNA(VLOOKUP($A570,INDIRECT("'W"&amp;H$1&amp;"'!$A$2:$T$1000"),4,FALSE),0)</f>
        <v>0</v>
      </c>
      <c r="I570" s="37">
        <f ca="1">_xlfn.IFNA(VLOOKUP($A570,INDIRECT("'W"&amp;I$1&amp;"'!$A$2:$T$1000"),4,FALSE),0)</f>
        <v>0</v>
      </c>
      <c r="J570" s="37">
        <f ca="1">_xlfn.IFNA(VLOOKUP($A570,INDIRECT("'W"&amp;J$1&amp;"'!$A$2:$T$1000"),4,FALSE),0)</f>
        <v>0</v>
      </c>
      <c r="K570" s="37">
        <f ca="1">_xlfn.IFNA(VLOOKUP($A570,INDIRECT("'W"&amp;K$1&amp;"'!$A$2:$T$1000"),4,FALSE),0)</f>
        <v>0</v>
      </c>
      <c r="L570" s="37">
        <f ca="1">_xlfn.IFNA(VLOOKUP($A570,INDIRECT("'W"&amp;L$1&amp;"'!$A$2:$T$1000"),4,FALSE),0)</f>
        <v>0</v>
      </c>
      <c r="M570" s="37">
        <f ca="1">_xlfn.IFNA(VLOOKUP($A570,INDIRECT("'W"&amp;M$1&amp;"'!$A$2:$T$1000"),4,FALSE),0)</f>
        <v>0</v>
      </c>
      <c r="N570" s="37">
        <f ca="1">_xlfn.IFNA(VLOOKUP($A570,INDIRECT("'W"&amp;N$1&amp;"'!$A$2:$T$1000"),4,FALSE),0)</f>
        <v>0</v>
      </c>
      <c r="O570" s="37">
        <f ca="1">_xlfn.IFNA(VLOOKUP($A570,INDIRECT("'W"&amp;O$1&amp;"'!$A$2:$T$1000"),4,FALSE),0)</f>
        <v>0</v>
      </c>
      <c r="P570" s="37">
        <f ca="1">_xlfn.IFNA(VLOOKUP($A570,INDIRECT("'W"&amp;P$1&amp;"'!$A$2:$T$1000"),4,FALSE),0)</f>
        <v>0</v>
      </c>
      <c r="Q570" s="37">
        <f ca="1">_xlfn.IFNA(VLOOKUP($A570,INDIRECT("'W"&amp;Q$1&amp;"'!$A$2:$T$1000"),4,FALSE),0)</f>
        <v>0</v>
      </c>
      <c r="R570" s="37">
        <f ca="1">_xlfn.IFNA(VLOOKUP($A570,INDIRECT("'W"&amp;R$1&amp;"'!$A$2:$T$1000"),4,FALSE),0)</f>
        <v>0</v>
      </c>
      <c r="S570" s="37">
        <f ca="1">_xlfn.IFNA(VLOOKUP($A570,INDIRECT("'W"&amp;S$1&amp;"'!$A$2:$T$1000"),4,FALSE),0)</f>
        <v>0</v>
      </c>
      <c r="T570" s="37">
        <f ca="1">_xlfn.IFNA(VLOOKUP($A570,INDIRECT("'W"&amp;T$1&amp;"'!$A$2:$T$1000"),4,FALSE),0)</f>
        <v>0</v>
      </c>
      <c r="U570" s="36">
        <f ca="1">COUNTIF(C570:T570,"&gt; 15")</f>
        <v>0</v>
      </c>
      <c r="V570" s="36">
        <f ca="1">SUM(C570:T570)</f>
        <v>1.7000000000000002</v>
      </c>
      <c r="W570" s="36"/>
      <c r="X570" s="68"/>
    </row>
    <row r="571" spans="1:24" ht="12.75" x14ac:dyDescent="0.2">
      <c r="A571" s="36" t="s">
        <v>787</v>
      </c>
      <c r="B571" s="36" t="e">
        <f ca="1">VLOOKUP(A571,CumulativePlayerList!$T$3:$U$550,2,FALSE)</f>
        <v>#NAME?</v>
      </c>
      <c r="C571" s="37">
        <f ca="1">_xlfn.IFNA(VLOOKUP($A571,INDIRECT("'W"&amp;C$1&amp;"'!$A$2:$T$1000"),4,FALSE),0)</f>
        <v>0</v>
      </c>
      <c r="D571" s="37">
        <f ca="1">_xlfn.IFNA(VLOOKUP($A571,INDIRECT("'W"&amp;D$1&amp;"'!$A$2:$T$1000"),4,FALSE),0)</f>
        <v>0</v>
      </c>
      <c r="E571" s="37">
        <f ca="1">_xlfn.IFNA(VLOOKUP($A571,INDIRECT("'W"&amp;E$1&amp;"'!$A$2:$T$1000"),4,FALSE),0)</f>
        <v>0</v>
      </c>
      <c r="F571" s="37">
        <f ca="1">_xlfn.IFNA(VLOOKUP($A571,INDIRECT("'W"&amp;F$1&amp;"'!$A$2:$T$1000"),4,FALSE),0)</f>
        <v>0</v>
      </c>
      <c r="G571" s="37">
        <f ca="1">_xlfn.IFNA(VLOOKUP($A571,INDIRECT("'W"&amp;G$1&amp;"'!$A$2:$T$1000"),4,FALSE),0)</f>
        <v>0</v>
      </c>
      <c r="H571" s="37">
        <f ca="1">_xlfn.IFNA(VLOOKUP($A571,INDIRECT("'W"&amp;H$1&amp;"'!$A$2:$T$1000"),4,FALSE),0)</f>
        <v>0</v>
      </c>
      <c r="I571" s="37">
        <f ca="1">_xlfn.IFNA(VLOOKUP($A571,INDIRECT("'W"&amp;I$1&amp;"'!$A$2:$T$1000"),4,FALSE),0)</f>
        <v>0</v>
      </c>
      <c r="J571" s="37">
        <f ca="1">_xlfn.IFNA(VLOOKUP($A571,INDIRECT("'W"&amp;J$1&amp;"'!$A$2:$T$1000"),4,FALSE),0)</f>
        <v>0</v>
      </c>
      <c r="K571" s="37">
        <f ca="1">_xlfn.IFNA(VLOOKUP($A571,INDIRECT("'W"&amp;K$1&amp;"'!$A$2:$T$1000"),4,FALSE),0)</f>
        <v>0</v>
      </c>
      <c r="L571" s="37">
        <f ca="1">_xlfn.IFNA(VLOOKUP($A571,INDIRECT("'W"&amp;L$1&amp;"'!$A$2:$T$1000"),4,FALSE),0)</f>
        <v>0</v>
      </c>
      <c r="M571" s="37">
        <f ca="1">_xlfn.IFNA(VLOOKUP($A571,INDIRECT("'W"&amp;M$1&amp;"'!$A$2:$T$1000"),4,FALSE),0)</f>
        <v>0</v>
      </c>
      <c r="N571" s="37">
        <f ca="1">_xlfn.IFNA(VLOOKUP($A571,INDIRECT("'W"&amp;N$1&amp;"'!$A$2:$T$1000"),4,FALSE),0)</f>
        <v>0</v>
      </c>
      <c r="O571" s="37">
        <f ca="1">_xlfn.IFNA(VLOOKUP($A571,INDIRECT("'W"&amp;O$1&amp;"'!$A$2:$T$1000"),4,FALSE),0)</f>
        <v>0</v>
      </c>
      <c r="P571" s="37">
        <f ca="1">_xlfn.IFNA(VLOOKUP($A571,INDIRECT("'W"&amp;P$1&amp;"'!$A$2:$T$1000"),4,FALSE),0)</f>
        <v>0</v>
      </c>
      <c r="Q571" s="37">
        <f ca="1">_xlfn.IFNA(VLOOKUP($A571,INDIRECT("'W"&amp;Q$1&amp;"'!$A$2:$T$1000"),4,FALSE),0)</f>
        <v>0</v>
      </c>
      <c r="R571" s="37">
        <f ca="1">_xlfn.IFNA(VLOOKUP($A571,INDIRECT("'W"&amp;R$1&amp;"'!$A$2:$T$1000"),4,FALSE),0)</f>
        <v>1.6</v>
      </c>
      <c r="S571" s="37">
        <f ca="1">_xlfn.IFNA(VLOOKUP($A571,INDIRECT("'W"&amp;S$1&amp;"'!$A$2:$T$1000"),4,FALSE),0)</f>
        <v>0</v>
      </c>
      <c r="T571" s="37">
        <f ca="1">_xlfn.IFNA(VLOOKUP($A571,INDIRECT("'W"&amp;T$1&amp;"'!$A$2:$T$1000"),4,FALSE),0)</f>
        <v>0</v>
      </c>
      <c r="U571" s="36">
        <f ca="1">COUNTIF(C571:T571,"&gt; 15")</f>
        <v>0</v>
      </c>
      <c r="V571" s="36">
        <f ca="1">SUM(C571:T571)</f>
        <v>1.6</v>
      </c>
      <c r="W571" s="36"/>
      <c r="X571" s="39"/>
    </row>
    <row r="572" spans="1:24" ht="12.75" x14ac:dyDescent="0.2">
      <c r="A572" s="36" t="s">
        <v>813</v>
      </c>
      <c r="B572" s="36" t="e">
        <f ca="1">VLOOKUP(A572,CumulativePlayerList!$T$3:$U$550,2,FALSE)</f>
        <v>#NAME?</v>
      </c>
      <c r="C572" s="37">
        <f ca="1">_xlfn.IFNA(VLOOKUP($A572,INDIRECT("'W"&amp;C$1&amp;"'!$A$2:$T$1000"),4,FALSE),0)</f>
        <v>0</v>
      </c>
      <c r="D572" s="37">
        <f ca="1">_xlfn.IFNA(VLOOKUP($A572,INDIRECT("'W"&amp;D$1&amp;"'!$A$2:$T$1000"),4,FALSE),0)</f>
        <v>0</v>
      </c>
      <c r="E572" s="37">
        <f ca="1">_xlfn.IFNA(VLOOKUP($A572,INDIRECT("'W"&amp;E$1&amp;"'!$A$2:$T$1000"),4,FALSE),0)</f>
        <v>0</v>
      </c>
      <c r="F572" s="37">
        <f ca="1">_xlfn.IFNA(VLOOKUP($A572,INDIRECT("'W"&amp;F$1&amp;"'!$A$2:$T$1000"),4,FALSE),0)</f>
        <v>0</v>
      </c>
      <c r="G572" s="37">
        <f ca="1">_xlfn.IFNA(VLOOKUP($A572,INDIRECT("'W"&amp;G$1&amp;"'!$A$2:$T$1000"),4,FALSE),0)</f>
        <v>0</v>
      </c>
      <c r="H572" s="37">
        <f ca="1">_xlfn.IFNA(VLOOKUP($A572,INDIRECT("'W"&amp;H$1&amp;"'!$A$2:$T$1000"),4,FALSE),0)</f>
        <v>0</v>
      </c>
      <c r="I572" s="37">
        <f ca="1">_xlfn.IFNA(VLOOKUP($A572,INDIRECT("'W"&amp;I$1&amp;"'!$A$2:$T$1000"),4,FALSE),0)</f>
        <v>0</v>
      </c>
      <c r="J572" s="37">
        <f ca="1">_xlfn.IFNA(VLOOKUP($A572,INDIRECT("'W"&amp;J$1&amp;"'!$A$2:$T$1000"),4,FALSE),0)</f>
        <v>0</v>
      </c>
      <c r="K572" s="37">
        <f ca="1">_xlfn.IFNA(VLOOKUP($A572,INDIRECT("'W"&amp;K$1&amp;"'!$A$2:$T$1000"),4,FALSE),0)</f>
        <v>0</v>
      </c>
      <c r="L572" s="37">
        <f ca="1">_xlfn.IFNA(VLOOKUP($A572,INDIRECT("'W"&amp;L$1&amp;"'!$A$2:$T$1000"),4,FALSE),0)</f>
        <v>0</v>
      </c>
      <c r="M572" s="37">
        <f ca="1">_xlfn.IFNA(VLOOKUP($A572,INDIRECT("'W"&amp;M$1&amp;"'!$A$2:$T$1000"),4,FALSE),0)</f>
        <v>0</v>
      </c>
      <c r="N572" s="37">
        <f ca="1">_xlfn.IFNA(VLOOKUP($A572,INDIRECT("'W"&amp;N$1&amp;"'!$A$2:$T$1000"),4,FALSE),0)</f>
        <v>0</v>
      </c>
      <c r="O572" s="37">
        <f ca="1">_xlfn.IFNA(VLOOKUP($A572,INDIRECT("'W"&amp;O$1&amp;"'!$A$2:$T$1000"),4,FALSE),0)</f>
        <v>0</v>
      </c>
      <c r="P572" s="37">
        <f ca="1">_xlfn.IFNA(VLOOKUP($A572,INDIRECT("'W"&amp;P$1&amp;"'!$A$2:$T$1000"),4,FALSE),0)</f>
        <v>0</v>
      </c>
      <c r="Q572" s="37">
        <f ca="1">_xlfn.IFNA(VLOOKUP($A572,INDIRECT("'W"&amp;Q$1&amp;"'!$A$2:$T$1000"),4,FALSE),0)</f>
        <v>0</v>
      </c>
      <c r="R572" s="37">
        <f ca="1">_xlfn.IFNA(VLOOKUP($A572,INDIRECT("'W"&amp;R$1&amp;"'!$A$2:$T$1000"),4,FALSE),0)</f>
        <v>0</v>
      </c>
      <c r="S572" s="37">
        <f ca="1">_xlfn.IFNA(VLOOKUP($A572,INDIRECT("'W"&amp;S$1&amp;"'!$A$2:$T$1000"),4,FALSE),0)</f>
        <v>1.6</v>
      </c>
      <c r="T572" s="37">
        <f ca="1">_xlfn.IFNA(VLOOKUP($A572,INDIRECT("'W"&amp;T$1&amp;"'!$A$2:$T$1000"),4,FALSE),0)</f>
        <v>0</v>
      </c>
      <c r="U572" s="36">
        <f ca="1">COUNTIF(C572:T572,"&gt; 15")</f>
        <v>0</v>
      </c>
      <c r="V572" s="36">
        <f ca="1">SUM(C572:T572)</f>
        <v>1.6</v>
      </c>
      <c r="W572" s="36"/>
      <c r="X572" s="39"/>
    </row>
    <row r="573" spans="1:24" ht="12.75" x14ac:dyDescent="0.2">
      <c r="A573" s="36" t="s">
        <v>789</v>
      </c>
      <c r="B573" s="36" t="e">
        <f ca="1">VLOOKUP(A573,CumulativePlayerList!$T$3:$U$550,2,FALSE)</f>
        <v>#NAME?</v>
      </c>
      <c r="C573" s="37">
        <f ca="1">_xlfn.IFNA(VLOOKUP($A573,INDIRECT("'W"&amp;C$1&amp;"'!$A$2:$T$1000"),4,FALSE),0)</f>
        <v>0</v>
      </c>
      <c r="D573" s="37">
        <f ca="1">_xlfn.IFNA(VLOOKUP($A573,INDIRECT("'W"&amp;D$1&amp;"'!$A$2:$T$1000"),4,FALSE),0)</f>
        <v>0</v>
      </c>
      <c r="E573" s="37">
        <f ca="1">_xlfn.IFNA(VLOOKUP($A573,INDIRECT("'W"&amp;E$1&amp;"'!$A$2:$T$1000"),4,FALSE),0)</f>
        <v>0</v>
      </c>
      <c r="F573" s="37">
        <f ca="1">_xlfn.IFNA(VLOOKUP($A573,INDIRECT("'W"&amp;F$1&amp;"'!$A$2:$T$1000"),4,FALSE),0)</f>
        <v>0</v>
      </c>
      <c r="G573" s="37">
        <f ca="1">_xlfn.IFNA(VLOOKUP($A573,INDIRECT("'W"&amp;G$1&amp;"'!$A$2:$T$1000"),4,FALSE),0)</f>
        <v>0</v>
      </c>
      <c r="H573" s="37">
        <f ca="1">_xlfn.IFNA(VLOOKUP($A573,INDIRECT("'W"&amp;H$1&amp;"'!$A$2:$T$1000"),4,FALSE),0)</f>
        <v>0</v>
      </c>
      <c r="I573" s="37">
        <f ca="1">_xlfn.IFNA(VLOOKUP($A573,INDIRECT("'W"&amp;I$1&amp;"'!$A$2:$T$1000"),4,FALSE),0)</f>
        <v>0</v>
      </c>
      <c r="J573" s="37">
        <f ca="1">_xlfn.IFNA(VLOOKUP($A573,INDIRECT("'W"&amp;J$1&amp;"'!$A$2:$T$1000"),4,FALSE),0)</f>
        <v>0</v>
      </c>
      <c r="K573" s="37">
        <f ca="1">_xlfn.IFNA(VLOOKUP($A573,INDIRECT("'W"&amp;K$1&amp;"'!$A$2:$T$1000"),4,FALSE),0)</f>
        <v>0</v>
      </c>
      <c r="L573" s="37">
        <f ca="1">_xlfn.IFNA(VLOOKUP($A573,INDIRECT("'W"&amp;L$1&amp;"'!$A$2:$T$1000"),4,FALSE),0)</f>
        <v>0</v>
      </c>
      <c r="M573" s="37">
        <f ca="1">_xlfn.IFNA(VLOOKUP($A573,INDIRECT("'W"&amp;M$1&amp;"'!$A$2:$T$1000"),4,FALSE),0)</f>
        <v>0</v>
      </c>
      <c r="N573" s="37">
        <f ca="1">_xlfn.IFNA(VLOOKUP($A573,INDIRECT("'W"&amp;N$1&amp;"'!$A$2:$T$1000"),4,FALSE),0)</f>
        <v>0</v>
      </c>
      <c r="O573" s="37">
        <f ca="1">_xlfn.IFNA(VLOOKUP($A573,INDIRECT("'W"&amp;O$1&amp;"'!$A$2:$T$1000"),4,FALSE),0)</f>
        <v>0</v>
      </c>
      <c r="P573" s="37">
        <f ca="1">_xlfn.IFNA(VLOOKUP($A573,INDIRECT("'W"&amp;P$1&amp;"'!$A$2:$T$1000"),4,FALSE),0)</f>
        <v>0</v>
      </c>
      <c r="Q573" s="37">
        <f ca="1">_xlfn.IFNA(VLOOKUP($A573,INDIRECT("'W"&amp;Q$1&amp;"'!$A$2:$T$1000"),4,FALSE),0)</f>
        <v>0</v>
      </c>
      <c r="R573" s="37">
        <f ca="1">_xlfn.IFNA(VLOOKUP($A573,INDIRECT("'W"&amp;R$1&amp;"'!$A$2:$T$1000"),4,FALSE),0)</f>
        <v>1.6</v>
      </c>
      <c r="S573" s="37">
        <f ca="1">_xlfn.IFNA(VLOOKUP($A573,INDIRECT("'W"&amp;S$1&amp;"'!$A$2:$T$1000"),4,FALSE),0)</f>
        <v>0</v>
      </c>
      <c r="T573" s="37">
        <f ca="1">_xlfn.IFNA(VLOOKUP($A573,INDIRECT("'W"&amp;T$1&amp;"'!$A$2:$T$1000"),4,FALSE),0)</f>
        <v>0</v>
      </c>
      <c r="U573" s="36">
        <f ca="1">COUNTIF(C573:T573,"&gt; 15")</f>
        <v>0</v>
      </c>
      <c r="V573" s="36">
        <f ca="1">SUM(C573:T573)</f>
        <v>1.6</v>
      </c>
      <c r="W573" s="36"/>
      <c r="X573" s="39"/>
    </row>
    <row r="574" spans="1:24" ht="12.75" x14ac:dyDescent="0.2">
      <c r="A574" s="36" t="s">
        <v>581</v>
      </c>
      <c r="B574" s="36" t="s">
        <v>69</v>
      </c>
      <c r="C574" s="37">
        <f ca="1">_xlfn.IFNA(VLOOKUP($A574,INDIRECT("'W"&amp;C$1&amp;"'!$A$2:$T$1000"),4,FALSE),0)</f>
        <v>0</v>
      </c>
      <c r="D574" s="37">
        <f ca="1">_xlfn.IFNA(VLOOKUP($A574,INDIRECT("'W"&amp;D$1&amp;"'!$A$2:$T$1000"),4,FALSE),0)</f>
        <v>0</v>
      </c>
      <c r="E574" s="37">
        <f ca="1">_xlfn.IFNA(VLOOKUP($A574,INDIRECT("'W"&amp;E$1&amp;"'!$A$2:$T$1000"),4,FALSE),0)</f>
        <v>0</v>
      </c>
      <c r="F574" s="37">
        <f ca="1">_xlfn.IFNA(VLOOKUP($A574,INDIRECT("'W"&amp;F$1&amp;"'!$A$2:$T$1000"),4,FALSE),0)</f>
        <v>0</v>
      </c>
      <c r="G574" s="37">
        <f ca="1">_xlfn.IFNA(VLOOKUP($A574,INDIRECT("'W"&amp;G$1&amp;"'!$A$2:$T$1000"),4,FALSE),0)</f>
        <v>0</v>
      </c>
      <c r="H574" s="37">
        <f ca="1">_xlfn.IFNA(VLOOKUP($A574,INDIRECT("'W"&amp;H$1&amp;"'!$A$2:$T$1000"),4,FALSE),0)</f>
        <v>0</v>
      </c>
      <c r="I574" s="37">
        <f ca="1">_xlfn.IFNA(VLOOKUP($A574,INDIRECT("'W"&amp;I$1&amp;"'!$A$2:$T$1000"),4,FALSE),0)</f>
        <v>1.4</v>
      </c>
      <c r="J574" s="37">
        <f ca="1">_xlfn.IFNA(VLOOKUP($A574,INDIRECT("'W"&amp;J$1&amp;"'!$A$2:$T$1000"),4,FALSE),0)</f>
        <v>0</v>
      </c>
      <c r="K574" s="37">
        <f ca="1">_xlfn.IFNA(VLOOKUP($A574,INDIRECT("'W"&amp;K$1&amp;"'!$A$2:$T$1000"),4,FALSE),0)</f>
        <v>0</v>
      </c>
      <c r="L574" s="37">
        <f ca="1">_xlfn.IFNA(VLOOKUP($A574,INDIRECT("'W"&amp;L$1&amp;"'!$A$2:$T$1000"),4,FALSE),0)</f>
        <v>0</v>
      </c>
      <c r="M574" s="37">
        <f ca="1">_xlfn.IFNA(VLOOKUP($A574,INDIRECT("'W"&amp;M$1&amp;"'!$A$2:$T$1000"),4,FALSE),0)</f>
        <v>0</v>
      </c>
      <c r="N574" s="37">
        <f ca="1">_xlfn.IFNA(VLOOKUP($A574,INDIRECT("'W"&amp;N$1&amp;"'!$A$2:$T$1000"),4,FALSE),0)</f>
        <v>0</v>
      </c>
      <c r="O574" s="37">
        <f ca="1">_xlfn.IFNA(VLOOKUP($A574,INDIRECT("'W"&amp;O$1&amp;"'!$A$2:$T$1000"),4,FALSE),0)</f>
        <v>0</v>
      </c>
      <c r="P574" s="37">
        <f ca="1">_xlfn.IFNA(VLOOKUP($A574,INDIRECT("'W"&amp;P$1&amp;"'!$A$2:$T$1000"),4,FALSE),0)</f>
        <v>0</v>
      </c>
      <c r="Q574" s="37">
        <f ca="1">_xlfn.IFNA(VLOOKUP($A574,INDIRECT("'W"&amp;Q$1&amp;"'!$A$2:$T$1000"),4,FALSE),0)</f>
        <v>0</v>
      </c>
      <c r="R574" s="37">
        <f ca="1">_xlfn.IFNA(VLOOKUP($A574,INDIRECT("'W"&amp;R$1&amp;"'!$A$2:$T$1000"),4,FALSE),0)</f>
        <v>0</v>
      </c>
      <c r="S574" s="37">
        <f ca="1">_xlfn.IFNA(VLOOKUP($A574,INDIRECT("'W"&amp;S$1&amp;"'!$A$2:$T$1000"),4,FALSE),0)</f>
        <v>0</v>
      </c>
      <c r="T574" s="37">
        <f ca="1">_xlfn.IFNA(VLOOKUP($A574,INDIRECT("'W"&amp;T$1&amp;"'!$A$2:$T$1000"),4,FALSE),0)</f>
        <v>0</v>
      </c>
      <c r="U574" s="36">
        <f ca="1">COUNTIF(C574:T574,"&gt; 15")</f>
        <v>0</v>
      </c>
      <c r="V574" s="36">
        <f ca="1">SUM(C574:T574)</f>
        <v>1.4</v>
      </c>
      <c r="W574" s="36"/>
      <c r="X574" s="68"/>
    </row>
    <row r="575" spans="1:24" ht="12.75" x14ac:dyDescent="0.2">
      <c r="A575" s="36" t="s">
        <v>654</v>
      </c>
      <c r="B575" s="36" t="s">
        <v>75</v>
      </c>
      <c r="C575" s="37">
        <f ca="1">_xlfn.IFNA(VLOOKUP($A575,INDIRECT("'W"&amp;C$1&amp;"'!$A$2:$T$1000"),4,FALSE),0)</f>
        <v>0</v>
      </c>
      <c r="D575" s="37">
        <f ca="1">_xlfn.IFNA(VLOOKUP($A575,INDIRECT("'W"&amp;D$1&amp;"'!$A$2:$T$1000"),4,FALSE),0)</f>
        <v>0</v>
      </c>
      <c r="E575" s="37">
        <f ca="1">_xlfn.IFNA(VLOOKUP($A575,INDIRECT("'W"&amp;E$1&amp;"'!$A$2:$T$1000"),4,FALSE),0)</f>
        <v>0</v>
      </c>
      <c r="F575" s="37">
        <f ca="1">_xlfn.IFNA(VLOOKUP($A575,INDIRECT("'W"&amp;F$1&amp;"'!$A$2:$T$1000"),4,FALSE),0)</f>
        <v>0</v>
      </c>
      <c r="G575" s="37">
        <f ca="1">_xlfn.IFNA(VLOOKUP($A575,INDIRECT("'W"&amp;G$1&amp;"'!$A$2:$T$1000"),4,FALSE),0)</f>
        <v>0</v>
      </c>
      <c r="H575" s="37">
        <f ca="1">_xlfn.IFNA(VLOOKUP($A575,INDIRECT("'W"&amp;H$1&amp;"'!$A$2:$T$1000"),4,FALSE),0)</f>
        <v>0</v>
      </c>
      <c r="I575" s="37">
        <f ca="1">_xlfn.IFNA(VLOOKUP($A575,INDIRECT("'W"&amp;I$1&amp;"'!$A$2:$T$1000"),4,FALSE),0)</f>
        <v>0</v>
      </c>
      <c r="J575" s="37">
        <f ca="1">_xlfn.IFNA(VLOOKUP($A575,INDIRECT("'W"&amp;J$1&amp;"'!$A$2:$T$1000"),4,FALSE),0)</f>
        <v>0</v>
      </c>
      <c r="K575" s="37">
        <f ca="1">_xlfn.IFNA(VLOOKUP($A575,INDIRECT("'W"&amp;K$1&amp;"'!$A$2:$T$1000"),4,FALSE),0)</f>
        <v>0</v>
      </c>
      <c r="L575" s="37">
        <f ca="1">_xlfn.IFNA(VLOOKUP($A575,INDIRECT("'W"&amp;L$1&amp;"'!$A$2:$T$1000"),4,FALSE),0)</f>
        <v>0.9</v>
      </c>
      <c r="M575" s="37">
        <f ca="1">_xlfn.IFNA(VLOOKUP($A575,INDIRECT("'W"&amp;M$1&amp;"'!$A$2:$T$1000"),4,FALSE),0)</f>
        <v>0</v>
      </c>
      <c r="N575" s="37">
        <f ca="1">_xlfn.IFNA(VLOOKUP($A575,INDIRECT("'W"&amp;N$1&amp;"'!$A$2:$T$1000"),4,FALSE),0)</f>
        <v>0</v>
      </c>
      <c r="O575" s="37">
        <f ca="1">_xlfn.IFNA(VLOOKUP($A575,INDIRECT("'W"&amp;O$1&amp;"'!$A$2:$T$1000"),4,FALSE),0)</f>
        <v>0</v>
      </c>
      <c r="P575" s="37">
        <f ca="1">_xlfn.IFNA(VLOOKUP($A575,INDIRECT("'W"&amp;P$1&amp;"'!$A$2:$T$1000"),4,FALSE),0)</f>
        <v>0.30000000000000004</v>
      </c>
      <c r="Q575" s="37">
        <f ca="1">_xlfn.IFNA(VLOOKUP($A575,INDIRECT("'W"&amp;Q$1&amp;"'!$A$2:$T$1000"),4,FALSE),0)</f>
        <v>0.1</v>
      </c>
      <c r="R575" s="37">
        <f ca="1">_xlfn.IFNA(VLOOKUP($A575,INDIRECT("'W"&amp;R$1&amp;"'!$A$2:$T$1000"),4,FALSE),0)</f>
        <v>0</v>
      </c>
      <c r="S575" s="37">
        <f ca="1">_xlfn.IFNA(VLOOKUP($A575,INDIRECT("'W"&amp;S$1&amp;"'!$A$2:$T$1000"),4,FALSE),0)</f>
        <v>0</v>
      </c>
      <c r="T575" s="37">
        <f ca="1">_xlfn.IFNA(VLOOKUP($A575,INDIRECT("'W"&amp;T$1&amp;"'!$A$2:$T$1000"),4,FALSE),0)</f>
        <v>0</v>
      </c>
      <c r="U575" s="36">
        <f ca="1">COUNTIF(C575:T575,"&gt; 15")</f>
        <v>0</v>
      </c>
      <c r="V575" s="36">
        <f ca="1">SUM(C575:T575)</f>
        <v>1.3000000000000003</v>
      </c>
      <c r="W575" s="36"/>
      <c r="X575" s="68"/>
    </row>
    <row r="576" spans="1:24" ht="12.75" x14ac:dyDescent="0.2">
      <c r="A576" s="36" t="s">
        <v>386</v>
      </c>
      <c r="B576" s="36" t="s">
        <v>75</v>
      </c>
      <c r="C576" s="37">
        <f ca="1">_xlfn.IFNA(VLOOKUP($A576,INDIRECT("'W"&amp;C$1&amp;"'!$A$2:$T$1000"),4,FALSE),0)</f>
        <v>0</v>
      </c>
      <c r="D576" s="37">
        <f ca="1">_xlfn.IFNA(VLOOKUP($A576,INDIRECT("'W"&amp;D$1&amp;"'!$A$2:$T$1000"),4,FALSE),0)</f>
        <v>1.3</v>
      </c>
      <c r="E576" s="37">
        <f ca="1">_xlfn.IFNA(VLOOKUP($A576,INDIRECT("'W"&amp;E$1&amp;"'!$A$2:$T$1000"),4,FALSE),0)</f>
        <v>0</v>
      </c>
      <c r="F576" s="37">
        <f ca="1">_xlfn.IFNA(VLOOKUP($A576,INDIRECT("'W"&amp;F$1&amp;"'!$A$2:$T$1000"),4,FALSE),0)</f>
        <v>0</v>
      </c>
      <c r="G576" s="37">
        <f ca="1">_xlfn.IFNA(VLOOKUP($A576,INDIRECT("'W"&amp;G$1&amp;"'!$A$2:$T$1000"),4,FALSE),0)</f>
        <v>0</v>
      </c>
      <c r="H576" s="37">
        <f ca="1">_xlfn.IFNA(VLOOKUP($A576,INDIRECT("'W"&amp;H$1&amp;"'!$A$2:$T$1000"),4,FALSE),0)</f>
        <v>0</v>
      </c>
      <c r="I576" s="37">
        <f ca="1">_xlfn.IFNA(VLOOKUP($A576,INDIRECT("'W"&amp;I$1&amp;"'!$A$2:$T$1000"),4,FALSE),0)</f>
        <v>0</v>
      </c>
      <c r="J576" s="37">
        <f ca="1">_xlfn.IFNA(VLOOKUP($A576,INDIRECT("'W"&amp;J$1&amp;"'!$A$2:$T$1000"),4,FALSE),0)</f>
        <v>0</v>
      </c>
      <c r="K576" s="37">
        <f ca="1">_xlfn.IFNA(VLOOKUP($A576,INDIRECT("'W"&amp;K$1&amp;"'!$A$2:$T$1000"),4,FALSE),0)</f>
        <v>0</v>
      </c>
      <c r="L576" s="37">
        <f ca="1">_xlfn.IFNA(VLOOKUP($A576,INDIRECT("'W"&amp;L$1&amp;"'!$A$2:$T$1000"),4,FALSE),0)</f>
        <v>0</v>
      </c>
      <c r="M576" s="37">
        <f ca="1">_xlfn.IFNA(VLOOKUP($A576,INDIRECT("'W"&amp;M$1&amp;"'!$A$2:$T$1000"),4,FALSE),0)</f>
        <v>0</v>
      </c>
      <c r="N576" s="37">
        <f ca="1">_xlfn.IFNA(VLOOKUP($A576,INDIRECT("'W"&amp;N$1&amp;"'!$A$2:$T$1000"),4,FALSE),0)</f>
        <v>0</v>
      </c>
      <c r="O576" s="37">
        <f ca="1">_xlfn.IFNA(VLOOKUP($A576,INDIRECT("'W"&amp;O$1&amp;"'!$A$2:$T$1000"),4,FALSE),0)</f>
        <v>0</v>
      </c>
      <c r="P576" s="37">
        <f ca="1">_xlfn.IFNA(VLOOKUP($A576,INDIRECT("'W"&amp;P$1&amp;"'!$A$2:$T$1000"),4,FALSE),0)</f>
        <v>0</v>
      </c>
      <c r="Q576" s="37">
        <f ca="1">_xlfn.IFNA(VLOOKUP($A576,INDIRECT("'W"&amp;Q$1&amp;"'!$A$2:$T$1000"),4,FALSE),0)</f>
        <v>0</v>
      </c>
      <c r="R576" s="37">
        <f ca="1">_xlfn.IFNA(VLOOKUP($A576,INDIRECT("'W"&amp;R$1&amp;"'!$A$2:$T$1000"),4,FALSE),0)</f>
        <v>0</v>
      </c>
      <c r="S576" s="37">
        <f ca="1">_xlfn.IFNA(VLOOKUP($A576,INDIRECT("'W"&amp;S$1&amp;"'!$A$2:$T$1000"),4,FALSE),0)</f>
        <v>0</v>
      </c>
      <c r="T576" s="37">
        <f ca="1">_xlfn.IFNA(VLOOKUP($A576,INDIRECT("'W"&amp;T$1&amp;"'!$A$2:$T$1000"),4,FALSE),0)</f>
        <v>0</v>
      </c>
      <c r="U576" s="36">
        <f ca="1">COUNTIF(C576:T576,"&gt; 15")</f>
        <v>0</v>
      </c>
      <c r="V576" s="36">
        <f ca="1">SUM(C576:T576)</f>
        <v>1.3</v>
      </c>
      <c r="W576" s="36"/>
      <c r="X576" s="68"/>
    </row>
    <row r="577" spans="1:24" ht="12.75" x14ac:dyDescent="0.2">
      <c r="A577" s="36" t="s">
        <v>786</v>
      </c>
      <c r="B577" s="36" t="e">
        <f ca="1">VLOOKUP(A577,CumulativePlayerList!$T$3:$U$550,2,FALSE)</f>
        <v>#NAME?</v>
      </c>
      <c r="C577" s="37">
        <f ca="1">_xlfn.IFNA(VLOOKUP($A577,INDIRECT("'W"&amp;C$1&amp;"'!$A$2:$T$1000"),4,FALSE),0)</f>
        <v>0</v>
      </c>
      <c r="D577" s="37">
        <f ca="1">_xlfn.IFNA(VLOOKUP($A577,INDIRECT("'W"&amp;D$1&amp;"'!$A$2:$T$1000"),4,FALSE),0)</f>
        <v>0</v>
      </c>
      <c r="E577" s="37">
        <f ca="1">_xlfn.IFNA(VLOOKUP($A577,INDIRECT("'W"&amp;E$1&amp;"'!$A$2:$T$1000"),4,FALSE),0)</f>
        <v>0</v>
      </c>
      <c r="F577" s="37">
        <f ca="1">_xlfn.IFNA(VLOOKUP($A577,INDIRECT("'W"&amp;F$1&amp;"'!$A$2:$T$1000"),4,FALSE),0)</f>
        <v>0</v>
      </c>
      <c r="G577" s="37">
        <f ca="1">_xlfn.IFNA(VLOOKUP($A577,INDIRECT("'W"&amp;G$1&amp;"'!$A$2:$T$1000"),4,FALSE),0)</f>
        <v>0</v>
      </c>
      <c r="H577" s="37">
        <f ca="1">_xlfn.IFNA(VLOOKUP($A577,INDIRECT("'W"&amp;H$1&amp;"'!$A$2:$T$1000"),4,FALSE),0)</f>
        <v>0</v>
      </c>
      <c r="I577" s="37">
        <f ca="1">_xlfn.IFNA(VLOOKUP($A577,INDIRECT("'W"&amp;I$1&amp;"'!$A$2:$T$1000"),4,FALSE),0)</f>
        <v>0</v>
      </c>
      <c r="J577" s="37">
        <f ca="1">_xlfn.IFNA(VLOOKUP($A577,INDIRECT("'W"&amp;J$1&amp;"'!$A$2:$T$1000"),4,FALSE),0)</f>
        <v>0</v>
      </c>
      <c r="K577" s="37">
        <f ca="1">_xlfn.IFNA(VLOOKUP($A577,INDIRECT("'W"&amp;K$1&amp;"'!$A$2:$T$1000"),4,FALSE),0)</f>
        <v>0</v>
      </c>
      <c r="L577" s="37">
        <f ca="1">_xlfn.IFNA(VLOOKUP($A577,INDIRECT("'W"&amp;L$1&amp;"'!$A$2:$T$1000"),4,FALSE),0)</f>
        <v>0</v>
      </c>
      <c r="M577" s="37">
        <f ca="1">_xlfn.IFNA(VLOOKUP($A577,INDIRECT("'W"&amp;M$1&amp;"'!$A$2:$T$1000"),4,FALSE),0)</f>
        <v>0</v>
      </c>
      <c r="N577" s="37">
        <f ca="1">_xlfn.IFNA(VLOOKUP($A577,INDIRECT("'W"&amp;N$1&amp;"'!$A$2:$T$1000"),4,FALSE),0)</f>
        <v>0</v>
      </c>
      <c r="O577" s="37">
        <f ca="1">_xlfn.IFNA(VLOOKUP($A577,INDIRECT("'W"&amp;O$1&amp;"'!$A$2:$T$1000"),4,FALSE),0)</f>
        <v>0</v>
      </c>
      <c r="P577" s="37">
        <f ca="1">_xlfn.IFNA(VLOOKUP($A577,INDIRECT("'W"&amp;P$1&amp;"'!$A$2:$T$1000"),4,FALSE),0)</f>
        <v>0</v>
      </c>
      <c r="Q577" s="37">
        <f ca="1">_xlfn.IFNA(VLOOKUP($A577,INDIRECT("'W"&amp;Q$1&amp;"'!$A$2:$T$1000"),4,FALSE),0)</f>
        <v>0</v>
      </c>
      <c r="R577" s="37">
        <f ca="1">_xlfn.IFNA(VLOOKUP($A577,INDIRECT("'W"&amp;R$1&amp;"'!$A$2:$T$1000"),4,FALSE),0)</f>
        <v>1.3</v>
      </c>
      <c r="S577" s="37">
        <f ca="1">_xlfn.IFNA(VLOOKUP($A577,INDIRECT("'W"&amp;S$1&amp;"'!$A$2:$T$1000"),4,FALSE),0)</f>
        <v>0</v>
      </c>
      <c r="T577" s="37">
        <f ca="1">_xlfn.IFNA(VLOOKUP($A577,INDIRECT("'W"&amp;T$1&amp;"'!$A$2:$T$1000"),4,FALSE),0)</f>
        <v>0</v>
      </c>
      <c r="U577" s="36">
        <f ca="1">COUNTIF(C577:T577,"&gt; 15")</f>
        <v>0</v>
      </c>
      <c r="V577" s="36">
        <f ca="1">SUM(C577:T577)</f>
        <v>1.3</v>
      </c>
      <c r="W577" s="36"/>
      <c r="X577" s="39"/>
    </row>
    <row r="578" spans="1:24" ht="12.75" x14ac:dyDescent="0.2">
      <c r="A578" s="36" t="s">
        <v>839</v>
      </c>
      <c r="B578" s="36" t="e">
        <f ca="1">VLOOKUP(A578,CumulativePlayerList!$T$3:$U$550,2,FALSE)</f>
        <v>#NAME?</v>
      </c>
      <c r="C578" s="37">
        <f ca="1">_xlfn.IFNA(VLOOKUP($A578,INDIRECT("'W"&amp;C$1&amp;"'!$A$2:$T$1000"),4,FALSE),0)</f>
        <v>0</v>
      </c>
      <c r="D578" s="37">
        <f ca="1">_xlfn.IFNA(VLOOKUP($A578,INDIRECT("'W"&amp;D$1&amp;"'!$A$2:$T$1000"),4,FALSE),0)</f>
        <v>0</v>
      </c>
      <c r="E578" s="37">
        <f ca="1">_xlfn.IFNA(VLOOKUP($A578,INDIRECT("'W"&amp;E$1&amp;"'!$A$2:$T$1000"),4,FALSE),0)</f>
        <v>0</v>
      </c>
      <c r="F578" s="37">
        <f ca="1">_xlfn.IFNA(VLOOKUP($A578,INDIRECT("'W"&amp;F$1&amp;"'!$A$2:$T$1000"),4,FALSE),0)</f>
        <v>0</v>
      </c>
      <c r="G578" s="37">
        <f ca="1">_xlfn.IFNA(VLOOKUP($A578,INDIRECT("'W"&amp;G$1&amp;"'!$A$2:$T$1000"),4,FALSE),0)</f>
        <v>0</v>
      </c>
      <c r="H578" s="37">
        <f ca="1">_xlfn.IFNA(VLOOKUP($A578,INDIRECT("'W"&amp;H$1&amp;"'!$A$2:$T$1000"),4,FALSE),0)</f>
        <v>0</v>
      </c>
      <c r="I578" s="37">
        <f ca="1">_xlfn.IFNA(VLOOKUP($A578,INDIRECT("'W"&amp;I$1&amp;"'!$A$2:$T$1000"),4,FALSE),0)</f>
        <v>0</v>
      </c>
      <c r="J578" s="37">
        <f ca="1">_xlfn.IFNA(VLOOKUP($A578,INDIRECT("'W"&amp;J$1&amp;"'!$A$2:$T$1000"),4,FALSE),0)</f>
        <v>0</v>
      </c>
      <c r="K578" s="37">
        <f ca="1">_xlfn.IFNA(VLOOKUP($A578,INDIRECT("'W"&amp;K$1&amp;"'!$A$2:$T$1000"),4,FALSE),0)</f>
        <v>0</v>
      </c>
      <c r="L578" s="37">
        <f ca="1">_xlfn.IFNA(VLOOKUP($A578,INDIRECT("'W"&amp;L$1&amp;"'!$A$2:$T$1000"),4,FALSE),0)</f>
        <v>0</v>
      </c>
      <c r="M578" s="37">
        <f ca="1">_xlfn.IFNA(VLOOKUP($A578,INDIRECT("'W"&amp;M$1&amp;"'!$A$2:$T$1000"),4,FALSE),0)</f>
        <v>0</v>
      </c>
      <c r="N578" s="37">
        <f ca="1">_xlfn.IFNA(VLOOKUP($A578,INDIRECT("'W"&amp;N$1&amp;"'!$A$2:$T$1000"),4,FALSE),0)</f>
        <v>0</v>
      </c>
      <c r="O578" s="37">
        <f ca="1">_xlfn.IFNA(VLOOKUP($A578,INDIRECT("'W"&amp;O$1&amp;"'!$A$2:$T$1000"),4,FALSE),0)</f>
        <v>0</v>
      </c>
      <c r="P578" s="37">
        <f ca="1">_xlfn.IFNA(VLOOKUP($A578,INDIRECT("'W"&amp;P$1&amp;"'!$A$2:$T$1000"),4,FALSE),0)</f>
        <v>0</v>
      </c>
      <c r="Q578" s="37">
        <f ca="1">_xlfn.IFNA(VLOOKUP($A578,INDIRECT("'W"&amp;Q$1&amp;"'!$A$2:$T$1000"),4,FALSE),0)</f>
        <v>0</v>
      </c>
      <c r="R578" s="37">
        <f ca="1">_xlfn.IFNA(VLOOKUP($A578,INDIRECT("'W"&amp;R$1&amp;"'!$A$2:$T$1000"),4,FALSE),0)</f>
        <v>0</v>
      </c>
      <c r="S578" s="37">
        <f ca="1">_xlfn.IFNA(VLOOKUP($A578,INDIRECT("'W"&amp;S$1&amp;"'!$A$2:$T$1000"),4,FALSE),0)</f>
        <v>0</v>
      </c>
      <c r="T578" s="37">
        <f ca="1">_xlfn.IFNA(VLOOKUP($A578,INDIRECT("'W"&amp;T$1&amp;"'!$A$2:$T$1000"),4,FALSE),0)</f>
        <v>1.3</v>
      </c>
      <c r="U578" s="36">
        <f ca="1">COUNTIF(C578:T578,"&gt; 15")</f>
        <v>0</v>
      </c>
      <c r="V578" s="36">
        <f ca="1">SUM(C578:T578)</f>
        <v>1.3</v>
      </c>
      <c r="W578" s="36"/>
      <c r="X578" s="39"/>
    </row>
    <row r="579" spans="1:24" ht="12.75" x14ac:dyDescent="0.2">
      <c r="A579" s="36" t="s">
        <v>66</v>
      </c>
      <c r="B579" s="36" t="s">
        <v>17</v>
      </c>
      <c r="C579" s="37">
        <f ca="1">_xlfn.IFNA(VLOOKUP($A579,INDIRECT("'W"&amp;C$1&amp;"'!$A$2:$T$1000"),4,FALSE),0)</f>
        <v>0</v>
      </c>
      <c r="D579" s="37">
        <f ca="1">_xlfn.IFNA(VLOOKUP($A579,INDIRECT("'W"&amp;D$1&amp;"'!$A$2:$T$1000"),4,FALSE),0)</f>
        <v>0</v>
      </c>
      <c r="E579" s="37">
        <f ca="1">_xlfn.IFNA(VLOOKUP($A579,INDIRECT("'W"&amp;E$1&amp;"'!$A$2:$T$1000"),4,FALSE),0)</f>
        <v>0</v>
      </c>
      <c r="F579" s="37">
        <f ca="1">_xlfn.IFNA(VLOOKUP($A579,INDIRECT("'W"&amp;F$1&amp;"'!$A$2:$T$1000"),4,FALSE),0)</f>
        <v>0</v>
      </c>
      <c r="G579" s="37">
        <f ca="1">_xlfn.IFNA(VLOOKUP($A579,INDIRECT("'W"&amp;G$1&amp;"'!$A$2:$T$1000"),4,FALSE),0)</f>
        <v>0</v>
      </c>
      <c r="H579" s="37">
        <f ca="1">_xlfn.IFNA(VLOOKUP($A579,INDIRECT("'W"&amp;H$1&amp;"'!$A$2:$T$1000"),4,FALSE),0)</f>
        <v>0</v>
      </c>
      <c r="I579" s="37">
        <f ca="1">_xlfn.IFNA(VLOOKUP($A579,INDIRECT("'W"&amp;I$1&amp;"'!$A$2:$T$1000"),4,FALSE),0)</f>
        <v>0</v>
      </c>
      <c r="J579" s="37">
        <f ca="1">_xlfn.IFNA(VLOOKUP($A579,INDIRECT("'W"&amp;J$1&amp;"'!$A$2:$T$1000"),4,FALSE),0)</f>
        <v>0</v>
      </c>
      <c r="K579" s="37">
        <f ca="1">_xlfn.IFNA(VLOOKUP($A579,INDIRECT("'W"&amp;K$1&amp;"'!$A$2:$T$1000"),4,FALSE),0)</f>
        <v>0</v>
      </c>
      <c r="L579" s="37">
        <f ca="1">_xlfn.IFNA(VLOOKUP($A579,INDIRECT("'W"&amp;L$1&amp;"'!$A$2:$T$1000"),4,FALSE),0)</f>
        <v>0</v>
      </c>
      <c r="M579" s="37">
        <f ca="1">_xlfn.IFNA(VLOOKUP($A579,INDIRECT("'W"&amp;M$1&amp;"'!$A$2:$T$1000"),4,FALSE),0)</f>
        <v>0</v>
      </c>
      <c r="N579" s="37">
        <f ca="1">_xlfn.IFNA(VLOOKUP($A579,INDIRECT("'W"&amp;N$1&amp;"'!$A$2:$T$1000"),4,FALSE),0)</f>
        <v>0</v>
      </c>
      <c r="O579" s="37">
        <f ca="1">_xlfn.IFNA(VLOOKUP($A579,INDIRECT("'W"&amp;O$1&amp;"'!$A$2:$T$1000"),4,FALSE),0)</f>
        <v>0</v>
      </c>
      <c r="P579" s="37">
        <f ca="1">_xlfn.IFNA(VLOOKUP($A579,INDIRECT("'W"&amp;P$1&amp;"'!$A$2:$T$1000"),4,FALSE),0)</f>
        <v>0</v>
      </c>
      <c r="Q579" s="37">
        <f ca="1">_xlfn.IFNA(VLOOKUP($A579,INDIRECT("'W"&amp;Q$1&amp;"'!$A$2:$T$1000"),4,FALSE),0)</f>
        <v>0</v>
      </c>
      <c r="R579" s="37">
        <f ca="1">_xlfn.IFNA(VLOOKUP($A579,INDIRECT("'W"&amp;R$1&amp;"'!$A$2:$T$1000"),4,FALSE),0)</f>
        <v>0</v>
      </c>
      <c r="S579" s="37">
        <f ca="1">_xlfn.IFNA(VLOOKUP($A579,INDIRECT("'W"&amp;S$1&amp;"'!$A$2:$T$1000"),4,FALSE),0)</f>
        <v>1.28</v>
      </c>
      <c r="T579" s="37">
        <f ca="1">_xlfn.IFNA(VLOOKUP($A579,INDIRECT("'W"&amp;T$1&amp;"'!$A$2:$T$1000"),4,FALSE),0)</f>
        <v>0</v>
      </c>
      <c r="U579" s="36">
        <f ca="1">COUNTIF(C579:T579,"&gt; 15")</f>
        <v>0</v>
      </c>
      <c r="V579" s="36">
        <f ca="1">SUM(C579:T579)</f>
        <v>1.28</v>
      </c>
      <c r="W579" s="36"/>
      <c r="X579" s="68"/>
    </row>
    <row r="580" spans="1:24" ht="12.75" x14ac:dyDescent="0.2">
      <c r="A580" s="36" t="s">
        <v>319</v>
      </c>
      <c r="B580" s="36" t="s">
        <v>69</v>
      </c>
      <c r="C580" s="37">
        <f ca="1">_xlfn.IFNA(VLOOKUP($A580,INDIRECT("'W"&amp;C$1&amp;"'!$A$2:$T$1000"),4,FALSE),0)</f>
        <v>1.2</v>
      </c>
      <c r="D580" s="37">
        <f ca="1">_xlfn.IFNA(VLOOKUP($A580,INDIRECT("'W"&amp;D$1&amp;"'!$A$2:$T$1000"),4,FALSE),0)</f>
        <v>0</v>
      </c>
      <c r="E580" s="37">
        <f ca="1">_xlfn.IFNA(VLOOKUP($A580,INDIRECT("'W"&amp;E$1&amp;"'!$A$2:$T$1000"),4,FALSE),0)</f>
        <v>0</v>
      </c>
      <c r="F580" s="37">
        <f ca="1">_xlfn.IFNA(VLOOKUP($A580,INDIRECT("'W"&amp;F$1&amp;"'!$A$2:$T$1000"),4,FALSE),0)</f>
        <v>0</v>
      </c>
      <c r="G580" s="37">
        <f ca="1">_xlfn.IFNA(VLOOKUP($A580,INDIRECT("'W"&amp;G$1&amp;"'!$A$2:$T$1000"),4,FALSE),0)</f>
        <v>0</v>
      </c>
      <c r="H580" s="37">
        <f ca="1">_xlfn.IFNA(VLOOKUP($A580,INDIRECT("'W"&amp;H$1&amp;"'!$A$2:$T$1000"),4,FALSE),0)</f>
        <v>0</v>
      </c>
      <c r="I580" s="37">
        <f ca="1">_xlfn.IFNA(VLOOKUP($A580,INDIRECT("'W"&amp;I$1&amp;"'!$A$2:$T$1000"),4,FALSE),0)</f>
        <v>0</v>
      </c>
      <c r="J580" s="37">
        <f ca="1">_xlfn.IFNA(VLOOKUP($A580,INDIRECT("'W"&amp;J$1&amp;"'!$A$2:$T$1000"),4,FALSE),0)</f>
        <v>0</v>
      </c>
      <c r="K580" s="37">
        <f ca="1">_xlfn.IFNA(VLOOKUP($A580,INDIRECT("'W"&amp;K$1&amp;"'!$A$2:$T$1000"),4,FALSE),0)</f>
        <v>0</v>
      </c>
      <c r="L580" s="37">
        <f ca="1">_xlfn.IFNA(VLOOKUP($A580,INDIRECT("'W"&amp;L$1&amp;"'!$A$2:$T$1000"),4,FALSE),0)</f>
        <v>0</v>
      </c>
      <c r="M580" s="37">
        <f ca="1">_xlfn.IFNA(VLOOKUP($A580,INDIRECT("'W"&amp;M$1&amp;"'!$A$2:$T$1000"),4,FALSE),0)</f>
        <v>0</v>
      </c>
      <c r="N580" s="37">
        <f ca="1">_xlfn.IFNA(VLOOKUP($A580,INDIRECT("'W"&amp;N$1&amp;"'!$A$2:$T$1000"),4,FALSE),0)</f>
        <v>0</v>
      </c>
      <c r="O580" s="37">
        <f ca="1">_xlfn.IFNA(VLOOKUP($A580,INDIRECT("'W"&amp;O$1&amp;"'!$A$2:$T$1000"),4,FALSE),0)</f>
        <v>0</v>
      </c>
      <c r="P580" s="37">
        <f ca="1">_xlfn.IFNA(VLOOKUP($A580,INDIRECT("'W"&amp;P$1&amp;"'!$A$2:$T$1000"),4,FALSE),0)</f>
        <v>0</v>
      </c>
      <c r="Q580" s="37">
        <f ca="1">_xlfn.IFNA(VLOOKUP($A580,INDIRECT("'W"&amp;Q$1&amp;"'!$A$2:$T$1000"),4,FALSE),0)</f>
        <v>0</v>
      </c>
      <c r="R580" s="37">
        <f ca="1">_xlfn.IFNA(VLOOKUP($A580,INDIRECT("'W"&amp;R$1&amp;"'!$A$2:$T$1000"),4,FALSE),0)</f>
        <v>0</v>
      </c>
      <c r="S580" s="37">
        <f ca="1">_xlfn.IFNA(VLOOKUP($A580,INDIRECT("'W"&amp;S$1&amp;"'!$A$2:$T$1000"),4,FALSE),0)</f>
        <v>0</v>
      </c>
      <c r="T580" s="37">
        <f ca="1">_xlfn.IFNA(VLOOKUP($A580,INDIRECT("'W"&amp;T$1&amp;"'!$A$2:$T$1000"),4,FALSE),0)</f>
        <v>0</v>
      </c>
      <c r="U580" s="36">
        <f ca="1">COUNTIF(C580:T580,"&gt; 15")</f>
        <v>0</v>
      </c>
      <c r="V580" s="36">
        <f ca="1">SUM(C580:T580)</f>
        <v>1.2</v>
      </c>
      <c r="W580" s="36"/>
      <c r="X580" s="68"/>
    </row>
    <row r="581" spans="1:24" ht="12.75" x14ac:dyDescent="0.2">
      <c r="A581" s="36" t="s">
        <v>388</v>
      </c>
      <c r="B581" s="36" t="s">
        <v>162</v>
      </c>
      <c r="C581" s="37">
        <f ca="1">_xlfn.IFNA(VLOOKUP($A581,INDIRECT("'W"&amp;C$1&amp;"'!$A$2:$T$1000"),4,FALSE),0)</f>
        <v>0</v>
      </c>
      <c r="D581" s="37">
        <f ca="1">_xlfn.IFNA(VLOOKUP($A581,INDIRECT("'W"&amp;D$1&amp;"'!$A$2:$T$1000"),4,FALSE),0)</f>
        <v>1.2</v>
      </c>
      <c r="E581" s="37">
        <f ca="1">_xlfn.IFNA(VLOOKUP($A581,INDIRECT("'W"&amp;E$1&amp;"'!$A$2:$T$1000"),4,FALSE),0)</f>
        <v>0</v>
      </c>
      <c r="F581" s="37">
        <f ca="1">_xlfn.IFNA(VLOOKUP($A581,INDIRECT("'W"&amp;F$1&amp;"'!$A$2:$T$1000"),4,FALSE),0)</f>
        <v>0</v>
      </c>
      <c r="G581" s="37">
        <f ca="1">_xlfn.IFNA(VLOOKUP($A581,INDIRECT("'W"&amp;G$1&amp;"'!$A$2:$T$1000"),4,FALSE),0)</f>
        <v>0</v>
      </c>
      <c r="H581" s="37">
        <f ca="1">_xlfn.IFNA(VLOOKUP($A581,INDIRECT("'W"&amp;H$1&amp;"'!$A$2:$T$1000"),4,FALSE),0)</f>
        <v>0</v>
      </c>
      <c r="I581" s="37">
        <f ca="1">_xlfn.IFNA(VLOOKUP($A581,INDIRECT("'W"&amp;I$1&amp;"'!$A$2:$T$1000"),4,FALSE),0)</f>
        <v>0</v>
      </c>
      <c r="J581" s="37">
        <f ca="1">_xlfn.IFNA(VLOOKUP($A581,INDIRECT("'W"&amp;J$1&amp;"'!$A$2:$T$1000"),4,FALSE),0)</f>
        <v>0</v>
      </c>
      <c r="K581" s="37">
        <f ca="1">_xlfn.IFNA(VLOOKUP($A581,INDIRECT("'W"&amp;K$1&amp;"'!$A$2:$T$1000"),4,FALSE),0)</f>
        <v>0</v>
      </c>
      <c r="L581" s="37">
        <f ca="1">_xlfn.IFNA(VLOOKUP($A581,INDIRECT("'W"&amp;L$1&amp;"'!$A$2:$T$1000"),4,FALSE),0)</f>
        <v>0</v>
      </c>
      <c r="M581" s="37">
        <f ca="1">_xlfn.IFNA(VLOOKUP($A581,INDIRECT("'W"&amp;M$1&amp;"'!$A$2:$T$1000"),4,FALSE),0)</f>
        <v>0</v>
      </c>
      <c r="N581" s="37">
        <f ca="1">_xlfn.IFNA(VLOOKUP($A581,INDIRECT("'W"&amp;N$1&amp;"'!$A$2:$T$1000"),4,FALSE),0)</f>
        <v>0</v>
      </c>
      <c r="O581" s="37">
        <f ca="1">_xlfn.IFNA(VLOOKUP($A581,INDIRECT("'W"&amp;O$1&amp;"'!$A$2:$T$1000"),4,FALSE),0)</f>
        <v>0</v>
      </c>
      <c r="P581" s="37">
        <f ca="1">_xlfn.IFNA(VLOOKUP($A581,INDIRECT("'W"&amp;P$1&amp;"'!$A$2:$T$1000"),4,FALSE),0)</f>
        <v>0</v>
      </c>
      <c r="Q581" s="37">
        <f ca="1">_xlfn.IFNA(VLOOKUP($A581,INDIRECT("'W"&amp;Q$1&amp;"'!$A$2:$T$1000"),4,FALSE),0)</f>
        <v>0</v>
      </c>
      <c r="R581" s="37">
        <f ca="1">_xlfn.IFNA(VLOOKUP($A581,INDIRECT("'W"&amp;R$1&amp;"'!$A$2:$T$1000"),4,FALSE),0)</f>
        <v>0</v>
      </c>
      <c r="S581" s="37">
        <f ca="1">_xlfn.IFNA(VLOOKUP($A581,INDIRECT("'W"&amp;S$1&amp;"'!$A$2:$T$1000"),4,FALSE),0)</f>
        <v>0</v>
      </c>
      <c r="T581" s="37">
        <f ca="1">_xlfn.IFNA(VLOOKUP($A581,INDIRECT("'W"&amp;T$1&amp;"'!$A$2:$T$1000"),4,FALSE),0)</f>
        <v>0</v>
      </c>
      <c r="U581" s="36">
        <f ca="1">COUNTIF(C581:T581,"&gt; 15")</f>
        <v>0</v>
      </c>
      <c r="V581" s="36">
        <f ca="1">SUM(C581:T581)</f>
        <v>1.2</v>
      </c>
      <c r="W581" s="36"/>
      <c r="X581" s="39"/>
    </row>
    <row r="582" spans="1:24" ht="12.75" x14ac:dyDescent="0.2">
      <c r="A582" s="36" t="s">
        <v>529</v>
      </c>
      <c r="B582" s="36" t="s">
        <v>162</v>
      </c>
      <c r="C582" s="37">
        <f ca="1">_xlfn.IFNA(VLOOKUP($A582,INDIRECT("'W"&amp;C$1&amp;"'!$A$2:$T$1000"),4,FALSE),0)</f>
        <v>0</v>
      </c>
      <c r="D582" s="37">
        <f ca="1">_xlfn.IFNA(VLOOKUP($A582,INDIRECT("'W"&amp;D$1&amp;"'!$A$2:$T$1000"),4,FALSE),0)</f>
        <v>0</v>
      </c>
      <c r="E582" s="37">
        <f ca="1">_xlfn.IFNA(VLOOKUP($A582,INDIRECT("'W"&amp;E$1&amp;"'!$A$2:$T$1000"),4,FALSE),0)</f>
        <v>0</v>
      </c>
      <c r="F582" s="37">
        <f ca="1">_xlfn.IFNA(VLOOKUP($A582,INDIRECT("'W"&amp;F$1&amp;"'!$A$2:$T$1000"),4,FALSE),0)</f>
        <v>0</v>
      </c>
      <c r="G582" s="37">
        <f ca="1">_xlfn.IFNA(VLOOKUP($A582,INDIRECT("'W"&amp;G$1&amp;"'!$A$2:$T$1000"),4,FALSE),0)</f>
        <v>1.2</v>
      </c>
      <c r="H582" s="37">
        <f ca="1">_xlfn.IFNA(VLOOKUP($A582,INDIRECT("'W"&amp;H$1&amp;"'!$A$2:$T$1000"),4,FALSE),0)</f>
        <v>0</v>
      </c>
      <c r="I582" s="37">
        <f ca="1">_xlfn.IFNA(VLOOKUP($A582,INDIRECT("'W"&amp;I$1&amp;"'!$A$2:$T$1000"),4,FALSE),0)</f>
        <v>0</v>
      </c>
      <c r="J582" s="37">
        <f ca="1">_xlfn.IFNA(VLOOKUP($A582,INDIRECT("'W"&amp;J$1&amp;"'!$A$2:$T$1000"),4,FALSE),0)</f>
        <v>0</v>
      </c>
      <c r="K582" s="37">
        <f ca="1">_xlfn.IFNA(VLOOKUP($A582,INDIRECT("'W"&amp;K$1&amp;"'!$A$2:$T$1000"),4,FALSE),0)</f>
        <v>0</v>
      </c>
      <c r="L582" s="37">
        <f ca="1">_xlfn.IFNA(VLOOKUP($A582,INDIRECT("'W"&amp;L$1&amp;"'!$A$2:$T$1000"),4,FALSE),0)</f>
        <v>0</v>
      </c>
      <c r="M582" s="37">
        <f ca="1">_xlfn.IFNA(VLOOKUP($A582,INDIRECT("'W"&amp;M$1&amp;"'!$A$2:$T$1000"),4,FALSE),0)</f>
        <v>0</v>
      </c>
      <c r="N582" s="37">
        <f ca="1">_xlfn.IFNA(VLOOKUP($A582,INDIRECT("'W"&amp;N$1&amp;"'!$A$2:$T$1000"),4,FALSE),0)</f>
        <v>0</v>
      </c>
      <c r="O582" s="37">
        <f ca="1">_xlfn.IFNA(VLOOKUP($A582,INDIRECT("'W"&amp;O$1&amp;"'!$A$2:$T$1000"),4,FALSE),0)</f>
        <v>0</v>
      </c>
      <c r="P582" s="37">
        <f ca="1">_xlfn.IFNA(VLOOKUP($A582,INDIRECT("'W"&amp;P$1&amp;"'!$A$2:$T$1000"),4,FALSE),0)</f>
        <v>0</v>
      </c>
      <c r="Q582" s="37">
        <f ca="1">_xlfn.IFNA(VLOOKUP($A582,INDIRECT("'W"&amp;Q$1&amp;"'!$A$2:$T$1000"),4,FALSE),0)</f>
        <v>0</v>
      </c>
      <c r="R582" s="37">
        <f ca="1">_xlfn.IFNA(VLOOKUP($A582,INDIRECT("'W"&amp;R$1&amp;"'!$A$2:$T$1000"),4,FALSE),0)</f>
        <v>0</v>
      </c>
      <c r="S582" s="37">
        <f ca="1">_xlfn.IFNA(VLOOKUP($A582,INDIRECT("'W"&amp;S$1&amp;"'!$A$2:$T$1000"),4,FALSE),0)</f>
        <v>0</v>
      </c>
      <c r="T582" s="37">
        <f ca="1">_xlfn.IFNA(VLOOKUP($A582,INDIRECT("'W"&amp;T$1&amp;"'!$A$2:$T$1000"),4,FALSE),0)</f>
        <v>0</v>
      </c>
      <c r="U582" s="36">
        <f ca="1">COUNTIF(C582:T582,"&gt; 15")</f>
        <v>0</v>
      </c>
      <c r="V582" s="36">
        <f ca="1">SUM(C582:T582)</f>
        <v>1.2</v>
      </c>
      <c r="W582" s="36"/>
      <c r="X582" s="39"/>
    </row>
    <row r="583" spans="1:24" ht="12.75" x14ac:dyDescent="0.2">
      <c r="A583" s="36" t="s">
        <v>808</v>
      </c>
      <c r="B583" s="36" t="e">
        <f ca="1">VLOOKUP(A583,CumulativePlayerList!$T$3:$U$550,2,FALSE)</f>
        <v>#NAME?</v>
      </c>
      <c r="C583" s="37">
        <f ca="1">_xlfn.IFNA(VLOOKUP($A583,INDIRECT("'W"&amp;C$1&amp;"'!$A$2:$T$1000"),4,FALSE),0)</f>
        <v>0</v>
      </c>
      <c r="D583" s="37">
        <f ca="1">_xlfn.IFNA(VLOOKUP($A583,INDIRECT("'W"&amp;D$1&amp;"'!$A$2:$T$1000"),4,FALSE),0)</f>
        <v>0</v>
      </c>
      <c r="E583" s="37">
        <f ca="1">_xlfn.IFNA(VLOOKUP($A583,INDIRECT("'W"&amp;E$1&amp;"'!$A$2:$T$1000"),4,FALSE),0)</f>
        <v>0</v>
      </c>
      <c r="F583" s="37">
        <f ca="1">_xlfn.IFNA(VLOOKUP($A583,INDIRECT("'W"&amp;F$1&amp;"'!$A$2:$T$1000"),4,FALSE),0)</f>
        <v>0</v>
      </c>
      <c r="G583" s="37">
        <f ca="1">_xlfn.IFNA(VLOOKUP($A583,INDIRECT("'W"&amp;G$1&amp;"'!$A$2:$T$1000"),4,FALSE),0)</f>
        <v>0</v>
      </c>
      <c r="H583" s="37">
        <f ca="1">_xlfn.IFNA(VLOOKUP($A583,INDIRECT("'W"&amp;H$1&amp;"'!$A$2:$T$1000"),4,FALSE),0)</f>
        <v>0</v>
      </c>
      <c r="I583" s="37">
        <f ca="1">_xlfn.IFNA(VLOOKUP($A583,INDIRECT("'W"&amp;I$1&amp;"'!$A$2:$T$1000"),4,FALSE),0)</f>
        <v>0</v>
      </c>
      <c r="J583" s="37">
        <f ca="1">_xlfn.IFNA(VLOOKUP($A583,INDIRECT("'W"&amp;J$1&amp;"'!$A$2:$T$1000"),4,FALSE),0)</f>
        <v>0</v>
      </c>
      <c r="K583" s="37">
        <f ca="1">_xlfn.IFNA(VLOOKUP($A583,INDIRECT("'W"&amp;K$1&amp;"'!$A$2:$T$1000"),4,FALSE),0)</f>
        <v>0</v>
      </c>
      <c r="L583" s="37">
        <f ca="1">_xlfn.IFNA(VLOOKUP($A583,INDIRECT("'W"&amp;L$1&amp;"'!$A$2:$T$1000"),4,FALSE),0)</f>
        <v>0</v>
      </c>
      <c r="M583" s="37">
        <f ca="1">_xlfn.IFNA(VLOOKUP($A583,INDIRECT("'W"&amp;M$1&amp;"'!$A$2:$T$1000"),4,FALSE),0)</f>
        <v>0</v>
      </c>
      <c r="N583" s="37">
        <f ca="1">_xlfn.IFNA(VLOOKUP($A583,INDIRECT("'W"&amp;N$1&amp;"'!$A$2:$T$1000"),4,FALSE),0)</f>
        <v>0</v>
      </c>
      <c r="O583" s="37">
        <f ca="1">_xlfn.IFNA(VLOOKUP($A583,INDIRECT("'W"&amp;O$1&amp;"'!$A$2:$T$1000"),4,FALSE),0)</f>
        <v>0</v>
      </c>
      <c r="P583" s="37">
        <f ca="1">_xlfn.IFNA(VLOOKUP($A583,INDIRECT("'W"&amp;P$1&amp;"'!$A$2:$T$1000"),4,FALSE),0)</f>
        <v>0</v>
      </c>
      <c r="Q583" s="37">
        <f ca="1">_xlfn.IFNA(VLOOKUP($A583,INDIRECT("'W"&amp;Q$1&amp;"'!$A$2:$T$1000"),4,FALSE),0)</f>
        <v>0</v>
      </c>
      <c r="R583" s="37">
        <f ca="1">_xlfn.IFNA(VLOOKUP($A583,INDIRECT("'W"&amp;R$1&amp;"'!$A$2:$T$1000"),4,FALSE),0)</f>
        <v>0</v>
      </c>
      <c r="S583" s="37">
        <f ca="1">_xlfn.IFNA(VLOOKUP($A583,INDIRECT("'W"&amp;S$1&amp;"'!$A$2:$T$1000"),4,FALSE),0)</f>
        <v>1.1000000000000001</v>
      </c>
      <c r="T583" s="37">
        <f ca="1">_xlfn.IFNA(VLOOKUP($A583,INDIRECT("'W"&amp;T$1&amp;"'!$A$2:$T$1000"),4,FALSE),0)</f>
        <v>0</v>
      </c>
      <c r="U583" s="36">
        <f ca="1">COUNTIF(C583:T583,"&gt; 15")</f>
        <v>0</v>
      </c>
      <c r="V583" s="36">
        <f ca="1">SUM(C583:T583)</f>
        <v>1.1000000000000001</v>
      </c>
      <c r="W583" s="36"/>
      <c r="X583" s="39"/>
    </row>
    <row r="584" spans="1:24" ht="12.75" x14ac:dyDescent="0.2">
      <c r="A584" s="36" t="s">
        <v>720</v>
      </c>
      <c r="B584" s="36" t="s">
        <v>75</v>
      </c>
      <c r="C584" s="37">
        <f ca="1">_xlfn.IFNA(VLOOKUP($A584,INDIRECT("'W"&amp;C$1&amp;"'!$A$2:$T$1000"),4,FALSE),0)</f>
        <v>0</v>
      </c>
      <c r="D584" s="37">
        <f ca="1">_xlfn.IFNA(VLOOKUP($A584,INDIRECT("'W"&amp;D$1&amp;"'!$A$2:$T$1000"),4,FALSE),0)</f>
        <v>0</v>
      </c>
      <c r="E584" s="37">
        <f ca="1">_xlfn.IFNA(VLOOKUP($A584,INDIRECT("'W"&amp;E$1&amp;"'!$A$2:$T$1000"),4,FALSE),0)</f>
        <v>0</v>
      </c>
      <c r="F584" s="37">
        <f ca="1">_xlfn.IFNA(VLOOKUP($A584,INDIRECT("'W"&amp;F$1&amp;"'!$A$2:$T$1000"),4,FALSE),0)</f>
        <v>0</v>
      </c>
      <c r="G584" s="37">
        <f ca="1">_xlfn.IFNA(VLOOKUP($A584,INDIRECT("'W"&amp;G$1&amp;"'!$A$2:$T$1000"),4,FALSE),0)</f>
        <v>0</v>
      </c>
      <c r="H584" s="37">
        <f ca="1">_xlfn.IFNA(VLOOKUP($A584,INDIRECT("'W"&amp;H$1&amp;"'!$A$2:$T$1000"),4,FALSE),0)</f>
        <v>0</v>
      </c>
      <c r="I584" s="37">
        <f ca="1">_xlfn.IFNA(VLOOKUP($A584,INDIRECT("'W"&amp;I$1&amp;"'!$A$2:$T$1000"),4,FALSE),0)</f>
        <v>0</v>
      </c>
      <c r="J584" s="37">
        <f ca="1">_xlfn.IFNA(VLOOKUP($A584,INDIRECT("'W"&amp;J$1&amp;"'!$A$2:$T$1000"),4,FALSE),0)</f>
        <v>0</v>
      </c>
      <c r="K584" s="37">
        <f ca="1">_xlfn.IFNA(VLOOKUP($A584,INDIRECT("'W"&amp;K$1&amp;"'!$A$2:$T$1000"),4,FALSE),0)</f>
        <v>0</v>
      </c>
      <c r="L584" s="37">
        <f ca="1">_xlfn.IFNA(VLOOKUP($A584,INDIRECT("'W"&amp;L$1&amp;"'!$A$2:$T$1000"),4,FALSE),0)</f>
        <v>0</v>
      </c>
      <c r="M584" s="37">
        <f ca="1">_xlfn.IFNA(VLOOKUP($A584,INDIRECT("'W"&amp;M$1&amp;"'!$A$2:$T$1000"),4,FALSE),0)</f>
        <v>0</v>
      </c>
      <c r="N584" s="37">
        <f ca="1">_xlfn.IFNA(VLOOKUP($A584,INDIRECT("'W"&amp;N$1&amp;"'!$A$2:$T$1000"),4,FALSE),0)</f>
        <v>0</v>
      </c>
      <c r="O584" s="37">
        <f ca="1">_xlfn.IFNA(VLOOKUP($A584,INDIRECT("'W"&amp;O$1&amp;"'!$A$2:$T$1000"),4,FALSE),0)</f>
        <v>1</v>
      </c>
      <c r="P584" s="37">
        <f ca="1">_xlfn.IFNA(VLOOKUP($A584,INDIRECT("'W"&amp;P$1&amp;"'!$A$2:$T$1000"),4,FALSE),0)</f>
        <v>0</v>
      </c>
      <c r="Q584" s="37">
        <f ca="1">_xlfn.IFNA(VLOOKUP($A584,INDIRECT("'W"&amp;Q$1&amp;"'!$A$2:$T$1000"),4,FALSE),0)</f>
        <v>0</v>
      </c>
      <c r="R584" s="37">
        <f ca="1">_xlfn.IFNA(VLOOKUP($A584,INDIRECT("'W"&amp;R$1&amp;"'!$A$2:$T$1000"),4,FALSE),0)</f>
        <v>0</v>
      </c>
      <c r="S584" s="37">
        <f ca="1">_xlfn.IFNA(VLOOKUP($A584,INDIRECT("'W"&amp;S$1&amp;"'!$A$2:$T$1000"),4,FALSE),0)</f>
        <v>0</v>
      </c>
      <c r="T584" s="37">
        <f ca="1">_xlfn.IFNA(VLOOKUP($A584,INDIRECT("'W"&amp;T$1&amp;"'!$A$2:$T$1000"),4,FALSE),0)</f>
        <v>0</v>
      </c>
      <c r="U584" s="36">
        <f ca="1">COUNTIF(C584:T584,"&gt; 15")</f>
        <v>0</v>
      </c>
      <c r="V584" s="36">
        <f ca="1">SUM(C584:T584)</f>
        <v>1</v>
      </c>
      <c r="W584" s="36"/>
      <c r="X584" s="68"/>
    </row>
    <row r="585" spans="1:24" ht="12.75" x14ac:dyDescent="0.2">
      <c r="A585" s="36" t="s">
        <v>390</v>
      </c>
      <c r="B585" s="36" t="s">
        <v>69</v>
      </c>
      <c r="C585" s="37">
        <f ca="1">_xlfn.IFNA(VLOOKUP($A585,INDIRECT("'W"&amp;C$1&amp;"'!$A$2:$T$1000"),4,FALSE),0)</f>
        <v>0</v>
      </c>
      <c r="D585" s="37">
        <f ca="1">_xlfn.IFNA(VLOOKUP($A585,INDIRECT("'W"&amp;D$1&amp;"'!$A$2:$T$1000"),4,FALSE),0)</f>
        <v>1</v>
      </c>
      <c r="E585" s="37">
        <f ca="1">_xlfn.IFNA(VLOOKUP($A585,INDIRECT("'W"&amp;E$1&amp;"'!$A$2:$T$1000"),4,FALSE),0)</f>
        <v>0</v>
      </c>
      <c r="F585" s="37">
        <f ca="1">_xlfn.IFNA(VLOOKUP($A585,INDIRECT("'W"&amp;F$1&amp;"'!$A$2:$T$1000"),4,FALSE),0)</f>
        <v>0</v>
      </c>
      <c r="G585" s="37">
        <f ca="1">_xlfn.IFNA(VLOOKUP($A585,INDIRECT("'W"&amp;G$1&amp;"'!$A$2:$T$1000"),4,FALSE),0)</f>
        <v>0</v>
      </c>
      <c r="H585" s="37">
        <f ca="1">_xlfn.IFNA(VLOOKUP($A585,INDIRECT("'W"&amp;H$1&amp;"'!$A$2:$T$1000"),4,FALSE),0)</f>
        <v>0</v>
      </c>
      <c r="I585" s="37">
        <f ca="1">_xlfn.IFNA(VLOOKUP($A585,INDIRECT("'W"&amp;I$1&amp;"'!$A$2:$T$1000"),4,FALSE),0)</f>
        <v>0</v>
      </c>
      <c r="J585" s="37">
        <f ca="1">_xlfn.IFNA(VLOOKUP($A585,INDIRECT("'W"&amp;J$1&amp;"'!$A$2:$T$1000"),4,FALSE),0)</f>
        <v>0</v>
      </c>
      <c r="K585" s="37">
        <f ca="1">_xlfn.IFNA(VLOOKUP($A585,INDIRECT("'W"&amp;K$1&amp;"'!$A$2:$T$1000"),4,FALSE),0)</f>
        <v>0</v>
      </c>
      <c r="L585" s="37">
        <f ca="1">_xlfn.IFNA(VLOOKUP($A585,INDIRECT("'W"&amp;L$1&amp;"'!$A$2:$T$1000"),4,FALSE),0)</f>
        <v>0</v>
      </c>
      <c r="M585" s="37">
        <f ca="1">_xlfn.IFNA(VLOOKUP($A585,INDIRECT("'W"&amp;M$1&amp;"'!$A$2:$T$1000"),4,FALSE),0)</f>
        <v>0</v>
      </c>
      <c r="N585" s="37">
        <f ca="1">_xlfn.IFNA(VLOOKUP($A585,INDIRECT("'W"&amp;N$1&amp;"'!$A$2:$T$1000"),4,FALSE),0)</f>
        <v>0</v>
      </c>
      <c r="O585" s="37">
        <f ca="1">_xlfn.IFNA(VLOOKUP($A585,INDIRECT("'W"&amp;O$1&amp;"'!$A$2:$T$1000"),4,FALSE),0)</f>
        <v>0</v>
      </c>
      <c r="P585" s="37">
        <f ca="1">_xlfn.IFNA(VLOOKUP($A585,INDIRECT("'W"&amp;P$1&amp;"'!$A$2:$T$1000"),4,FALSE),0)</f>
        <v>0</v>
      </c>
      <c r="Q585" s="37">
        <f ca="1">_xlfn.IFNA(VLOOKUP($A585,INDIRECT("'W"&amp;Q$1&amp;"'!$A$2:$T$1000"),4,FALSE),0)</f>
        <v>0</v>
      </c>
      <c r="R585" s="37">
        <f ca="1">_xlfn.IFNA(VLOOKUP($A585,INDIRECT("'W"&amp;R$1&amp;"'!$A$2:$T$1000"),4,FALSE),0)</f>
        <v>0</v>
      </c>
      <c r="S585" s="37">
        <f ca="1">_xlfn.IFNA(VLOOKUP($A585,INDIRECT("'W"&amp;S$1&amp;"'!$A$2:$T$1000"),4,FALSE),0)</f>
        <v>0</v>
      </c>
      <c r="T585" s="37">
        <f ca="1">_xlfn.IFNA(VLOOKUP($A585,INDIRECT("'W"&amp;T$1&amp;"'!$A$2:$T$1000"),4,FALSE),0)</f>
        <v>0</v>
      </c>
      <c r="U585" s="36">
        <f ca="1">COUNTIF(C585:T585,"&gt; 15")</f>
        <v>0</v>
      </c>
      <c r="V585" s="36">
        <f ca="1">SUM(C585:T585)</f>
        <v>1</v>
      </c>
      <c r="W585" s="36"/>
      <c r="X585" s="68"/>
    </row>
    <row r="586" spans="1:24" ht="12.75" x14ac:dyDescent="0.2">
      <c r="A586" s="36" t="s">
        <v>740</v>
      </c>
      <c r="B586" s="36" t="s">
        <v>17</v>
      </c>
      <c r="C586" s="37">
        <f ca="1">_xlfn.IFNA(VLOOKUP($A586,INDIRECT("'W"&amp;C$1&amp;"'!$A$2:$T$1000"),4,FALSE),0)</f>
        <v>0</v>
      </c>
      <c r="D586" s="37">
        <f ca="1">_xlfn.IFNA(VLOOKUP($A586,INDIRECT("'W"&amp;D$1&amp;"'!$A$2:$T$1000"),4,FALSE),0)</f>
        <v>0</v>
      </c>
      <c r="E586" s="37">
        <f ca="1">_xlfn.IFNA(VLOOKUP($A586,INDIRECT("'W"&amp;E$1&amp;"'!$A$2:$T$1000"),4,FALSE),0)</f>
        <v>0</v>
      </c>
      <c r="F586" s="37">
        <f ca="1">_xlfn.IFNA(VLOOKUP($A586,INDIRECT("'W"&amp;F$1&amp;"'!$A$2:$T$1000"),4,FALSE),0)</f>
        <v>0</v>
      </c>
      <c r="G586" s="37">
        <f ca="1">_xlfn.IFNA(VLOOKUP($A586,INDIRECT("'W"&amp;G$1&amp;"'!$A$2:$T$1000"),4,FALSE),0)</f>
        <v>0</v>
      </c>
      <c r="H586" s="37">
        <f ca="1">_xlfn.IFNA(VLOOKUP($A586,INDIRECT("'W"&amp;H$1&amp;"'!$A$2:$T$1000"),4,FALSE),0)</f>
        <v>0</v>
      </c>
      <c r="I586" s="37">
        <f ca="1">_xlfn.IFNA(VLOOKUP($A586,INDIRECT("'W"&amp;I$1&amp;"'!$A$2:$T$1000"),4,FALSE),0)</f>
        <v>0</v>
      </c>
      <c r="J586" s="37">
        <f ca="1">_xlfn.IFNA(VLOOKUP($A586,INDIRECT("'W"&amp;J$1&amp;"'!$A$2:$T$1000"),4,FALSE),0)</f>
        <v>0</v>
      </c>
      <c r="K586" s="37">
        <f ca="1">_xlfn.IFNA(VLOOKUP($A586,INDIRECT("'W"&amp;K$1&amp;"'!$A$2:$T$1000"),4,FALSE),0)</f>
        <v>0</v>
      </c>
      <c r="L586" s="37">
        <f ca="1">_xlfn.IFNA(VLOOKUP($A586,INDIRECT("'W"&amp;L$1&amp;"'!$A$2:$T$1000"),4,FALSE),0)</f>
        <v>0</v>
      </c>
      <c r="M586" s="37">
        <f ca="1">_xlfn.IFNA(VLOOKUP($A586,INDIRECT("'W"&amp;M$1&amp;"'!$A$2:$T$1000"),4,FALSE),0)</f>
        <v>0</v>
      </c>
      <c r="N586" s="37">
        <f ca="1">_xlfn.IFNA(VLOOKUP($A586,INDIRECT("'W"&amp;N$1&amp;"'!$A$2:$T$1000"),4,FALSE),0)</f>
        <v>0</v>
      </c>
      <c r="O586" s="37">
        <f ca="1">_xlfn.IFNA(VLOOKUP($A586,INDIRECT("'W"&amp;O$1&amp;"'!$A$2:$T$1000"),4,FALSE),0)</f>
        <v>0</v>
      </c>
      <c r="P586" s="37">
        <f ca="1">_xlfn.IFNA(VLOOKUP($A586,INDIRECT("'W"&amp;P$1&amp;"'!$A$2:$T$1000"),4,FALSE),0)</f>
        <v>-0.04</v>
      </c>
      <c r="Q586" s="37">
        <f ca="1">_xlfn.IFNA(VLOOKUP($A586,INDIRECT("'W"&amp;Q$1&amp;"'!$A$2:$T$1000"),4,FALSE),0)</f>
        <v>0</v>
      </c>
      <c r="R586" s="37">
        <f ca="1">_xlfn.IFNA(VLOOKUP($A586,INDIRECT("'W"&amp;R$1&amp;"'!$A$2:$T$1000"),4,FALSE),0)</f>
        <v>0</v>
      </c>
      <c r="S586" s="37">
        <f ca="1">_xlfn.IFNA(VLOOKUP($A586,INDIRECT("'W"&amp;S$1&amp;"'!$A$2:$T$1000"),4,FALSE),0)</f>
        <v>0</v>
      </c>
      <c r="T586" s="37">
        <f ca="1">_xlfn.IFNA(VLOOKUP($A586,INDIRECT("'W"&amp;T$1&amp;"'!$A$2:$T$1000"),4,FALSE),0)</f>
        <v>0.8</v>
      </c>
      <c r="U586" s="36">
        <f ca="1">COUNTIF(C586:T586,"&gt; 15")</f>
        <v>0</v>
      </c>
      <c r="V586" s="36">
        <f ca="1">SUM(C586:T586)</f>
        <v>0.76</v>
      </c>
      <c r="W586" s="36"/>
      <c r="X586" s="68"/>
    </row>
    <row r="587" spans="1:24" ht="12.75" x14ac:dyDescent="0.2">
      <c r="A587" s="36" t="s">
        <v>611</v>
      </c>
      <c r="B587" s="36" t="s">
        <v>162</v>
      </c>
      <c r="C587" s="37">
        <f ca="1">_xlfn.IFNA(VLOOKUP($A587,INDIRECT("'W"&amp;C$1&amp;"'!$A$2:$T$1000"),4,FALSE),0)</f>
        <v>0</v>
      </c>
      <c r="D587" s="37">
        <f ca="1">_xlfn.IFNA(VLOOKUP($A587,INDIRECT("'W"&amp;D$1&amp;"'!$A$2:$T$1000"),4,FALSE),0)</f>
        <v>0</v>
      </c>
      <c r="E587" s="37">
        <f ca="1">_xlfn.IFNA(VLOOKUP($A587,INDIRECT("'W"&amp;E$1&amp;"'!$A$2:$T$1000"),4,FALSE),0)</f>
        <v>0</v>
      </c>
      <c r="F587" s="37">
        <f ca="1">_xlfn.IFNA(VLOOKUP($A587,INDIRECT("'W"&amp;F$1&amp;"'!$A$2:$T$1000"),4,FALSE),0)</f>
        <v>0</v>
      </c>
      <c r="G587" s="37">
        <f ca="1">_xlfn.IFNA(VLOOKUP($A587,INDIRECT("'W"&amp;G$1&amp;"'!$A$2:$T$1000"),4,FALSE),0)</f>
        <v>0</v>
      </c>
      <c r="H587" s="37">
        <f ca="1">_xlfn.IFNA(VLOOKUP($A587,INDIRECT("'W"&amp;H$1&amp;"'!$A$2:$T$1000"),4,FALSE),0)</f>
        <v>0</v>
      </c>
      <c r="I587" s="37">
        <f ca="1">_xlfn.IFNA(VLOOKUP($A587,INDIRECT("'W"&amp;I$1&amp;"'!$A$2:$T$1000"),4,FALSE),0)</f>
        <v>0</v>
      </c>
      <c r="J587" s="37">
        <f ca="1">_xlfn.IFNA(VLOOKUP($A587,INDIRECT("'W"&amp;J$1&amp;"'!$A$2:$T$1000"),4,FALSE),0)</f>
        <v>-0.5</v>
      </c>
      <c r="K587" s="37">
        <f ca="1">_xlfn.IFNA(VLOOKUP($A587,INDIRECT("'W"&amp;K$1&amp;"'!$A$2:$T$1000"),4,FALSE),0)</f>
        <v>0</v>
      </c>
      <c r="L587" s="37">
        <f ca="1">_xlfn.IFNA(VLOOKUP($A587,INDIRECT("'W"&amp;L$1&amp;"'!$A$2:$T$1000"),4,FALSE),0)</f>
        <v>0</v>
      </c>
      <c r="M587" s="37">
        <f ca="1">_xlfn.IFNA(VLOOKUP($A587,INDIRECT("'W"&amp;M$1&amp;"'!$A$2:$T$1000"),4,FALSE),0)</f>
        <v>0</v>
      </c>
      <c r="N587" s="37">
        <f ca="1">_xlfn.IFNA(VLOOKUP($A587,INDIRECT("'W"&amp;N$1&amp;"'!$A$2:$T$1000"),4,FALSE),0)</f>
        <v>1</v>
      </c>
      <c r="O587" s="37">
        <f ca="1">_xlfn.IFNA(VLOOKUP($A587,INDIRECT("'W"&amp;O$1&amp;"'!$A$2:$T$1000"),4,FALSE),0)</f>
        <v>0</v>
      </c>
      <c r="P587" s="37">
        <f ca="1">_xlfn.IFNA(VLOOKUP($A587,INDIRECT("'W"&amp;P$1&amp;"'!$A$2:$T$1000"),4,FALSE),0)</f>
        <v>0</v>
      </c>
      <c r="Q587" s="37">
        <f ca="1">_xlfn.IFNA(VLOOKUP($A587,INDIRECT("'W"&amp;Q$1&amp;"'!$A$2:$T$1000"),4,FALSE),0)</f>
        <v>0</v>
      </c>
      <c r="R587" s="37">
        <f ca="1">_xlfn.IFNA(VLOOKUP($A587,INDIRECT("'W"&amp;R$1&amp;"'!$A$2:$T$1000"),4,FALSE),0)</f>
        <v>0</v>
      </c>
      <c r="S587" s="37">
        <f ca="1">_xlfn.IFNA(VLOOKUP($A587,INDIRECT("'W"&amp;S$1&amp;"'!$A$2:$T$1000"),4,FALSE),0)</f>
        <v>0</v>
      </c>
      <c r="T587" s="37">
        <f ca="1">_xlfn.IFNA(VLOOKUP($A587,INDIRECT("'W"&amp;T$1&amp;"'!$A$2:$T$1000"),4,FALSE),0)</f>
        <v>0</v>
      </c>
      <c r="U587" s="36">
        <f ca="1">COUNTIF(C587:T587,"&gt; 15")</f>
        <v>0</v>
      </c>
      <c r="V587" s="36">
        <f ca="1">SUM(C587:T587)</f>
        <v>0.5</v>
      </c>
      <c r="W587" s="36"/>
      <c r="X587" s="39"/>
    </row>
    <row r="588" spans="1:24" ht="12.75" x14ac:dyDescent="0.2">
      <c r="A588" s="36" t="s">
        <v>71</v>
      </c>
      <c r="B588" s="36" t="s">
        <v>17</v>
      </c>
      <c r="C588" s="37">
        <f ca="1">_xlfn.IFNA(VLOOKUP($A588,INDIRECT("'W"&amp;C$1&amp;"'!$A$2:$T$1000"),4,FALSE),0)</f>
        <v>0</v>
      </c>
      <c r="D588" s="37">
        <f ca="1">_xlfn.IFNA(VLOOKUP($A588,INDIRECT("'W"&amp;D$1&amp;"'!$A$2:$T$1000"),4,FALSE),0)</f>
        <v>0</v>
      </c>
      <c r="E588" s="37">
        <f ca="1">_xlfn.IFNA(VLOOKUP($A588,INDIRECT("'W"&amp;E$1&amp;"'!$A$2:$T$1000"),4,FALSE),0)</f>
        <v>0</v>
      </c>
      <c r="F588" s="37">
        <f ca="1">_xlfn.IFNA(VLOOKUP($A588,INDIRECT("'W"&amp;F$1&amp;"'!$A$2:$T$1000"),4,FALSE),0)</f>
        <v>0</v>
      </c>
      <c r="G588" s="37">
        <f ca="1">_xlfn.IFNA(VLOOKUP($A588,INDIRECT("'W"&amp;G$1&amp;"'!$A$2:$T$1000"),4,FALSE),0)</f>
        <v>0</v>
      </c>
      <c r="H588" s="37">
        <f ca="1">_xlfn.IFNA(VLOOKUP($A588,INDIRECT("'W"&amp;H$1&amp;"'!$A$2:$T$1000"),4,FALSE),0)</f>
        <v>0</v>
      </c>
      <c r="I588" s="37">
        <f ca="1">_xlfn.IFNA(VLOOKUP($A588,INDIRECT("'W"&amp;I$1&amp;"'!$A$2:$T$1000"),4,FALSE),0)</f>
        <v>0</v>
      </c>
      <c r="J588" s="37">
        <f ca="1">_xlfn.IFNA(VLOOKUP($A588,INDIRECT("'W"&amp;J$1&amp;"'!$A$2:$T$1000"),4,FALSE),0)</f>
        <v>0</v>
      </c>
      <c r="K588" s="37">
        <f ca="1">_xlfn.IFNA(VLOOKUP($A588,INDIRECT("'W"&amp;K$1&amp;"'!$A$2:$T$1000"),4,FALSE),0)</f>
        <v>0</v>
      </c>
      <c r="L588" s="37">
        <f ca="1">_xlfn.IFNA(VLOOKUP($A588,INDIRECT("'W"&amp;L$1&amp;"'!$A$2:$T$1000"),4,FALSE),0)</f>
        <v>0</v>
      </c>
      <c r="M588" s="37">
        <f ca="1">_xlfn.IFNA(VLOOKUP($A588,INDIRECT("'W"&amp;M$1&amp;"'!$A$2:$T$1000"),4,FALSE),0)</f>
        <v>0</v>
      </c>
      <c r="N588" s="37">
        <f ca="1">_xlfn.IFNA(VLOOKUP($A588,INDIRECT("'W"&amp;N$1&amp;"'!$A$2:$T$1000"),4,FALSE),0)</f>
        <v>0</v>
      </c>
      <c r="O588" s="37">
        <f ca="1">_xlfn.IFNA(VLOOKUP($A588,INDIRECT("'W"&amp;O$1&amp;"'!$A$2:$T$1000"),4,FALSE),0)</f>
        <v>0</v>
      </c>
      <c r="P588" s="37">
        <f ca="1">_xlfn.IFNA(VLOOKUP($A588,INDIRECT("'W"&amp;P$1&amp;"'!$A$2:$T$1000"),4,FALSE),0)</f>
        <v>0</v>
      </c>
      <c r="Q588" s="37">
        <f ca="1">_xlfn.IFNA(VLOOKUP($A588,INDIRECT("'W"&amp;Q$1&amp;"'!$A$2:$T$1000"),4,FALSE),0)</f>
        <v>0</v>
      </c>
      <c r="R588" s="37">
        <f ca="1">_xlfn.IFNA(VLOOKUP($A588,INDIRECT("'W"&amp;R$1&amp;"'!$A$2:$T$1000"),4,FALSE),0)</f>
        <v>0</v>
      </c>
      <c r="S588" s="37">
        <f ca="1">_xlfn.IFNA(VLOOKUP($A588,INDIRECT("'W"&amp;S$1&amp;"'!$A$2:$T$1000"),4,FALSE),0)</f>
        <v>0</v>
      </c>
      <c r="T588" s="37">
        <f ca="1">_xlfn.IFNA(VLOOKUP($A588,INDIRECT("'W"&amp;T$1&amp;"'!$A$2:$T$1000"),4,FALSE),0)</f>
        <v>0</v>
      </c>
      <c r="U588" s="36">
        <f ca="1">COUNTIF(C588:T588,"&gt; 15")</f>
        <v>0</v>
      </c>
      <c r="V588" s="36">
        <f ca="1">SUM(C588:T588)</f>
        <v>0</v>
      </c>
      <c r="W588" s="36"/>
      <c r="X588" s="68"/>
    </row>
    <row r="589" spans="1:24" ht="12.75" x14ac:dyDescent="0.2">
      <c r="A589" s="36" t="s">
        <v>455</v>
      </c>
      <c r="B589" s="36" t="s">
        <v>75</v>
      </c>
      <c r="C589" s="37">
        <f ca="1">_xlfn.IFNA(VLOOKUP($A589,INDIRECT("'W"&amp;C$1&amp;"'!$A$2:$T$1000"),4,FALSE),0)</f>
        <v>0</v>
      </c>
      <c r="D589" s="37">
        <f ca="1">_xlfn.IFNA(VLOOKUP($A589,INDIRECT("'W"&amp;D$1&amp;"'!$A$2:$T$1000"),4,FALSE),0)</f>
        <v>0</v>
      </c>
      <c r="E589" s="37">
        <f ca="1">_xlfn.IFNA(VLOOKUP($A589,INDIRECT("'W"&amp;E$1&amp;"'!$A$2:$T$1000"),4,FALSE),0)</f>
        <v>0</v>
      </c>
      <c r="F589" s="37">
        <f ca="1">_xlfn.IFNA(VLOOKUP($A589,INDIRECT("'W"&amp;F$1&amp;"'!$A$2:$T$1000"),4,FALSE),0)</f>
        <v>0</v>
      </c>
      <c r="G589" s="37">
        <f ca="1">_xlfn.IFNA(VLOOKUP($A589,INDIRECT("'W"&amp;G$1&amp;"'!$A$2:$T$1000"),4,FALSE),0)</f>
        <v>0</v>
      </c>
      <c r="H589" s="37">
        <f ca="1">_xlfn.IFNA(VLOOKUP($A589,INDIRECT("'W"&amp;H$1&amp;"'!$A$2:$T$1000"),4,FALSE),0)</f>
        <v>0</v>
      </c>
      <c r="I589" s="37">
        <f ca="1">_xlfn.IFNA(VLOOKUP($A589,INDIRECT("'W"&amp;I$1&amp;"'!$A$2:$T$1000"),4,FALSE),0)</f>
        <v>0</v>
      </c>
      <c r="J589" s="37">
        <f ca="1">_xlfn.IFNA(VLOOKUP($A589,INDIRECT("'W"&amp;J$1&amp;"'!$A$2:$T$1000"),4,FALSE),0)</f>
        <v>0</v>
      </c>
      <c r="K589" s="37">
        <f ca="1">_xlfn.IFNA(VLOOKUP($A589,INDIRECT("'W"&amp;K$1&amp;"'!$A$2:$T$1000"),4,FALSE),0)</f>
        <v>0</v>
      </c>
      <c r="L589" s="37">
        <f ca="1">_xlfn.IFNA(VLOOKUP($A589,INDIRECT("'W"&amp;L$1&amp;"'!$A$2:$T$1000"),4,FALSE),0)</f>
        <v>0</v>
      </c>
      <c r="M589" s="37">
        <f ca="1">_xlfn.IFNA(VLOOKUP($A589,INDIRECT("'W"&amp;M$1&amp;"'!$A$2:$T$1000"),4,FALSE),0)</f>
        <v>0</v>
      </c>
      <c r="N589" s="37">
        <f ca="1">_xlfn.IFNA(VLOOKUP($A589,INDIRECT("'W"&amp;N$1&amp;"'!$A$2:$T$1000"),4,FALSE),0)</f>
        <v>0</v>
      </c>
      <c r="O589" s="37">
        <f ca="1">_xlfn.IFNA(VLOOKUP($A589,INDIRECT("'W"&amp;O$1&amp;"'!$A$2:$T$1000"),4,FALSE),0)</f>
        <v>0</v>
      </c>
      <c r="P589" s="37">
        <f ca="1">_xlfn.IFNA(VLOOKUP($A589,INDIRECT("'W"&amp;P$1&amp;"'!$A$2:$T$1000"),4,FALSE),0)</f>
        <v>0</v>
      </c>
      <c r="Q589" s="37">
        <f ca="1">_xlfn.IFNA(VLOOKUP($A589,INDIRECT("'W"&amp;Q$1&amp;"'!$A$2:$T$1000"),4,FALSE),0)</f>
        <v>0</v>
      </c>
      <c r="R589" s="37">
        <f ca="1">_xlfn.IFNA(VLOOKUP($A589,INDIRECT("'W"&amp;R$1&amp;"'!$A$2:$T$1000"),4,FALSE),0)</f>
        <v>0</v>
      </c>
      <c r="S589" s="37">
        <f ca="1">_xlfn.IFNA(VLOOKUP($A589,INDIRECT("'W"&amp;S$1&amp;"'!$A$2:$T$1000"),4,FALSE),0)</f>
        <v>0</v>
      </c>
      <c r="T589" s="37">
        <f ca="1">_xlfn.IFNA(VLOOKUP($A589,INDIRECT("'W"&amp;T$1&amp;"'!$A$2:$T$1000"),4,FALSE),0)</f>
        <v>0</v>
      </c>
      <c r="U589" s="36">
        <f ca="1">COUNTIF(C589:T589,"&gt; 15")</f>
        <v>0</v>
      </c>
      <c r="V589" s="36">
        <f ca="1">SUM(C589:T589)</f>
        <v>0</v>
      </c>
      <c r="W589" s="36"/>
      <c r="X589" s="68"/>
    </row>
    <row r="590" spans="1:24" ht="12.75" x14ac:dyDescent="0.2">
      <c r="A590" s="36" t="s">
        <v>320</v>
      </c>
      <c r="B590" s="36"/>
      <c r="C590" s="37">
        <f ca="1">_xlfn.IFNA(VLOOKUP($A590,INDIRECT("'W"&amp;C$1&amp;"'!$A$2:$T$1000"),4,FALSE),0)</f>
        <v>0</v>
      </c>
      <c r="D590" s="37">
        <f ca="1">_xlfn.IFNA(VLOOKUP($A590,INDIRECT("'W"&amp;D$1&amp;"'!$A$2:$T$1000"),4,FALSE),0)</f>
        <v>0</v>
      </c>
      <c r="E590" s="37">
        <f ca="1">_xlfn.IFNA(VLOOKUP($A590,INDIRECT("'W"&amp;E$1&amp;"'!$A$2:$T$1000"),4,FALSE),0)</f>
        <v>0</v>
      </c>
      <c r="F590" s="37">
        <f ca="1">_xlfn.IFNA(VLOOKUP($A590,INDIRECT("'W"&amp;F$1&amp;"'!$A$2:$T$1000"),4,FALSE),0)</f>
        <v>0</v>
      </c>
      <c r="G590" s="37">
        <f ca="1">_xlfn.IFNA(VLOOKUP($A590,INDIRECT("'W"&amp;G$1&amp;"'!$A$2:$T$1000"),4,FALSE),0)</f>
        <v>0</v>
      </c>
      <c r="H590" s="37">
        <f ca="1">_xlfn.IFNA(VLOOKUP($A590,INDIRECT("'W"&amp;H$1&amp;"'!$A$2:$T$1000"),4,FALSE),0)</f>
        <v>0</v>
      </c>
      <c r="I590" s="37">
        <f ca="1">_xlfn.IFNA(VLOOKUP($A590,INDIRECT("'W"&amp;I$1&amp;"'!$A$2:$T$1000"),4,FALSE),0)</f>
        <v>0</v>
      </c>
      <c r="J590" s="37">
        <f ca="1">_xlfn.IFNA(VLOOKUP($A590,INDIRECT("'W"&amp;J$1&amp;"'!$A$2:$T$1000"),4,FALSE),0)</f>
        <v>0</v>
      </c>
      <c r="K590" s="37">
        <f ca="1">_xlfn.IFNA(VLOOKUP($A590,INDIRECT("'W"&amp;K$1&amp;"'!$A$2:$T$1000"),4,FALSE),0)</f>
        <v>0</v>
      </c>
      <c r="L590" s="37">
        <f ca="1">_xlfn.IFNA(VLOOKUP($A590,INDIRECT("'W"&amp;L$1&amp;"'!$A$2:$T$1000"),4,FALSE),0)</f>
        <v>0</v>
      </c>
      <c r="M590" s="37">
        <f ca="1">_xlfn.IFNA(VLOOKUP($A590,INDIRECT("'W"&amp;M$1&amp;"'!$A$2:$T$1000"),4,FALSE),0)</f>
        <v>0</v>
      </c>
      <c r="N590" s="37">
        <f ca="1">_xlfn.IFNA(VLOOKUP($A590,INDIRECT("'W"&amp;N$1&amp;"'!$A$2:$T$1000"),4,FALSE),0)</f>
        <v>0</v>
      </c>
      <c r="O590" s="37">
        <f ca="1">_xlfn.IFNA(VLOOKUP($A590,INDIRECT("'W"&amp;O$1&amp;"'!$A$2:$T$1000"),4,FALSE),0)</f>
        <v>0</v>
      </c>
      <c r="P590" s="37">
        <f ca="1">_xlfn.IFNA(VLOOKUP($A590,INDIRECT("'W"&amp;P$1&amp;"'!$A$2:$T$1000"),4,FALSE),0)</f>
        <v>0</v>
      </c>
      <c r="Q590" s="37">
        <f ca="1">_xlfn.IFNA(VLOOKUP($A590,INDIRECT("'W"&amp;Q$1&amp;"'!$A$2:$T$1000"),4,FALSE),0)</f>
        <v>0</v>
      </c>
      <c r="R590" s="37">
        <f ca="1">_xlfn.IFNA(VLOOKUP($A590,INDIRECT("'W"&amp;R$1&amp;"'!$A$2:$T$1000"),4,FALSE),0)</f>
        <v>0</v>
      </c>
      <c r="S590" s="37">
        <f ca="1">_xlfn.IFNA(VLOOKUP($A590,INDIRECT("'W"&amp;S$1&amp;"'!$A$2:$T$1000"),4,FALSE),0)</f>
        <v>0</v>
      </c>
      <c r="T590" s="37">
        <f ca="1">_xlfn.IFNA(VLOOKUP($A590,INDIRECT("'W"&amp;T$1&amp;"'!$A$2:$T$1000"),4,FALSE),0)</f>
        <v>0</v>
      </c>
      <c r="U590" s="36">
        <f ca="1">COUNTIF(C590:T590,"&gt; 15")</f>
        <v>0</v>
      </c>
      <c r="V590" s="36">
        <f ca="1">SUM(C590:T590)</f>
        <v>0</v>
      </c>
      <c r="W590" s="36"/>
      <c r="X590" s="39"/>
    </row>
    <row r="591" spans="1:24" ht="12.75" x14ac:dyDescent="0.2">
      <c r="A591" s="36" t="s">
        <v>656</v>
      </c>
      <c r="B591" s="36" t="s">
        <v>17</v>
      </c>
      <c r="C591" s="37">
        <f ca="1">_xlfn.IFNA(VLOOKUP($A591,INDIRECT("'W"&amp;C$1&amp;"'!$A$2:$T$1000"),4,FALSE),0)</f>
        <v>0</v>
      </c>
      <c r="D591" s="37">
        <f ca="1">_xlfn.IFNA(VLOOKUP($A591,INDIRECT("'W"&amp;D$1&amp;"'!$A$2:$T$1000"),4,FALSE),0)</f>
        <v>0</v>
      </c>
      <c r="E591" s="37">
        <f ca="1">_xlfn.IFNA(VLOOKUP($A591,INDIRECT("'W"&amp;E$1&amp;"'!$A$2:$T$1000"),4,FALSE),0)</f>
        <v>0</v>
      </c>
      <c r="F591" s="37">
        <f ca="1">_xlfn.IFNA(VLOOKUP($A591,INDIRECT("'W"&amp;F$1&amp;"'!$A$2:$T$1000"),4,FALSE),0)</f>
        <v>0</v>
      </c>
      <c r="G591" s="37">
        <f ca="1">_xlfn.IFNA(VLOOKUP($A591,INDIRECT("'W"&amp;G$1&amp;"'!$A$2:$T$1000"),4,FALSE),0)</f>
        <v>0</v>
      </c>
      <c r="H591" s="37">
        <f ca="1">_xlfn.IFNA(VLOOKUP($A591,INDIRECT("'W"&amp;H$1&amp;"'!$A$2:$T$1000"),4,FALSE),0)</f>
        <v>0</v>
      </c>
      <c r="I591" s="37">
        <f ca="1">_xlfn.IFNA(VLOOKUP($A591,INDIRECT("'W"&amp;I$1&amp;"'!$A$2:$T$1000"),4,FALSE),0)</f>
        <v>0</v>
      </c>
      <c r="J591" s="37">
        <f ca="1">_xlfn.IFNA(VLOOKUP($A591,INDIRECT("'W"&amp;J$1&amp;"'!$A$2:$T$1000"),4,FALSE),0)</f>
        <v>0</v>
      </c>
      <c r="K591" s="37">
        <f ca="1">_xlfn.IFNA(VLOOKUP($A591,INDIRECT("'W"&amp;K$1&amp;"'!$A$2:$T$1000"),4,FALSE),0)</f>
        <v>0</v>
      </c>
      <c r="L591" s="37">
        <f ca="1">_xlfn.IFNA(VLOOKUP($A591,INDIRECT("'W"&amp;L$1&amp;"'!$A$2:$T$1000"),4,FALSE),0)</f>
        <v>-0.1</v>
      </c>
      <c r="M591" s="37">
        <f ca="1">_xlfn.IFNA(VLOOKUP($A591,INDIRECT("'W"&amp;M$1&amp;"'!$A$2:$T$1000"),4,FALSE),0)</f>
        <v>0</v>
      </c>
      <c r="N591" s="37">
        <f ca="1">_xlfn.IFNA(VLOOKUP($A591,INDIRECT("'W"&amp;N$1&amp;"'!$A$2:$T$1000"),4,FALSE),0)</f>
        <v>0</v>
      </c>
      <c r="O591" s="37">
        <f ca="1">_xlfn.IFNA(VLOOKUP($A591,INDIRECT("'W"&amp;O$1&amp;"'!$A$2:$T$1000"),4,FALSE),0)</f>
        <v>0</v>
      </c>
      <c r="P591" s="37">
        <f ca="1">_xlfn.IFNA(VLOOKUP($A591,INDIRECT("'W"&amp;P$1&amp;"'!$A$2:$T$1000"),4,FALSE),0)</f>
        <v>0</v>
      </c>
      <c r="Q591" s="37">
        <f ca="1">_xlfn.IFNA(VLOOKUP($A591,INDIRECT("'W"&amp;Q$1&amp;"'!$A$2:$T$1000"),4,FALSE),0)</f>
        <v>0</v>
      </c>
      <c r="R591" s="37">
        <f ca="1">_xlfn.IFNA(VLOOKUP($A591,INDIRECT("'W"&amp;R$1&amp;"'!$A$2:$T$1000"),4,FALSE),0)</f>
        <v>0</v>
      </c>
      <c r="S591" s="37">
        <f ca="1">_xlfn.IFNA(VLOOKUP($A591,INDIRECT("'W"&amp;S$1&amp;"'!$A$2:$T$1000"),4,FALSE),0)</f>
        <v>0</v>
      </c>
      <c r="T591" s="37">
        <f ca="1">_xlfn.IFNA(VLOOKUP($A591,INDIRECT("'W"&amp;T$1&amp;"'!$A$2:$T$1000"),4,FALSE),0)</f>
        <v>0</v>
      </c>
      <c r="U591" s="36">
        <f ca="1">COUNTIF(C591:T591,"&gt; 15")</f>
        <v>0</v>
      </c>
      <c r="V591" s="36">
        <f ca="1">SUM(C591:T591)</f>
        <v>-0.1</v>
      </c>
      <c r="W591" s="36"/>
      <c r="X591" s="68"/>
    </row>
    <row r="592" spans="1:24" ht="12.75" x14ac:dyDescent="0.2">
      <c r="A592" s="36" t="s">
        <v>531</v>
      </c>
      <c r="B592" s="36" t="s">
        <v>17</v>
      </c>
      <c r="C592" s="37">
        <f ca="1">_xlfn.IFNA(VLOOKUP($A592,INDIRECT("'W"&amp;C$1&amp;"'!$A$2:$T$1000"),4,FALSE),0)</f>
        <v>0</v>
      </c>
      <c r="D592" s="37">
        <f ca="1">_xlfn.IFNA(VLOOKUP($A592,INDIRECT("'W"&amp;D$1&amp;"'!$A$2:$T$1000"),4,FALSE),0)</f>
        <v>0</v>
      </c>
      <c r="E592" s="37">
        <f ca="1">_xlfn.IFNA(VLOOKUP($A592,INDIRECT("'W"&amp;E$1&amp;"'!$A$2:$T$1000"),4,FALSE),0)</f>
        <v>0</v>
      </c>
      <c r="F592" s="37">
        <f ca="1">_xlfn.IFNA(VLOOKUP($A592,INDIRECT("'W"&amp;F$1&amp;"'!$A$2:$T$1000"),4,FALSE),0)</f>
        <v>0</v>
      </c>
      <c r="G592" s="37">
        <f ca="1">_xlfn.IFNA(VLOOKUP($A592,INDIRECT("'W"&amp;G$1&amp;"'!$A$2:$T$1000"),4,FALSE),0)</f>
        <v>-0.2</v>
      </c>
      <c r="H592" s="37">
        <f ca="1">_xlfn.IFNA(VLOOKUP($A592,INDIRECT("'W"&amp;H$1&amp;"'!$A$2:$T$1000"),4,FALSE),0)</f>
        <v>0</v>
      </c>
      <c r="I592" s="37">
        <f ca="1">_xlfn.IFNA(VLOOKUP($A592,INDIRECT("'W"&amp;I$1&amp;"'!$A$2:$T$1000"),4,FALSE),0)</f>
        <v>0</v>
      </c>
      <c r="J592" s="37">
        <f ca="1">_xlfn.IFNA(VLOOKUP($A592,INDIRECT("'W"&amp;J$1&amp;"'!$A$2:$T$1000"),4,FALSE),0)</f>
        <v>0</v>
      </c>
      <c r="K592" s="37">
        <f ca="1">_xlfn.IFNA(VLOOKUP($A592,INDIRECT("'W"&amp;K$1&amp;"'!$A$2:$T$1000"),4,FALSE),0)</f>
        <v>0</v>
      </c>
      <c r="L592" s="37">
        <f ca="1">_xlfn.IFNA(VLOOKUP($A592,INDIRECT("'W"&amp;L$1&amp;"'!$A$2:$T$1000"),4,FALSE),0)</f>
        <v>0</v>
      </c>
      <c r="M592" s="37">
        <f ca="1">_xlfn.IFNA(VLOOKUP($A592,INDIRECT("'W"&amp;M$1&amp;"'!$A$2:$T$1000"),4,FALSE),0)</f>
        <v>0</v>
      </c>
      <c r="N592" s="37">
        <f ca="1">_xlfn.IFNA(VLOOKUP($A592,INDIRECT("'W"&amp;N$1&amp;"'!$A$2:$T$1000"),4,FALSE),0)</f>
        <v>0</v>
      </c>
      <c r="O592" s="37">
        <f ca="1">_xlfn.IFNA(VLOOKUP($A592,INDIRECT("'W"&amp;O$1&amp;"'!$A$2:$T$1000"),4,FALSE),0)</f>
        <v>0</v>
      </c>
      <c r="P592" s="37">
        <f ca="1">_xlfn.IFNA(VLOOKUP($A592,INDIRECT("'W"&amp;P$1&amp;"'!$A$2:$T$1000"),4,FALSE),0)</f>
        <v>0</v>
      </c>
      <c r="Q592" s="37">
        <f ca="1">_xlfn.IFNA(VLOOKUP($A592,INDIRECT("'W"&amp;Q$1&amp;"'!$A$2:$T$1000"),4,FALSE),0)</f>
        <v>0</v>
      </c>
      <c r="R592" s="37">
        <f ca="1">_xlfn.IFNA(VLOOKUP($A592,INDIRECT("'W"&amp;R$1&amp;"'!$A$2:$T$1000"),4,FALSE),0)</f>
        <v>0</v>
      </c>
      <c r="S592" s="37">
        <f ca="1">_xlfn.IFNA(VLOOKUP($A592,INDIRECT("'W"&amp;S$1&amp;"'!$A$2:$T$1000"),4,FALSE),0)</f>
        <v>0</v>
      </c>
      <c r="T592" s="37">
        <f ca="1">_xlfn.IFNA(VLOOKUP($A592,INDIRECT("'W"&amp;T$1&amp;"'!$A$2:$T$1000"),4,FALSE),0)</f>
        <v>0</v>
      </c>
      <c r="U592" s="36">
        <f ca="1">COUNTIF(C592:T592,"&gt; 15")</f>
        <v>0</v>
      </c>
      <c r="V592" s="36">
        <f ca="1">SUM(C592:T592)</f>
        <v>-0.2</v>
      </c>
      <c r="W592" s="36"/>
      <c r="X592" s="68"/>
    </row>
    <row r="593" spans="1:24" ht="12.75" x14ac:dyDescent="0.2">
      <c r="A593" s="36" t="s">
        <v>762</v>
      </c>
      <c r="B593" s="36" t="e">
        <f ca="1">VLOOKUP(A593,CumulativePlayerList!$T$3:$U$550,2,FALSE)</f>
        <v>#NAME?</v>
      </c>
      <c r="C593" s="37">
        <f ca="1">_xlfn.IFNA(VLOOKUP($A593,INDIRECT("'W"&amp;C$1&amp;"'!$A$2:$T$1000"),4,FALSE),0)</f>
        <v>0</v>
      </c>
      <c r="D593" s="37">
        <f ca="1">_xlfn.IFNA(VLOOKUP($A593,INDIRECT("'W"&amp;D$1&amp;"'!$A$2:$T$1000"),4,FALSE),0)</f>
        <v>0</v>
      </c>
      <c r="E593" s="37">
        <f ca="1">_xlfn.IFNA(VLOOKUP($A593,INDIRECT("'W"&amp;E$1&amp;"'!$A$2:$T$1000"),4,FALSE),0)</f>
        <v>0</v>
      </c>
      <c r="F593" s="37">
        <f ca="1">_xlfn.IFNA(VLOOKUP($A593,INDIRECT("'W"&amp;F$1&amp;"'!$A$2:$T$1000"),4,FALSE),0)</f>
        <v>0</v>
      </c>
      <c r="G593" s="37">
        <f ca="1">_xlfn.IFNA(VLOOKUP($A593,INDIRECT("'W"&amp;G$1&amp;"'!$A$2:$T$1000"),4,FALSE),0)</f>
        <v>0</v>
      </c>
      <c r="H593" s="37">
        <f ca="1">_xlfn.IFNA(VLOOKUP($A593,INDIRECT("'W"&amp;H$1&amp;"'!$A$2:$T$1000"),4,FALSE),0)</f>
        <v>0</v>
      </c>
      <c r="I593" s="37">
        <f ca="1">_xlfn.IFNA(VLOOKUP($A593,INDIRECT("'W"&amp;I$1&amp;"'!$A$2:$T$1000"),4,FALSE),0)</f>
        <v>0</v>
      </c>
      <c r="J593" s="37">
        <f ca="1">_xlfn.IFNA(VLOOKUP($A593,INDIRECT("'W"&amp;J$1&amp;"'!$A$2:$T$1000"),4,FALSE),0)</f>
        <v>0</v>
      </c>
      <c r="K593" s="37">
        <f ca="1">_xlfn.IFNA(VLOOKUP($A593,INDIRECT("'W"&amp;K$1&amp;"'!$A$2:$T$1000"),4,FALSE),0)</f>
        <v>0</v>
      </c>
      <c r="L593" s="37">
        <f ca="1">_xlfn.IFNA(VLOOKUP($A593,INDIRECT("'W"&amp;L$1&amp;"'!$A$2:$T$1000"),4,FALSE),0)</f>
        <v>0</v>
      </c>
      <c r="M593" s="37">
        <f ca="1">_xlfn.IFNA(VLOOKUP($A593,INDIRECT("'W"&amp;M$1&amp;"'!$A$2:$T$1000"),4,FALSE),0)</f>
        <v>0</v>
      </c>
      <c r="N593" s="37">
        <f ca="1">_xlfn.IFNA(VLOOKUP($A593,INDIRECT("'W"&amp;N$1&amp;"'!$A$2:$T$1000"),4,FALSE),0)</f>
        <v>0</v>
      </c>
      <c r="O593" s="37">
        <f ca="1">_xlfn.IFNA(VLOOKUP($A593,INDIRECT("'W"&amp;O$1&amp;"'!$A$2:$T$1000"),4,FALSE),0)</f>
        <v>0</v>
      </c>
      <c r="P593" s="37">
        <f ca="1">_xlfn.IFNA(VLOOKUP($A593,INDIRECT("'W"&amp;P$1&amp;"'!$A$2:$T$1000"),4,FALSE),0)</f>
        <v>0</v>
      </c>
      <c r="Q593" s="37">
        <f ca="1">_xlfn.IFNA(VLOOKUP($A593,INDIRECT("'W"&amp;Q$1&amp;"'!$A$2:$T$1000"),4,FALSE),0)</f>
        <v>-0.2</v>
      </c>
      <c r="R593" s="37">
        <f ca="1">_xlfn.IFNA(VLOOKUP($A593,INDIRECT("'W"&amp;R$1&amp;"'!$A$2:$T$1000"),4,FALSE),0)</f>
        <v>0</v>
      </c>
      <c r="S593" s="37">
        <f ca="1">_xlfn.IFNA(VLOOKUP($A593,INDIRECT("'W"&amp;S$1&amp;"'!$A$2:$T$1000"),4,FALSE),0)</f>
        <v>0</v>
      </c>
      <c r="T593" s="37">
        <f ca="1">_xlfn.IFNA(VLOOKUP($A593,INDIRECT("'W"&amp;T$1&amp;"'!$A$2:$T$1000"),4,FALSE),0)</f>
        <v>0</v>
      </c>
      <c r="U593" s="36">
        <f ca="1">COUNTIF(C593:T593,"&gt; 15")</f>
        <v>0</v>
      </c>
      <c r="V593" s="36">
        <f ca="1">SUM(C593:T593)</f>
        <v>-0.2</v>
      </c>
      <c r="W593" s="36"/>
      <c r="X593" s="39"/>
    </row>
    <row r="594" spans="1:24" ht="12.75" x14ac:dyDescent="0.2">
      <c r="A594" s="36" t="s">
        <v>807</v>
      </c>
      <c r="B594" s="36" t="e">
        <f ca="1">VLOOKUP(A594,CumulativePlayerList!$T$3:$U$550,2,FALSE)</f>
        <v>#NAME?</v>
      </c>
      <c r="C594" s="37">
        <f ca="1">_xlfn.IFNA(VLOOKUP($A594,INDIRECT("'W"&amp;C$1&amp;"'!$A$2:$T$1000"),4,FALSE),0)</f>
        <v>0</v>
      </c>
      <c r="D594" s="37">
        <f ca="1">_xlfn.IFNA(VLOOKUP($A594,INDIRECT("'W"&amp;D$1&amp;"'!$A$2:$T$1000"),4,FALSE),0)</f>
        <v>0</v>
      </c>
      <c r="E594" s="37">
        <f ca="1">_xlfn.IFNA(VLOOKUP($A594,INDIRECT("'W"&amp;E$1&amp;"'!$A$2:$T$1000"),4,FALSE),0)</f>
        <v>0</v>
      </c>
      <c r="F594" s="37">
        <f ca="1">_xlfn.IFNA(VLOOKUP($A594,INDIRECT("'W"&amp;F$1&amp;"'!$A$2:$T$1000"),4,FALSE),0)</f>
        <v>0</v>
      </c>
      <c r="G594" s="37">
        <f ca="1">_xlfn.IFNA(VLOOKUP($A594,INDIRECT("'W"&amp;G$1&amp;"'!$A$2:$T$1000"),4,FALSE),0)</f>
        <v>0</v>
      </c>
      <c r="H594" s="37">
        <f ca="1">_xlfn.IFNA(VLOOKUP($A594,INDIRECT("'W"&amp;H$1&amp;"'!$A$2:$T$1000"),4,FALSE),0)</f>
        <v>0</v>
      </c>
      <c r="I594" s="37">
        <f ca="1">_xlfn.IFNA(VLOOKUP($A594,INDIRECT("'W"&amp;I$1&amp;"'!$A$2:$T$1000"),4,FALSE),0)</f>
        <v>0</v>
      </c>
      <c r="J594" s="37">
        <f ca="1">_xlfn.IFNA(VLOOKUP($A594,INDIRECT("'W"&amp;J$1&amp;"'!$A$2:$T$1000"),4,FALSE),0)</f>
        <v>0</v>
      </c>
      <c r="K594" s="37">
        <f ca="1">_xlfn.IFNA(VLOOKUP($A594,INDIRECT("'W"&amp;K$1&amp;"'!$A$2:$T$1000"),4,FALSE),0)</f>
        <v>0</v>
      </c>
      <c r="L594" s="37">
        <f ca="1">_xlfn.IFNA(VLOOKUP($A594,INDIRECT("'W"&amp;L$1&amp;"'!$A$2:$T$1000"),4,FALSE),0)</f>
        <v>0</v>
      </c>
      <c r="M594" s="37">
        <f ca="1">_xlfn.IFNA(VLOOKUP($A594,INDIRECT("'W"&amp;M$1&amp;"'!$A$2:$T$1000"),4,FALSE),0)</f>
        <v>0</v>
      </c>
      <c r="N594" s="37">
        <f ca="1">_xlfn.IFNA(VLOOKUP($A594,INDIRECT("'W"&amp;N$1&amp;"'!$A$2:$T$1000"),4,FALSE),0)</f>
        <v>0</v>
      </c>
      <c r="O594" s="37">
        <f ca="1">_xlfn.IFNA(VLOOKUP($A594,INDIRECT("'W"&amp;O$1&amp;"'!$A$2:$T$1000"),4,FALSE),0)</f>
        <v>0</v>
      </c>
      <c r="P594" s="37">
        <f ca="1">_xlfn.IFNA(VLOOKUP($A594,INDIRECT("'W"&amp;P$1&amp;"'!$A$2:$T$1000"),4,FALSE),0)</f>
        <v>0</v>
      </c>
      <c r="Q594" s="37">
        <f ca="1">_xlfn.IFNA(VLOOKUP($A594,INDIRECT("'W"&amp;Q$1&amp;"'!$A$2:$T$1000"),4,FALSE),0)</f>
        <v>0</v>
      </c>
      <c r="R594" s="37">
        <f ca="1">_xlfn.IFNA(VLOOKUP($A594,INDIRECT("'W"&amp;R$1&amp;"'!$A$2:$T$1000"),4,FALSE),0)</f>
        <v>0</v>
      </c>
      <c r="S594" s="37">
        <f ca="1">_xlfn.IFNA(VLOOKUP($A594,INDIRECT("'W"&amp;S$1&amp;"'!$A$2:$T$1000"),4,FALSE),0)</f>
        <v>-0.30000000000000004</v>
      </c>
      <c r="T594" s="37">
        <f ca="1">_xlfn.IFNA(VLOOKUP($A594,INDIRECT("'W"&amp;T$1&amp;"'!$A$2:$T$1000"),4,FALSE),0)</f>
        <v>0</v>
      </c>
      <c r="U594" s="36">
        <f ca="1">COUNTIF(C594:T594,"&gt; 15")</f>
        <v>0</v>
      </c>
      <c r="V594" s="36">
        <f ca="1">SUM(C594:T594)</f>
        <v>-0.30000000000000004</v>
      </c>
      <c r="W594" s="36"/>
      <c r="X594" s="39"/>
    </row>
    <row r="595" spans="1:24" ht="12.75" x14ac:dyDescent="0.2">
      <c r="A595" s="36" t="s">
        <v>832</v>
      </c>
      <c r="B595" s="36" t="e">
        <f ca="1">VLOOKUP(A595,CumulativePlayerList!$T$3:$U$550,2,FALSE)</f>
        <v>#NAME?</v>
      </c>
      <c r="C595" s="37">
        <f ca="1">_xlfn.IFNA(VLOOKUP($A595,INDIRECT("'W"&amp;C$1&amp;"'!$A$2:$T$1000"),4,FALSE),0)</f>
        <v>0</v>
      </c>
      <c r="D595" s="37">
        <f ca="1">_xlfn.IFNA(VLOOKUP($A595,INDIRECT("'W"&amp;D$1&amp;"'!$A$2:$T$1000"),4,FALSE),0)</f>
        <v>0</v>
      </c>
      <c r="E595" s="37">
        <f ca="1">_xlfn.IFNA(VLOOKUP($A595,INDIRECT("'W"&amp;E$1&amp;"'!$A$2:$T$1000"),4,FALSE),0)</f>
        <v>0</v>
      </c>
      <c r="F595" s="37">
        <f ca="1">_xlfn.IFNA(VLOOKUP($A595,INDIRECT("'W"&amp;F$1&amp;"'!$A$2:$T$1000"),4,FALSE),0)</f>
        <v>0</v>
      </c>
      <c r="G595" s="37">
        <f ca="1">_xlfn.IFNA(VLOOKUP($A595,INDIRECT("'W"&amp;G$1&amp;"'!$A$2:$T$1000"),4,FALSE),0)</f>
        <v>0</v>
      </c>
      <c r="H595" s="37">
        <f ca="1">_xlfn.IFNA(VLOOKUP($A595,INDIRECT("'W"&amp;H$1&amp;"'!$A$2:$T$1000"),4,FALSE),0)</f>
        <v>0</v>
      </c>
      <c r="I595" s="37">
        <f ca="1">_xlfn.IFNA(VLOOKUP($A595,INDIRECT("'W"&amp;I$1&amp;"'!$A$2:$T$1000"),4,FALSE),0)</f>
        <v>0</v>
      </c>
      <c r="J595" s="37">
        <f ca="1">_xlfn.IFNA(VLOOKUP($A595,INDIRECT("'W"&amp;J$1&amp;"'!$A$2:$T$1000"),4,FALSE),0)</f>
        <v>0</v>
      </c>
      <c r="K595" s="37">
        <f ca="1">_xlfn.IFNA(VLOOKUP($A595,INDIRECT("'W"&amp;K$1&amp;"'!$A$2:$T$1000"),4,FALSE),0)</f>
        <v>0</v>
      </c>
      <c r="L595" s="37">
        <f ca="1">_xlfn.IFNA(VLOOKUP($A595,INDIRECT("'W"&amp;L$1&amp;"'!$A$2:$T$1000"),4,FALSE),0)</f>
        <v>0</v>
      </c>
      <c r="M595" s="37">
        <f ca="1">_xlfn.IFNA(VLOOKUP($A595,INDIRECT("'W"&amp;M$1&amp;"'!$A$2:$T$1000"),4,FALSE),0)</f>
        <v>0</v>
      </c>
      <c r="N595" s="37">
        <f ca="1">_xlfn.IFNA(VLOOKUP($A595,INDIRECT("'W"&amp;N$1&amp;"'!$A$2:$T$1000"),4,FALSE),0)</f>
        <v>0</v>
      </c>
      <c r="O595" s="37">
        <f ca="1">_xlfn.IFNA(VLOOKUP($A595,INDIRECT("'W"&amp;O$1&amp;"'!$A$2:$T$1000"),4,FALSE),0)</f>
        <v>0</v>
      </c>
      <c r="P595" s="37">
        <f ca="1">_xlfn.IFNA(VLOOKUP($A595,INDIRECT("'W"&amp;P$1&amp;"'!$A$2:$T$1000"),4,FALSE),0)</f>
        <v>0</v>
      </c>
      <c r="Q595" s="37">
        <f ca="1">_xlfn.IFNA(VLOOKUP($A595,INDIRECT("'W"&amp;Q$1&amp;"'!$A$2:$T$1000"),4,FALSE),0)</f>
        <v>0</v>
      </c>
      <c r="R595" s="37">
        <f ca="1">_xlfn.IFNA(VLOOKUP($A595,INDIRECT("'W"&amp;R$1&amp;"'!$A$2:$T$1000"),4,FALSE),0)</f>
        <v>0</v>
      </c>
      <c r="S595" s="37">
        <f ca="1">_xlfn.IFNA(VLOOKUP($A595,INDIRECT("'W"&amp;S$1&amp;"'!$A$2:$T$1000"),4,FALSE),0)</f>
        <v>0</v>
      </c>
      <c r="T595" s="37">
        <f ca="1">_xlfn.IFNA(VLOOKUP($A595,INDIRECT("'W"&amp;T$1&amp;"'!$A$2:$T$1000"),4,FALSE),0)</f>
        <v>-0.31999999999999984</v>
      </c>
      <c r="U595" s="36">
        <f ca="1">COUNTIF(C595:T595,"&gt; 15")</f>
        <v>0</v>
      </c>
      <c r="V595" s="36">
        <f ca="1">SUM(C595:T595)</f>
        <v>-0.31999999999999984</v>
      </c>
      <c r="W595" s="36"/>
      <c r="X595" s="39"/>
    </row>
    <row r="596" spans="1:24" ht="12.75" x14ac:dyDescent="0.2">
      <c r="A596" s="36" t="s">
        <v>585</v>
      </c>
      <c r="B596" s="36" t="s">
        <v>17</v>
      </c>
      <c r="C596" s="37">
        <f ca="1">_xlfn.IFNA(VLOOKUP($A596,INDIRECT("'W"&amp;C$1&amp;"'!$A$2:$T$1000"),4,FALSE),0)</f>
        <v>0</v>
      </c>
      <c r="D596" s="37">
        <f ca="1">_xlfn.IFNA(VLOOKUP($A596,INDIRECT("'W"&amp;D$1&amp;"'!$A$2:$T$1000"),4,FALSE),0)</f>
        <v>0</v>
      </c>
      <c r="E596" s="37">
        <f ca="1">_xlfn.IFNA(VLOOKUP($A596,INDIRECT("'W"&amp;E$1&amp;"'!$A$2:$T$1000"),4,FALSE),0)</f>
        <v>0</v>
      </c>
      <c r="F596" s="37">
        <f ca="1">_xlfn.IFNA(VLOOKUP($A596,INDIRECT("'W"&amp;F$1&amp;"'!$A$2:$T$1000"),4,FALSE),0)</f>
        <v>0</v>
      </c>
      <c r="G596" s="37">
        <f ca="1">_xlfn.IFNA(VLOOKUP($A596,INDIRECT("'W"&amp;G$1&amp;"'!$A$2:$T$1000"),4,FALSE),0)</f>
        <v>0</v>
      </c>
      <c r="H596" s="37">
        <f ca="1">_xlfn.IFNA(VLOOKUP($A596,INDIRECT("'W"&amp;H$1&amp;"'!$A$2:$T$1000"),4,FALSE),0)</f>
        <v>0</v>
      </c>
      <c r="I596" s="37">
        <f ca="1">_xlfn.IFNA(VLOOKUP($A596,INDIRECT("'W"&amp;I$1&amp;"'!$A$2:$T$1000"),4,FALSE),0)</f>
        <v>-0.4</v>
      </c>
      <c r="J596" s="37">
        <f ca="1">_xlfn.IFNA(VLOOKUP($A596,INDIRECT("'W"&amp;J$1&amp;"'!$A$2:$T$1000"),4,FALSE),0)</f>
        <v>0</v>
      </c>
      <c r="K596" s="37">
        <f ca="1">_xlfn.IFNA(VLOOKUP($A596,INDIRECT("'W"&amp;K$1&amp;"'!$A$2:$T$1000"),4,FALSE),0)</f>
        <v>0</v>
      </c>
      <c r="L596" s="37">
        <f ca="1">_xlfn.IFNA(VLOOKUP($A596,INDIRECT("'W"&amp;L$1&amp;"'!$A$2:$T$1000"),4,FALSE),0)</f>
        <v>0</v>
      </c>
      <c r="M596" s="37">
        <f ca="1">_xlfn.IFNA(VLOOKUP($A596,INDIRECT("'W"&amp;M$1&amp;"'!$A$2:$T$1000"),4,FALSE),0)</f>
        <v>0</v>
      </c>
      <c r="N596" s="37">
        <f ca="1">_xlfn.IFNA(VLOOKUP($A596,INDIRECT("'W"&amp;N$1&amp;"'!$A$2:$T$1000"),4,FALSE),0)</f>
        <v>0</v>
      </c>
      <c r="O596" s="37">
        <f ca="1">_xlfn.IFNA(VLOOKUP($A596,INDIRECT("'W"&amp;O$1&amp;"'!$A$2:$T$1000"),4,FALSE),0)</f>
        <v>0</v>
      </c>
      <c r="P596" s="37">
        <f ca="1">_xlfn.IFNA(VLOOKUP($A596,INDIRECT("'W"&amp;P$1&amp;"'!$A$2:$T$1000"),4,FALSE),0)</f>
        <v>0</v>
      </c>
      <c r="Q596" s="37">
        <f ca="1">_xlfn.IFNA(VLOOKUP($A596,INDIRECT("'W"&amp;Q$1&amp;"'!$A$2:$T$1000"),4,FALSE),0)</f>
        <v>0</v>
      </c>
      <c r="R596" s="37">
        <f ca="1">_xlfn.IFNA(VLOOKUP($A596,INDIRECT("'W"&amp;R$1&amp;"'!$A$2:$T$1000"),4,FALSE),0)</f>
        <v>0</v>
      </c>
      <c r="S596" s="37">
        <f ca="1">_xlfn.IFNA(VLOOKUP($A596,INDIRECT("'W"&amp;S$1&amp;"'!$A$2:$T$1000"),4,FALSE),0)</f>
        <v>0</v>
      </c>
      <c r="T596" s="37">
        <f ca="1">_xlfn.IFNA(VLOOKUP($A596,INDIRECT("'W"&amp;T$1&amp;"'!$A$2:$T$1000"),4,FALSE),0)</f>
        <v>0</v>
      </c>
      <c r="U596" s="36">
        <f ca="1">COUNTIF(C596:T596,"&gt; 15")</f>
        <v>0</v>
      </c>
      <c r="V596" s="36">
        <f ca="1">SUM(C596:T596)</f>
        <v>-0.4</v>
      </c>
      <c r="W596" s="36"/>
      <c r="X596" s="68"/>
    </row>
    <row r="597" spans="1:24" ht="12.75" x14ac:dyDescent="0.2">
      <c r="A597" s="36" t="s">
        <v>397</v>
      </c>
      <c r="B597" s="36" t="s">
        <v>17</v>
      </c>
      <c r="C597" s="37">
        <f ca="1">_xlfn.IFNA(VLOOKUP($A597,INDIRECT("'W"&amp;C$1&amp;"'!$A$2:$T$1000"),4,FALSE),0)</f>
        <v>0</v>
      </c>
      <c r="D597" s="37">
        <f ca="1">_xlfn.IFNA(VLOOKUP($A597,INDIRECT("'W"&amp;D$1&amp;"'!$A$2:$T$1000"),4,FALSE),0)</f>
        <v>-0.2</v>
      </c>
      <c r="E597" s="37">
        <f ca="1">_xlfn.IFNA(VLOOKUP($A597,INDIRECT("'W"&amp;E$1&amp;"'!$A$2:$T$1000"),4,FALSE),0)</f>
        <v>-0.2</v>
      </c>
      <c r="F597" s="37">
        <f ca="1">_xlfn.IFNA(VLOOKUP($A597,INDIRECT("'W"&amp;F$1&amp;"'!$A$2:$T$1000"),4,FALSE),0)</f>
        <v>-0.30000000000000004</v>
      </c>
      <c r="G597" s="37">
        <f ca="1">_xlfn.IFNA(VLOOKUP($A597,INDIRECT("'W"&amp;G$1&amp;"'!$A$2:$T$1000"),4,FALSE),0)</f>
        <v>0</v>
      </c>
      <c r="H597" s="37">
        <f ca="1">_xlfn.IFNA(VLOOKUP($A597,INDIRECT("'W"&amp;H$1&amp;"'!$A$2:$T$1000"),4,FALSE),0)</f>
        <v>0</v>
      </c>
      <c r="I597" s="37">
        <f ca="1">_xlfn.IFNA(VLOOKUP($A597,INDIRECT("'W"&amp;I$1&amp;"'!$A$2:$T$1000"),4,FALSE),0)</f>
        <v>0</v>
      </c>
      <c r="J597" s="37">
        <f ca="1">_xlfn.IFNA(VLOOKUP($A597,INDIRECT("'W"&amp;J$1&amp;"'!$A$2:$T$1000"),4,FALSE),0)</f>
        <v>0</v>
      </c>
      <c r="K597" s="37">
        <f ca="1">_xlfn.IFNA(VLOOKUP($A597,INDIRECT("'W"&amp;K$1&amp;"'!$A$2:$T$1000"),4,FALSE),0)</f>
        <v>0</v>
      </c>
      <c r="L597" s="37">
        <f ca="1">_xlfn.IFNA(VLOOKUP($A597,INDIRECT("'W"&amp;L$1&amp;"'!$A$2:$T$1000"),4,FALSE),0)</f>
        <v>0</v>
      </c>
      <c r="M597" s="37">
        <f ca="1">_xlfn.IFNA(VLOOKUP($A597,INDIRECT("'W"&amp;M$1&amp;"'!$A$2:$T$1000"),4,FALSE),0)</f>
        <v>-0.2</v>
      </c>
      <c r="N597" s="37">
        <f ca="1">_xlfn.IFNA(VLOOKUP($A597,INDIRECT("'W"&amp;N$1&amp;"'!$A$2:$T$1000"),4,FALSE),0)</f>
        <v>0</v>
      </c>
      <c r="O597" s="37">
        <f ca="1">_xlfn.IFNA(VLOOKUP($A597,INDIRECT("'W"&amp;O$1&amp;"'!$A$2:$T$1000"),4,FALSE),0)</f>
        <v>0</v>
      </c>
      <c r="P597" s="37">
        <f ca="1">_xlfn.IFNA(VLOOKUP($A597,INDIRECT("'W"&amp;P$1&amp;"'!$A$2:$T$1000"),4,FALSE),0)</f>
        <v>0</v>
      </c>
      <c r="Q597" s="37">
        <f ca="1">_xlfn.IFNA(VLOOKUP($A597,INDIRECT("'W"&amp;Q$1&amp;"'!$A$2:$T$1000"),4,FALSE),0)</f>
        <v>-0.2</v>
      </c>
      <c r="R597" s="37">
        <f ca="1">_xlfn.IFNA(VLOOKUP($A597,INDIRECT("'W"&amp;R$1&amp;"'!$A$2:$T$1000"),4,FALSE),0)</f>
        <v>0</v>
      </c>
      <c r="S597" s="37">
        <f ca="1">_xlfn.IFNA(VLOOKUP($A597,INDIRECT("'W"&amp;S$1&amp;"'!$A$2:$T$1000"),4,FALSE),0)</f>
        <v>-0.2</v>
      </c>
      <c r="T597" s="37">
        <f ca="1">_xlfn.IFNA(VLOOKUP($A597,INDIRECT("'W"&amp;T$1&amp;"'!$A$2:$T$1000"),4,FALSE),0)</f>
        <v>0</v>
      </c>
      <c r="U597" s="36">
        <f ca="1">COUNTIF(C597:T597,"&gt; 15")</f>
        <v>0</v>
      </c>
      <c r="V597" s="36">
        <f ca="1">SUM(C597:T597)</f>
        <v>-1.3</v>
      </c>
      <c r="W597" s="36"/>
      <c r="X597" s="68"/>
    </row>
    <row r="598" spans="1:24" ht="12.75" x14ac:dyDescent="0.2">
      <c r="A598" s="36" t="s">
        <v>657</v>
      </c>
      <c r="B598" s="36" t="s">
        <v>162</v>
      </c>
      <c r="C598" s="37">
        <f ca="1">_xlfn.IFNA(VLOOKUP($A598,INDIRECT("'W"&amp;C$1&amp;"'!$A$2:$T$1000"),4,FALSE),0)</f>
        <v>0</v>
      </c>
      <c r="D598" s="37">
        <f ca="1">_xlfn.IFNA(VLOOKUP($A598,INDIRECT("'W"&amp;D$1&amp;"'!$A$2:$T$1000"),4,FALSE),0)</f>
        <v>0</v>
      </c>
      <c r="E598" s="37">
        <f ca="1">_xlfn.IFNA(VLOOKUP($A598,INDIRECT("'W"&amp;E$1&amp;"'!$A$2:$T$1000"),4,FALSE),0)</f>
        <v>0</v>
      </c>
      <c r="F598" s="37">
        <f ca="1">_xlfn.IFNA(VLOOKUP($A598,INDIRECT("'W"&amp;F$1&amp;"'!$A$2:$T$1000"),4,FALSE),0)</f>
        <v>0</v>
      </c>
      <c r="G598" s="37">
        <f ca="1">_xlfn.IFNA(VLOOKUP($A598,INDIRECT("'W"&amp;G$1&amp;"'!$A$2:$T$1000"),4,FALSE),0)</f>
        <v>0</v>
      </c>
      <c r="H598" s="37">
        <f ca="1">_xlfn.IFNA(VLOOKUP($A598,INDIRECT("'W"&amp;H$1&amp;"'!$A$2:$T$1000"),4,FALSE),0)</f>
        <v>0</v>
      </c>
      <c r="I598" s="37">
        <f ca="1">_xlfn.IFNA(VLOOKUP($A598,INDIRECT("'W"&amp;I$1&amp;"'!$A$2:$T$1000"),4,FALSE),0)</f>
        <v>0</v>
      </c>
      <c r="J598" s="37">
        <f ca="1">_xlfn.IFNA(VLOOKUP($A598,INDIRECT("'W"&amp;J$1&amp;"'!$A$2:$T$1000"),4,FALSE),0)</f>
        <v>0</v>
      </c>
      <c r="K598" s="37">
        <f ca="1">_xlfn.IFNA(VLOOKUP($A598,INDIRECT("'W"&amp;K$1&amp;"'!$A$2:$T$1000"),4,FALSE),0)</f>
        <v>0</v>
      </c>
      <c r="L598" s="37">
        <f ca="1">_xlfn.IFNA(VLOOKUP($A598,INDIRECT("'W"&amp;L$1&amp;"'!$A$2:$T$1000"),4,FALSE),0)</f>
        <v>-2</v>
      </c>
      <c r="M598" s="37">
        <f ca="1">_xlfn.IFNA(VLOOKUP($A598,INDIRECT("'W"&amp;M$1&amp;"'!$A$2:$T$1000"),4,FALSE),0)</f>
        <v>0</v>
      </c>
      <c r="N598" s="37">
        <f ca="1">_xlfn.IFNA(VLOOKUP($A598,INDIRECT("'W"&amp;N$1&amp;"'!$A$2:$T$1000"),4,FALSE),0)</f>
        <v>0</v>
      </c>
      <c r="O598" s="37">
        <f ca="1">_xlfn.IFNA(VLOOKUP($A598,INDIRECT("'W"&amp;O$1&amp;"'!$A$2:$T$1000"),4,FALSE),0)</f>
        <v>0</v>
      </c>
      <c r="P598" s="37">
        <f ca="1">_xlfn.IFNA(VLOOKUP($A598,INDIRECT("'W"&amp;P$1&amp;"'!$A$2:$T$1000"),4,FALSE),0)</f>
        <v>0</v>
      </c>
      <c r="Q598" s="37">
        <f ca="1">_xlfn.IFNA(VLOOKUP($A598,INDIRECT("'W"&amp;Q$1&amp;"'!$A$2:$T$1000"),4,FALSE),0)</f>
        <v>0</v>
      </c>
      <c r="R598" s="37">
        <f ca="1">_xlfn.IFNA(VLOOKUP($A598,INDIRECT("'W"&amp;R$1&amp;"'!$A$2:$T$1000"),4,FALSE),0)</f>
        <v>0</v>
      </c>
      <c r="S598" s="37">
        <f ca="1">_xlfn.IFNA(VLOOKUP($A598,INDIRECT("'W"&amp;S$1&amp;"'!$A$2:$T$1000"),4,FALSE),0)</f>
        <v>0</v>
      </c>
      <c r="T598" s="37">
        <f ca="1">_xlfn.IFNA(VLOOKUP($A598,INDIRECT("'W"&amp;T$1&amp;"'!$A$2:$T$1000"),4,FALSE),0)</f>
        <v>0</v>
      </c>
      <c r="U598" s="36">
        <f ca="1">COUNTIF(C598:T598,"&gt; 15")</f>
        <v>0</v>
      </c>
      <c r="V598" s="36">
        <f ca="1">SUM(C598:T598)</f>
        <v>-2</v>
      </c>
      <c r="W598" s="36"/>
      <c r="X598" s="39"/>
    </row>
    <row r="599" spans="1:24" ht="12.75" x14ac:dyDescent="0.2">
      <c r="A599" s="36" t="s">
        <v>610</v>
      </c>
      <c r="B599" s="36" t="s">
        <v>162</v>
      </c>
      <c r="C599" s="37">
        <f ca="1">_xlfn.IFNA(VLOOKUP($A599,INDIRECT("'W"&amp;C$1&amp;"'!$A$2:$T$1000"),4,FALSE),0)</f>
        <v>0</v>
      </c>
      <c r="D599" s="37">
        <f ca="1">_xlfn.IFNA(VLOOKUP($A599,INDIRECT("'W"&amp;D$1&amp;"'!$A$2:$T$1000"),4,FALSE),0)</f>
        <v>0</v>
      </c>
      <c r="E599" s="37">
        <f ca="1">_xlfn.IFNA(VLOOKUP($A599,INDIRECT("'W"&amp;E$1&amp;"'!$A$2:$T$1000"),4,FALSE),0)</f>
        <v>0</v>
      </c>
      <c r="F599" s="37">
        <f ca="1">_xlfn.IFNA(VLOOKUP($A599,INDIRECT("'W"&amp;F$1&amp;"'!$A$2:$T$1000"),4,FALSE),0)</f>
        <v>0</v>
      </c>
      <c r="G599" s="37">
        <f ca="1">_xlfn.IFNA(VLOOKUP($A599,INDIRECT("'W"&amp;G$1&amp;"'!$A$2:$T$1000"),4,FALSE),0)</f>
        <v>0</v>
      </c>
      <c r="H599" s="37">
        <f ca="1">_xlfn.IFNA(VLOOKUP($A599,INDIRECT("'W"&amp;H$1&amp;"'!$A$2:$T$1000"),4,FALSE),0)</f>
        <v>0</v>
      </c>
      <c r="I599" s="37">
        <f ca="1">_xlfn.IFNA(VLOOKUP($A599,INDIRECT("'W"&amp;I$1&amp;"'!$A$2:$T$1000"),4,FALSE),0)</f>
        <v>0</v>
      </c>
      <c r="J599" s="37">
        <f ca="1">_xlfn.IFNA(VLOOKUP($A599,INDIRECT("'W"&amp;J$1&amp;"'!$A$2:$T$1000"),4,FALSE),0)</f>
        <v>-0.2</v>
      </c>
      <c r="K599" s="37">
        <f ca="1">_xlfn.IFNA(VLOOKUP($A599,INDIRECT("'W"&amp;K$1&amp;"'!$A$2:$T$1000"),4,FALSE),0)</f>
        <v>0</v>
      </c>
      <c r="L599" s="37">
        <f ca="1">_xlfn.IFNA(VLOOKUP($A599,INDIRECT("'W"&amp;L$1&amp;"'!$A$2:$T$1000"),4,FALSE),0)</f>
        <v>0</v>
      </c>
      <c r="M599" s="37">
        <f ca="1">_xlfn.IFNA(VLOOKUP($A599,INDIRECT("'W"&amp;M$1&amp;"'!$A$2:$T$1000"),4,FALSE),0)</f>
        <v>0</v>
      </c>
      <c r="N599" s="37">
        <f ca="1">_xlfn.IFNA(VLOOKUP($A599,INDIRECT("'W"&amp;N$1&amp;"'!$A$2:$T$1000"),4,FALSE),0)</f>
        <v>0</v>
      </c>
      <c r="O599" s="37">
        <f ca="1">_xlfn.IFNA(VLOOKUP($A599,INDIRECT("'W"&amp;O$1&amp;"'!$A$2:$T$1000"),4,FALSE),0)</f>
        <v>0</v>
      </c>
      <c r="P599" s="37">
        <f ca="1">_xlfn.IFNA(VLOOKUP($A599,INDIRECT("'W"&amp;P$1&amp;"'!$A$2:$T$1000"),4,FALSE),0)</f>
        <v>0</v>
      </c>
      <c r="Q599" s="37">
        <f ca="1">_xlfn.IFNA(VLOOKUP($A599,INDIRECT("'W"&amp;Q$1&amp;"'!$A$2:$T$1000"),4,FALSE),0)</f>
        <v>-2</v>
      </c>
      <c r="R599" s="37">
        <f ca="1">_xlfn.IFNA(VLOOKUP($A599,INDIRECT("'W"&amp;R$1&amp;"'!$A$2:$T$1000"),4,FALSE),0)</f>
        <v>0</v>
      </c>
      <c r="S599" s="37">
        <f ca="1">_xlfn.IFNA(VLOOKUP($A599,INDIRECT("'W"&amp;S$1&amp;"'!$A$2:$T$1000"),4,FALSE),0)</f>
        <v>0</v>
      </c>
      <c r="T599" s="37">
        <f ca="1">_xlfn.IFNA(VLOOKUP($A599,INDIRECT("'W"&amp;T$1&amp;"'!$A$2:$T$1000"),4,FALSE),0)</f>
        <v>0</v>
      </c>
      <c r="U599" s="36">
        <f ca="1">COUNTIF(C599:T599,"&gt; 15")</f>
        <v>0</v>
      </c>
      <c r="V599" s="36">
        <f ca="1">SUM(C599:T599)</f>
        <v>-2.2000000000000002</v>
      </c>
      <c r="W599" s="36"/>
      <c r="X599" s="39"/>
    </row>
    <row r="600" spans="1:24" ht="12.75" x14ac:dyDescent="0.2">
      <c r="A600" s="36" t="s">
        <v>399</v>
      </c>
      <c r="B600" s="36" t="s">
        <v>162</v>
      </c>
      <c r="C600" s="37">
        <f ca="1">_xlfn.IFNA(VLOOKUP($A600,INDIRECT("'W"&amp;C$1&amp;"'!$A$2:$T$1000"),4,FALSE),0)</f>
        <v>0</v>
      </c>
      <c r="D600" s="37">
        <f ca="1">_xlfn.IFNA(VLOOKUP($A600,INDIRECT("'W"&amp;D$1&amp;"'!$A$2:$T$1000"),4,FALSE),0)</f>
        <v>-1</v>
      </c>
      <c r="E600" s="37">
        <f ca="1">_xlfn.IFNA(VLOOKUP($A600,INDIRECT("'W"&amp;E$1&amp;"'!$A$2:$T$1000"),4,FALSE),0)</f>
        <v>0</v>
      </c>
      <c r="F600" s="37">
        <f ca="1">_xlfn.IFNA(VLOOKUP($A600,INDIRECT("'W"&amp;F$1&amp;"'!$A$2:$T$1000"),4,FALSE),0)</f>
        <v>0</v>
      </c>
      <c r="G600" s="37">
        <f ca="1">_xlfn.IFNA(VLOOKUP($A600,INDIRECT("'W"&amp;G$1&amp;"'!$A$2:$T$1000"),4,FALSE),0)</f>
        <v>-2</v>
      </c>
      <c r="H600" s="37">
        <f ca="1">_xlfn.IFNA(VLOOKUP($A600,INDIRECT("'W"&amp;H$1&amp;"'!$A$2:$T$1000"),4,FALSE),0)</f>
        <v>0</v>
      </c>
      <c r="I600" s="37">
        <f ca="1">_xlfn.IFNA(VLOOKUP($A600,INDIRECT("'W"&amp;I$1&amp;"'!$A$2:$T$1000"),4,FALSE),0)</f>
        <v>0</v>
      </c>
      <c r="J600" s="37">
        <f ca="1">_xlfn.IFNA(VLOOKUP($A600,INDIRECT("'W"&amp;J$1&amp;"'!$A$2:$T$1000"),4,FALSE),0)</f>
        <v>0</v>
      </c>
      <c r="K600" s="37">
        <f ca="1">_xlfn.IFNA(VLOOKUP($A600,INDIRECT("'W"&amp;K$1&amp;"'!$A$2:$T$1000"),4,FALSE),0)</f>
        <v>0</v>
      </c>
      <c r="L600" s="37">
        <f ca="1">_xlfn.IFNA(VLOOKUP($A600,INDIRECT("'W"&amp;L$1&amp;"'!$A$2:$T$1000"),4,FALSE),0)</f>
        <v>0</v>
      </c>
      <c r="M600" s="37">
        <f ca="1">_xlfn.IFNA(VLOOKUP($A600,INDIRECT("'W"&amp;M$1&amp;"'!$A$2:$T$1000"),4,FALSE),0)</f>
        <v>0</v>
      </c>
      <c r="N600" s="37">
        <f ca="1">_xlfn.IFNA(VLOOKUP($A600,INDIRECT("'W"&amp;N$1&amp;"'!$A$2:$T$1000"),4,FALSE),0)</f>
        <v>0</v>
      </c>
      <c r="O600" s="37">
        <f ca="1">_xlfn.IFNA(VLOOKUP($A600,INDIRECT("'W"&amp;O$1&amp;"'!$A$2:$T$1000"),4,FALSE),0)</f>
        <v>0</v>
      </c>
      <c r="P600" s="37">
        <f ca="1">_xlfn.IFNA(VLOOKUP($A600,INDIRECT("'W"&amp;P$1&amp;"'!$A$2:$T$1000"),4,FALSE),0)</f>
        <v>0</v>
      </c>
      <c r="Q600" s="37">
        <f ca="1">_xlfn.IFNA(VLOOKUP($A600,INDIRECT("'W"&amp;Q$1&amp;"'!$A$2:$T$1000"),4,FALSE),0)</f>
        <v>0</v>
      </c>
      <c r="R600" s="37">
        <f ca="1">_xlfn.IFNA(VLOOKUP($A600,INDIRECT("'W"&amp;R$1&amp;"'!$A$2:$T$1000"),4,FALSE),0)</f>
        <v>0</v>
      </c>
      <c r="S600" s="37">
        <f ca="1">_xlfn.IFNA(VLOOKUP($A600,INDIRECT("'W"&amp;S$1&amp;"'!$A$2:$T$1000"),4,FALSE),0)</f>
        <v>0</v>
      </c>
      <c r="T600" s="37">
        <f ca="1">_xlfn.IFNA(VLOOKUP($A600,INDIRECT("'W"&amp;T$1&amp;"'!$A$2:$T$1000"),4,FALSE),0)</f>
        <v>0</v>
      </c>
      <c r="U600" s="36">
        <f ca="1">COUNTIF(C600:T600,"&gt; 15")</f>
        <v>0</v>
      </c>
      <c r="V600" s="36">
        <f ca="1">SUM(C600:T600)</f>
        <v>-3</v>
      </c>
      <c r="W600" s="36"/>
      <c r="X600" s="39"/>
    </row>
  </sheetData>
  <autoFilter ref="A1:X600" xr:uid="{00000000-0009-0000-0000-000014000000}">
    <sortState xmlns:xlrd2="http://schemas.microsoft.com/office/spreadsheetml/2017/richdata2" ref="A2:X600">
      <sortCondition descending="1" ref="V1:V600"/>
    </sortState>
  </autoFilter>
  <conditionalFormatting sqref="C2:T600">
    <cfRule type="colorScale" priority="1">
      <colorScale>
        <cfvo type="min"/>
        <cfvo type="percent" val="50"/>
        <cfvo type="max"/>
        <color rgb="FFF9CB9C"/>
        <color rgb="FF93C47D"/>
        <color rgb="FF6FA8DC"/>
      </colorScale>
    </cfRule>
    <cfRule type="colorScale" priority="12">
      <colorScale>
        <cfvo type="min"/>
        <cfvo type="percent" val="50"/>
        <cfvo type="max"/>
        <color rgb="FFF9CB9C"/>
        <color rgb="FF93C47D"/>
        <color rgb="FF6FA8DC"/>
      </colorScale>
    </cfRule>
  </conditionalFormatting>
  <conditionalFormatting sqref="D2:D600 P2:P600">
    <cfRule type="colorScale" priority="2">
      <colorScale>
        <cfvo type="min"/>
        <cfvo type="percent" val="50"/>
        <cfvo type="max"/>
        <color rgb="FFF9CB9C"/>
        <color rgb="FF93C47D"/>
        <color rgb="FF6FA8DC"/>
      </colorScale>
    </cfRule>
  </conditionalFormatting>
  <conditionalFormatting sqref="E2:E600 Q2:Q600">
    <cfRule type="colorScale" priority="3">
      <colorScale>
        <cfvo type="min"/>
        <cfvo type="percent" val="50"/>
        <cfvo type="max"/>
        <color rgb="FFF9CB9C"/>
        <color rgb="FF93C47D"/>
        <color rgb="FF6FA8DC"/>
      </colorScale>
    </cfRule>
  </conditionalFormatting>
  <conditionalFormatting sqref="F2:F600 R2:R600">
    <cfRule type="colorScale" priority="4">
      <colorScale>
        <cfvo type="min"/>
        <cfvo type="percent" val="50"/>
        <cfvo type="max"/>
        <color rgb="FFF9CB9C"/>
        <color rgb="FF93C47D"/>
        <color rgb="FF6FA8DC"/>
      </colorScale>
    </cfRule>
  </conditionalFormatting>
  <conditionalFormatting sqref="G2:G600 S2:S600">
    <cfRule type="colorScale" priority="5">
      <colorScale>
        <cfvo type="min"/>
        <cfvo type="percent" val="50"/>
        <cfvo type="max"/>
        <color rgb="FFF9CB9C"/>
        <color rgb="FF93C47D"/>
        <color rgb="FF6FA8DC"/>
      </colorScale>
    </cfRule>
  </conditionalFormatting>
  <conditionalFormatting sqref="H2:H600 T2:T600">
    <cfRule type="colorScale" priority="6">
      <colorScale>
        <cfvo type="min"/>
        <cfvo type="percent" val="50"/>
        <cfvo type="max"/>
        <color rgb="FFF9CB9C"/>
        <color rgb="FF93C47D"/>
        <color rgb="FF6FA8DC"/>
      </colorScale>
    </cfRule>
  </conditionalFormatting>
  <conditionalFormatting sqref="I2:I600">
    <cfRule type="colorScale" priority="7">
      <colorScale>
        <cfvo type="min"/>
        <cfvo type="percent" val="50"/>
        <cfvo type="max"/>
        <color rgb="FFF9CB9C"/>
        <color rgb="FF93C47D"/>
        <color rgb="FF6FA8DC"/>
      </colorScale>
    </cfRule>
  </conditionalFormatting>
  <conditionalFormatting sqref="J2:J600">
    <cfRule type="colorScale" priority="8">
      <colorScale>
        <cfvo type="min"/>
        <cfvo type="percent" val="50"/>
        <cfvo type="max"/>
        <color rgb="FFF9CB9C"/>
        <color rgb="FF93C47D"/>
        <color rgb="FF6FA8DC"/>
      </colorScale>
    </cfRule>
  </conditionalFormatting>
  <conditionalFormatting sqref="K2:K600">
    <cfRule type="colorScale" priority="9">
      <colorScale>
        <cfvo type="min"/>
        <cfvo type="percent" val="50"/>
        <cfvo type="max"/>
        <color rgb="FFF9CB9C"/>
        <color rgb="FF93C47D"/>
        <color rgb="FF6FA8DC"/>
      </colorScale>
    </cfRule>
  </conditionalFormatting>
  <conditionalFormatting sqref="L2:L600">
    <cfRule type="colorScale" priority="10">
      <colorScale>
        <cfvo type="min"/>
        <cfvo type="percent" val="50"/>
        <cfvo type="max"/>
        <color rgb="FFF9CB9C"/>
        <color rgb="FF93C47D"/>
        <color rgb="FF6FA8DC"/>
      </colorScale>
    </cfRule>
  </conditionalFormatting>
  <conditionalFormatting sqref="M2:M600">
    <cfRule type="colorScale" priority="11">
      <colorScale>
        <cfvo type="min"/>
        <cfvo type="percent" val="50"/>
        <cfvo type="max"/>
        <color rgb="FFF9CB9C"/>
        <color rgb="FF93C47D"/>
        <color rgb="FF6FA8DC"/>
      </colorScale>
    </cfRule>
  </conditionalFormatting>
  <conditionalFormatting sqref="O2:O600">
    <cfRule type="colorScale" priority="13">
      <colorScale>
        <cfvo type="min"/>
        <cfvo type="percent" val="50"/>
        <cfvo type="max"/>
        <color rgb="FFF9CB9C"/>
        <color rgb="FF93C47D"/>
        <color rgb="FF6FA8DC"/>
      </colorScale>
    </cfRule>
  </conditionalFormatting>
  <conditionalFormatting sqref="P2:P600">
    <cfRule type="colorScale" priority="14">
      <colorScale>
        <cfvo type="min"/>
        <cfvo type="percent" val="50"/>
        <cfvo type="max"/>
        <color rgb="FFF9CB9C"/>
        <color rgb="FF93C47D"/>
        <color rgb="FF6FA8DC"/>
      </colorScale>
    </cfRule>
  </conditionalFormatting>
  <conditionalFormatting sqref="Q2:Q600">
    <cfRule type="colorScale" priority="15">
      <colorScale>
        <cfvo type="min"/>
        <cfvo type="percent" val="50"/>
        <cfvo type="max"/>
        <color rgb="FFF9CB9C"/>
        <color rgb="FF93C47D"/>
        <color rgb="FF6FA8DC"/>
      </colorScale>
    </cfRule>
  </conditionalFormatting>
  <conditionalFormatting sqref="R2:R600">
    <cfRule type="colorScale" priority="16">
      <colorScale>
        <cfvo type="min"/>
        <cfvo type="percent" val="50"/>
        <cfvo type="max"/>
        <color rgb="FFF9CB9C"/>
        <color rgb="FF93C47D"/>
        <color rgb="FF6FA8DC"/>
      </colorScale>
    </cfRule>
  </conditionalFormatting>
  <conditionalFormatting sqref="S2:S600">
    <cfRule type="colorScale" priority="17">
      <colorScale>
        <cfvo type="min"/>
        <cfvo type="percent" val="50"/>
        <cfvo type="max"/>
        <color rgb="FFF9CB9C"/>
        <color rgb="FF93C47D"/>
        <color rgb="FF6FA8DC"/>
      </colorScale>
    </cfRule>
  </conditionalFormatting>
  <conditionalFormatting sqref="T2:T600">
    <cfRule type="colorScale" priority="18">
      <colorScale>
        <cfvo type="min"/>
        <cfvo type="percent" val="50"/>
        <cfvo type="max"/>
        <color rgb="FFF9CB9C"/>
        <color rgb="FF93C47D"/>
        <color rgb="FF6FA8DC"/>
      </colorScale>
    </cfRule>
  </conditionalFormatting>
  <conditionalFormatting sqref="U1:U600">
    <cfRule type="cellIs" dxfId="11" priority="29" operator="greaterThanOrEqual">
      <formula>3</formula>
    </cfRule>
  </conditionalFormatting>
  <conditionalFormatting sqref="V2:V600">
    <cfRule type="colorScale" priority="30">
      <colorScale>
        <cfvo type="min"/>
        <cfvo type="percent" val="50"/>
        <cfvo type="max"/>
        <color rgb="FFF9CB9C"/>
        <color rgb="FF93C47D"/>
        <color rgb="FF6FA8DC"/>
      </colorScale>
    </cfRule>
  </conditionalFormatting>
  <conditionalFormatting sqref="W1:W600">
    <cfRule type="cellIs" dxfId="10" priority="31" operator="equal">
      <formula>1</formula>
    </cfRule>
  </conditionalFormatting>
  <conditionalFormatting sqref="X1:X600">
    <cfRule type="cellIs" dxfId="9" priority="19" operator="lessThan">
      <formula>11</formula>
    </cfRule>
    <cfRule type="cellIs" dxfId="8" priority="20" operator="between">
      <formula>11</formula>
      <formula>13</formula>
    </cfRule>
    <cfRule type="cellIs" dxfId="7" priority="21" operator="between">
      <formula>14</formula>
      <formula>34</formula>
    </cfRule>
    <cfRule type="cellIs" dxfId="6" priority="22" operator="between">
      <formula>35</formula>
      <formula>37</formula>
    </cfRule>
    <cfRule type="cellIs" dxfId="5" priority="23" operator="between">
      <formula>38</formula>
      <formula>58</formula>
    </cfRule>
    <cfRule type="cellIs" dxfId="4" priority="24" operator="between">
      <formula>59</formula>
      <formula>61</formula>
    </cfRule>
    <cfRule type="cellIs" dxfId="3" priority="25" operator="between">
      <formula>62</formula>
      <formula>82</formula>
    </cfRule>
    <cfRule type="cellIs" dxfId="2" priority="26" operator="between">
      <formula>83</formula>
      <formula>85</formula>
    </cfRule>
    <cfRule type="cellIs" dxfId="1" priority="27" operator="greaterThan">
      <formula>85</formula>
    </cfRule>
    <cfRule type="containsText" dxfId="0" priority="28" operator="containsText" text="U">
      <formula>NOT(ISERROR(SEARCH(("U"),(X1))))</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3C78D8"/>
    <outlinePr summaryBelow="0" summaryRight="0"/>
  </sheetPr>
  <dimension ref="A1:AB1000"/>
  <sheetViews>
    <sheetView workbookViewId="0">
      <selection activeCell="C17" sqref="C17"/>
    </sheetView>
  </sheetViews>
  <sheetFormatPr defaultColWidth="12.5703125" defaultRowHeight="15.75" customHeight="1" x14ac:dyDescent="0.2"/>
  <cols>
    <col min="1" max="1" width="6.140625" customWidth="1"/>
    <col min="2" max="2" width="4.140625" customWidth="1"/>
    <col min="3" max="3" width="13" customWidth="1"/>
    <col min="4" max="4" width="17.140625" customWidth="1"/>
    <col min="6" max="6" width="8.42578125" customWidth="1"/>
    <col min="7" max="7" width="7.28515625" customWidth="1"/>
    <col min="8" max="8" width="6.140625" customWidth="1"/>
    <col min="9" max="9" width="7.28515625" customWidth="1"/>
    <col min="10" max="10" width="7.5703125" customWidth="1"/>
    <col min="11" max="11" width="4.140625" customWidth="1"/>
    <col min="14" max="14" width="10.85546875" customWidth="1"/>
    <col min="15" max="15" width="13" customWidth="1"/>
    <col min="16" max="16" width="15.42578125" customWidth="1"/>
    <col min="17" max="17" width="13.42578125" customWidth="1"/>
    <col min="18" max="18" width="7.5703125" customWidth="1"/>
    <col min="19" max="19" width="12.5703125" customWidth="1"/>
    <col min="20" max="21" width="3.7109375" customWidth="1"/>
    <col min="22" max="22" width="4.85546875" customWidth="1"/>
    <col min="23" max="23" width="7.140625" customWidth="1"/>
    <col min="24" max="24" width="12.140625" customWidth="1"/>
    <col min="25" max="25" width="10.42578125" customWidth="1"/>
    <col min="26" max="26" width="7" customWidth="1"/>
    <col min="27" max="27" width="9.28515625" customWidth="1"/>
  </cols>
  <sheetData>
    <row r="1" spans="1:28" x14ac:dyDescent="0.2">
      <c r="A1" s="18" t="s">
        <v>902</v>
      </c>
      <c r="B1" s="18" t="s">
        <v>903</v>
      </c>
      <c r="C1" s="18" t="s">
        <v>4</v>
      </c>
      <c r="D1" s="18" t="s">
        <v>904</v>
      </c>
      <c r="E1" s="18"/>
      <c r="F1" s="18"/>
      <c r="G1" s="18"/>
      <c r="H1" s="18"/>
      <c r="I1" s="18"/>
      <c r="J1" s="18"/>
      <c r="K1" s="18"/>
      <c r="L1" s="18"/>
      <c r="M1" s="18"/>
      <c r="N1" s="18" t="s">
        <v>905</v>
      </c>
      <c r="O1" s="40"/>
      <c r="P1" s="18"/>
      <c r="R1" s="41"/>
      <c r="S1" s="18"/>
      <c r="T1" s="18"/>
      <c r="U1" s="40"/>
      <c r="V1" s="18"/>
      <c r="W1" s="18" t="s">
        <v>906</v>
      </c>
      <c r="X1" s="42" t="s">
        <v>907</v>
      </c>
      <c r="Y1" s="42" t="s">
        <v>908</v>
      </c>
      <c r="Z1" s="18" t="s">
        <v>909</v>
      </c>
      <c r="AA1" s="18" t="s">
        <v>48</v>
      </c>
      <c r="AB1" s="18"/>
    </row>
    <row r="2" spans="1:28" x14ac:dyDescent="0.2">
      <c r="A2" s="5">
        <v>1</v>
      </c>
      <c r="B2" s="5">
        <f>IF(ISODD(A2),12*A2-1,12*A2-10)</f>
        <v>11</v>
      </c>
      <c r="C2" s="5" t="s">
        <v>192</v>
      </c>
      <c r="D2" s="41">
        <f>_xlfn.IFNA(VLOOKUP(C2,'Compiled Data'!A:X,24,FALSE),"U")</f>
        <v>15</v>
      </c>
      <c r="N2" s="5" t="s">
        <v>320</v>
      </c>
      <c r="O2" s="5" t="s">
        <v>320</v>
      </c>
      <c r="P2" s="5" t="s">
        <v>320</v>
      </c>
      <c r="Q2" s="5" t="s">
        <v>320</v>
      </c>
      <c r="R2" s="5" t="s">
        <v>320</v>
      </c>
      <c r="S2" s="5" t="s">
        <v>320</v>
      </c>
      <c r="W2" s="5">
        <v>1</v>
      </c>
      <c r="X2" s="5">
        <f ca="1">OFFSET('New Lineup'!$C$12,0,W2*2-2)</f>
        <v>160.4</v>
      </c>
      <c r="Y2" s="5">
        <v>190.14</v>
      </c>
      <c r="Z2" s="5">
        <v>169.6</v>
      </c>
      <c r="AA2" s="5">
        <v>160.4</v>
      </c>
    </row>
    <row r="3" spans="1:28" x14ac:dyDescent="0.2">
      <c r="A3" s="5">
        <v>2</v>
      </c>
      <c r="B3" s="5">
        <f t="shared" ref="B3:B17" si="0">IF(ISODD(A3),12*A3-1,12*A3-10)</f>
        <v>14</v>
      </c>
      <c r="C3" s="36" t="s">
        <v>173</v>
      </c>
      <c r="D3" s="41">
        <f>_xlfn.IFNA(VLOOKUP(C3,'Compiled Data'!A:X,24,FALSE),"U")</f>
        <v>23</v>
      </c>
      <c r="N3" s="5" t="s">
        <v>33</v>
      </c>
      <c r="O3" s="5" t="s">
        <v>85</v>
      </c>
      <c r="P3" s="5" t="s">
        <v>192</v>
      </c>
      <c r="Q3" s="5" t="s">
        <v>280</v>
      </c>
      <c r="R3" s="5" t="s">
        <v>853</v>
      </c>
      <c r="S3" s="43" t="s">
        <v>848</v>
      </c>
      <c r="U3" s="41"/>
      <c r="W3" s="5">
        <v>2</v>
      </c>
      <c r="X3" s="5">
        <f ca="1">OFFSET('New Lineup'!$C$12,0,W3*2-2)</f>
        <v>207.16000000000003</v>
      </c>
      <c r="Y3" s="5">
        <v>206.72</v>
      </c>
      <c r="Z3" s="5">
        <v>203.84000000000003</v>
      </c>
      <c r="AA3" s="5">
        <v>207.16000000000003</v>
      </c>
    </row>
    <row r="4" spans="1:28" x14ac:dyDescent="0.2">
      <c r="A4" s="5">
        <v>3</v>
      </c>
      <c r="B4" s="5">
        <f t="shared" si="0"/>
        <v>35</v>
      </c>
      <c r="C4" s="5" t="s">
        <v>85</v>
      </c>
      <c r="D4" s="41">
        <f>_xlfn.IFNA(VLOOKUP(C4,'Compiled Data'!A:X,24,FALSE),"U")</f>
        <v>47</v>
      </c>
      <c r="N4" s="5" t="s">
        <v>48</v>
      </c>
      <c r="O4" s="5" t="s">
        <v>114</v>
      </c>
      <c r="P4" s="36" t="s">
        <v>178</v>
      </c>
      <c r="Q4" s="5" t="s">
        <v>313</v>
      </c>
      <c r="R4" s="5" t="s">
        <v>850</v>
      </c>
      <c r="S4" s="43" t="s">
        <v>858</v>
      </c>
      <c r="T4" s="41"/>
      <c r="U4" s="41"/>
      <c r="W4" s="5">
        <v>3</v>
      </c>
      <c r="X4" s="5">
        <f ca="1">OFFSET('New Lineup'!$C$12,0,W4*2-2)</f>
        <v>162.82</v>
      </c>
      <c r="Y4" s="5">
        <v>240.82</v>
      </c>
      <c r="Z4" s="5">
        <v>174.16</v>
      </c>
      <c r="AA4" s="5">
        <v>162.82</v>
      </c>
    </row>
    <row r="5" spans="1:28" x14ac:dyDescent="0.2">
      <c r="A5" s="5">
        <v>4</v>
      </c>
      <c r="B5" s="5">
        <f t="shared" si="0"/>
        <v>38</v>
      </c>
      <c r="C5" s="5" t="s">
        <v>114</v>
      </c>
      <c r="D5" s="41">
        <f>_xlfn.IFNA(VLOOKUP(C5,'Compiled Data'!A:X,24,FALSE),"U")</f>
        <v>50</v>
      </c>
      <c r="O5" s="5" t="s">
        <v>92</v>
      </c>
      <c r="P5" s="5" t="s">
        <v>175</v>
      </c>
      <c r="R5" s="41"/>
      <c r="W5" s="5">
        <v>4</v>
      </c>
      <c r="X5" s="5">
        <f ca="1">OFFSET('New Lineup'!$C$12,0,W5*2-2)</f>
        <v>182.2</v>
      </c>
      <c r="Y5" s="5">
        <v>207.57999999999998</v>
      </c>
      <c r="Z5" s="5">
        <v>173.72</v>
      </c>
      <c r="AA5" s="5">
        <v>182.2</v>
      </c>
    </row>
    <row r="6" spans="1:28" x14ac:dyDescent="0.2">
      <c r="A6" s="5">
        <v>5</v>
      </c>
      <c r="B6" s="5">
        <f t="shared" si="0"/>
        <v>59</v>
      </c>
      <c r="C6" s="5" t="s">
        <v>175</v>
      </c>
      <c r="D6" s="41">
        <f>_xlfn.IFNA(VLOOKUP(C6,'Compiled Data'!A:X,24,FALSE),"U")</f>
        <v>71</v>
      </c>
      <c r="O6" s="5" t="s">
        <v>83</v>
      </c>
      <c r="P6" s="5" t="s">
        <v>170</v>
      </c>
      <c r="R6" s="41"/>
      <c r="T6" s="41"/>
      <c r="W6" s="5">
        <v>5</v>
      </c>
      <c r="X6" s="5">
        <f ca="1">OFFSET('New Lineup'!$C$12,0,W6*2-2)</f>
        <v>166.66</v>
      </c>
      <c r="Y6" s="5">
        <v>203.14</v>
      </c>
      <c r="Z6" s="5">
        <v>155.48000000000002</v>
      </c>
      <c r="AA6" s="5">
        <v>166.66</v>
      </c>
    </row>
    <row r="7" spans="1:28" x14ac:dyDescent="0.2">
      <c r="A7" s="5">
        <v>6</v>
      </c>
      <c r="B7" s="5">
        <f t="shared" si="0"/>
        <v>62</v>
      </c>
      <c r="C7" s="5" t="s">
        <v>92</v>
      </c>
      <c r="D7" s="41">
        <f>_xlfn.IFNA(VLOOKUP(C7,'Compiled Data'!A:X,24,FALSE),"U")</f>
        <v>104</v>
      </c>
      <c r="O7" s="41"/>
      <c r="R7" s="41"/>
      <c r="U7" s="41"/>
      <c r="W7" s="5">
        <v>6</v>
      </c>
      <c r="X7" s="5">
        <f ca="1">OFFSET('New Lineup'!$C$12,0,W7*2-2)</f>
        <v>153.76000000000002</v>
      </c>
      <c r="Y7" s="5">
        <v>178.68000000000004</v>
      </c>
      <c r="Z7" s="5">
        <v>166.20000000000002</v>
      </c>
      <c r="AA7" s="5">
        <v>153.76000000000002</v>
      </c>
    </row>
    <row r="8" spans="1:28" x14ac:dyDescent="0.2">
      <c r="A8" s="5">
        <v>7</v>
      </c>
      <c r="B8" s="5">
        <f t="shared" si="0"/>
        <v>83</v>
      </c>
      <c r="C8" s="5" t="s">
        <v>850</v>
      </c>
      <c r="D8" s="41">
        <f>_xlfn.IFNA(VLOOKUP(C8,'Compiled Data'!A:X,24,FALSE),"U")</f>
        <v>172</v>
      </c>
      <c r="R8" s="41"/>
      <c r="U8" s="41"/>
      <c r="W8" s="5">
        <v>7</v>
      </c>
      <c r="X8" s="5">
        <f ca="1">OFFSET('New Lineup'!$C$12,0,W8*2-2)</f>
        <v>152.4</v>
      </c>
      <c r="Y8" s="5">
        <v>148.04</v>
      </c>
      <c r="Z8" s="5">
        <v>135.30000000000001</v>
      </c>
      <c r="AA8" s="5">
        <v>152.4</v>
      </c>
    </row>
    <row r="9" spans="1:28" x14ac:dyDescent="0.2">
      <c r="A9" s="5">
        <v>8</v>
      </c>
      <c r="B9" s="5">
        <f t="shared" si="0"/>
        <v>86</v>
      </c>
      <c r="C9" s="5" t="s">
        <v>853</v>
      </c>
      <c r="D9" s="41">
        <f>_xlfn.IFNA(VLOOKUP(C9,'Compiled Data'!A:X,24,FALSE),"U")</f>
        <v>186</v>
      </c>
      <c r="R9" s="41"/>
      <c r="U9" s="41"/>
      <c r="W9" s="5">
        <v>8</v>
      </c>
      <c r="X9" s="5">
        <f ca="1">OFFSET('New Lineup'!$C$12,0,W9*2-2)</f>
        <v>192.26</v>
      </c>
      <c r="Y9" s="5">
        <v>166.46</v>
      </c>
      <c r="Z9" s="5">
        <v>176.9</v>
      </c>
      <c r="AA9" s="5">
        <v>192.26</v>
      </c>
    </row>
    <row r="10" spans="1:28" x14ac:dyDescent="0.2">
      <c r="A10" s="5">
        <v>9</v>
      </c>
      <c r="B10" s="5">
        <f t="shared" si="0"/>
        <v>107</v>
      </c>
      <c r="C10" s="5" t="s">
        <v>910</v>
      </c>
      <c r="D10" s="41" t="str">
        <f>_xlfn.IFNA(VLOOKUP(C10,'Compiled Data'!A:X,24,FALSE),"U")</f>
        <v>U</v>
      </c>
      <c r="O10" s="41"/>
      <c r="R10" s="41"/>
      <c r="U10" s="41"/>
      <c r="W10" s="5">
        <v>9</v>
      </c>
      <c r="X10" s="5">
        <f ca="1">OFFSET('New Lineup'!$C$12,0,W10*2-2)</f>
        <v>175.12</v>
      </c>
      <c r="Y10" s="5">
        <v>119.12</v>
      </c>
      <c r="Z10" s="5">
        <v>164.01999999999998</v>
      </c>
      <c r="AA10" s="5">
        <v>175.12</v>
      </c>
    </row>
    <row r="11" spans="1:28" x14ac:dyDescent="0.2">
      <c r="A11" s="5">
        <v>10</v>
      </c>
      <c r="B11" s="5">
        <f t="shared" si="0"/>
        <v>110</v>
      </c>
      <c r="C11" s="5" t="s">
        <v>33</v>
      </c>
      <c r="D11" s="41" t="str">
        <f>_xlfn.IFNA(VLOOKUP(C11,'Compiled Data'!A:X,24,FALSE),"U")</f>
        <v>U</v>
      </c>
      <c r="M11" s="18"/>
      <c r="R11" s="43"/>
      <c r="S11" s="43"/>
      <c r="U11" s="41"/>
      <c r="W11" s="5">
        <v>10</v>
      </c>
      <c r="X11" s="5">
        <f ca="1">OFFSET('New Lineup'!$C$12,0,W11*2-2)</f>
        <v>166.94</v>
      </c>
      <c r="Y11" s="5">
        <v>127.12000000000002</v>
      </c>
      <c r="Z11" s="5">
        <v>186.54000000000002</v>
      </c>
      <c r="AA11" s="5">
        <v>166.94</v>
      </c>
    </row>
    <row r="12" spans="1:28" x14ac:dyDescent="0.2">
      <c r="A12" s="5">
        <v>11</v>
      </c>
      <c r="B12" s="5">
        <f t="shared" si="0"/>
        <v>131</v>
      </c>
      <c r="C12" s="5" t="s">
        <v>21</v>
      </c>
      <c r="D12" s="41" t="str">
        <f>_xlfn.IFNA(VLOOKUP(C12,'Compiled Data'!A:X,24,FALSE),"U")</f>
        <v>U</v>
      </c>
      <c r="R12" s="43"/>
      <c r="S12" s="43"/>
      <c r="U12" s="41"/>
      <c r="W12" s="5">
        <v>11</v>
      </c>
      <c r="X12" s="5">
        <f ca="1">OFFSET('New Lineup'!$C$12,0,W12*2-2)</f>
        <v>164.51999999999998</v>
      </c>
      <c r="Y12" s="5">
        <v>130.30000000000001</v>
      </c>
      <c r="Z12" s="5">
        <v>170.92000000000002</v>
      </c>
      <c r="AA12" s="5">
        <v>164.51999999999998</v>
      </c>
    </row>
    <row r="13" spans="1:28" x14ac:dyDescent="0.2">
      <c r="A13" s="5">
        <v>12</v>
      </c>
      <c r="B13" s="5">
        <f t="shared" si="0"/>
        <v>134</v>
      </c>
      <c r="C13" s="5" t="s">
        <v>170</v>
      </c>
      <c r="D13" s="41" t="str">
        <f>_xlfn.IFNA(VLOOKUP(C13,'Compiled Data'!A:X,24,FALSE),"U")</f>
        <v>U</v>
      </c>
      <c r="R13" s="41"/>
      <c r="U13" s="41"/>
      <c r="W13" s="5">
        <v>12</v>
      </c>
      <c r="X13" s="5">
        <f ca="1">OFFSET('New Lineup'!$C$12,0,W13*2-2)</f>
        <v>199.46</v>
      </c>
      <c r="Y13" s="5">
        <v>176.58</v>
      </c>
      <c r="Z13" s="5">
        <v>191.92000000000002</v>
      </c>
      <c r="AA13" s="5">
        <v>199.46</v>
      </c>
    </row>
    <row r="14" spans="1:28" x14ac:dyDescent="0.2">
      <c r="A14" s="5">
        <v>13</v>
      </c>
      <c r="B14" s="5">
        <f t="shared" si="0"/>
        <v>155</v>
      </c>
      <c r="C14" s="5" t="s">
        <v>280</v>
      </c>
      <c r="D14" s="41" t="str">
        <f>_xlfn.IFNA(VLOOKUP(C14,'Compiled Data'!A:X,24,FALSE),"U")</f>
        <v>U</v>
      </c>
      <c r="R14" s="41"/>
      <c r="U14" s="41"/>
      <c r="W14" s="5">
        <v>13</v>
      </c>
      <c r="X14" s="5">
        <f ca="1">OFFSET('New Lineup'!$C$12,0,W14*2-2)</f>
        <v>196.96</v>
      </c>
      <c r="Y14" s="5">
        <v>167.9</v>
      </c>
      <c r="Z14" s="5">
        <v>196.96</v>
      </c>
      <c r="AA14" s="5">
        <v>196.96</v>
      </c>
    </row>
    <row r="15" spans="1:28" x14ac:dyDescent="0.2">
      <c r="A15" s="5">
        <v>14</v>
      </c>
      <c r="B15" s="5">
        <f t="shared" si="0"/>
        <v>158</v>
      </c>
      <c r="C15" s="5" t="s">
        <v>848</v>
      </c>
      <c r="D15" s="41" t="str">
        <f>_xlfn.IFNA(VLOOKUP(C15,'Compiled Data'!A:X,24,FALSE),"U")</f>
        <v>U</v>
      </c>
      <c r="O15" s="41"/>
      <c r="R15" s="41"/>
      <c r="U15" s="41"/>
      <c r="W15" s="5">
        <v>14</v>
      </c>
      <c r="X15" s="5">
        <f ca="1">OFFSET('New Lineup'!$C$12,0,W15*2-2)</f>
        <v>167.32</v>
      </c>
      <c r="Y15" s="5">
        <v>113.1</v>
      </c>
      <c r="Z15" s="5">
        <v>167.32</v>
      </c>
      <c r="AA15" s="5">
        <v>167.32</v>
      </c>
    </row>
    <row r="16" spans="1:28" x14ac:dyDescent="0.2">
      <c r="A16" s="5">
        <v>15</v>
      </c>
      <c r="B16" s="5">
        <f t="shared" si="0"/>
        <v>179</v>
      </c>
      <c r="C16" s="5" t="s">
        <v>83</v>
      </c>
      <c r="D16" s="41" t="str">
        <f>_xlfn.IFNA(VLOOKUP(C16,'Compiled Data'!A:X,24,FALSE),"U")</f>
        <v>U</v>
      </c>
      <c r="M16" s="18" t="s">
        <v>911</v>
      </c>
      <c r="N16" s="5" t="s">
        <v>912</v>
      </c>
      <c r="O16" s="5" t="s">
        <v>913</v>
      </c>
      <c r="P16" s="5" t="s">
        <v>914</v>
      </c>
      <c r="Q16" s="5" t="s">
        <v>915</v>
      </c>
      <c r="R16" s="43" t="s">
        <v>880</v>
      </c>
      <c r="S16" s="43" t="s">
        <v>877</v>
      </c>
      <c r="U16" s="41"/>
      <c r="W16" s="5">
        <v>15</v>
      </c>
      <c r="X16" s="5">
        <f ca="1">OFFSET('New Lineup'!$C$12,0,W16*2-2)</f>
        <v>186.68</v>
      </c>
      <c r="Y16" s="5">
        <v>151.62</v>
      </c>
      <c r="Z16" s="5">
        <v>181.78000000000003</v>
      </c>
      <c r="AA16" s="5">
        <v>186.68</v>
      </c>
    </row>
    <row r="17" spans="1:27" x14ac:dyDescent="0.2">
      <c r="A17" s="5">
        <v>16</v>
      </c>
      <c r="B17" s="5">
        <f t="shared" si="0"/>
        <v>182</v>
      </c>
      <c r="C17" s="5" t="s">
        <v>858</v>
      </c>
      <c r="D17" s="41" t="str">
        <f>_xlfn.IFNA(VLOOKUP(C17,'Compiled Data'!A:X,24,FALSE),"U")</f>
        <v>U</v>
      </c>
      <c r="N17" s="5" t="s">
        <v>916</v>
      </c>
      <c r="O17" s="5" t="s">
        <v>917</v>
      </c>
      <c r="P17" s="5" t="s">
        <v>918</v>
      </c>
      <c r="Q17" s="5" t="s">
        <v>919</v>
      </c>
      <c r="R17" s="43" t="s">
        <v>850</v>
      </c>
      <c r="S17" s="43" t="s">
        <v>861</v>
      </c>
      <c r="U17" s="41"/>
      <c r="W17" s="5">
        <v>16</v>
      </c>
      <c r="X17" s="5">
        <f ca="1">OFFSET('New Lineup'!$C$12,0,W17*2-2)</f>
        <v>206.68</v>
      </c>
      <c r="Y17" s="5">
        <v>121.62</v>
      </c>
      <c r="Z17" s="5">
        <v>209.06</v>
      </c>
      <c r="AA17" s="5">
        <v>206.68</v>
      </c>
    </row>
    <row r="18" spans="1:27" x14ac:dyDescent="0.2">
      <c r="O18" s="5" t="s">
        <v>920</v>
      </c>
      <c r="P18" s="5" t="s">
        <v>921</v>
      </c>
      <c r="R18" s="41"/>
      <c r="U18" s="41"/>
      <c r="W18" s="5">
        <v>17</v>
      </c>
      <c r="X18" s="5">
        <f ca="1">OFFSET('New Lineup'!$C$12,0,W18*2-2)</f>
        <v>191.16</v>
      </c>
      <c r="Y18" s="5">
        <v>135.78</v>
      </c>
      <c r="Z18" s="5">
        <v>210.54000000000002</v>
      </c>
      <c r="AA18" s="5">
        <v>191.16</v>
      </c>
    </row>
    <row r="19" spans="1:27" x14ac:dyDescent="0.2">
      <c r="O19" s="5" t="s">
        <v>83</v>
      </c>
      <c r="P19" s="5" t="s">
        <v>922</v>
      </c>
      <c r="R19" s="41"/>
      <c r="U19" s="41"/>
      <c r="W19" s="5">
        <v>18</v>
      </c>
      <c r="X19" s="5">
        <f ca="1">OFFSET('New Lineup'!$C$12,0,W19*2-2)</f>
        <v>173.56</v>
      </c>
      <c r="Y19" s="5">
        <v>109.40000000000002</v>
      </c>
      <c r="Z19" s="5">
        <v>180.74</v>
      </c>
      <c r="AA19" s="5">
        <v>173.56</v>
      </c>
    </row>
    <row r="20" spans="1:27" x14ac:dyDescent="0.2">
      <c r="O20" s="41"/>
      <c r="R20" s="41"/>
      <c r="U20" s="41"/>
      <c r="X20" s="41"/>
      <c r="Y20" s="41"/>
    </row>
    <row r="21" spans="1:27" x14ac:dyDescent="0.2">
      <c r="M21" s="18" t="s">
        <v>909</v>
      </c>
      <c r="N21" s="5" t="s">
        <v>33</v>
      </c>
      <c r="O21" s="5" t="s">
        <v>85</v>
      </c>
      <c r="P21" s="5" t="s">
        <v>192</v>
      </c>
      <c r="Q21" s="5" t="s">
        <v>280</v>
      </c>
      <c r="R21" s="5" t="s">
        <v>853</v>
      </c>
      <c r="S21" s="43" t="s">
        <v>848</v>
      </c>
      <c r="U21" s="41"/>
      <c r="W21" s="18" t="s">
        <v>923</v>
      </c>
      <c r="X21" s="44">
        <f t="shared" ref="X21:Y21" ca="1" si="1">SUM(X2:X19)</f>
        <v>3206.06</v>
      </c>
      <c r="Y21" s="44">
        <f t="shared" si="1"/>
        <v>2894.1200000000003</v>
      </c>
      <c r="Z21" s="44">
        <v>3215</v>
      </c>
      <c r="AA21" s="45">
        <v>3206.06</v>
      </c>
    </row>
    <row r="22" spans="1:27" x14ac:dyDescent="0.2">
      <c r="N22" s="5" t="s">
        <v>21</v>
      </c>
      <c r="O22" s="5" t="s">
        <v>114</v>
      </c>
      <c r="P22" s="36" t="s">
        <v>173</v>
      </c>
      <c r="Q22" s="5" t="s">
        <v>313</v>
      </c>
      <c r="R22" s="5" t="s">
        <v>850</v>
      </c>
      <c r="S22" s="43" t="s">
        <v>858</v>
      </c>
      <c r="U22" s="41"/>
      <c r="W22" s="18" t="s">
        <v>924</v>
      </c>
      <c r="X22" s="44">
        <f t="shared" ref="X22:Y22" ca="1" si="2">AVERAGE(X2:X19)</f>
        <v>178.11444444444444</v>
      </c>
      <c r="Y22" s="44">
        <f t="shared" si="2"/>
        <v>160.78444444444446</v>
      </c>
      <c r="Z22" s="44">
        <v>178.61111111111111</v>
      </c>
      <c r="AA22" s="45">
        <v>178.11444444444444</v>
      </c>
    </row>
    <row r="23" spans="1:27" x14ac:dyDescent="0.2">
      <c r="O23" s="5" t="s">
        <v>92</v>
      </c>
      <c r="P23" s="5" t="s">
        <v>175</v>
      </c>
      <c r="R23" s="41"/>
      <c r="U23" s="41"/>
      <c r="W23" s="18" t="s">
        <v>925</v>
      </c>
      <c r="X23" s="44">
        <f t="shared" ref="X23:Y23" ca="1" si="3">STDEV(X2:X19)</f>
        <v>17.6900953418181</v>
      </c>
      <c r="Y23" s="44">
        <f t="shared" si="3"/>
        <v>38.449430535402293</v>
      </c>
      <c r="Z23" s="44">
        <v>19.199690220812506</v>
      </c>
      <c r="AA23" s="45">
        <v>17.6900953418181</v>
      </c>
    </row>
    <row r="24" spans="1:27" x14ac:dyDescent="0.2">
      <c r="O24" s="5" t="s">
        <v>83</v>
      </c>
      <c r="P24" s="5" t="s">
        <v>170</v>
      </c>
      <c r="R24" s="41"/>
      <c r="U24" s="41"/>
      <c r="X24" s="41"/>
      <c r="Y24" s="41"/>
    </row>
    <row r="25" spans="1:27" x14ac:dyDescent="0.2">
      <c r="O25" s="41"/>
      <c r="R25" s="41"/>
      <c r="U25" s="41"/>
      <c r="W25" s="18" t="s">
        <v>926</v>
      </c>
      <c r="X25" s="44">
        <f ca="1">AVERAGE('New Lineup'!B3:AK3)</f>
        <v>25.220000000000002</v>
      </c>
      <c r="Y25" s="41"/>
      <c r="Z25" s="44">
        <v>21.933333333333334</v>
      </c>
      <c r="AA25" s="45">
        <v>25.220000000000002</v>
      </c>
    </row>
    <row r="26" spans="1:27" x14ac:dyDescent="0.2">
      <c r="M26" s="18" t="s">
        <v>927</v>
      </c>
      <c r="N26" s="5" t="s">
        <v>33</v>
      </c>
      <c r="O26" s="5" t="s">
        <v>85</v>
      </c>
      <c r="P26" s="5" t="s">
        <v>192</v>
      </c>
      <c r="Q26" s="5" t="s">
        <v>280</v>
      </c>
      <c r="R26" s="5" t="s">
        <v>853</v>
      </c>
      <c r="S26" s="43" t="s">
        <v>848</v>
      </c>
      <c r="U26" s="41"/>
      <c r="W26" s="18" t="s">
        <v>928</v>
      </c>
      <c r="X26" s="44">
        <f ca="1">AVERAGE('New Lineup'!B6:AK7)</f>
        <v>23.847222222222225</v>
      </c>
      <c r="Y26" s="41"/>
      <c r="Z26" s="44">
        <v>24.622222222222231</v>
      </c>
      <c r="AA26" s="45">
        <v>23.847222222222225</v>
      </c>
    </row>
    <row r="27" spans="1:27" x14ac:dyDescent="0.2">
      <c r="N27" s="5" t="s">
        <v>48</v>
      </c>
      <c r="O27" s="5" t="s">
        <v>114</v>
      </c>
      <c r="P27" s="36" t="s">
        <v>178</v>
      </c>
      <c r="Q27" s="5" t="s">
        <v>313</v>
      </c>
      <c r="R27" s="5" t="s">
        <v>850</v>
      </c>
      <c r="S27" s="43" t="s">
        <v>858</v>
      </c>
      <c r="U27" s="41"/>
      <c r="W27" s="18" t="s">
        <v>929</v>
      </c>
      <c r="X27" s="44">
        <f ca="1">AVERAGE('New Lineup'!B4:AK5)</f>
        <v>22.377777777777776</v>
      </c>
      <c r="Y27" s="41"/>
      <c r="Z27" s="44">
        <v>22.377777777777776</v>
      </c>
      <c r="AA27" s="45">
        <v>22.377777777777776</v>
      </c>
    </row>
    <row r="28" spans="1:27" x14ac:dyDescent="0.2">
      <c r="O28" s="5" t="s">
        <v>92</v>
      </c>
      <c r="P28" s="5" t="s">
        <v>175</v>
      </c>
      <c r="R28" s="41"/>
      <c r="U28" s="41"/>
      <c r="W28" s="18" t="s">
        <v>930</v>
      </c>
      <c r="X28" s="44">
        <f ca="1">AVERAGE('New Lineup'!B8:AK8)</f>
        <v>16.399999999999995</v>
      </c>
      <c r="Y28" s="41"/>
      <c r="Z28" s="44">
        <v>16.399999999999995</v>
      </c>
      <c r="AA28" s="45">
        <v>16.399999999999995</v>
      </c>
    </row>
    <row r="29" spans="1:27" x14ac:dyDescent="0.2">
      <c r="O29" s="5" t="s">
        <v>83</v>
      </c>
      <c r="P29" s="5" t="s">
        <v>170</v>
      </c>
      <c r="R29" s="41"/>
      <c r="U29" s="41"/>
      <c r="X29" s="41"/>
      <c r="Y29" s="41"/>
    </row>
    <row r="30" spans="1:27" x14ac:dyDescent="0.2">
      <c r="O30" s="41"/>
      <c r="R30" s="41"/>
      <c r="U30" s="41"/>
      <c r="X30" s="41"/>
      <c r="Y30" s="41"/>
    </row>
    <row r="31" spans="1:27" x14ac:dyDescent="0.2">
      <c r="O31" s="41"/>
      <c r="R31" s="41"/>
      <c r="U31" s="41"/>
      <c r="X31" s="41"/>
      <c r="Y31" s="41"/>
    </row>
    <row r="32" spans="1:27" x14ac:dyDescent="0.2">
      <c r="O32" s="41"/>
      <c r="R32" s="41"/>
      <c r="U32" s="41"/>
      <c r="X32" s="41"/>
      <c r="Y32" s="41"/>
    </row>
    <row r="33" spans="15:25" x14ac:dyDescent="0.2">
      <c r="O33" s="41"/>
      <c r="R33" s="41"/>
      <c r="U33" s="41"/>
      <c r="X33" s="41"/>
      <c r="Y33" s="41"/>
    </row>
    <row r="34" spans="15:25" x14ac:dyDescent="0.2">
      <c r="O34" s="41"/>
      <c r="R34" s="41"/>
      <c r="U34" s="41"/>
      <c r="X34" s="41"/>
      <c r="Y34" s="41"/>
    </row>
    <row r="35" spans="15:25" x14ac:dyDescent="0.2">
      <c r="O35" s="41"/>
      <c r="R35" s="41"/>
      <c r="U35" s="41"/>
      <c r="X35" s="41"/>
      <c r="Y35" s="41"/>
    </row>
    <row r="36" spans="15:25" x14ac:dyDescent="0.2">
      <c r="O36" s="41"/>
      <c r="R36" s="41"/>
      <c r="U36" s="41"/>
      <c r="X36" s="41"/>
      <c r="Y36" s="41"/>
    </row>
    <row r="37" spans="15:25" x14ac:dyDescent="0.2">
      <c r="O37" s="41"/>
      <c r="R37" s="41"/>
      <c r="U37" s="41"/>
      <c r="X37" s="41"/>
      <c r="Y37" s="41"/>
    </row>
    <row r="38" spans="15:25" x14ac:dyDescent="0.2">
      <c r="O38" s="41"/>
      <c r="R38" s="41"/>
      <c r="U38" s="41"/>
      <c r="X38" s="41"/>
      <c r="Y38" s="41"/>
    </row>
    <row r="39" spans="15:25" x14ac:dyDescent="0.2">
      <c r="O39" s="41"/>
      <c r="R39" s="41"/>
      <c r="U39" s="41"/>
      <c r="X39" s="41"/>
      <c r="Y39" s="41"/>
    </row>
    <row r="40" spans="15:25" x14ac:dyDescent="0.2">
      <c r="O40" s="41"/>
      <c r="R40" s="41"/>
      <c r="U40" s="41"/>
      <c r="X40" s="41"/>
      <c r="Y40" s="41"/>
    </row>
    <row r="41" spans="15:25" x14ac:dyDescent="0.2">
      <c r="O41" s="41"/>
      <c r="R41" s="41"/>
      <c r="U41" s="41"/>
      <c r="X41" s="41"/>
      <c r="Y41" s="41"/>
    </row>
    <row r="42" spans="15:25" x14ac:dyDescent="0.2">
      <c r="O42" s="41"/>
      <c r="R42" s="41"/>
      <c r="U42" s="41"/>
      <c r="X42" s="41"/>
      <c r="Y42" s="41"/>
    </row>
    <row r="43" spans="15:25" x14ac:dyDescent="0.2">
      <c r="O43" s="41"/>
      <c r="R43" s="41"/>
      <c r="U43" s="41"/>
      <c r="X43" s="41"/>
      <c r="Y43" s="41"/>
    </row>
    <row r="44" spans="15:25" x14ac:dyDescent="0.2">
      <c r="O44" s="41"/>
      <c r="R44" s="41"/>
      <c r="U44" s="41"/>
      <c r="X44" s="41"/>
      <c r="Y44" s="41"/>
    </row>
    <row r="45" spans="15:25" x14ac:dyDescent="0.2">
      <c r="O45" s="41"/>
      <c r="R45" s="41"/>
      <c r="U45" s="41"/>
      <c r="X45" s="41"/>
      <c r="Y45" s="41"/>
    </row>
    <row r="46" spans="15:25" x14ac:dyDescent="0.2">
      <c r="O46" s="41"/>
      <c r="R46" s="41"/>
      <c r="U46" s="41"/>
      <c r="X46" s="41"/>
      <c r="Y46" s="41"/>
    </row>
    <row r="47" spans="15:25" x14ac:dyDescent="0.2">
      <c r="O47" s="41"/>
      <c r="R47" s="41"/>
      <c r="U47" s="41"/>
      <c r="X47" s="41"/>
      <c r="Y47" s="41"/>
    </row>
    <row r="48" spans="15:25" x14ac:dyDescent="0.2">
      <c r="O48" s="41"/>
      <c r="R48" s="41"/>
      <c r="U48" s="41"/>
      <c r="X48" s="41"/>
      <c r="Y48" s="41"/>
    </row>
    <row r="49" spans="15:25" x14ac:dyDescent="0.2">
      <c r="O49" s="41"/>
      <c r="R49" s="41"/>
      <c r="U49" s="41"/>
      <c r="X49" s="41"/>
      <c r="Y49" s="41"/>
    </row>
    <row r="50" spans="15:25" x14ac:dyDescent="0.2">
      <c r="O50" s="41"/>
      <c r="R50" s="41"/>
      <c r="U50" s="41"/>
      <c r="X50" s="41"/>
      <c r="Y50" s="41"/>
    </row>
    <row r="51" spans="15:25" x14ac:dyDescent="0.2">
      <c r="O51" s="41"/>
      <c r="R51" s="41"/>
      <c r="U51" s="41"/>
      <c r="X51" s="41"/>
      <c r="Y51" s="41"/>
    </row>
    <row r="52" spans="15:25" x14ac:dyDescent="0.2">
      <c r="O52" s="41"/>
      <c r="R52" s="41"/>
      <c r="U52" s="41"/>
      <c r="X52" s="41"/>
      <c r="Y52" s="41"/>
    </row>
    <row r="53" spans="15:25" x14ac:dyDescent="0.2">
      <c r="O53" s="41"/>
      <c r="R53" s="41"/>
      <c r="U53" s="41"/>
      <c r="X53" s="41"/>
      <c r="Y53" s="41"/>
    </row>
    <row r="54" spans="15:25" x14ac:dyDescent="0.2">
      <c r="O54" s="41"/>
      <c r="R54" s="41"/>
      <c r="U54" s="41"/>
      <c r="X54" s="41"/>
      <c r="Y54" s="41"/>
    </row>
    <row r="55" spans="15:25" x14ac:dyDescent="0.2">
      <c r="O55" s="41"/>
      <c r="R55" s="41"/>
      <c r="U55" s="41"/>
      <c r="X55" s="41"/>
      <c r="Y55" s="41"/>
    </row>
    <row r="56" spans="15:25" x14ac:dyDescent="0.2">
      <c r="O56" s="41"/>
      <c r="R56" s="41"/>
      <c r="U56" s="41"/>
      <c r="X56" s="41"/>
      <c r="Y56" s="41"/>
    </row>
    <row r="57" spans="15:25" x14ac:dyDescent="0.2">
      <c r="O57" s="41"/>
      <c r="R57" s="41"/>
      <c r="U57" s="41"/>
      <c r="X57" s="41"/>
      <c r="Y57" s="41"/>
    </row>
    <row r="58" spans="15:25" x14ac:dyDescent="0.2">
      <c r="O58" s="41"/>
      <c r="R58" s="41"/>
      <c r="U58" s="41"/>
      <c r="X58" s="41"/>
      <c r="Y58" s="41"/>
    </row>
    <row r="59" spans="15:25" x14ac:dyDescent="0.2">
      <c r="O59" s="41"/>
      <c r="R59" s="41"/>
      <c r="U59" s="41"/>
      <c r="X59" s="41"/>
      <c r="Y59" s="41"/>
    </row>
    <row r="60" spans="15:25" x14ac:dyDescent="0.2">
      <c r="O60" s="41"/>
      <c r="R60" s="41"/>
      <c r="U60" s="41"/>
      <c r="X60" s="41"/>
      <c r="Y60" s="41"/>
    </row>
    <row r="61" spans="15:25" x14ac:dyDescent="0.2">
      <c r="O61" s="41"/>
      <c r="R61" s="41"/>
      <c r="U61" s="41"/>
      <c r="X61" s="41"/>
      <c r="Y61" s="41"/>
    </row>
    <row r="62" spans="15:25" x14ac:dyDescent="0.2">
      <c r="O62" s="41"/>
      <c r="R62" s="41"/>
      <c r="U62" s="41"/>
      <c r="X62" s="41"/>
      <c r="Y62" s="41"/>
    </row>
    <row r="63" spans="15:25" x14ac:dyDescent="0.2">
      <c r="O63" s="41"/>
      <c r="R63" s="41"/>
      <c r="U63" s="41"/>
      <c r="X63" s="41"/>
      <c r="Y63" s="41"/>
    </row>
    <row r="64" spans="15:25" x14ac:dyDescent="0.2">
      <c r="O64" s="41"/>
      <c r="R64" s="41"/>
      <c r="U64" s="41"/>
      <c r="X64" s="41"/>
      <c r="Y64" s="41"/>
    </row>
    <row r="65" spans="15:25" x14ac:dyDescent="0.2">
      <c r="O65" s="41"/>
      <c r="R65" s="41"/>
      <c r="U65" s="41"/>
      <c r="X65" s="41"/>
      <c r="Y65" s="41"/>
    </row>
    <row r="66" spans="15:25" x14ac:dyDescent="0.2">
      <c r="O66" s="41"/>
      <c r="R66" s="41"/>
      <c r="U66" s="41"/>
      <c r="X66" s="41"/>
      <c r="Y66" s="41"/>
    </row>
    <row r="67" spans="15:25" x14ac:dyDescent="0.2">
      <c r="O67" s="41"/>
      <c r="R67" s="41"/>
      <c r="U67" s="41"/>
      <c r="X67" s="41"/>
      <c r="Y67" s="41"/>
    </row>
    <row r="68" spans="15:25" x14ac:dyDescent="0.2">
      <c r="O68" s="41"/>
      <c r="R68" s="41"/>
      <c r="U68" s="41"/>
      <c r="X68" s="41"/>
      <c r="Y68" s="41"/>
    </row>
    <row r="69" spans="15:25" x14ac:dyDescent="0.2">
      <c r="O69" s="41"/>
      <c r="R69" s="41"/>
      <c r="U69" s="41"/>
      <c r="X69" s="41"/>
      <c r="Y69" s="41"/>
    </row>
    <row r="70" spans="15:25" x14ac:dyDescent="0.2">
      <c r="O70" s="41"/>
      <c r="R70" s="41"/>
      <c r="U70" s="41"/>
      <c r="X70" s="41"/>
      <c r="Y70" s="41"/>
    </row>
    <row r="71" spans="15:25" x14ac:dyDescent="0.2">
      <c r="O71" s="41"/>
      <c r="R71" s="41"/>
      <c r="U71" s="41"/>
      <c r="X71" s="41"/>
      <c r="Y71" s="41"/>
    </row>
    <row r="72" spans="15:25" x14ac:dyDescent="0.2">
      <c r="O72" s="41"/>
      <c r="R72" s="41"/>
      <c r="U72" s="41"/>
      <c r="X72" s="41"/>
      <c r="Y72" s="41"/>
    </row>
    <row r="73" spans="15:25" x14ac:dyDescent="0.2">
      <c r="O73" s="41"/>
      <c r="R73" s="41"/>
      <c r="U73" s="41"/>
      <c r="X73" s="41"/>
      <c r="Y73" s="41"/>
    </row>
    <row r="74" spans="15:25" x14ac:dyDescent="0.2">
      <c r="O74" s="41"/>
      <c r="R74" s="41"/>
      <c r="U74" s="41"/>
      <c r="X74" s="41"/>
      <c r="Y74" s="41"/>
    </row>
    <row r="75" spans="15:25" x14ac:dyDescent="0.2">
      <c r="O75" s="41"/>
      <c r="R75" s="41"/>
      <c r="U75" s="41"/>
      <c r="X75" s="41"/>
      <c r="Y75" s="41"/>
    </row>
    <row r="76" spans="15:25" x14ac:dyDescent="0.2">
      <c r="O76" s="41"/>
      <c r="R76" s="41"/>
      <c r="U76" s="41"/>
      <c r="X76" s="41"/>
      <c r="Y76" s="41"/>
    </row>
    <row r="77" spans="15:25" x14ac:dyDescent="0.2">
      <c r="O77" s="41"/>
      <c r="R77" s="41"/>
      <c r="U77" s="41"/>
      <c r="X77" s="41"/>
      <c r="Y77" s="41"/>
    </row>
    <row r="78" spans="15:25" x14ac:dyDescent="0.2">
      <c r="O78" s="41"/>
      <c r="R78" s="41"/>
      <c r="U78" s="41"/>
      <c r="X78" s="41"/>
      <c r="Y78" s="41"/>
    </row>
    <row r="79" spans="15:25" x14ac:dyDescent="0.2">
      <c r="O79" s="41"/>
      <c r="R79" s="41"/>
      <c r="U79" s="41"/>
      <c r="X79" s="41"/>
      <c r="Y79" s="41"/>
    </row>
    <row r="80" spans="15:25" x14ac:dyDescent="0.2">
      <c r="O80" s="41"/>
      <c r="R80" s="41"/>
      <c r="U80" s="41"/>
      <c r="X80" s="41"/>
      <c r="Y80" s="41"/>
    </row>
    <row r="81" spans="15:25" x14ac:dyDescent="0.2">
      <c r="O81" s="41"/>
      <c r="R81" s="41"/>
      <c r="U81" s="41"/>
      <c r="X81" s="41"/>
      <c r="Y81" s="41"/>
    </row>
    <row r="82" spans="15:25" x14ac:dyDescent="0.2">
      <c r="O82" s="41"/>
      <c r="R82" s="41"/>
      <c r="U82" s="41"/>
      <c r="X82" s="41"/>
      <c r="Y82" s="41"/>
    </row>
    <row r="83" spans="15:25" x14ac:dyDescent="0.2">
      <c r="O83" s="41"/>
      <c r="R83" s="41"/>
      <c r="U83" s="41"/>
      <c r="X83" s="41"/>
      <c r="Y83" s="41"/>
    </row>
    <row r="84" spans="15:25" x14ac:dyDescent="0.2">
      <c r="O84" s="41"/>
      <c r="R84" s="41"/>
      <c r="U84" s="41"/>
      <c r="X84" s="41"/>
      <c r="Y84" s="41"/>
    </row>
    <row r="85" spans="15:25" x14ac:dyDescent="0.2">
      <c r="O85" s="41"/>
      <c r="R85" s="41"/>
      <c r="U85" s="41"/>
      <c r="X85" s="41"/>
      <c r="Y85" s="41"/>
    </row>
    <row r="86" spans="15:25" x14ac:dyDescent="0.2">
      <c r="O86" s="41"/>
      <c r="R86" s="41"/>
      <c r="U86" s="41"/>
      <c r="X86" s="41"/>
      <c r="Y86" s="41"/>
    </row>
    <row r="87" spans="15:25" x14ac:dyDescent="0.2">
      <c r="O87" s="41"/>
      <c r="R87" s="41"/>
      <c r="U87" s="41"/>
      <c r="X87" s="41"/>
      <c r="Y87" s="41"/>
    </row>
    <row r="88" spans="15:25" x14ac:dyDescent="0.2">
      <c r="O88" s="41"/>
      <c r="R88" s="41"/>
      <c r="U88" s="41"/>
      <c r="X88" s="41"/>
      <c r="Y88" s="41"/>
    </row>
    <row r="89" spans="15:25" x14ac:dyDescent="0.2">
      <c r="O89" s="41"/>
      <c r="R89" s="41"/>
      <c r="U89" s="41"/>
      <c r="X89" s="41"/>
      <c r="Y89" s="41"/>
    </row>
    <row r="90" spans="15:25" x14ac:dyDescent="0.2">
      <c r="O90" s="41"/>
      <c r="R90" s="41"/>
      <c r="U90" s="41"/>
      <c r="X90" s="41"/>
      <c r="Y90" s="41"/>
    </row>
    <row r="91" spans="15:25" x14ac:dyDescent="0.2">
      <c r="O91" s="41"/>
      <c r="R91" s="41"/>
      <c r="U91" s="41"/>
      <c r="X91" s="41"/>
      <c r="Y91" s="41"/>
    </row>
    <row r="92" spans="15:25" x14ac:dyDescent="0.2">
      <c r="O92" s="41"/>
      <c r="R92" s="41"/>
      <c r="U92" s="41"/>
      <c r="X92" s="41"/>
      <c r="Y92" s="41"/>
    </row>
    <row r="93" spans="15:25" x14ac:dyDescent="0.2">
      <c r="O93" s="41"/>
      <c r="R93" s="41"/>
      <c r="U93" s="41"/>
      <c r="X93" s="41"/>
      <c r="Y93" s="41"/>
    </row>
    <row r="94" spans="15:25" x14ac:dyDescent="0.2">
      <c r="O94" s="41"/>
      <c r="R94" s="41"/>
      <c r="U94" s="41"/>
      <c r="X94" s="41"/>
      <c r="Y94" s="41"/>
    </row>
    <row r="95" spans="15:25" x14ac:dyDescent="0.2">
      <c r="O95" s="41"/>
      <c r="R95" s="41"/>
      <c r="U95" s="41"/>
      <c r="X95" s="41"/>
      <c r="Y95" s="41"/>
    </row>
    <row r="96" spans="15:25" x14ac:dyDescent="0.2">
      <c r="O96" s="41"/>
      <c r="R96" s="41"/>
      <c r="U96" s="41"/>
      <c r="X96" s="41"/>
      <c r="Y96" s="41"/>
    </row>
    <row r="97" spans="15:25" x14ac:dyDescent="0.2">
      <c r="O97" s="41"/>
      <c r="R97" s="41"/>
      <c r="U97" s="41"/>
      <c r="X97" s="41"/>
      <c r="Y97" s="41"/>
    </row>
    <row r="98" spans="15:25" x14ac:dyDescent="0.2">
      <c r="O98" s="41"/>
      <c r="R98" s="41"/>
      <c r="U98" s="41"/>
      <c r="X98" s="41"/>
      <c r="Y98" s="41"/>
    </row>
    <row r="99" spans="15:25" x14ac:dyDescent="0.2">
      <c r="O99" s="41"/>
      <c r="R99" s="41"/>
      <c r="U99" s="41"/>
      <c r="X99" s="41"/>
      <c r="Y99" s="41"/>
    </row>
    <row r="100" spans="15:25" x14ac:dyDescent="0.2">
      <c r="O100" s="41"/>
      <c r="R100" s="41"/>
      <c r="U100" s="41"/>
      <c r="X100" s="41"/>
      <c r="Y100" s="41"/>
    </row>
    <row r="101" spans="15:25" x14ac:dyDescent="0.2">
      <c r="O101" s="41"/>
      <c r="R101" s="41"/>
      <c r="U101" s="41"/>
      <c r="X101" s="41"/>
      <c r="Y101" s="41"/>
    </row>
    <row r="102" spans="15:25" x14ac:dyDescent="0.2">
      <c r="O102" s="41"/>
      <c r="R102" s="41"/>
      <c r="U102" s="41"/>
      <c r="X102" s="41"/>
      <c r="Y102" s="41"/>
    </row>
    <row r="103" spans="15:25" x14ac:dyDescent="0.2">
      <c r="O103" s="41"/>
      <c r="R103" s="41"/>
      <c r="U103" s="41"/>
      <c r="X103" s="41"/>
      <c r="Y103" s="41"/>
    </row>
    <row r="104" spans="15:25" x14ac:dyDescent="0.2">
      <c r="O104" s="41"/>
      <c r="R104" s="41"/>
      <c r="U104" s="41"/>
      <c r="X104" s="41"/>
      <c r="Y104" s="41"/>
    </row>
    <row r="105" spans="15:25" x14ac:dyDescent="0.2">
      <c r="O105" s="41"/>
      <c r="R105" s="41"/>
      <c r="U105" s="41"/>
      <c r="X105" s="41"/>
      <c r="Y105" s="41"/>
    </row>
    <row r="106" spans="15:25" x14ac:dyDescent="0.2">
      <c r="O106" s="41"/>
      <c r="R106" s="41"/>
      <c r="U106" s="41"/>
      <c r="X106" s="41"/>
      <c r="Y106" s="41"/>
    </row>
    <row r="107" spans="15:25" x14ac:dyDescent="0.2">
      <c r="O107" s="41"/>
      <c r="R107" s="41"/>
      <c r="U107" s="41"/>
      <c r="X107" s="41"/>
      <c r="Y107" s="41"/>
    </row>
    <row r="108" spans="15:25" x14ac:dyDescent="0.2">
      <c r="O108" s="41"/>
      <c r="R108" s="41"/>
      <c r="U108" s="41"/>
      <c r="X108" s="41"/>
      <c r="Y108" s="41"/>
    </row>
    <row r="109" spans="15:25" x14ac:dyDescent="0.2">
      <c r="O109" s="41"/>
      <c r="R109" s="41"/>
      <c r="U109" s="41"/>
      <c r="X109" s="41"/>
      <c r="Y109" s="41"/>
    </row>
    <row r="110" spans="15:25" x14ac:dyDescent="0.2">
      <c r="O110" s="41"/>
      <c r="R110" s="41"/>
      <c r="U110" s="41"/>
      <c r="X110" s="41"/>
      <c r="Y110" s="41"/>
    </row>
    <row r="111" spans="15:25" x14ac:dyDescent="0.2">
      <c r="O111" s="41"/>
      <c r="R111" s="41"/>
      <c r="U111" s="41"/>
      <c r="X111" s="41"/>
      <c r="Y111" s="41"/>
    </row>
    <row r="112" spans="15:25" x14ac:dyDescent="0.2">
      <c r="O112" s="41"/>
      <c r="R112" s="41"/>
      <c r="U112" s="41"/>
      <c r="X112" s="41"/>
      <c r="Y112" s="41"/>
    </row>
    <row r="113" spans="15:25" x14ac:dyDescent="0.2">
      <c r="O113" s="41"/>
      <c r="R113" s="41"/>
      <c r="U113" s="41"/>
      <c r="X113" s="41"/>
      <c r="Y113" s="41"/>
    </row>
    <row r="114" spans="15:25" x14ac:dyDescent="0.2">
      <c r="O114" s="41"/>
      <c r="R114" s="41"/>
      <c r="U114" s="41"/>
      <c r="X114" s="41"/>
      <c r="Y114" s="41"/>
    </row>
    <row r="115" spans="15:25" x14ac:dyDescent="0.2">
      <c r="O115" s="41"/>
      <c r="R115" s="41"/>
      <c r="U115" s="41"/>
      <c r="X115" s="41"/>
      <c r="Y115" s="41"/>
    </row>
    <row r="116" spans="15:25" x14ac:dyDescent="0.2">
      <c r="O116" s="41"/>
      <c r="R116" s="41"/>
      <c r="U116" s="41"/>
      <c r="X116" s="41"/>
      <c r="Y116" s="41"/>
    </row>
    <row r="117" spans="15:25" x14ac:dyDescent="0.2">
      <c r="O117" s="41"/>
      <c r="R117" s="41"/>
      <c r="U117" s="41"/>
      <c r="X117" s="41"/>
      <c r="Y117" s="41"/>
    </row>
    <row r="118" spans="15:25" x14ac:dyDescent="0.2">
      <c r="O118" s="41"/>
      <c r="R118" s="41"/>
      <c r="U118" s="41"/>
      <c r="X118" s="41"/>
      <c r="Y118" s="41"/>
    </row>
    <row r="119" spans="15:25" x14ac:dyDescent="0.2">
      <c r="O119" s="41"/>
      <c r="R119" s="41"/>
      <c r="U119" s="41"/>
      <c r="X119" s="41"/>
      <c r="Y119" s="41"/>
    </row>
    <row r="120" spans="15:25" x14ac:dyDescent="0.2">
      <c r="O120" s="41"/>
      <c r="R120" s="41"/>
      <c r="U120" s="41"/>
      <c r="X120" s="41"/>
      <c r="Y120" s="41"/>
    </row>
    <row r="121" spans="15:25" x14ac:dyDescent="0.2">
      <c r="O121" s="41"/>
      <c r="R121" s="41"/>
      <c r="U121" s="41"/>
      <c r="X121" s="41"/>
      <c r="Y121" s="41"/>
    </row>
    <row r="122" spans="15:25" x14ac:dyDescent="0.2">
      <c r="O122" s="41"/>
      <c r="R122" s="41"/>
      <c r="U122" s="41"/>
      <c r="X122" s="41"/>
      <c r="Y122" s="41"/>
    </row>
    <row r="123" spans="15:25" x14ac:dyDescent="0.2">
      <c r="O123" s="41"/>
      <c r="R123" s="41"/>
      <c r="U123" s="41"/>
      <c r="X123" s="41"/>
      <c r="Y123" s="41"/>
    </row>
    <row r="124" spans="15:25" x14ac:dyDescent="0.2">
      <c r="O124" s="41"/>
      <c r="R124" s="41"/>
      <c r="U124" s="41"/>
      <c r="X124" s="41"/>
      <c r="Y124" s="41"/>
    </row>
    <row r="125" spans="15:25" x14ac:dyDescent="0.2">
      <c r="O125" s="41"/>
      <c r="R125" s="41"/>
      <c r="U125" s="41"/>
      <c r="X125" s="41"/>
      <c r="Y125" s="41"/>
    </row>
    <row r="126" spans="15:25" x14ac:dyDescent="0.2">
      <c r="O126" s="41"/>
      <c r="R126" s="41"/>
      <c r="U126" s="41"/>
      <c r="X126" s="41"/>
      <c r="Y126" s="41"/>
    </row>
    <row r="127" spans="15:25" x14ac:dyDescent="0.2">
      <c r="O127" s="41"/>
      <c r="R127" s="41"/>
      <c r="U127" s="41"/>
      <c r="X127" s="41"/>
      <c r="Y127" s="41"/>
    </row>
    <row r="128" spans="15:25" x14ac:dyDescent="0.2">
      <c r="O128" s="41"/>
      <c r="R128" s="41"/>
      <c r="U128" s="41"/>
      <c r="X128" s="41"/>
      <c r="Y128" s="41"/>
    </row>
    <row r="129" spans="15:25" x14ac:dyDescent="0.2">
      <c r="O129" s="41"/>
      <c r="R129" s="41"/>
      <c r="U129" s="41"/>
      <c r="X129" s="41"/>
      <c r="Y129" s="41"/>
    </row>
    <row r="130" spans="15:25" x14ac:dyDescent="0.2">
      <c r="O130" s="41"/>
      <c r="R130" s="41"/>
      <c r="U130" s="41"/>
      <c r="X130" s="41"/>
      <c r="Y130" s="41"/>
    </row>
    <row r="131" spans="15:25" x14ac:dyDescent="0.2">
      <c r="O131" s="41"/>
      <c r="R131" s="41"/>
      <c r="U131" s="41"/>
      <c r="X131" s="41"/>
      <c r="Y131" s="41"/>
    </row>
    <row r="132" spans="15:25" x14ac:dyDescent="0.2">
      <c r="O132" s="41"/>
      <c r="R132" s="41"/>
      <c r="U132" s="41"/>
      <c r="X132" s="41"/>
      <c r="Y132" s="41"/>
    </row>
    <row r="133" spans="15:25" x14ac:dyDescent="0.2">
      <c r="O133" s="41"/>
      <c r="R133" s="41"/>
      <c r="U133" s="41"/>
      <c r="X133" s="41"/>
      <c r="Y133" s="41"/>
    </row>
    <row r="134" spans="15:25" x14ac:dyDescent="0.2">
      <c r="O134" s="41"/>
      <c r="R134" s="41"/>
      <c r="U134" s="41"/>
      <c r="X134" s="41"/>
      <c r="Y134" s="41"/>
    </row>
    <row r="135" spans="15:25" x14ac:dyDescent="0.2">
      <c r="O135" s="41"/>
      <c r="R135" s="41"/>
      <c r="U135" s="41"/>
      <c r="X135" s="41"/>
      <c r="Y135" s="41"/>
    </row>
    <row r="136" spans="15:25" x14ac:dyDescent="0.2">
      <c r="O136" s="41"/>
      <c r="R136" s="41"/>
      <c r="U136" s="41"/>
      <c r="X136" s="41"/>
      <c r="Y136" s="41"/>
    </row>
    <row r="137" spans="15:25" x14ac:dyDescent="0.2">
      <c r="O137" s="41"/>
      <c r="R137" s="41"/>
      <c r="U137" s="41"/>
      <c r="X137" s="41"/>
      <c r="Y137" s="41"/>
    </row>
    <row r="138" spans="15:25" x14ac:dyDescent="0.2">
      <c r="O138" s="41"/>
      <c r="R138" s="41"/>
      <c r="U138" s="41"/>
      <c r="X138" s="41"/>
      <c r="Y138" s="41"/>
    </row>
    <row r="139" spans="15:25" x14ac:dyDescent="0.2">
      <c r="O139" s="41"/>
      <c r="R139" s="41"/>
      <c r="U139" s="41"/>
      <c r="X139" s="41"/>
      <c r="Y139" s="41"/>
    </row>
    <row r="140" spans="15:25" x14ac:dyDescent="0.2">
      <c r="O140" s="41"/>
      <c r="R140" s="41"/>
      <c r="U140" s="41"/>
      <c r="X140" s="41"/>
      <c r="Y140" s="41"/>
    </row>
    <row r="141" spans="15:25" x14ac:dyDescent="0.2">
      <c r="O141" s="41"/>
      <c r="R141" s="41"/>
      <c r="U141" s="41"/>
      <c r="X141" s="41"/>
      <c r="Y141" s="41"/>
    </row>
    <row r="142" spans="15:25" x14ac:dyDescent="0.2">
      <c r="O142" s="41"/>
      <c r="R142" s="41"/>
      <c r="U142" s="41"/>
      <c r="X142" s="41"/>
      <c r="Y142" s="41"/>
    </row>
    <row r="143" spans="15:25" x14ac:dyDescent="0.2">
      <c r="O143" s="41"/>
      <c r="R143" s="41"/>
      <c r="U143" s="41"/>
      <c r="X143" s="41"/>
      <c r="Y143" s="41"/>
    </row>
    <row r="144" spans="15:25" x14ac:dyDescent="0.2">
      <c r="O144" s="41"/>
      <c r="R144" s="41"/>
      <c r="U144" s="41"/>
      <c r="X144" s="41"/>
      <c r="Y144" s="41"/>
    </row>
    <row r="145" spans="15:25" x14ac:dyDescent="0.2">
      <c r="O145" s="41"/>
      <c r="R145" s="41"/>
      <c r="U145" s="41"/>
      <c r="X145" s="41"/>
      <c r="Y145" s="41"/>
    </row>
    <row r="146" spans="15:25" x14ac:dyDescent="0.2">
      <c r="O146" s="41"/>
      <c r="R146" s="41"/>
      <c r="U146" s="41"/>
      <c r="X146" s="41"/>
      <c r="Y146" s="41"/>
    </row>
    <row r="147" spans="15:25" x14ac:dyDescent="0.2">
      <c r="O147" s="41"/>
      <c r="R147" s="41"/>
      <c r="U147" s="41"/>
      <c r="X147" s="41"/>
      <c r="Y147" s="41"/>
    </row>
    <row r="148" spans="15:25" x14ac:dyDescent="0.2">
      <c r="O148" s="41"/>
      <c r="R148" s="41"/>
      <c r="U148" s="41"/>
      <c r="X148" s="41"/>
      <c r="Y148" s="41"/>
    </row>
    <row r="149" spans="15:25" x14ac:dyDescent="0.2">
      <c r="O149" s="41"/>
      <c r="R149" s="41"/>
      <c r="U149" s="41"/>
      <c r="X149" s="41"/>
      <c r="Y149" s="41"/>
    </row>
    <row r="150" spans="15:25" x14ac:dyDescent="0.2">
      <c r="O150" s="41"/>
      <c r="R150" s="41"/>
      <c r="U150" s="41"/>
      <c r="X150" s="41"/>
      <c r="Y150" s="41"/>
    </row>
    <row r="151" spans="15:25" x14ac:dyDescent="0.2">
      <c r="O151" s="41"/>
      <c r="R151" s="41"/>
      <c r="U151" s="41"/>
      <c r="X151" s="41"/>
      <c r="Y151" s="41"/>
    </row>
    <row r="152" spans="15:25" x14ac:dyDescent="0.2">
      <c r="O152" s="41"/>
      <c r="R152" s="41"/>
      <c r="U152" s="41"/>
      <c r="X152" s="41"/>
      <c r="Y152" s="41"/>
    </row>
    <row r="153" spans="15:25" x14ac:dyDescent="0.2">
      <c r="O153" s="41"/>
      <c r="R153" s="41"/>
      <c r="U153" s="41"/>
      <c r="X153" s="41"/>
      <c r="Y153" s="41"/>
    </row>
    <row r="154" spans="15:25" x14ac:dyDescent="0.2">
      <c r="O154" s="41"/>
      <c r="R154" s="41"/>
      <c r="U154" s="41"/>
      <c r="X154" s="41"/>
      <c r="Y154" s="41"/>
    </row>
    <row r="155" spans="15:25" x14ac:dyDescent="0.2">
      <c r="O155" s="41"/>
      <c r="R155" s="41"/>
      <c r="U155" s="41"/>
      <c r="X155" s="41"/>
      <c r="Y155" s="41"/>
    </row>
    <row r="156" spans="15:25" x14ac:dyDescent="0.2">
      <c r="O156" s="41"/>
      <c r="R156" s="41"/>
      <c r="U156" s="41"/>
      <c r="X156" s="41"/>
      <c r="Y156" s="41"/>
    </row>
    <row r="157" spans="15:25" x14ac:dyDescent="0.2">
      <c r="O157" s="41"/>
      <c r="R157" s="41"/>
      <c r="U157" s="41"/>
      <c r="X157" s="41"/>
      <c r="Y157" s="41"/>
    </row>
    <row r="158" spans="15:25" x14ac:dyDescent="0.2">
      <c r="O158" s="41"/>
      <c r="R158" s="41"/>
      <c r="U158" s="41"/>
      <c r="X158" s="41"/>
      <c r="Y158" s="41"/>
    </row>
    <row r="159" spans="15:25" x14ac:dyDescent="0.2">
      <c r="O159" s="41"/>
      <c r="R159" s="41"/>
      <c r="U159" s="41"/>
      <c r="X159" s="41"/>
      <c r="Y159" s="41"/>
    </row>
    <row r="160" spans="15:25" x14ac:dyDescent="0.2">
      <c r="O160" s="41"/>
      <c r="R160" s="41"/>
      <c r="U160" s="41"/>
      <c r="X160" s="41"/>
      <c r="Y160" s="41"/>
    </row>
    <row r="161" spans="15:25" x14ac:dyDescent="0.2">
      <c r="O161" s="41"/>
      <c r="R161" s="41"/>
      <c r="U161" s="41"/>
      <c r="X161" s="41"/>
      <c r="Y161" s="41"/>
    </row>
    <row r="162" spans="15:25" x14ac:dyDescent="0.2">
      <c r="O162" s="41"/>
      <c r="R162" s="41"/>
      <c r="U162" s="41"/>
      <c r="X162" s="41"/>
      <c r="Y162" s="41"/>
    </row>
    <row r="163" spans="15:25" x14ac:dyDescent="0.2">
      <c r="O163" s="41"/>
      <c r="R163" s="41"/>
      <c r="U163" s="41"/>
      <c r="X163" s="41"/>
      <c r="Y163" s="41"/>
    </row>
    <row r="164" spans="15:25" x14ac:dyDescent="0.2">
      <c r="O164" s="41"/>
      <c r="R164" s="41"/>
      <c r="U164" s="41"/>
      <c r="X164" s="41"/>
      <c r="Y164" s="41"/>
    </row>
    <row r="165" spans="15:25" x14ac:dyDescent="0.2">
      <c r="O165" s="41"/>
      <c r="R165" s="41"/>
      <c r="U165" s="41"/>
      <c r="X165" s="41"/>
      <c r="Y165" s="41"/>
    </row>
    <row r="166" spans="15:25" x14ac:dyDescent="0.2">
      <c r="O166" s="41"/>
      <c r="R166" s="41"/>
      <c r="U166" s="41"/>
      <c r="X166" s="41"/>
      <c r="Y166" s="41"/>
    </row>
    <row r="167" spans="15:25" x14ac:dyDescent="0.2">
      <c r="O167" s="41"/>
      <c r="R167" s="41"/>
      <c r="U167" s="41"/>
      <c r="X167" s="41"/>
      <c r="Y167" s="41"/>
    </row>
    <row r="168" spans="15:25" x14ac:dyDescent="0.2">
      <c r="O168" s="41"/>
      <c r="R168" s="41"/>
      <c r="U168" s="41"/>
      <c r="X168" s="41"/>
      <c r="Y168" s="41"/>
    </row>
    <row r="169" spans="15:25" x14ac:dyDescent="0.2">
      <c r="O169" s="41"/>
      <c r="R169" s="41"/>
      <c r="U169" s="41"/>
      <c r="X169" s="41"/>
      <c r="Y169" s="41"/>
    </row>
    <row r="170" spans="15:25" x14ac:dyDescent="0.2">
      <c r="O170" s="41"/>
      <c r="R170" s="41"/>
      <c r="U170" s="41"/>
      <c r="X170" s="41"/>
      <c r="Y170" s="41"/>
    </row>
    <row r="171" spans="15:25" x14ac:dyDescent="0.2">
      <c r="O171" s="41"/>
      <c r="R171" s="41"/>
      <c r="U171" s="41"/>
      <c r="X171" s="41"/>
      <c r="Y171" s="41"/>
    </row>
    <row r="172" spans="15:25" x14ac:dyDescent="0.2">
      <c r="O172" s="41"/>
      <c r="R172" s="41"/>
      <c r="U172" s="41"/>
      <c r="X172" s="41"/>
      <c r="Y172" s="41"/>
    </row>
    <row r="173" spans="15:25" x14ac:dyDescent="0.2">
      <c r="O173" s="41"/>
      <c r="R173" s="41"/>
      <c r="U173" s="41"/>
      <c r="X173" s="41"/>
      <c r="Y173" s="41"/>
    </row>
    <row r="174" spans="15:25" x14ac:dyDescent="0.2">
      <c r="O174" s="41"/>
      <c r="R174" s="41"/>
      <c r="U174" s="41"/>
      <c r="X174" s="41"/>
      <c r="Y174" s="41"/>
    </row>
    <row r="175" spans="15:25" x14ac:dyDescent="0.2">
      <c r="O175" s="41"/>
      <c r="R175" s="41"/>
      <c r="U175" s="41"/>
      <c r="X175" s="41"/>
      <c r="Y175" s="41"/>
    </row>
    <row r="176" spans="15:25" x14ac:dyDescent="0.2">
      <c r="O176" s="41"/>
      <c r="R176" s="41"/>
      <c r="U176" s="41"/>
      <c r="X176" s="41"/>
      <c r="Y176" s="41"/>
    </row>
    <row r="177" spans="15:25" x14ac:dyDescent="0.2">
      <c r="O177" s="41"/>
      <c r="R177" s="41"/>
      <c r="U177" s="41"/>
      <c r="X177" s="41"/>
      <c r="Y177" s="41"/>
    </row>
    <row r="178" spans="15:25" x14ac:dyDescent="0.2">
      <c r="O178" s="41"/>
      <c r="R178" s="41"/>
      <c r="U178" s="41"/>
      <c r="X178" s="41"/>
      <c r="Y178" s="41"/>
    </row>
    <row r="179" spans="15:25" x14ac:dyDescent="0.2">
      <c r="O179" s="41"/>
      <c r="R179" s="41"/>
      <c r="U179" s="41"/>
      <c r="X179" s="41"/>
      <c r="Y179" s="41"/>
    </row>
    <row r="180" spans="15:25" x14ac:dyDescent="0.2">
      <c r="O180" s="41"/>
      <c r="R180" s="41"/>
      <c r="U180" s="41"/>
      <c r="X180" s="41"/>
      <c r="Y180" s="41"/>
    </row>
    <row r="181" spans="15:25" x14ac:dyDescent="0.2">
      <c r="O181" s="41"/>
      <c r="R181" s="41"/>
      <c r="U181" s="41"/>
      <c r="X181" s="41"/>
      <c r="Y181" s="41"/>
    </row>
    <row r="182" spans="15:25" x14ac:dyDescent="0.2">
      <c r="O182" s="41"/>
      <c r="R182" s="41"/>
      <c r="U182" s="41"/>
      <c r="X182" s="41"/>
      <c r="Y182" s="41"/>
    </row>
    <row r="183" spans="15:25" x14ac:dyDescent="0.2">
      <c r="O183" s="41"/>
      <c r="R183" s="41"/>
      <c r="U183" s="41"/>
      <c r="X183" s="41"/>
      <c r="Y183" s="41"/>
    </row>
    <row r="184" spans="15:25" x14ac:dyDescent="0.2">
      <c r="O184" s="41"/>
      <c r="R184" s="41"/>
      <c r="U184" s="41"/>
      <c r="X184" s="41"/>
      <c r="Y184" s="41"/>
    </row>
    <row r="185" spans="15:25" x14ac:dyDescent="0.2">
      <c r="O185" s="41"/>
      <c r="R185" s="41"/>
      <c r="U185" s="41"/>
      <c r="X185" s="41"/>
      <c r="Y185" s="41"/>
    </row>
    <row r="186" spans="15:25" x14ac:dyDescent="0.2">
      <c r="O186" s="41"/>
      <c r="R186" s="41"/>
      <c r="U186" s="41"/>
      <c r="X186" s="41"/>
      <c r="Y186" s="41"/>
    </row>
    <row r="187" spans="15:25" x14ac:dyDescent="0.2">
      <c r="O187" s="41"/>
      <c r="R187" s="41"/>
      <c r="U187" s="41"/>
      <c r="X187" s="41"/>
      <c r="Y187" s="41"/>
    </row>
    <row r="188" spans="15:25" x14ac:dyDescent="0.2">
      <c r="O188" s="41"/>
      <c r="R188" s="41"/>
      <c r="U188" s="41"/>
      <c r="X188" s="41"/>
      <c r="Y188" s="41"/>
    </row>
    <row r="189" spans="15:25" x14ac:dyDescent="0.2">
      <c r="O189" s="41"/>
      <c r="R189" s="41"/>
      <c r="U189" s="41"/>
      <c r="X189" s="41"/>
      <c r="Y189" s="41"/>
    </row>
    <row r="190" spans="15:25" x14ac:dyDescent="0.2">
      <c r="O190" s="41"/>
      <c r="R190" s="41"/>
      <c r="U190" s="41"/>
      <c r="X190" s="41"/>
      <c r="Y190" s="41"/>
    </row>
    <row r="191" spans="15:25" x14ac:dyDescent="0.2">
      <c r="O191" s="41"/>
      <c r="R191" s="41"/>
      <c r="U191" s="41"/>
      <c r="X191" s="41"/>
      <c r="Y191" s="41"/>
    </row>
    <row r="192" spans="15:25" x14ac:dyDescent="0.2">
      <c r="O192" s="41"/>
      <c r="R192" s="41"/>
      <c r="U192" s="41"/>
      <c r="X192" s="41"/>
      <c r="Y192" s="41"/>
    </row>
    <row r="193" spans="15:25" x14ac:dyDescent="0.2">
      <c r="O193" s="41"/>
      <c r="R193" s="41"/>
      <c r="U193" s="41"/>
      <c r="X193" s="41"/>
      <c r="Y193" s="41"/>
    </row>
    <row r="194" spans="15:25" x14ac:dyDescent="0.2">
      <c r="O194" s="41"/>
      <c r="R194" s="41"/>
      <c r="U194" s="41"/>
      <c r="X194" s="41"/>
      <c r="Y194" s="41"/>
    </row>
    <row r="195" spans="15:25" x14ac:dyDescent="0.2">
      <c r="O195" s="41"/>
      <c r="R195" s="41"/>
      <c r="U195" s="41"/>
      <c r="X195" s="41"/>
      <c r="Y195" s="41"/>
    </row>
    <row r="196" spans="15:25" x14ac:dyDescent="0.2">
      <c r="O196" s="41"/>
      <c r="R196" s="41"/>
      <c r="U196" s="41"/>
      <c r="X196" s="41"/>
      <c r="Y196" s="41"/>
    </row>
    <row r="197" spans="15:25" x14ac:dyDescent="0.2">
      <c r="O197" s="41"/>
      <c r="R197" s="41"/>
      <c r="U197" s="41"/>
      <c r="X197" s="41"/>
      <c r="Y197" s="41"/>
    </row>
    <row r="198" spans="15:25" x14ac:dyDescent="0.2">
      <c r="O198" s="41"/>
      <c r="R198" s="41"/>
      <c r="U198" s="41"/>
      <c r="X198" s="41"/>
      <c r="Y198" s="41"/>
    </row>
    <row r="199" spans="15:25" x14ac:dyDescent="0.2">
      <c r="O199" s="41"/>
      <c r="R199" s="41"/>
      <c r="U199" s="41"/>
      <c r="X199" s="41"/>
      <c r="Y199" s="41"/>
    </row>
    <row r="200" spans="15:25" x14ac:dyDescent="0.2">
      <c r="O200" s="41"/>
      <c r="R200" s="41"/>
      <c r="U200" s="41"/>
      <c r="X200" s="41"/>
      <c r="Y200" s="41"/>
    </row>
    <row r="201" spans="15:25" x14ac:dyDescent="0.2">
      <c r="O201" s="41"/>
      <c r="R201" s="41"/>
      <c r="U201" s="41"/>
      <c r="X201" s="41"/>
      <c r="Y201" s="41"/>
    </row>
    <row r="202" spans="15:25" x14ac:dyDescent="0.2">
      <c r="O202" s="41"/>
      <c r="R202" s="41"/>
      <c r="U202" s="41"/>
      <c r="X202" s="41"/>
      <c r="Y202" s="41"/>
    </row>
    <row r="203" spans="15:25" x14ac:dyDescent="0.2">
      <c r="O203" s="41"/>
      <c r="R203" s="41"/>
      <c r="U203" s="41"/>
      <c r="X203" s="41"/>
      <c r="Y203" s="41"/>
    </row>
    <row r="204" spans="15:25" x14ac:dyDescent="0.2">
      <c r="O204" s="41"/>
      <c r="R204" s="41"/>
      <c r="U204" s="41"/>
      <c r="X204" s="41"/>
      <c r="Y204" s="41"/>
    </row>
    <row r="205" spans="15:25" x14ac:dyDescent="0.2">
      <c r="O205" s="41"/>
      <c r="R205" s="41"/>
      <c r="U205" s="41"/>
      <c r="X205" s="41"/>
      <c r="Y205" s="41"/>
    </row>
    <row r="206" spans="15:25" x14ac:dyDescent="0.2">
      <c r="O206" s="41"/>
      <c r="R206" s="41"/>
      <c r="U206" s="41"/>
      <c r="X206" s="41"/>
      <c r="Y206" s="41"/>
    </row>
    <row r="207" spans="15:25" x14ac:dyDescent="0.2">
      <c r="O207" s="41"/>
      <c r="R207" s="41"/>
      <c r="U207" s="41"/>
      <c r="X207" s="41"/>
      <c r="Y207" s="41"/>
    </row>
    <row r="208" spans="15:25" x14ac:dyDescent="0.2">
      <c r="O208" s="41"/>
      <c r="R208" s="41"/>
      <c r="U208" s="41"/>
      <c r="X208" s="41"/>
      <c r="Y208" s="41"/>
    </row>
    <row r="209" spans="15:25" x14ac:dyDescent="0.2">
      <c r="O209" s="41"/>
      <c r="R209" s="41"/>
      <c r="U209" s="41"/>
      <c r="X209" s="41"/>
      <c r="Y209" s="41"/>
    </row>
    <row r="210" spans="15:25" x14ac:dyDescent="0.2">
      <c r="O210" s="41"/>
      <c r="R210" s="41"/>
      <c r="U210" s="41"/>
      <c r="X210" s="41"/>
      <c r="Y210" s="41"/>
    </row>
    <row r="211" spans="15:25" x14ac:dyDescent="0.2">
      <c r="O211" s="41"/>
      <c r="R211" s="41"/>
      <c r="U211" s="41"/>
      <c r="X211" s="41"/>
      <c r="Y211" s="41"/>
    </row>
    <row r="212" spans="15:25" x14ac:dyDescent="0.2">
      <c r="O212" s="41"/>
      <c r="R212" s="41"/>
      <c r="U212" s="41"/>
      <c r="X212" s="41"/>
      <c r="Y212" s="41"/>
    </row>
    <row r="213" spans="15:25" x14ac:dyDescent="0.2">
      <c r="O213" s="41"/>
      <c r="R213" s="41"/>
      <c r="U213" s="41"/>
      <c r="X213" s="41"/>
      <c r="Y213" s="41"/>
    </row>
    <row r="214" spans="15:25" x14ac:dyDescent="0.2">
      <c r="O214" s="41"/>
      <c r="R214" s="41"/>
      <c r="U214" s="41"/>
      <c r="X214" s="41"/>
      <c r="Y214" s="41"/>
    </row>
    <row r="215" spans="15:25" x14ac:dyDescent="0.2">
      <c r="O215" s="41"/>
      <c r="R215" s="41"/>
      <c r="U215" s="41"/>
      <c r="X215" s="41"/>
      <c r="Y215" s="41"/>
    </row>
    <row r="216" spans="15:25" x14ac:dyDescent="0.2">
      <c r="O216" s="41"/>
      <c r="R216" s="41"/>
      <c r="U216" s="41"/>
      <c r="X216" s="41"/>
      <c r="Y216" s="41"/>
    </row>
    <row r="217" spans="15:25" x14ac:dyDescent="0.2">
      <c r="O217" s="41"/>
      <c r="R217" s="41"/>
      <c r="U217" s="41"/>
      <c r="X217" s="41"/>
      <c r="Y217" s="41"/>
    </row>
    <row r="218" spans="15:25" x14ac:dyDescent="0.2">
      <c r="O218" s="41"/>
      <c r="R218" s="41"/>
      <c r="U218" s="41"/>
      <c r="X218" s="41"/>
      <c r="Y218" s="41"/>
    </row>
    <row r="219" spans="15:25" x14ac:dyDescent="0.2">
      <c r="O219" s="41"/>
      <c r="R219" s="41"/>
      <c r="U219" s="41"/>
      <c r="X219" s="41"/>
      <c r="Y219" s="41"/>
    </row>
    <row r="220" spans="15:25" x14ac:dyDescent="0.2">
      <c r="O220" s="41"/>
      <c r="R220" s="41"/>
      <c r="U220" s="41"/>
      <c r="X220" s="41"/>
      <c r="Y220" s="41"/>
    </row>
    <row r="221" spans="15:25" x14ac:dyDescent="0.2">
      <c r="O221" s="41"/>
      <c r="R221" s="41"/>
      <c r="U221" s="41"/>
      <c r="X221" s="41"/>
      <c r="Y221" s="41"/>
    </row>
    <row r="222" spans="15:25" x14ac:dyDescent="0.2">
      <c r="O222" s="41"/>
      <c r="R222" s="41"/>
      <c r="U222" s="41"/>
      <c r="X222" s="41"/>
      <c r="Y222" s="41"/>
    </row>
    <row r="223" spans="15:25" x14ac:dyDescent="0.2">
      <c r="O223" s="41"/>
      <c r="R223" s="41"/>
      <c r="U223" s="41"/>
      <c r="X223" s="41"/>
      <c r="Y223" s="41"/>
    </row>
    <row r="224" spans="15:25" x14ac:dyDescent="0.2">
      <c r="O224" s="41"/>
      <c r="R224" s="41"/>
      <c r="U224" s="41"/>
      <c r="X224" s="41"/>
      <c r="Y224" s="41"/>
    </row>
    <row r="225" spans="15:25" x14ac:dyDescent="0.2">
      <c r="O225" s="41"/>
      <c r="R225" s="41"/>
      <c r="U225" s="41"/>
      <c r="X225" s="41"/>
      <c r="Y225" s="41"/>
    </row>
    <row r="226" spans="15:25" x14ac:dyDescent="0.2">
      <c r="O226" s="41"/>
      <c r="R226" s="41"/>
      <c r="U226" s="41"/>
      <c r="X226" s="41"/>
      <c r="Y226" s="41"/>
    </row>
    <row r="227" spans="15:25" x14ac:dyDescent="0.2">
      <c r="O227" s="41"/>
      <c r="R227" s="41"/>
      <c r="U227" s="41"/>
      <c r="X227" s="41"/>
      <c r="Y227" s="41"/>
    </row>
    <row r="228" spans="15:25" x14ac:dyDescent="0.2">
      <c r="O228" s="41"/>
      <c r="R228" s="41"/>
      <c r="U228" s="41"/>
      <c r="X228" s="41"/>
      <c r="Y228" s="41"/>
    </row>
    <row r="229" spans="15:25" x14ac:dyDescent="0.2">
      <c r="O229" s="41"/>
      <c r="R229" s="41"/>
      <c r="U229" s="41"/>
      <c r="X229" s="41"/>
      <c r="Y229" s="41"/>
    </row>
    <row r="230" spans="15:25" x14ac:dyDescent="0.2">
      <c r="O230" s="41"/>
      <c r="R230" s="41"/>
      <c r="U230" s="41"/>
      <c r="X230" s="41"/>
      <c r="Y230" s="41"/>
    </row>
    <row r="231" spans="15:25" x14ac:dyDescent="0.2">
      <c r="O231" s="41"/>
      <c r="R231" s="41"/>
      <c r="U231" s="41"/>
      <c r="X231" s="41"/>
      <c r="Y231" s="41"/>
    </row>
    <row r="232" spans="15:25" x14ac:dyDescent="0.2">
      <c r="O232" s="41"/>
      <c r="R232" s="41"/>
      <c r="U232" s="41"/>
      <c r="X232" s="41"/>
      <c r="Y232" s="41"/>
    </row>
    <row r="233" spans="15:25" x14ac:dyDescent="0.2">
      <c r="O233" s="41"/>
      <c r="R233" s="41"/>
      <c r="U233" s="41"/>
      <c r="X233" s="41"/>
      <c r="Y233" s="41"/>
    </row>
    <row r="234" spans="15:25" x14ac:dyDescent="0.2">
      <c r="O234" s="41"/>
      <c r="R234" s="41"/>
      <c r="U234" s="41"/>
      <c r="X234" s="41"/>
      <c r="Y234" s="41"/>
    </row>
    <row r="235" spans="15:25" x14ac:dyDescent="0.2">
      <c r="O235" s="41"/>
      <c r="R235" s="41"/>
      <c r="U235" s="41"/>
      <c r="X235" s="41"/>
      <c r="Y235" s="41"/>
    </row>
    <row r="236" spans="15:25" x14ac:dyDescent="0.2">
      <c r="O236" s="41"/>
      <c r="R236" s="41"/>
      <c r="U236" s="41"/>
      <c r="X236" s="41"/>
      <c r="Y236" s="41"/>
    </row>
    <row r="237" spans="15:25" x14ac:dyDescent="0.2">
      <c r="O237" s="41"/>
      <c r="R237" s="41"/>
      <c r="U237" s="41"/>
      <c r="X237" s="41"/>
      <c r="Y237" s="41"/>
    </row>
    <row r="238" spans="15:25" x14ac:dyDescent="0.2">
      <c r="O238" s="41"/>
      <c r="R238" s="41"/>
      <c r="U238" s="41"/>
      <c r="X238" s="41"/>
      <c r="Y238" s="41"/>
    </row>
    <row r="239" spans="15:25" x14ac:dyDescent="0.2">
      <c r="O239" s="41"/>
      <c r="R239" s="41"/>
      <c r="U239" s="41"/>
      <c r="X239" s="41"/>
      <c r="Y239" s="41"/>
    </row>
    <row r="240" spans="15:25" x14ac:dyDescent="0.2">
      <c r="O240" s="41"/>
      <c r="R240" s="41"/>
      <c r="U240" s="41"/>
      <c r="X240" s="41"/>
      <c r="Y240" s="41"/>
    </row>
    <row r="241" spans="15:25" x14ac:dyDescent="0.2">
      <c r="O241" s="41"/>
      <c r="R241" s="41"/>
      <c r="U241" s="41"/>
      <c r="X241" s="41"/>
      <c r="Y241" s="41"/>
    </row>
    <row r="242" spans="15:25" x14ac:dyDescent="0.2">
      <c r="O242" s="41"/>
      <c r="R242" s="41"/>
      <c r="U242" s="41"/>
      <c r="X242" s="41"/>
      <c r="Y242" s="41"/>
    </row>
    <row r="243" spans="15:25" x14ac:dyDescent="0.2">
      <c r="O243" s="41"/>
      <c r="R243" s="41"/>
      <c r="U243" s="41"/>
      <c r="X243" s="41"/>
      <c r="Y243" s="41"/>
    </row>
    <row r="244" spans="15:25" x14ac:dyDescent="0.2">
      <c r="O244" s="41"/>
      <c r="R244" s="41"/>
      <c r="U244" s="41"/>
      <c r="X244" s="41"/>
      <c r="Y244" s="41"/>
    </row>
    <row r="245" spans="15:25" x14ac:dyDescent="0.2">
      <c r="O245" s="41"/>
      <c r="R245" s="41"/>
      <c r="U245" s="41"/>
      <c r="X245" s="41"/>
      <c r="Y245" s="41"/>
    </row>
    <row r="246" spans="15:25" x14ac:dyDescent="0.2">
      <c r="O246" s="41"/>
      <c r="R246" s="41"/>
      <c r="U246" s="41"/>
      <c r="X246" s="41"/>
      <c r="Y246" s="41"/>
    </row>
    <row r="247" spans="15:25" x14ac:dyDescent="0.2">
      <c r="O247" s="41"/>
      <c r="R247" s="41"/>
      <c r="U247" s="41"/>
      <c r="X247" s="41"/>
      <c r="Y247" s="41"/>
    </row>
    <row r="248" spans="15:25" x14ac:dyDescent="0.2">
      <c r="O248" s="41"/>
      <c r="R248" s="41"/>
      <c r="U248" s="41"/>
      <c r="X248" s="41"/>
      <c r="Y248" s="41"/>
    </row>
    <row r="249" spans="15:25" x14ac:dyDescent="0.2">
      <c r="O249" s="41"/>
      <c r="R249" s="41"/>
      <c r="U249" s="41"/>
      <c r="X249" s="41"/>
      <c r="Y249" s="41"/>
    </row>
    <row r="250" spans="15:25" x14ac:dyDescent="0.2">
      <c r="O250" s="41"/>
      <c r="R250" s="41"/>
      <c r="U250" s="41"/>
      <c r="X250" s="41"/>
      <c r="Y250" s="41"/>
    </row>
    <row r="251" spans="15:25" x14ac:dyDescent="0.2">
      <c r="O251" s="41"/>
      <c r="R251" s="41"/>
      <c r="U251" s="41"/>
      <c r="X251" s="41"/>
      <c r="Y251" s="41"/>
    </row>
    <row r="252" spans="15:25" x14ac:dyDescent="0.2">
      <c r="O252" s="41"/>
      <c r="R252" s="41"/>
      <c r="U252" s="41"/>
      <c r="X252" s="41"/>
      <c r="Y252" s="41"/>
    </row>
    <row r="253" spans="15:25" x14ac:dyDescent="0.2">
      <c r="O253" s="41"/>
      <c r="R253" s="41"/>
      <c r="U253" s="41"/>
      <c r="X253" s="41"/>
      <c r="Y253" s="41"/>
    </row>
    <row r="254" spans="15:25" x14ac:dyDescent="0.2">
      <c r="O254" s="41"/>
      <c r="R254" s="41"/>
      <c r="U254" s="41"/>
      <c r="X254" s="41"/>
      <c r="Y254" s="41"/>
    </row>
    <row r="255" spans="15:25" x14ac:dyDescent="0.2">
      <c r="O255" s="41"/>
      <c r="R255" s="41"/>
      <c r="U255" s="41"/>
      <c r="X255" s="41"/>
      <c r="Y255" s="41"/>
    </row>
    <row r="256" spans="15:25" x14ac:dyDescent="0.2">
      <c r="O256" s="41"/>
      <c r="R256" s="41"/>
      <c r="U256" s="41"/>
      <c r="X256" s="41"/>
      <c r="Y256" s="41"/>
    </row>
    <row r="257" spans="15:25" x14ac:dyDescent="0.2">
      <c r="O257" s="41"/>
      <c r="R257" s="41"/>
      <c r="U257" s="41"/>
      <c r="X257" s="41"/>
      <c r="Y257" s="41"/>
    </row>
    <row r="258" spans="15:25" x14ac:dyDescent="0.2">
      <c r="O258" s="41"/>
      <c r="R258" s="41"/>
      <c r="U258" s="41"/>
      <c r="X258" s="41"/>
      <c r="Y258" s="41"/>
    </row>
    <row r="259" spans="15:25" x14ac:dyDescent="0.2">
      <c r="O259" s="41"/>
      <c r="R259" s="41"/>
      <c r="U259" s="41"/>
      <c r="X259" s="41"/>
      <c r="Y259" s="41"/>
    </row>
    <row r="260" spans="15:25" x14ac:dyDescent="0.2">
      <c r="O260" s="41"/>
      <c r="R260" s="41"/>
      <c r="U260" s="41"/>
      <c r="X260" s="41"/>
      <c r="Y260" s="41"/>
    </row>
    <row r="261" spans="15:25" x14ac:dyDescent="0.2">
      <c r="O261" s="41"/>
      <c r="R261" s="41"/>
      <c r="U261" s="41"/>
      <c r="X261" s="41"/>
      <c r="Y261" s="41"/>
    </row>
    <row r="262" spans="15:25" x14ac:dyDescent="0.2">
      <c r="O262" s="41"/>
      <c r="R262" s="41"/>
      <c r="U262" s="41"/>
      <c r="X262" s="41"/>
      <c r="Y262" s="41"/>
    </row>
    <row r="263" spans="15:25" x14ac:dyDescent="0.2">
      <c r="O263" s="41"/>
      <c r="R263" s="41"/>
      <c r="U263" s="41"/>
      <c r="X263" s="41"/>
      <c r="Y263" s="41"/>
    </row>
    <row r="264" spans="15:25" x14ac:dyDescent="0.2">
      <c r="O264" s="41"/>
      <c r="R264" s="41"/>
      <c r="U264" s="41"/>
      <c r="X264" s="41"/>
      <c r="Y264" s="41"/>
    </row>
    <row r="265" spans="15:25" x14ac:dyDescent="0.2">
      <c r="O265" s="41"/>
      <c r="R265" s="41"/>
      <c r="U265" s="41"/>
      <c r="X265" s="41"/>
      <c r="Y265" s="41"/>
    </row>
    <row r="266" spans="15:25" x14ac:dyDescent="0.2">
      <c r="O266" s="41"/>
      <c r="R266" s="41"/>
      <c r="U266" s="41"/>
      <c r="X266" s="41"/>
      <c r="Y266" s="41"/>
    </row>
    <row r="267" spans="15:25" x14ac:dyDescent="0.2">
      <c r="O267" s="41"/>
      <c r="R267" s="41"/>
      <c r="U267" s="41"/>
      <c r="X267" s="41"/>
      <c r="Y267" s="41"/>
    </row>
    <row r="268" spans="15:25" x14ac:dyDescent="0.2">
      <c r="O268" s="41"/>
      <c r="R268" s="41"/>
      <c r="U268" s="41"/>
      <c r="X268" s="41"/>
      <c r="Y268" s="41"/>
    </row>
    <row r="269" spans="15:25" x14ac:dyDescent="0.2">
      <c r="O269" s="41"/>
      <c r="R269" s="41"/>
      <c r="U269" s="41"/>
      <c r="X269" s="41"/>
      <c r="Y269" s="41"/>
    </row>
    <row r="270" spans="15:25" x14ac:dyDescent="0.2">
      <c r="O270" s="41"/>
      <c r="R270" s="41"/>
      <c r="U270" s="41"/>
      <c r="X270" s="41"/>
      <c r="Y270" s="41"/>
    </row>
    <row r="271" spans="15:25" x14ac:dyDescent="0.2">
      <c r="O271" s="41"/>
      <c r="R271" s="41"/>
      <c r="U271" s="41"/>
      <c r="X271" s="41"/>
      <c r="Y271" s="41"/>
    </row>
    <row r="272" spans="15:25" x14ac:dyDescent="0.2">
      <c r="O272" s="41"/>
      <c r="R272" s="41"/>
      <c r="U272" s="41"/>
      <c r="X272" s="41"/>
      <c r="Y272" s="41"/>
    </row>
    <row r="273" spans="15:25" x14ac:dyDescent="0.2">
      <c r="O273" s="41"/>
      <c r="R273" s="41"/>
      <c r="U273" s="41"/>
      <c r="X273" s="41"/>
      <c r="Y273" s="41"/>
    </row>
    <row r="274" spans="15:25" x14ac:dyDescent="0.2">
      <c r="O274" s="41"/>
      <c r="R274" s="41"/>
      <c r="U274" s="41"/>
      <c r="X274" s="41"/>
      <c r="Y274" s="41"/>
    </row>
    <row r="275" spans="15:25" x14ac:dyDescent="0.2">
      <c r="O275" s="41"/>
      <c r="R275" s="41"/>
      <c r="U275" s="41"/>
      <c r="X275" s="41"/>
      <c r="Y275" s="41"/>
    </row>
    <row r="276" spans="15:25" x14ac:dyDescent="0.2">
      <c r="O276" s="41"/>
      <c r="R276" s="41"/>
      <c r="U276" s="41"/>
      <c r="X276" s="41"/>
      <c r="Y276" s="41"/>
    </row>
    <row r="277" spans="15:25" x14ac:dyDescent="0.2">
      <c r="O277" s="41"/>
      <c r="R277" s="41"/>
      <c r="U277" s="41"/>
      <c r="X277" s="41"/>
      <c r="Y277" s="41"/>
    </row>
    <row r="278" spans="15:25" x14ac:dyDescent="0.2">
      <c r="O278" s="41"/>
      <c r="R278" s="41"/>
      <c r="U278" s="41"/>
      <c r="X278" s="41"/>
      <c r="Y278" s="41"/>
    </row>
    <row r="279" spans="15:25" x14ac:dyDescent="0.2">
      <c r="O279" s="41"/>
      <c r="R279" s="41"/>
      <c r="U279" s="41"/>
      <c r="X279" s="41"/>
      <c r="Y279" s="41"/>
    </row>
    <row r="280" spans="15:25" x14ac:dyDescent="0.2">
      <c r="O280" s="41"/>
      <c r="R280" s="41"/>
      <c r="U280" s="41"/>
      <c r="X280" s="41"/>
      <c r="Y280" s="41"/>
    </row>
    <row r="281" spans="15:25" x14ac:dyDescent="0.2">
      <c r="O281" s="41"/>
      <c r="R281" s="41"/>
      <c r="U281" s="41"/>
      <c r="X281" s="41"/>
      <c r="Y281" s="41"/>
    </row>
    <row r="282" spans="15:25" x14ac:dyDescent="0.2">
      <c r="O282" s="41"/>
      <c r="R282" s="41"/>
      <c r="U282" s="41"/>
      <c r="X282" s="41"/>
      <c r="Y282" s="41"/>
    </row>
    <row r="283" spans="15:25" x14ac:dyDescent="0.2">
      <c r="O283" s="41"/>
      <c r="R283" s="41"/>
      <c r="U283" s="41"/>
      <c r="X283" s="41"/>
      <c r="Y283" s="41"/>
    </row>
    <row r="284" spans="15:25" x14ac:dyDescent="0.2">
      <c r="O284" s="41"/>
      <c r="R284" s="41"/>
      <c r="U284" s="41"/>
      <c r="X284" s="41"/>
      <c r="Y284" s="41"/>
    </row>
    <row r="285" spans="15:25" x14ac:dyDescent="0.2">
      <c r="O285" s="41"/>
      <c r="R285" s="41"/>
      <c r="U285" s="41"/>
      <c r="X285" s="41"/>
      <c r="Y285" s="41"/>
    </row>
    <row r="286" spans="15:25" x14ac:dyDescent="0.2">
      <c r="O286" s="41"/>
      <c r="R286" s="41"/>
      <c r="U286" s="41"/>
      <c r="X286" s="41"/>
      <c r="Y286" s="41"/>
    </row>
    <row r="287" spans="15:25" x14ac:dyDescent="0.2">
      <c r="O287" s="41"/>
      <c r="R287" s="41"/>
      <c r="U287" s="41"/>
      <c r="X287" s="41"/>
      <c r="Y287" s="41"/>
    </row>
    <row r="288" spans="15:25" x14ac:dyDescent="0.2">
      <c r="O288" s="41"/>
      <c r="R288" s="41"/>
      <c r="U288" s="41"/>
      <c r="X288" s="41"/>
      <c r="Y288" s="41"/>
    </row>
    <row r="289" spans="15:25" x14ac:dyDescent="0.2">
      <c r="O289" s="41"/>
      <c r="R289" s="41"/>
      <c r="U289" s="41"/>
      <c r="X289" s="41"/>
      <c r="Y289" s="41"/>
    </row>
    <row r="290" spans="15:25" x14ac:dyDescent="0.2">
      <c r="O290" s="41"/>
      <c r="R290" s="41"/>
      <c r="U290" s="41"/>
      <c r="X290" s="41"/>
      <c r="Y290" s="41"/>
    </row>
    <row r="291" spans="15:25" x14ac:dyDescent="0.2">
      <c r="O291" s="41"/>
      <c r="R291" s="41"/>
      <c r="U291" s="41"/>
      <c r="X291" s="41"/>
      <c r="Y291" s="41"/>
    </row>
    <row r="292" spans="15:25" x14ac:dyDescent="0.2">
      <c r="O292" s="41"/>
      <c r="R292" s="41"/>
      <c r="U292" s="41"/>
      <c r="X292" s="41"/>
      <c r="Y292" s="41"/>
    </row>
    <row r="293" spans="15:25" x14ac:dyDescent="0.2">
      <c r="O293" s="41"/>
      <c r="R293" s="41"/>
      <c r="U293" s="41"/>
      <c r="X293" s="41"/>
      <c r="Y293" s="41"/>
    </row>
    <row r="294" spans="15:25" x14ac:dyDescent="0.2">
      <c r="O294" s="41"/>
      <c r="R294" s="41"/>
      <c r="U294" s="41"/>
      <c r="X294" s="41"/>
      <c r="Y294" s="41"/>
    </row>
    <row r="295" spans="15:25" x14ac:dyDescent="0.2">
      <c r="O295" s="41"/>
      <c r="R295" s="41"/>
      <c r="U295" s="41"/>
      <c r="X295" s="41"/>
      <c r="Y295" s="41"/>
    </row>
    <row r="296" spans="15:25" x14ac:dyDescent="0.2">
      <c r="O296" s="41"/>
      <c r="R296" s="41"/>
      <c r="U296" s="41"/>
      <c r="X296" s="41"/>
      <c r="Y296" s="41"/>
    </row>
    <row r="297" spans="15:25" x14ac:dyDescent="0.2">
      <c r="O297" s="41"/>
      <c r="R297" s="41"/>
      <c r="U297" s="41"/>
      <c r="X297" s="41"/>
      <c r="Y297" s="41"/>
    </row>
    <row r="298" spans="15:25" x14ac:dyDescent="0.2">
      <c r="O298" s="41"/>
      <c r="R298" s="41"/>
      <c r="U298" s="41"/>
      <c r="X298" s="41"/>
      <c r="Y298" s="41"/>
    </row>
    <row r="299" spans="15:25" x14ac:dyDescent="0.2">
      <c r="O299" s="41"/>
      <c r="R299" s="41"/>
      <c r="U299" s="41"/>
      <c r="X299" s="41"/>
      <c r="Y299" s="41"/>
    </row>
    <row r="300" spans="15:25" x14ac:dyDescent="0.2">
      <c r="O300" s="41"/>
      <c r="R300" s="41"/>
      <c r="U300" s="41"/>
      <c r="X300" s="41"/>
      <c r="Y300" s="41"/>
    </row>
    <row r="301" spans="15:25" x14ac:dyDescent="0.2">
      <c r="O301" s="41"/>
      <c r="R301" s="41"/>
      <c r="U301" s="41"/>
      <c r="X301" s="41"/>
      <c r="Y301" s="41"/>
    </row>
    <row r="302" spans="15:25" x14ac:dyDescent="0.2">
      <c r="O302" s="41"/>
      <c r="R302" s="41"/>
      <c r="U302" s="41"/>
      <c r="X302" s="41"/>
      <c r="Y302" s="41"/>
    </row>
    <row r="303" spans="15:25" x14ac:dyDescent="0.2">
      <c r="O303" s="41"/>
      <c r="R303" s="41"/>
      <c r="U303" s="41"/>
      <c r="X303" s="41"/>
      <c r="Y303" s="41"/>
    </row>
    <row r="304" spans="15:25" x14ac:dyDescent="0.2">
      <c r="O304" s="41"/>
      <c r="R304" s="41"/>
      <c r="U304" s="41"/>
      <c r="X304" s="41"/>
      <c r="Y304" s="41"/>
    </row>
    <row r="305" spans="15:25" x14ac:dyDescent="0.2">
      <c r="O305" s="41"/>
      <c r="R305" s="41"/>
      <c r="U305" s="41"/>
      <c r="X305" s="41"/>
      <c r="Y305" s="41"/>
    </row>
    <row r="306" spans="15:25" x14ac:dyDescent="0.2">
      <c r="O306" s="41"/>
      <c r="R306" s="41"/>
      <c r="U306" s="41"/>
      <c r="X306" s="41"/>
      <c r="Y306" s="41"/>
    </row>
    <row r="307" spans="15:25" x14ac:dyDescent="0.2">
      <c r="O307" s="41"/>
      <c r="R307" s="41"/>
      <c r="U307" s="41"/>
      <c r="X307" s="41"/>
      <c r="Y307" s="41"/>
    </row>
    <row r="308" spans="15:25" x14ac:dyDescent="0.2">
      <c r="O308" s="41"/>
      <c r="R308" s="41"/>
      <c r="U308" s="41"/>
      <c r="X308" s="41"/>
      <c r="Y308" s="41"/>
    </row>
    <row r="309" spans="15:25" x14ac:dyDescent="0.2">
      <c r="O309" s="41"/>
      <c r="R309" s="41"/>
      <c r="U309" s="41"/>
      <c r="X309" s="41"/>
      <c r="Y309" s="41"/>
    </row>
    <row r="310" spans="15:25" x14ac:dyDescent="0.2">
      <c r="O310" s="41"/>
      <c r="R310" s="41"/>
      <c r="U310" s="41"/>
      <c r="X310" s="41"/>
      <c r="Y310" s="41"/>
    </row>
    <row r="311" spans="15:25" x14ac:dyDescent="0.2">
      <c r="O311" s="41"/>
      <c r="R311" s="41"/>
      <c r="U311" s="41"/>
      <c r="X311" s="41"/>
      <c r="Y311" s="41"/>
    </row>
    <row r="312" spans="15:25" x14ac:dyDescent="0.2">
      <c r="O312" s="41"/>
      <c r="R312" s="41"/>
      <c r="U312" s="41"/>
      <c r="X312" s="41"/>
      <c r="Y312" s="41"/>
    </row>
    <row r="313" spans="15:25" x14ac:dyDescent="0.2">
      <c r="O313" s="41"/>
      <c r="R313" s="41"/>
      <c r="U313" s="41"/>
      <c r="X313" s="41"/>
      <c r="Y313" s="41"/>
    </row>
    <row r="314" spans="15:25" x14ac:dyDescent="0.2">
      <c r="O314" s="41"/>
      <c r="R314" s="41"/>
      <c r="U314" s="41"/>
      <c r="X314" s="41"/>
      <c r="Y314" s="41"/>
    </row>
    <row r="315" spans="15:25" x14ac:dyDescent="0.2">
      <c r="O315" s="41"/>
      <c r="R315" s="41"/>
      <c r="U315" s="41"/>
      <c r="X315" s="41"/>
      <c r="Y315" s="41"/>
    </row>
    <row r="316" spans="15:25" x14ac:dyDescent="0.2">
      <c r="O316" s="41"/>
      <c r="R316" s="41"/>
      <c r="U316" s="41"/>
      <c r="X316" s="41"/>
      <c r="Y316" s="41"/>
    </row>
    <row r="317" spans="15:25" x14ac:dyDescent="0.2">
      <c r="O317" s="41"/>
      <c r="R317" s="41"/>
      <c r="U317" s="41"/>
      <c r="X317" s="41"/>
      <c r="Y317" s="41"/>
    </row>
    <row r="318" spans="15:25" x14ac:dyDescent="0.2">
      <c r="O318" s="41"/>
      <c r="R318" s="41"/>
      <c r="U318" s="41"/>
      <c r="X318" s="41"/>
      <c r="Y318" s="41"/>
    </row>
    <row r="319" spans="15:25" x14ac:dyDescent="0.2">
      <c r="O319" s="41"/>
      <c r="R319" s="41"/>
      <c r="U319" s="41"/>
      <c r="X319" s="41"/>
      <c r="Y319" s="41"/>
    </row>
    <row r="320" spans="15:25" x14ac:dyDescent="0.2">
      <c r="O320" s="41"/>
      <c r="R320" s="41"/>
      <c r="U320" s="41"/>
      <c r="X320" s="41"/>
      <c r="Y320" s="41"/>
    </row>
    <row r="321" spans="15:25" x14ac:dyDescent="0.2">
      <c r="O321" s="41"/>
      <c r="R321" s="41"/>
      <c r="U321" s="41"/>
      <c r="X321" s="41"/>
      <c r="Y321" s="41"/>
    </row>
    <row r="322" spans="15:25" x14ac:dyDescent="0.2">
      <c r="O322" s="41"/>
      <c r="R322" s="41"/>
      <c r="U322" s="41"/>
      <c r="X322" s="41"/>
      <c r="Y322" s="41"/>
    </row>
    <row r="323" spans="15:25" x14ac:dyDescent="0.2">
      <c r="O323" s="41"/>
      <c r="R323" s="41"/>
      <c r="U323" s="41"/>
      <c r="X323" s="41"/>
      <c r="Y323" s="41"/>
    </row>
    <row r="324" spans="15:25" x14ac:dyDescent="0.2">
      <c r="O324" s="41"/>
      <c r="R324" s="41"/>
      <c r="U324" s="41"/>
      <c r="X324" s="41"/>
      <c r="Y324" s="41"/>
    </row>
    <row r="325" spans="15:25" x14ac:dyDescent="0.2">
      <c r="O325" s="41"/>
      <c r="R325" s="41"/>
      <c r="U325" s="41"/>
      <c r="X325" s="41"/>
      <c r="Y325" s="41"/>
    </row>
    <row r="326" spans="15:25" x14ac:dyDescent="0.2">
      <c r="O326" s="41"/>
      <c r="R326" s="41"/>
      <c r="U326" s="41"/>
      <c r="X326" s="41"/>
      <c r="Y326" s="41"/>
    </row>
    <row r="327" spans="15:25" x14ac:dyDescent="0.2">
      <c r="O327" s="41"/>
      <c r="R327" s="41"/>
      <c r="U327" s="41"/>
      <c r="X327" s="41"/>
      <c r="Y327" s="41"/>
    </row>
    <row r="328" spans="15:25" x14ac:dyDescent="0.2">
      <c r="O328" s="41"/>
      <c r="R328" s="41"/>
      <c r="U328" s="41"/>
      <c r="X328" s="41"/>
      <c r="Y328" s="41"/>
    </row>
    <row r="329" spans="15:25" x14ac:dyDescent="0.2">
      <c r="O329" s="41"/>
      <c r="R329" s="41"/>
      <c r="U329" s="41"/>
      <c r="X329" s="41"/>
      <c r="Y329" s="41"/>
    </row>
    <row r="330" spans="15:25" x14ac:dyDescent="0.2">
      <c r="O330" s="41"/>
      <c r="R330" s="41"/>
      <c r="U330" s="41"/>
      <c r="X330" s="41"/>
      <c r="Y330" s="41"/>
    </row>
    <row r="331" spans="15:25" x14ac:dyDescent="0.2">
      <c r="O331" s="41"/>
      <c r="R331" s="41"/>
      <c r="U331" s="41"/>
      <c r="X331" s="41"/>
      <c r="Y331" s="41"/>
    </row>
    <row r="332" spans="15:25" x14ac:dyDescent="0.2">
      <c r="O332" s="41"/>
      <c r="R332" s="41"/>
      <c r="U332" s="41"/>
      <c r="X332" s="41"/>
      <c r="Y332" s="41"/>
    </row>
    <row r="333" spans="15:25" x14ac:dyDescent="0.2">
      <c r="O333" s="41"/>
      <c r="R333" s="41"/>
      <c r="U333" s="41"/>
      <c r="X333" s="41"/>
      <c r="Y333" s="41"/>
    </row>
    <row r="334" spans="15:25" x14ac:dyDescent="0.2">
      <c r="O334" s="41"/>
      <c r="R334" s="41"/>
      <c r="U334" s="41"/>
      <c r="X334" s="41"/>
      <c r="Y334" s="41"/>
    </row>
    <row r="335" spans="15:25" x14ac:dyDescent="0.2">
      <c r="O335" s="41"/>
      <c r="R335" s="41"/>
      <c r="U335" s="41"/>
      <c r="X335" s="41"/>
      <c r="Y335" s="41"/>
    </row>
    <row r="336" spans="15:25" x14ac:dyDescent="0.2">
      <c r="O336" s="41"/>
      <c r="R336" s="41"/>
      <c r="U336" s="41"/>
      <c r="X336" s="41"/>
      <c r="Y336" s="41"/>
    </row>
    <row r="337" spans="15:25" x14ac:dyDescent="0.2">
      <c r="O337" s="41"/>
      <c r="R337" s="41"/>
      <c r="U337" s="41"/>
      <c r="X337" s="41"/>
      <c r="Y337" s="41"/>
    </row>
    <row r="338" spans="15:25" x14ac:dyDescent="0.2">
      <c r="O338" s="41"/>
      <c r="R338" s="41"/>
      <c r="U338" s="41"/>
      <c r="X338" s="41"/>
      <c r="Y338" s="41"/>
    </row>
    <row r="339" spans="15:25" x14ac:dyDescent="0.2">
      <c r="O339" s="41"/>
      <c r="R339" s="41"/>
      <c r="U339" s="41"/>
      <c r="X339" s="41"/>
      <c r="Y339" s="41"/>
    </row>
    <row r="340" spans="15:25" x14ac:dyDescent="0.2">
      <c r="O340" s="41"/>
      <c r="R340" s="41"/>
      <c r="U340" s="41"/>
      <c r="X340" s="41"/>
      <c r="Y340" s="41"/>
    </row>
    <row r="341" spans="15:25" x14ac:dyDescent="0.2">
      <c r="O341" s="41"/>
      <c r="R341" s="41"/>
      <c r="U341" s="41"/>
      <c r="X341" s="41"/>
      <c r="Y341" s="41"/>
    </row>
    <row r="342" spans="15:25" x14ac:dyDescent="0.2">
      <c r="O342" s="41"/>
      <c r="R342" s="41"/>
      <c r="U342" s="41"/>
      <c r="X342" s="41"/>
      <c r="Y342" s="41"/>
    </row>
    <row r="343" spans="15:25" x14ac:dyDescent="0.2">
      <c r="O343" s="41"/>
      <c r="R343" s="41"/>
      <c r="U343" s="41"/>
      <c r="X343" s="41"/>
      <c r="Y343" s="41"/>
    </row>
    <row r="344" spans="15:25" x14ac:dyDescent="0.2">
      <c r="O344" s="41"/>
      <c r="R344" s="41"/>
      <c r="U344" s="41"/>
      <c r="X344" s="41"/>
      <c r="Y344" s="41"/>
    </row>
    <row r="345" spans="15:25" x14ac:dyDescent="0.2">
      <c r="O345" s="41"/>
      <c r="R345" s="41"/>
      <c r="U345" s="41"/>
      <c r="X345" s="41"/>
      <c r="Y345" s="41"/>
    </row>
    <row r="346" spans="15:25" x14ac:dyDescent="0.2">
      <c r="O346" s="41"/>
      <c r="R346" s="41"/>
      <c r="U346" s="41"/>
      <c r="X346" s="41"/>
      <c r="Y346" s="41"/>
    </row>
    <row r="347" spans="15:25" x14ac:dyDescent="0.2">
      <c r="O347" s="41"/>
      <c r="R347" s="41"/>
      <c r="U347" s="41"/>
      <c r="X347" s="41"/>
      <c r="Y347" s="41"/>
    </row>
    <row r="348" spans="15:25" x14ac:dyDescent="0.2">
      <c r="O348" s="41"/>
      <c r="R348" s="41"/>
      <c r="U348" s="41"/>
      <c r="X348" s="41"/>
      <c r="Y348" s="41"/>
    </row>
    <row r="349" spans="15:25" x14ac:dyDescent="0.2">
      <c r="O349" s="41"/>
      <c r="R349" s="41"/>
      <c r="U349" s="41"/>
      <c r="X349" s="41"/>
      <c r="Y349" s="41"/>
    </row>
    <row r="350" spans="15:25" x14ac:dyDescent="0.2">
      <c r="O350" s="41"/>
      <c r="R350" s="41"/>
      <c r="U350" s="41"/>
      <c r="X350" s="41"/>
      <c r="Y350" s="41"/>
    </row>
    <row r="351" spans="15:25" x14ac:dyDescent="0.2">
      <c r="O351" s="41"/>
      <c r="R351" s="41"/>
      <c r="U351" s="41"/>
      <c r="X351" s="41"/>
      <c r="Y351" s="41"/>
    </row>
    <row r="352" spans="15:25" x14ac:dyDescent="0.2">
      <c r="O352" s="41"/>
      <c r="R352" s="41"/>
      <c r="U352" s="41"/>
      <c r="X352" s="41"/>
      <c r="Y352" s="41"/>
    </row>
    <row r="353" spans="15:25" x14ac:dyDescent="0.2">
      <c r="O353" s="41"/>
      <c r="R353" s="41"/>
      <c r="U353" s="41"/>
      <c r="X353" s="41"/>
      <c r="Y353" s="41"/>
    </row>
    <row r="354" spans="15:25" x14ac:dyDescent="0.2">
      <c r="O354" s="41"/>
      <c r="R354" s="41"/>
      <c r="U354" s="41"/>
      <c r="X354" s="41"/>
      <c r="Y354" s="41"/>
    </row>
    <row r="355" spans="15:25" x14ac:dyDescent="0.2">
      <c r="O355" s="41"/>
      <c r="R355" s="41"/>
      <c r="U355" s="41"/>
      <c r="X355" s="41"/>
      <c r="Y355" s="41"/>
    </row>
    <row r="356" spans="15:25" x14ac:dyDescent="0.2">
      <c r="O356" s="41"/>
      <c r="R356" s="41"/>
      <c r="U356" s="41"/>
      <c r="X356" s="41"/>
      <c r="Y356" s="41"/>
    </row>
    <row r="357" spans="15:25" x14ac:dyDescent="0.2">
      <c r="O357" s="41"/>
      <c r="R357" s="41"/>
      <c r="U357" s="41"/>
      <c r="X357" s="41"/>
      <c r="Y357" s="41"/>
    </row>
    <row r="358" spans="15:25" x14ac:dyDescent="0.2">
      <c r="O358" s="41"/>
      <c r="R358" s="41"/>
      <c r="U358" s="41"/>
      <c r="X358" s="41"/>
      <c r="Y358" s="41"/>
    </row>
    <row r="359" spans="15:25" x14ac:dyDescent="0.2">
      <c r="O359" s="41"/>
      <c r="R359" s="41"/>
      <c r="U359" s="41"/>
      <c r="X359" s="41"/>
      <c r="Y359" s="41"/>
    </row>
    <row r="360" spans="15:25" x14ac:dyDescent="0.2">
      <c r="O360" s="41"/>
      <c r="R360" s="41"/>
      <c r="U360" s="41"/>
      <c r="X360" s="41"/>
      <c r="Y360" s="41"/>
    </row>
    <row r="361" spans="15:25" x14ac:dyDescent="0.2">
      <c r="O361" s="41"/>
      <c r="R361" s="41"/>
      <c r="U361" s="41"/>
      <c r="X361" s="41"/>
      <c r="Y361" s="41"/>
    </row>
    <row r="362" spans="15:25" x14ac:dyDescent="0.2">
      <c r="O362" s="41"/>
      <c r="R362" s="41"/>
      <c r="U362" s="41"/>
      <c r="X362" s="41"/>
      <c r="Y362" s="41"/>
    </row>
    <row r="363" spans="15:25" x14ac:dyDescent="0.2">
      <c r="O363" s="41"/>
      <c r="R363" s="41"/>
      <c r="U363" s="41"/>
      <c r="X363" s="41"/>
      <c r="Y363" s="41"/>
    </row>
    <row r="364" spans="15:25" x14ac:dyDescent="0.2">
      <c r="O364" s="41"/>
      <c r="R364" s="41"/>
      <c r="U364" s="41"/>
      <c r="X364" s="41"/>
      <c r="Y364" s="41"/>
    </row>
    <row r="365" spans="15:25" x14ac:dyDescent="0.2">
      <c r="O365" s="41"/>
      <c r="R365" s="41"/>
      <c r="U365" s="41"/>
      <c r="X365" s="41"/>
      <c r="Y365" s="41"/>
    </row>
    <row r="366" spans="15:25" x14ac:dyDescent="0.2">
      <c r="O366" s="41"/>
      <c r="R366" s="41"/>
      <c r="U366" s="41"/>
      <c r="X366" s="41"/>
      <c r="Y366" s="41"/>
    </row>
    <row r="367" spans="15:25" x14ac:dyDescent="0.2">
      <c r="O367" s="41"/>
      <c r="R367" s="41"/>
      <c r="U367" s="41"/>
      <c r="X367" s="41"/>
      <c r="Y367" s="41"/>
    </row>
    <row r="368" spans="15:25" x14ac:dyDescent="0.2">
      <c r="O368" s="41"/>
      <c r="R368" s="41"/>
      <c r="U368" s="41"/>
      <c r="X368" s="41"/>
      <c r="Y368" s="41"/>
    </row>
    <row r="369" spans="15:25" x14ac:dyDescent="0.2">
      <c r="O369" s="41"/>
      <c r="R369" s="41"/>
      <c r="U369" s="41"/>
      <c r="X369" s="41"/>
      <c r="Y369" s="41"/>
    </row>
    <row r="370" spans="15:25" x14ac:dyDescent="0.2">
      <c r="O370" s="41"/>
      <c r="R370" s="41"/>
      <c r="U370" s="41"/>
      <c r="X370" s="41"/>
      <c r="Y370" s="41"/>
    </row>
    <row r="371" spans="15:25" x14ac:dyDescent="0.2">
      <c r="O371" s="41"/>
      <c r="R371" s="41"/>
      <c r="U371" s="41"/>
      <c r="X371" s="41"/>
      <c r="Y371" s="41"/>
    </row>
    <row r="372" spans="15:25" x14ac:dyDescent="0.2">
      <c r="O372" s="41"/>
      <c r="R372" s="41"/>
      <c r="U372" s="41"/>
      <c r="X372" s="41"/>
      <c r="Y372" s="41"/>
    </row>
    <row r="373" spans="15:25" x14ac:dyDescent="0.2">
      <c r="O373" s="41"/>
      <c r="R373" s="41"/>
      <c r="U373" s="41"/>
      <c r="X373" s="41"/>
      <c r="Y373" s="41"/>
    </row>
    <row r="374" spans="15:25" x14ac:dyDescent="0.2">
      <c r="O374" s="41"/>
      <c r="R374" s="41"/>
      <c r="U374" s="41"/>
      <c r="X374" s="41"/>
      <c r="Y374" s="41"/>
    </row>
    <row r="375" spans="15:25" x14ac:dyDescent="0.2">
      <c r="O375" s="41"/>
      <c r="R375" s="41"/>
      <c r="U375" s="41"/>
      <c r="X375" s="41"/>
      <c r="Y375" s="41"/>
    </row>
    <row r="376" spans="15:25" x14ac:dyDescent="0.2">
      <c r="O376" s="41"/>
      <c r="R376" s="41"/>
      <c r="U376" s="41"/>
      <c r="X376" s="41"/>
      <c r="Y376" s="41"/>
    </row>
    <row r="377" spans="15:25" x14ac:dyDescent="0.2">
      <c r="O377" s="41"/>
      <c r="R377" s="41"/>
      <c r="U377" s="41"/>
      <c r="X377" s="41"/>
      <c r="Y377" s="41"/>
    </row>
    <row r="378" spans="15:25" x14ac:dyDescent="0.2">
      <c r="O378" s="41"/>
      <c r="R378" s="41"/>
      <c r="U378" s="41"/>
      <c r="X378" s="41"/>
      <c r="Y378" s="41"/>
    </row>
    <row r="379" spans="15:25" x14ac:dyDescent="0.2">
      <c r="O379" s="41"/>
      <c r="R379" s="41"/>
      <c r="U379" s="41"/>
      <c r="X379" s="41"/>
      <c r="Y379" s="41"/>
    </row>
    <row r="380" spans="15:25" x14ac:dyDescent="0.2">
      <c r="O380" s="41"/>
      <c r="R380" s="41"/>
      <c r="U380" s="41"/>
      <c r="X380" s="41"/>
      <c r="Y380" s="41"/>
    </row>
    <row r="381" spans="15:25" x14ac:dyDescent="0.2">
      <c r="O381" s="41"/>
      <c r="R381" s="41"/>
      <c r="U381" s="41"/>
      <c r="X381" s="41"/>
      <c r="Y381" s="41"/>
    </row>
    <row r="382" spans="15:25" x14ac:dyDescent="0.2">
      <c r="O382" s="41"/>
      <c r="R382" s="41"/>
      <c r="U382" s="41"/>
      <c r="X382" s="41"/>
      <c r="Y382" s="41"/>
    </row>
    <row r="383" spans="15:25" x14ac:dyDescent="0.2">
      <c r="O383" s="41"/>
      <c r="R383" s="41"/>
      <c r="U383" s="41"/>
      <c r="X383" s="41"/>
      <c r="Y383" s="41"/>
    </row>
    <row r="384" spans="15:25" x14ac:dyDescent="0.2">
      <c r="O384" s="41"/>
      <c r="R384" s="41"/>
      <c r="U384" s="41"/>
      <c r="X384" s="41"/>
      <c r="Y384" s="41"/>
    </row>
    <row r="385" spans="15:25" x14ac:dyDescent="0.2">
      <c r="O385" s="41"/>
      <c r="R385" s="41"/>
      <c r="U385" s="41"/>
      <c r="X385" s="41"/>
      <c r="Y385" s="41"/>
    </row>
    <row r="386" spans="15:25" x14ac:dyDescent="0.2">
      <c r="O386" s="41"/>
      <c r="R386" s="41"/>
      <c r="U386" s="41"/>
      <c r="X386" s="41"/>
      <c r="Y386" s="41"/>
    </row>
    <row r="387" spans="15:25" x14ac:dyDescent="0.2">
      <c r="O387" s="41"/>
      <c r="R387" s="41"/>
      <c r="U387" s="41"/>
      <c r="X387" s="41"/>
      <c r="Y387" s="41"/>
    </row>
    <row r="388" spans="15:25" x14ac:dyDescent="0.2">
      <c r="O388" s="41"/>
      <c r="R388" s="41"/>
      <c r="U388" s="41"/>
      <c r="X388" s="41"/>
      <c r="Y388" s="41"/>
    </row>
    <row r="389" spans="15:25" x14ac:dyDescent="0.2">
      <c r="O389" s="41"/>
      <c r="R389" s="41"/>
      <c r="U389" s="41"/>
      <c r="X389" s="41"/>
      <c r="Y389" s="41"/>
    </row>
    <row r="390" spans="15:25" x14ac:dyDescent="0.2">
      <c r="O390" s="41"/>
      <c r="R390" s="41"/>
      <c r="U390" s="41"/>
      <c r="X390" s="41"/>
      <c r="Y390" s="41"/>
    </row>
    <row r="391" spans="15:25" x14ac:dyDescent="0.2">
      <c r="O391" s="41"/>
      <c r="R391" s="41"/>
      <c r="U391" s="41"/>
      <c r="X391" s="41"/>
      <c r="Y391" s="41"/>
    </row>
    <row r="392" spans="15:25" x14ac:dyDescent="0.2">
      <c r="O392" s="41"/>
      <c r="R392" s="41"/>
      <c r="U392" s="41"/>
      <c r="X392" s="41"/>
      <c r="Y392" s="41"/>
    </row>
    <row r="393" spans="15:25" x14ac:dyDescent="0.2">
      <c r="O393" s="41"/>
      <c r="R393" s="41"/>
      <c r="U393" s="41"/>
      <c r="X393" s="41"/>
      <c r="Y393" s="41"/>
    </row>
    <row r="394" spans="15:25" x14ac:dyDescent="0.2">
      <c r="O394" s="41"/>
      <c r="R394" s="41"/>
      <c r="U394" s="41"/>
      <c r="X394" s="41"/>
      <c r="Y394" s="41"/>
    </row>
    <row r="395" spans="15:25" x14ac:dyDescent="0.2">
      <c r="O395" s="41"/>
      <c r="R395" s="41"/>
      <c r="U395" s="41"/>
      <c r="X395" s="41"/>
      <c r="Y395" s="41"/>
    </row>
    <row r="396" spans="15:25" x14ac:dyDescent="0.2">
      <c r="O396" s="41"/>
      <c r="R396" s="41"/>
      <c r="U396" s="41"/>
      <c r="X396" s="41"/>
      <c r="Y396" s="41"/>
    </row>
    <row r="397" spans="15:25" x14ac:dyDescent="0.2">
      <c r="O397" s="41"/>
      <c r="R397" s="41"/>
      <c r="U397" s="41"/>
      <c r="X397" s="41"/>
      <c r="Y397" s="41"/>
    </row>
    <row r="398" spans="15:25" x14ac:dyDescent="0.2">
      <c r="O398" s="41"/>
      <c r="R398" s="41"/>
      <c r="U398" s="41"/>
      <c r="X398" s="41"/>
      <c r="Y398" s="41"/>
    </row>
    <row r="399" spans="15:25" x14ac:dyDescent="0.2">
      <c r="O399" s="41"/>
      <c r="R399" s="41"/>
      <c r="U399" s="41"/>
      <c r="X399" s="41"/>
      <c r="Y399" s="41"/>
    </row>
    <row r="400" spans="15:25" x14ac:dyDescent="0.2">
      <c r="O400" s="41"/>
      <c r="R400" s="41"/>
      <c r="U400" s="41"/>
      <c r="X400" s="41"/>
      <c r="Y400" s="41"/>
    </row>
    <row r="401" spans="15:25" x14ac:dyDescent="0.2">
      <c r="O401" s="41"/>
      <c r="R401" s="41"/>
      <c r="U401" s="41"/>
      <c r="X401" s="41"/>
      <c r="Y401" s="41"/>
    </row>
    <row r="402" spans="15:25" x14ac:dyDescent="0.2">
      <c r="O402" s="41"/>
      <c r="R402" s="41"/>
      <c r="U402" s="41"/>
      <c r="X402" s="41"/>
      <c r="Y402" s="41"/>
    </row>
    <row r="403" spans="15:25" x14ac:dyDescent="0.2">
      <c r="O403" s="41"/>
      <c r="R403" s="41"/>
      <c r="U403" s="41"/>
      <c r="X403" s="41"/>
      <c r="Y403" s="41"/>
    </row>
    <row r="404" spans="15:25" x14ac:dyDescent="0.2">
      <c r="O404" s="41"/>
      <c r="R404" s="41"/>
      <c r="U404" s="41"/>
      <c r="X404" s="41"/>
      <c r="Y404" s="41"/>
    </row>
    <row r="405" spans="15:25" x14ac:dyDescent="0.2">
      <c r="O405" s="41"/>
      <c r="R405" s="41"/>
      <c r="U405" s="41"/>
      <c r="X405" s="41"/>
      <c r="Y405" s="41"/>
    </row>
    <row r="406" spans="15:25" x14ac:dyDescent="0.2">
      <c r="O406" s="41"/>
      <c r="R406" s="41"/>
      <c r="U406" s="41"/>
      <c r="X406" s="41"/>
      <c r="Y406" s="41"/>
    </row>
    <row r="407" spans="15:25" x14ac:dyDescent="0.2">
      <c r="O407" s="41"/>
      <c r="R407" s="41"/>
      <c r="U407" s="41"/>
      <c r="X407" s="41"/>
      <c r="Y407" s="41"/>
    </row>
    <row r="408" spans="15:25" x14ac:dyDescent="0.2">
      <c r="O408" s="41"/>
      <c r="R408" s="41"/>
      <c r="U408" s="41"/>
      <c r="X408" s="41"/>
      <c r="Y408" s="41"/>
    </row>
    <row r="409" spans="15:25" x14ac:dyDescent="0.2">
      <c r="O409" s="41"/>
      <c r="R409" s="41"/>
      <c r="U409" s="41"/>
      <c r="X409" s="41"/>
      <c r="Y409" s="41"/>
    </row>
    <row r="410" spans="15:25" x14ac:dyDescent="0.2">
      <c r="O410" s="41"/>
      <c r="R410" s="41"/>
      <c r="U410" s="41"/>
      <c r="X410" s="41"/>
      <c r="Y410" s="41"/>
    </row>
    <row r="411" spans="15:25" x14ac:dyDescent="0.2">
      <c r="O411" s="41"/>
      <c r="R411" s="41"/>
      <c r="U411" s="41"/>
      <c r="X411" s="41"/>
      <c r="Y411" s="41"/>
    </row>
    <row r="412" spans="15:25" x14ac:dyDescent="0.2">
      <c r="O412" s="41"/>
      <c r="R412" s="41"/>
      <c r="U412" s="41"/>
      <c r="X412" s="41"/>
      <c r="Y412" s="41"/>
    </row>
    <row r="413" spans="15:25" x14ac:dyDescent="0.2">
      <c r="O413" s="41"/>
      <c r="R413" s="41"/>
      <c r="U413" s="41"/>
      <c r="X413" s="41"/>
      <c r="Y413" s="41"/>
    </row>
    <row r="414" spans="15:25" x14ac:dyDescent="0.2">
      <c r="O414" s="41"/>
      <c r="R414" s="41"/>
      <c r="U414" s="41"/>
      <c r="X414" s="41"/>
      <c r="Y414" s="41"/>
    </row>
    <row r="415" spans="15:25" x14ac:dyDescent="0.2">
      <c r="O415" s="41"/>
      <c r="R415" s="41"/>
      <c r="U415" s="41"/>
      <c r="X415" s="41"/>
      <c r="Y415" s="41"/>
    </row>
    <row r="416" spans="15:25" x14ac:dyDescent="0.2">
      <c r="O416" s="41"/>
      <c r="R416" s="41"/>
      <c r="U416" s="41"/>
      <c r="X416" s="41"/>
      <c r="Y416" s="41"/>
    </row>
    <row r="417" spans="15:25" x14ac:dyDescent="0.2">
      <c r="O417" s="41"/>
      <c r="R417" s="41"/>
      <c r="U417" s="41"/>
      <c r="X417" s="41"/>
      <c r="Y417" s="41"/>
    </row>
    <row r="418" spans="15:25" x14ac:dyDescent="0.2">
      <c r="O418" s="41"/>
      <c r="R418" s="41"/>
      <c r="U418" s="41"/>
      <c r="X418" s="41"/>
      <c r="Y418" s="41"/>
    </row>
    <row r="419" spans="15:25" x14ac:dyDescent="0.2">
      <c r="O419" s="41"/>
      <c r="R419" s="41"/>
      <c r="U419" s="41"/>
      <c r="X419" s="41"/>
      <c r="Y419" s="41"/>
    </row>
    <row r="420" spans="15:25" x14ac:dyDescent="0.2">
      <c r="O420" s="41"/>
      <c r="R420" s="41"/>
      <c r="U420" s="41"/>
      <c r="X420" s="41"/>
      <c r="Y420" s="41"/>
    </row>
    <row r="421" spans="15:25" x14ac:dyDescent="0.2">
      <c r="O421" s="41"/>
      <c r="R421" s="41"/>
      <c r="U421" s="41"/>
      <c r="X421" s="41"/>
      <c r="Y421" s="41"/>
    </row>
    <row r="422" spans="15:25" x14ac:dyDescent="0.2">
      <c r="O422" s="41"/>
      <c r="R422" s="41"/>
      <c r="U422" s="41"/>
      <c r="X422" s="41"/>
      <c r="Y422" s="41"/>
    </row>
    <row r="423" spans="15:25" x14ac:dyDescent="0.2">
      <c r="O423" s="41"/>
      <c r="R423" s="41"/>
      <c r="U423" s="41"/>
      <c r="X423" s="41"/>
      <c r="Y423" s="41"/>
    </row>
    <row r="424" spans="15:25" x14ac:dyDescent="0.2">
      <c r="O424" s="41"/>
      <c r="R424" s="41"/>
      <c r="U424" s="41"/>
      <c r="X424" s="41"/>
      <c r="Y424" s="41"/>
    </row>
    <row r="425" spans="15:25" x14ac:dyDescent="0.2">
      <c r="O425" s="41"/>
      <c r="R425" s="41"/>
      <c r="U425" s="41"/>
      <c r="X425" s="41"/>
      <c r="Y425" s="41"/>
    </row>
    <row r="426" spans="15:25" x14ac:dyDescent="0.2">
      <c r="O426" s="41"/>
      <c r="R426" s="41"/>
      <c r="U426" s="41"/>
      <c r="X426" s="41"/>
      <c r="Y426" s="41"/>
    </row>
    <row r="427" spans="15:25" x14ac:dyDescent="0.2">
      <c r="O427" s="41"/>
      <c r="R427" s="41"/>
      <c r="U427" s="41"/>
      <c r="X427" s="41"/>
      <c r="Y427" s="41"/>
    </row>
    <row r="428" spans="15:25" x14ac:dyDescent="0.2">
      <c r="O428" s="41"/>
      <c r="R428" s="41"/>
      <c r="U428" s="41"/>
      <c r="X428" s="41"/>
      <c r="Y428" s="41"/>
    </row>
    <row r="429" spans="15:25" x14ac:dyDescent="0.2">
      <c r="O429" s="41"/>
      <c r="R429" s="41"/>
      <c r="U429" s="41"/>
      <c r="X429" s="41"/>
      <c r="Y429" s="41"/>
    </row>
    <row r="430" spans="15:25" x14ac:dyDescent="0.2">
      <c r="O430" s="41"/>
      <c r="R430" s="41"/>
      <c r="U430" s="41"/>
      <c r="X430" s="41"/>
      <c r="Y430" s="41"/>
    </row>
    <row r="431" spans="15:25" x14ac:dyDescent="0.2">
      <c r="O431" s="41"/>
      <c r="R431" s="41"/>
      <c r="U431" s="41"/>
      <c r="X431" s="41"/>
      <c r="Y431" s="41"/>
    </row>
    <row r="432" spans="15:25" x14ac:dyDescent="0.2">
      <c r="O432" s="41"/>
      <c r="R432" s="41"/>
      <c r="U432" s="41"/>
      <c r="X432" s="41"/>
      <c r="Y432" s="41"/>
    </row>
    <row r="433" spans="15:25" x14ac:dyDescent="0.2">
      <c r="O433" s="41"/>
      <c r="R433" s="41"/>
      <c r="U433" s="41"/>
      <c r="X433" s="41"/>
      <c r="Y433" s="41"/>
    </row>
    <row r="434" spans="15:25" x14ac:dyDescent="0.2">
      <c r="O434" s="41"/>
      <c r="R434" s="41"/>
      <c r="U434" s="41"/>
      <c r="X434" s="41"/>
      <c r="Y434" s="41"/>
    </row>
    <row r="435" spans="15:25" x14ac:dyDescent="0.2">
      <c r="O435" s="41"/>
      <c r="R435" s="41"/>
      <c r="U435" s="41"/>
      <c r="X435" s="41"/>
      <c r="Y435" s="41"/>
    </row>
    <row r="436" spans="15:25" x14ac:dyDescent="0.2">
      <c r="O436" s="41"/>
      <c r="R436" s="41"/>
      <c r="U436" s="41"/>
      <c r="X436" s="41"/>
      <c r="Y436" s="41"/>
    </row>
    <row r="437" spans="15:25" x14ac:dyDescent="0.2">
      <c r="O437" s="41"/>
      <c r="R437" s="41"/>
      <c r="U437" s="41"/>
      <c r="X437" s="41"/>
      <c r="Y437" s="41"/>
    </row>
    <row r="438" spans="15:25" x14ac:dyDescent="0.2">
      <c r="O438" s="41"/>
      <c r="R438" s="41"/>
      <c r="U438" s="41"/>
      <c r="X438" s="41"/>
      <c r="Y438" s="41"/>
    </row>
    <row r="439" spans="15:25" x14ac:dyDescent="0.2">
      <c r="O439" s="41"/>
      <c r="R439" s="41"/>
      <c r="U439" s="41"/>
      <c r="X439" s="41"/>
      <c r="Y439" s="41"/>
    </row>
    <row r="440" spans="15:25" x14ac:dyDescent="0.2">
      <c r="O440" s="41"/>
      <c r="R440" s="41"/>
      <c r="U440" s="41"/>
      <c r="X440" s="41"/>
      <c r="Y440" s="41"/>
    </row>
    <row r="441" spans="15:25" x14ac:dyDescent="0.2">
      <c r="O441" s="41"/>
      <c r="R441" s="41"/>
      <c r="U441" s="41"/>
      <c r="X441" s="41"/>
      <c r="Y441" s="41"/>
    </row>
    <row r="442" spans="15:25" x14ac:dyDescent="0.2">
      <c r="O442" s="41"/>
      <c r="R442" s="41"/>
      <c r="U442" s="41"/>
      <c r="X442" s="41"/>
      <c r="Y442" s="41"/>
    </row>
    <row r="443" spans="15:25" x14ac:dyDescent="0.2">
      <c r="O443" s="41"/>
      <c r="R443" s="41"/>
      <c r="U443" s="41"/>
      <c r="X443" s="41"/>
      <c r="Y443" s="41"/>
    </row>
    <row r="444" spans="15:25" x14ac:dyDescent="0.2">
      <c r="O444" s="41"/>
      <c r="R444" s="41"/>
      <c r="U444" s="41"/>
      <c r="X444" s="41"/>
      <c r="Y444" s="41"/>
    </row>
    <row r="445" spans="15:25" x14ac:dyDescent="0.2">
      <c r="O445" s="41"/>
      <c r="R445" s="41"/>
      <c r="U445" s="41"/>
      <c r="X445" s="41"/>
      <c r="Y445" s="41"/>
    </row>
    <row r="446" spans="15:25" x14ac:dyDescent="0.2">
      <c r="O446" s="41"/>
      <c r="R446" s="41"/>
      <c r="U446" s="41"/>
      <c r="X446" s="41"/>
      <c r="Y446" s="41"/>
    </row>
    <row r="447" spans="15:25" x14ac:dyDescent="0.2">
      <c r="O447" s="41"/>
      <c r="R447" s="41"/>
      <c r="U447" s="41"/>
      <c r="X447" s="41"/>
      <c r="Y447" s="41"/>
    </row>
    <row r="448" spans="15:25" x14ac:dyDescent="0.2">
      <c r="O448" s="41"/>
      <c r="R448" s="41"/>
      <c r="U448" s="41"/>
      <c r="X448" s="41"/>
      <c r="Y448" s="41"/>
    </row>
    <row r="449" spans="15:25" x14ac:dyDescent="0.2">
      <c r="O449" s="41"/>
      <c r="R449" s="41"/>
      <c r="U449" s="41"/>
      <c r="X449" s="41"/>
      <c r="Y449" s="41"/>
    </row>
    <row r="450" spans="15:25" x14ac:dyDescent="0.2">
      <c r="O450" s="41"/>
      <c r="R450" s="41"/>
      <c r="U450" s="41"/>
      <c r="X450" s="41"/>
      <c r="Y450" s="41"/>
    </row>
    <row r="451" spans="15:25" x14ac:dyDescent="0.2">
      <c r="O451" s="41"/>
      <c r="R451" s="41"/>
      <c r="U451" s="41"/>
      <c r="X451" s="41"/>
      <c r="Y451" s="41"/>
    </row>
    <row r="452" spans="15:25" x14ac:dyDescent="0.2">
      <c r="O452" s="41"/>
      <c r="R452" s="41"/>
      <c r="U452" s="41"/>
      <c r="X452" s="41"/>
      <c r="Y452" s="41"/>
    </row>
    <row r="453" spans="15:25" x14ac:dyDescent="0.2">
      <c r="O453" s="41"/>
      <c r="R453" s="41"/>
      <c r="U453" s="41"/>
      <c r="X453" s="41"/>
      <c r="Y453" s="41"/>
    </row>
    <row r="454" spans="15:25" x14ac:dyDescent="0.2">
      <c r="O454" s="41"/>
      <c r="R454" s="41"/>
      <c r="U454" s="41"/>
      <c r="X454" s="41"/>
      <c r="Y454" s="41"/>
    </row>
    <row r="455" spans="15:25" x14ac:dyDescent="0.2">
      <c r="O455" s="41"/>
      <c r="R455" s="41"/>
      <c r="U455" s="41"/>
      <c r="X455" s="41"/>
      <c r="Y455" s="41"/>
    </row>
    <row r="456" spans="15:25" x14ac:dyDescent="0.2">
      <c r="O456" s="41"/>
      <c r="R456" s="41"/>
      <c r="U456" s="41"/>
      <c r="X456" s="41"/>
      <c r="Y456" s="41"/>
    </row>
    <row r="457" spans="15:25" x14ac:dyDescent="0.2">
      <c r="O457" s="41"/>
      <c r="R457" s="41"/>
      <c r="U457" s="41"/>
      <c r="X457" s="41"/>
      <c r="Y457" s="41"/>
    </row>
    <row r="458" spans="15:25" x14ac:dyDescent="0.2">
      <c r="O458" s="41"/>
      <c r="R458" s="41"/>
      <c r="U458" s="41"/>
      <c r="X458" s="41"/>
      <c r="Y458" s="41"/>
    </row>
    <row r="459" spans="15:25" x14ac:dyDescent="0.2">
      <c r="O459" s="41"/>
      <c r="R459" s="41"/>
      <c r="U459" s="41"/>
      <c r="X459" s="41"/>
      <c r="Y459" s="41"/>
    </row>
    <row r="460" spans="15:25" x14ac:dyDescent="0.2">
      <c r="O460" s="41"/>
      <c r="R460" s="41"/>
      <c r="U460" s="41"/>
      <c r="X460" s="41"/>
      <c r="Y460" s="41"/>
    </row>
    <row r="461" spans="15:25" x14ac:dyDescent="0.2">
      <c r="O461" s="41"/>
      <c r="R461" s="41"/>
      <c r="U461" s="41"/>
      <c r="X461" s="41"/>
      <c r="Y461" s="41"/>
    </row>
    <row r="462" spans="15:25" x14ac:dyDescent="0.2">
      <c r="O462" s="41"/>
      <c r="R462" s="41"/>
      <c r="U462" s="41"/>
      <c r="X462" s="41"/>
      <c r="Y462" s="41"/>
    </row>
    <row r="463" spans="15:25" x14ac:dyDescent="0.2">
      <c r="O463" s="41"/>
      <c r="R463" s="41"/>
      <c r="U463" s="41"/>
      <c r="X463" s="41"/>
      <c r="Y463" s="41"/>
    </row>
    <row r="464" spans="15:25" x14ac:dyDescent="0.2">
      <c r="O464" s="41"/>
      <c r="R464" s="41"/>
      <c r="U464" s="41"/>
      <c r="X464" s="41"/>
      <c r="Y464" s="41"/>
    </row>
    <row r="465" spans="15:25" x14ac:dyDescent="0.2">
      <c r="O465" s="41"/>
      <c r="R465" s="41"/>
      <c r="U465" s="41"/>
      <c r="X465" s="41"/>
      <c r="Y465" s="41"/>
    </row>
    <row r="466" spans="15:25" x14ac:dyDescent="0.2">
      <c r="O466" s="41"/>
      <c r="R466" s="41"/>
      <c r="U466" s="41"/>
      <c r="X466" s="41"/>
      <c r="Y466" s="41"/>
    </row>
    <row r="467" spans="15:25" x14ac:dyDescent="0.2">
      <c r="O467" s="41"/>
      <c r="R467" s="41"/>
      <c r="U467" s="41"/>
      <c r="X467" s="41"/>
      <c r="Y467" s="41"/>
    </row>
    <row r="468" spans="15:25" x14ac:dyDescent="0.2">
      <c r="O468" s="41"/>
      <c r="R468" s="41"/>
      <c r="U468" s="41"/>
      <c r="X468" s="41"/>
      <c r="Y468" s="41"/>
    </row>
    <row r="469" spans="15:25" x14ac:dyDescent="0.2">
      <c r="O469" s="41"/>
      <c r="R469" s="41"/>
      <c r="U469" s="41"/>
      <c r="X469" s="41"/>
      <c r="Y469" s="41"/>
    </row>
    <row r="470" spans="15:25" x14ac:dyDescent="0.2">
      <c r="O470" s="41"/>
      <c r="R470" s="41"/>
      <c r="U470" s="41"/>
      <c r="X470" s="41"/>
      <c r="Y470" s="41"/>
    </row>
    <row r="471" spans="15:25" x14ac:dyDescent="0.2">
      <c r="O471" s="41"/>
      <c r="R471" s="41"/>
      <c r="U471" s="41"/>
      <c r="X471" s="41"/>
      <c r="Y471" s="41"/>
    </row>
    <row r="472" spans="15:25" x14ac:dyDescent="0.2">
      <c r="O472" s="41"/>
      <c r="R472" s="41"/>
      <c r="U472" s="41"/>
      <c r="X472" s="41"/>
      <c r="Y472" s="41"/>
    </row>
    <row r="473" spans="15:25" x14ac:dyDescent="0.2">
      <c r="O473" s="41"/>
      <c r="R473" s="41"/>
      <c r="U473" s="41"/>
      <c r="X473" s="41"/>
      <c r="Y473" s="41"/>
    </row>
    <row r="474" spans="15:25" x14ac:dyDescent="0.2">
      <c r="O474" s="41"/>
      <c r="R474" s="41"/>
      <c r="U474" s="41"/>
      <c r="X474" s="41"/>
      <c r="Y474" s="41"/>
    </row>
    <row r="475" spans="15:25" x14ac:dyDescent="0.2">
      <c r="O475" s="41"/>
      <c r="R475" s="41"/>
      <c r="U475" s="41"/>
      <c r="X475" s="41"/>
      <c r="Y475" s="41"/>
    </row>
    <row r="476" spans="15:25" x14ac:dyDescent="0.2">
      <c r="O476" s="41"/>
      <c r="R476" s="41"/>
      <c r="U476" s="41"/>
      <c r="X476" s="41"/>
      <c r="Y476" s="41"/>
    </row>
    <row r="477" spans="15:25" x14ac:dyDescent="0.2">
      <c r="O477" s="41"/>
      <c r="R477" s="41"/>
      <c r="U477" s="41"/>
      <c r="X477" s="41"/>
      <c r="Y477" s="41"/>
    </row>
    <row r="478" spans="15:25" x14ac:dyDescent="0.2">
      <c r="O478" s="41"/>
      <c r="R478" s="41"/>
      <c r="U478" s="41"/>
      <c r="X478" s="41"/>
      <c r="Y478" s="41"/>
    </row>
    <row r="479" spans="15:25" x14ac:dyDescent="0.2">
      <c r="O479" s="41"/>
      <c r="R479" s="41"/>
      <c r="U479" s="41"/>
      <c r="X479" s="41"/>
      <c r="Y479" s="41"/>
    </row>
    <row r="480" spans="15:25" x14ac:dyDescent="0.2">
      <c r="O480" s="41"/>
      <c r="R480" s="41"/>
      <c r="U480" s="41"/>
      <c r="X480" s="41"/>
      <c r="Y480" s="41"/>
    </row>
    <row r="481" spans="15:25" x14ac:dyDescent="0.2">
      <c r="O481" s="41"/>
      <c r="R481" s="41"/>
      <c r="U481" s="41"/>
      <c r="X481" s="41"/>
      <c r="Y481" s="41"/>
    </row>
    <row r="482" spans="15:25" x14ac:dyDescent="0.2">
      <c r="O482" s="41"/>
      <c r="R482" s="41"/>
      <c r="U482" s="41"/>
      <c r="X482" s="41"/>
      <c r="Y482" s="41"/>
    </row>
    <row r="483" spans="15:25" x14ac:dyDescent="0.2">
      <c r="O483" s="41"/>
      <c r="R483" s="41"/>
      <c r="U483" s="41"/>
      <c r="X483" s="41"/>
      <c r="Y483" s="41"/>
    </row>
    <row r="484" spans="15:25" x14ac:dyDescent="0.2">
      <c r="O484" s="41"/>
      <c r="R484" s="41"/>
      <c r="U484" s="41"/>
      <c r="X484" s="41"/>
      <c r="Y484" s="41"/>
    </row>
    <row r="485" spans="15:25" x14ac:dyDescent="0.2">
      <c r="O485" s="41"/>
      <c r="R485" s="41"/>
      <c r="U485" s="41"/>
      <c r="X485" s="41"/>
      <c r="Y485" s="41"/>
    </row>
    <row r="486" spans="15:25" x14ac:dyDescent="0.2">
      <c r="O486" s="41"/>
      <c r="R486" s="41"/>
      <c r="U486" s="41"/>
      <c r="X486" s="41"/>
      <c r="Y486" s="41"/>
    </row>
    <row r="487" spans="15:25" x14ac:dyDescent="0.2">
      <c r="O487" s="41"/>
      <c r="R487" s="41"/>
      <c r="U487" s="41"/>
      <c r="X487" s="41"/>
      <c r="Y487" s="41"/>
    </row>
    <row r="488" spans="15:25" x14ac:dyDescent="0.2">
      <c r="O488" s="41"/>
      <c r="R488" s="41"/>
      <c r="U488" s="41"/>
      <c r="X488" s="41"/>
      <c r="Y488" s="41"/>
    </row>
    <row r="489" spans="15:25" x14ac:dyDescent="0.2">
      <c r="O489" s="41"/>
      <c r="R489" s="41"/>
      <c r="U489" s="41"/>
      <c r="X489" s="41"/>
      <c r="Y489" s="41"/>
    </row>
    <row r="490" spans="15:25" x14ac:dyDescent="0.2">
      <c r="O490" s="41"/>
      <c r="R490" s="41"/>
      <c r="U490" s="41"/>
      <c r="X490" s="41"/>
      <c r="Y490" s="41"/>
    </row>
    <row r="491" spans="15:25" x14ac:dyDescent="0.2">
      <c r="O491" s="41"/>
      <c r="R491" s="41"/>
      <c r="U491" s="41"/>
      <c r="X491" s="41"/>
      <c r="Y491" s="41"/>
    </row>
    <row r="492" spans="15:25" x14ac:dyDescent="0.2">
      <c r="O492" s="41"/>
      <c r="R492" s="41"/>
      <c r="U492" s="41"/>
      <c r="X492" s="41"/>
      <c r="Y492" s="41"/>
    </row>
    <row r="493" spans="15:25" x14ac:dyDescent="0.2">
      <c r="O493" s="41"/>
      <c r="R493" s="41"/>
      <c r="U493" s="41"/>
      <c r="X493" s="41"/>
      <c r="Y493" s="41"/>
    </row>
    <row r="494" spans="15:25" x14ac:dyDescent="0.2">
      <c r="O494" s="41"/>
      <c r="R494" s="41"/>
      <c r="U494" s="41"/>
      <c r="X494" s="41"/>
      <c r="Y494" s="41"/>
    </row>
    <row r="495" spans="15:25" x14ac:dyDescent="0.2">
      <c r="O495" s="41"/>
      <c r="R495" s="41"/>
      <c r="U495" s="41"/>
      <c r="X495" s="41"/>
      <c r="Y495" s="41"/>
    </row>
    <row r="496" spans="15:25" x14ac:dyDescent="0.2">
      <c r="O496" s="41"/>
      <c r="R496" s="41"/>
      <c r="U496" s="41"/>
      <c r="X496" s="41"/>
      <c r="Y496" s="41"/>
    </row>
    <row r="497" spans="15:25" x14ac:dyDescent="0.2">
      <c r="O497" s="41"/>
      <c r="R497" s="41"/>
      <c r="U497" s="41"/>
      <c r="X497" s="41"/>
      <c r="Y497" s="41"/>
    </row>
    <row r="498" spans="15:25" x14ac:dyDescent="0.2">
      <c r="O498" s="41"/>
      <c r="R498" s="41"/>
      <c r="U498" s="41"/>
      <c r="X498" s="41"/>
      <c r="Y498" s="41"/>
    </row>
    <row r="499" spans="15:25" x14ac:dyDescent="0.2">
      <c r="O499" s="41"/>
      <c r="R499" s="41"/>
      <c r="U499" s="41"/>
      <c r="X499" s="41"/>
      <c r="Y499" s="41"/>
    </row>
    <row r="500" spans="15:25" x14ac:dyDescent="0.2">
      <c r="O500" s="41"/>
      <c r="R500" s="41"/>
      <c r="U500" s="41"/>
      <c r="X500" s="41"/>
      <c r="Y500" s="41"/>
    </row>
    <row r="501" spans="15:25" x14ac:dyDescent="0.2">
      <c r="O501" s="41"/>
      <c r="R501" s="41"/>
      <c r="U501" s="41"/>
      <c r="X501" s="41"/>
      <c r="Y501" s="41"/>
    </row>
    <row r="502" spans="15:25" x14ac:dyDescent="0.2">
      <c r="O502" s="41"/>
      <c r="R502" s="41"/>
      <c r="U502" s="41"/>
      <c r="X502" s="41"/>
      <c r="Y502" s="41"/>
    </row>
    <row r="503" spans="15:25" x14ac:dyDescent="0.2">
      <c r="O503" s="41"/>
      <c r="R503" s="41"/>
      <c r="U503" s="41"/>
      <c r="X503" s="41"/>
      <c r="Y503" s="41"/>
    </row>
    <row r="504" spans="15:25" x14ac:dyDescent="0.2">
      <c r="O504" s="41"/>
      <c r="R504" s="41"/>
      <c r="U504" s="41"/>
      <c r="X504" s="41"/>
      <c r="Y504" s="41"/>
    </row>
    <row r="505" spans="15:25" x14ac:dyDescent="0.2">
      <c r="O505" s="41"/>
      <c r="R505" s="41"/>
      <c r="U505" s="41"/>
      <c r="X505" s="41"/>
      <c r="Y505" s="41"/>
    </row>
    <row r="506" spans="15:25" x14ac:dyDescent="0.2">
      <c r="O506" s="41"/>
      <c r="R506" s="41"/>
      <c r="U506" s="41"/>
      <c r="X506" s="41"/>
      <c r="Y506" s="41"/>
    </row>
    <row r="507" spans="15:25" x14ac:dyDescent="0.2">
      <c r="O507" s="41"/>
      <c r="R507" s="41"/>
      <c r="U507" s="41"/>
      <c r="X507" s="41"/>
      <c r="Y507" s="41"/>
    </row>
    <row r="508" spans="15:25" x14ac:dyDescent="0.2">
      <c r="O508" s="41"/>
      <c r="R508" s="41"/>
      <c r="U508" s="41"/>
      <c r="X508" s="41"/>
      <c r="Y508" s="41"/>
    </row>
    <row r="509" spans="15:25" x14ac:dyDescent="0.2">
      <c r="O509" s="41"/>
      <c r="R509" s="41"/>
      <c r="U509" s="41"/>
      <c r="X509" s="41"/>
      <c r="Y509" s="41"/>
    </row>
    <row r="510" spans="15:25" x14ac:dyDescent="0.2">
      <c r="O510" s="41"/>
      <c r="R510" s="41"/>
      <c r="U510" s="41"/>
      <c r="X510" s="41"/>
      <c r="Y510" s="41"/>
    </row>
    <row r="511" spans="15:25" x14ac:dyDescent="0.2">
      <c r="O511" s="41"/>
      <c r="R511" s="41"/>
      <c r="U511" s="41"/>
      <c r="X511" s="41"/>
      <c r="Y511" s="41"/>
    </row>
    <row r="512" spans="15:25" x14ac:dyDescent="0.2">
      <c r="O512" s="41"/>
      <c r="R512" s="41"/>
      <c r="U512" s="41"/>
      <c r="X512" s="41"/>
      <c r="Y512" s="41"/>
    </row>
    <row r="513" spans="15:25" x14ac:dyDescent="0.2">
      <c r="O513" s="41"/>
      <c r="R513" s="41"/>
      <c r="U513" s="41"/>
      <c r="X513" s="41"/>
      <c r="Y513" s="41"/>
    </row>
    <row r="514" spans="15:25" x14ac:dyDescent="0.2">
      <c r="O514" s="41"/>
      <c r="R514" s="41"/>
      <c r="U514" s="41"/>
      <c r="X514" s="41"/>
      <c r="Y514" s="41"/>
    </row>
    <row r="515" spans="15:25" x14ac:dyDescent="0.2">
      <c r="O515" s="41"/>
      <c r="R515" s="41"/>
      <c r="U515" s="41"/>
      <c r="X515" s="41"/>
      <c r="Y515" s="41"/>
    </row>
    <row r="516" spans="15:25" x14ac:dyDescent="0.2">
      <c r="O516" s="41"/>
      <c r="R516" s="41"/>
      <c r="U516" s="41"/>
      <c r="X516" s="41"/>
      <c r="Y516" s="41"/>
    </row>
    <row r="517" spans="15:25" x14ac:dyDescent="0.2">
      <c r="O517" s="41"/>
      <c r="R517" s="41"/>
      <c r="U517" s="41"/>
      <c r="X517" s="41"/>
      <c r="Y517" s="41"/>
    </row>
    <row r="518" spans="15:25" x14ac:dyDescent="0.2">
      <c r="O518" s="41"/>
      <c r="R518" s="41"/>
      <c r="U518" s="41"/>
      <c r="X518" s="41"/>
      <c r="Y518" s="41"/>
    </row>
    <row r="519" spans="15:25" x14ac:dyDescent="0.2">
      <c r="O519" s="41"/>
      <c r="R519" s="41"/>
      <c r="U519" s="41"/>
      <c r="X519" s="41"/>
      <c r="Y519" s="41"/>
    </row>
    <row r="520" spans="15:25" x14ac:dyDescent="0.2">
      <c r="O520" s="41"/>
      <c r="R520" s="41"/>
      <c r="U520" s="41"/>
      <c r="X520" s="41"/>
      <c r="Y520" s="41"/>
    </row>
    <row r="521" spans="15:25" x14ac:dyDescent="0.2">
      <c r="O521" s="41"/>
      <c r="R521" s="41"/>
      <c r="U521" s="41"/>
      <c r="X521" s="41"/>
      <c r="Y521" s="41"/>
    </row>
    <row r="522" spans="15:25" x14ac:dyDescent="0.2">
      <c r="O522" s="41"/>
      <c r="R522" s="41"/>
      <c r="U522" s="41"/>
      <c r="X522" s="41"/>
      <c r="Y522" s="41"/>
    </row>
    <row r="523" spans="15:25" x14ac:dyDescent="0.2">
      <c r="O523" s="41"/>
      <c r="R523" s="41"/>
      <c r="U523" s="41"/>
      <c r="X523" s="41"/>
      <c r="Y523" s="41"/>
    </row>
    <row r="524" spans="15:25" x14ac:dyDescent="0.2">
      <c r="O524" s="41"/>
      <c r="R524" s="41"/>
      <c r="U524" s="41"/>
      <c r="X524" s="41"/>
      <c r="Y524" s="41"/>
    </row>
    <row r="525" spans="15:25" x14ac:dyDescent="0.2">
      <c r="O525" s="41"/>
      <c r="R525" s="41"/>
      <c r="U525" s="41"/>
      <c r="X525" s="41"/>
      <c r="Y525" s="41"/>
    </row>
    <row r="526" spans="15:25" x14ac:dyDescent="0.2">
      <c r="O526" s="41"/>
      <c r="R526" s="41"/>
      <c r="U526" s="41"/>
      <c r="X526" s="41"/>
      <c r="Y526" s="41"/>
    </row>
    <row r="527" spans="15:25" x14ac:dyDescent="0.2">
      <c r="O527" s="41"/>
      <c r="R527" s="41"/>
      <c r="U527" s="41"/>
      <c r="X527" s="41"/>
      <c r="Y527" s="41"/>
    </row>
    <row r="528" spans="15:25" x14ac:dyDescent="0.2">
      <c r="O528" s="41"/>
      <c r="R528" s="41"/>
      <c r="U528" s="41"/>
      <c r="X528" s="41"/>
      <c r="Y528" s="41"/>
    </row>
    <row r="529" spans="15:25" x14ac:dyDescent="0.2">
      <c r="O529" s="41"/>
      <c r="R529" s="41"/>
      <c r="U529" s="41"/>
      <c r="X529" s="41"/>
      <c r="Y529" s="41"/>
    </row>
    <row r="530" spans="15:25" x14ac:dyDescent="0.2">
      <c r="O530" s="41"/>
      <c r="R530" s="41"/>
      <c r="U530" s="41"/>
      <c r="X530" s="41"/>
      <c r="Y530" s="41"/>
    </row>
    <row r="531" spans="15:25" x14ac:dyDescent="0.2">
      <c r="O531" s="41"/>
      <c r="R531" s="41"/>
      <c r="U531" s="41"/>
      <c r="X531" s="41"/>
      <c r="Y531" s="41"/>
    </row>
    <row r="532" spans="15:25" x14ac:dyDescent="0.2">
      <c r="O532" s="41"/>
      <c r="R532" s="41"/>
      <c r="U532" s="41"/>
      <c r="X532" s="41"/>
      <c r="Y532" s="41"/>
    </row>
    <row r="533" spans="15:25" x14ac:dyDescent="0.2">
      <c r="O533" s="41"/>
      <c r="R533" s="41"/>
      <c r="U533" s="41"/>
      <c r="X533" s="41"/>
      <c r="Y533" s="41"/>
    </row>
    <row r="534" spans="15:25" x14ac:dyDescent="0.2">
      <c r="O534" s="41"/>
      <c r="R534" s="41"/>
      <c r="U534" s="41"/>
      <c r="X534" s="41"/>
      <c r="Y534" s="41"/>
    </row>
    <row r="535" spans="15:25" x14ac:dyDescent="0.2">
      <c r="O535" s="41"/>
      <c r="R535" s="41"/>
      <c r="U535" s="41"/>
      <c r="X535" s="41"/>
      <c r="Y535" s="41"/>
    </row>
    <row r="536" spans="15:25" x14ac:dyDescent="0.2">
      <c r="O536" s="41"/>
      <c r="R536" s="41"/>
      <c r="U536" s="41"/>
      <c r="X536" s="41"/>
      <c r="Y536" s="41"/>
    </row>
    <row r="537" spans="15:25" x14ac:dyDescent="0.2">
      <c r="O537" s="41"/>
      <c r="R537" s="41"/>
      <c r="U537" s="41"/>
      <c r="X537" s="41"/>
      <c r="Y537" s="41"/>
    </row>
    <row r="538" spans="15:25" x14ac:dyDescent="0.2">
      <c r="O538" s="41"/>
      <c r="R538" s="41"/>
      <c r="U538" s="41"/>
      <c r="X538" s="41"/>
      <c r="Y538" s="41"/>
    </row>
    <row r="539" spans="15:25" x14ac:dyDescent="0.2">
      <c r="O539" s="41"/>
      <c r="R539" s="41"/>
      <c r="U539" s="41"/>
      <c r="X539" s="41"/>
      <c r="Y539" s="41"/>
    </row>
    <row r="540" spans="15:25" x14ac:dyDescent="0.2">
      <c r="O540" s="41"/>
      <c r="R540" s="41"/>
      <c r="U540" s="41"/>
      <c r="X540" s="41"/>
      <c r="Y540" s="41"/>
    </row>
    <row r="541" spans="15:25" x14ac:dyDescent="0.2">
      <c r="O541" s="41"/>
      <c r="R541" s="41"/>
      <c r="U541" s="41"/>
      <c r="X541" s="41"/>
      <c r="Y541" s="41"/>
    </row>
    <row r="542" spans="15:25" x14ac:dyDescent="0.2">
      <c r="O542" s="41"/>
      <c r="R542" s="41"/>
      <c r="U542" s="41"/>
      <c r="X542" s="41"/>
      <c r="Y542" s="41"/>
    </row>
    <row r="543" spans="15:25" x14ac:dyDescent="0.2">
      <c r="O543" s="41"/>
      <c r="R543" s="41"/>
      <c r="U543" s="41"/>
      <c r="X543" s="41"/>
      <c r="Y543" s="41"/>
    </row>
    <row r="544" spans="15:25" x14ac:dyDescent="0.2">
      <c r="O544" s="41"/>
      <c r="R544" s="41"/>
      <c r="U544" s="41"/>
      <c r="X544" s="41"/>
      <c r="Y544" s="41"/>
    </row>
    <row r="545" spans="15:25" x14ac:dyDescent="0.2">
      <c r="O545" s="41"/>
      <c r="R545" s="41"/>
      <c r="U545" s="41"/>
      <c r="X545" s="41"/>
      <c r="Y545" s="41"/>
    </row>
    <row r="546" spans="15:25" x14ac:dyDescent="0.2">
      <c r="O546" s="41"/>
      <c r="R546" s="41"/>
      <c r="U546" s="41"/>
      <c r="X546" s="41"/>
      <c r="Y546" s="41"/>
    </row>
    <row r="547" spans="15:25" x14ac:dyDescent="0.2">
      <c r="O547" s="41"/>
      <c r="R547" s="41"/>
      <c r="U547" s="41"/>
      <c r="X547" s="41"/>
      <c r="Y547" s="41"/>
    </row>
    <row r="548" spans="15:25" x14ac:dyDescent="0.2">
      <c r="O548" s="41"/>
      <c r="R548" s="41"/>
      <c r="U548" s="41"/>
      <c r="X548" s="41"/>
      <c r="Y548" s="41"/>
    </row>
    <row r="549" spans="15:25" x14ac:dyDescent="0.2">
      <c r="O549" s="41"/>
      <c r="R549" s="41"/>
      <c r="U549" s="41"/>
      <c r="X549" s="41"/>
      <c r="Y549" s="41"/>
    </row>
    <row r="550" spans="15:25" x14ac:dyDescent="0.2">
      <c r="O550" s="41"/>
      <c r="R550" s="41"/>
      <c r="U550" s="41"/>
      <c r="X550" s="41"/>
      <c r="Y550" s="41"/>
    </row>
    <row r="551" spans="15:25" x14ac:dyDescent="0.2">
      <c r="O551" s="41"/>
      <c r="R551" s="41"/>
      <c r="U551" s="41"/>
      <c r="X551" s="41"/>
      <c r="Y551" s="41"/>
    </row>
    <row r="552" spans="15:25" x14ac:dyDescent="0.2">
      <c r="O552" s="41"/>
      <c r="R552" s="41"/>
      <c r="U552" s="41"/>
      <c r="X552" s="41"/>
      <c r="Y552" s="41"/>
    </row>
    <row r="553" spans="15:25" x14ac:dyDescent="0.2">
      <c r="O553" s="41"/>
      <c r="R553" s="41"/>
      <c r="U553" s="41"/>
      <c r="X553" s="41"/>
      <c r="Y553" s="41"/>
    </row>
    <row r="554" spans="15:25" x14ac:dyDescent="0.2">
      <c r="O554" s="41"/>
      <c r="R554" s="41"/>
      <c r="U554" s="41"/>
      <c r="X554" s="41"/>
      <c r="Y554" s="41"/>
    </row>
    <row r="555" spans="15:25" x14ac:dyDescent="0.2">
      <c r="O555" s="41"/>
      <c r="R555" s="41"/>
      <c r="U555" s="41"/>
      <c r="X555" s="41"/>
      <c r="Y555" s="41"/>
    </row>
    <row r="556" spans="15:25" x14ac:dyDescent="0.2">
      <c r="O556" s="41"/>
      <c r="R556" s="41"/>
      <c r="U556" s="41"/>
      <c r="X556" s="41"/>
      <c r="Y556" s="41"/>
    </row>
    <row r="557" spans="15:25" x14ac:dyDescent="0.2">
      <c r="O557" s="41"/>
      <c r="R557" s="41"/>
      <c r="U557" s="41"/>
      <c r="X557" s="41"/>
      <c r="Y557" s="41"/>
    </row>
    <row r="558" spans="15:25" x14ac:dyDescent="0.2">
      <c r="O558" s="41"/>
      <c r="R558" s="41"/>
      <c r="U558" s="41"/>
      <c r="X558" s="41"/>
      <c r="Y558" s="41"/>
    </row>
    <row r="559" spans="15:25" x14ac:dyDescent="0.2">
      <c r="O559" s="41"/>
      <c r="R559" s="41"/>
      <c r="U559" s="41"/>
      <c r="X559" s="41"/>
      <c r="Y559" s="41"/>
    </row>
    <row r="560" spans="15:25" x14ac:dyDescent="0.2">
      <c r="O560" s="41"/>
      <c r="R560" s="41"/>
      <c r="U560" s="41"/>
      <c r="X560" s="41"/>
      <c r="Y560" s="41"/>
    </row>
    <row r="561" spans="15:25" x14ac:dyDescent="0.2">
      <c r="O561" s="41"/>
      <c r="R561" s="41"/>
      <c r="U561" s="41"/>
      <c r="X561" s="41"/>
      <c r="Y561" s="41"/>
    </row>
    <row r="562" spans="15:25" x14ac:dyDescent="0.2">
      <c r="O562" s="41"/>
      <c r="R562" s="41"/>
      <c r="U562" s="41"/>
      <c r="X562" s="41"/>
      <c r="Y562" s="41"/>
    </row>
    <row r="563" spans="15:25" x14ac:dyDescent="0.2">
      <c r="O563" s="41"/>
      <c r="R563" s="41"/>
      <c r="U563" s="41"/>
      <c r="X563" s="41"/>
      <c r="Y563" s="41"/>
    </row>
    <row r="564" spans="15:25" x14ac:dyDescent="0.2">
      <c r="O564" s="41"/>
      <c r="R564" s="41"/>
      <c r="U564" s="41"/>
      <c r="X564" s="41"/>
      <c r="Y564" s="41"/>
    </row>
    <row r="565" spans="15:25" x14ac:dyDescent="0.2">
      <c r="O565" s="41"/>
      <c r="R565" s="41"/>
      <c r="U565" s="41"/>
      <c r="X565" s="41"/>
      <c r="Y565" s="41"/>
    </row>
    <row r="566" spans="15:25" x14ac:dyDescent="0.2">
      <c r="O566" s="41"/>
      <c r="R566" s="41"/>
      <c r="U566" s="41"/>
      <c r="X566" s="41"/>
      <c r="Y566" s="41"/>
    </row>
    <row r="567" spans="15:25" x14ac:dyDescent="0.2">
      <c r="O567" s="41"/>
      <c r="R567" s="41"/>
      <c r="U567" s="41"/>
      <c r="X567" s="41"/>
      <c r="Y567" s="41"/>
    </row>
    <row r="568" spans="15:25" x14ac:dyDescent="0.2">
      <c r="O568" s="41"/>
      <c r="R568" s="41"/>
      <c r="U568" s="41"/>
      <c r="X568" s="41"/>
      <c r="Y568" s="41"/>
    </row>
    <row r="569" spans="15:25" x14ac:dyDescent="0.2">
      <c r="O569" s="41"/>
      <c r="R569" s="41"/>
      <c r="U569" s="41"/>
      <c r="X569" s="41"/>
      <c r="Y569" s="41"/>
    </row>
    <row r="570" spans="15:25" x14ac:dyDescent="0.2">
      <c r="O570" s="41"/>
      <c r="R570" s="41"/>
      <c r="U570" s="41"/>
      <c r="X570" s="41"/>
      <c r="Y570" s="41"/>
    </row>
    <row r="571" spans="15:25" x14ac:dyDescent="0.2">
      <c r="O571" s="41"/>
      <c r="R571" s="41"/>
      <c r="U571" s="41"/>
      <c r="X571" s="41"/>
      <c r="Y571" s="41"/>
    </row>
    <row r="572" spans="15:25" x14ac:dyDescent="0.2">
      <c r="O572" s="41"/>
      <c r="R572" s="41"/>
      <c r="U572" s="41"/>
      <c r="X572" s="41"/>
      <c r="Y572" s="41"/>
    </row>
    <row r="573" spans="15:25" x14ac:dyDescent="0.2">
      <c r="O573" s="41"/>
      <c r="R573" s="41"/>
      <c r="U573" s="41"/>
      <c r="X573" s="41"/>
      <c r="Y573" s="41"/>
    </row>
    <row r="574" spans="15:25" x14ac:dyDescent="0.2">
      <c r="O574" s="41"/>
      <c r="R574" s="41"/>
      <c r="U574" s="41"/>
      <c r="X574" s="41"/>
      <c r="Y574" s="41"/>
    </row>
    <row r="575" spans="15:25" x14ac:dyDescent="0.2">
      <c r="O575" s="41"/>
      <c r="R575" s="41"/>
      <c r="U575" s="41"/>
      <c r="X575" s="41"/>
      <c r="Y575" s="41"/>
    </row>
    <row r="576" spans="15:25" x14ac:dyDescent="0.2">
      <c r="O576" s="41"/>
      <c r="R576" s="41"/>
      <c r="U576" s="41"/>
      <c r="X576" s="41"/>
      <c r="Y576" s="41"/>
    </row>
    <row r="577" spans="15:25" x14ac:dyDescent="0.2">
      <c r="O577" s="41"/>
      <c r="R577" s="41"/>
      <c r="U577" s="41"/>
      <c r="X577" s="41"/>
      <c r="Y577" s="41"/>
    </row>
    <row r="578" spans="15:25" x14ac:dyDescent="0.2">
      <c r="O578" s="41"/>
      <c r="R578" s="41"/>
      <c r="U578" s="41"/>
      <c r="X578" s="41"/>
      <c r="Y578" s="41"/>
    </row>
    <row r="579" spans="15:25" x14ac:dyDescent="0.2">
      <c r="O579" s="41"/>
      <c r="R579" s="41"/>
      <c r="U579" s="41"/>
      <c r="X579" s="41"/>
      <c r="Y579" s="41"/>
    </row>
    <row r="580" spans="15:25" x14ac:dyDescent="0.2">
      <c r="O580" s="41"/>
      <c r="R580" s="41"/>
      <c r="U580" s="41"/>
      <c r="X580" s="41"/>
      <c r="Y580" s="41"/>
    </row>
    <row r="581" spans="15:25" x14ac:dyDescent="0.2">
      <c r="O581" s="41"/>
      <c r="R581" s="41"/>
      <c r="U581" s="41"/>
      <c r="X581" s="41"/>
      <c r="Y581" s="41"/>
    </row>
    <row r="582" spans="15:25" x14ac:dyDescent="0.2">
      <c r="O582" s="41"/>
      <c r="R582" s="41"/>
      <c r="U582" s="41"/>
      <c r="X582" s="41"/>
      <c r="Y582" s="41"/>
    </row>
    <row r="583" spans="15:25" x14ac:dyDescent="0.2">
      <c r="O583" s="41"/>
      <c r="R583" s="41"/>
      <c r="U583" s="41"/>
      <c r="X583" s="41"/>
      <c r="Y583" s="41"/>
    </row>
    <row r="584" spans="15:25" x14ac:dyDescent="0.2">
      <c r="O584" s="41"/>
      <c r="R584" s="41"/>
      <c r="U584" s="41"/>
      <c r="X584" s="41"/>
      <c r="Y584" s="41"/>
    </row>
    <row r="585" spans="15:25" x14ac:dyDescent="0.2">
      <c r="O585" s="41"/>
      <c r="R585" s="41"/>
      <c r="U585" s="41"/>
      <c r="X585" s="41"/>
      <c r="Y585" s="41"/>
    </row>
    <row r="586" spans="15:25" x14ac:dyDescent="0.2">
      <c r="O586" s="41"/>
      <c r="R586" s="41"/>
      <c r="U586" s="41"/>
      <c r="X586" s="41"/>
      <c r="Y586" s="41"/>
    </row>
    <row r="587" spans="15:25" x14ac:dyDescent="0.2">
      <c r="O587" s="41"/>
      <c r="R587" s="41"/>
      <c r="U587" s="41"/>
      <c r="X587" s="41"/>
      <c r="Y587" s="41"/>
    </row>
    <row r="588" spans="15:25" x14ac:dyDescent="0.2">
      <c r="O588" s="41"/>
      <c r="R588" s="41"/>
      <c r="U588" s="41"/>
      <c r="X588" s="41"/>
      <c r="Y588" s="41"/>
    </row>
    <row r="589" spans="15:25" x14ac:dyDescent="0.2">
      <c r="O589" s="41"/>
      <c r="R589" s="41"/>
      <c r="U589" s="41"/>
      <c r="X589" s="41"/>
      <c r="Y589" s="41"/>
    </row>
    <row r="590" spans="15:25" x14ac:dyDescent="0.2">
      <c r="O590" s="41"/>
      <c r="R590" s="41"/>
      <c r="U590" s="41"/>
      <c r="X590" s="41"/>
      <c r="Y590" s="41"/>
    </row>
    <row r="591" spans="15:25" x14ac:dyDescent="0.2">
      <c r="O591" s="41"/>
      <c r="R591" s="41"/>
      <c r="U591" s="41"/>
      <c r="X591" s="41"/>
      <c r="Y591" s="41"/>
    </row>
    <row r="592" spans="15:25" x14ac:dyDescent="0.2">
      <c r="O592" s="41"/>
      <c r="R592" s="41"/>
      <c r="U592" s="41"/>
      <c r="X592" s="41"/>
      <c r="Y592" s="41"/>
    </row>
    <row r="593" spans="15:25" x14ac:dyDescent="0.2">
      <c r="O593" s="41"/>
      <c r="R593" s="41"/>
      <c r="U593" s="41"/>
      <c r="X593" s="41"/>
      <c r="Y593" s="41"/>
    </row>
    <row r="594" spans="15:25" x14ac:dyDescent="0.2">
      <c r="O594" s="41"/>
      <c r="R594" s="41"/>
      <c r="U594" s="41"/>
      <c r="X594" s="41"/>
      <c r="Y594" s="41"/>
    </row>
    <row r="595" spans="15:25" x14ac:dyDescent="0.2">
      <c r="O595" s="41"/>
      <c r="R595" s="41"/>
      <c r="U595" s="41"/>
      <c r="X595" s="41"/>
      <c r="Y595" s="41"/>
    </row>
    <row r="596" spans="15:25" x14ac:dyDescent="0.2">
      <c r="O596" s="41"/>
      <c r="R596" s="41"/>
      <c r="U596" s="41"/>
      <c r="X596" s="41"/>
      <c r="Y596" s="41"/>
    </row>
    <row r="597" spans="15:25" x14ac:dyDescent="0.2">
      <c r="O597" s="41"/>
      <c r="R597" s="41"/>
      <c r="U597" s="41"/>
      <c r="X597" s="41"/>
      <c r="Y597" s="41"/>
    </row>
    <row r="598" spans="15:25" x14ac:dyDescent="0.2">
      <c r="O598" s="41"/>
      <c r="R598" s="41"/>
      <c r="U598" s="41"/>
      <c r="X598" s="41"/>
      <c r="Y598" s="41"/>
    </row>
    <row r="599" spans="15:25" x14ac:dyDescent="0.2">
      <c r="O599" s="41"/>
      <c r="R599" s="41"/>
      <c r="U599" s="41"/>
      <c r="X599" s="41"/>
      <c r="Y599" s="41"/>
    </row>
    <row r="600" spans="15:25" x14ac:dyDescent="0.2">
      <c r="O600" s="41"/>
      <c r="R600" s="41"/>
      <c r="U600" s="41"/>
      <c r="X600" s="41"/>
      <c r="Y600" s="41"/>
    </row>
    <row r="601" spans="15:25" x14ac:dyDescent="0.2">
      <c r="O601" s="41"/>
      <c r="R601" s="41"/>
      <c r="U601" s="41"/>
      <c r="X601" s="41"/>
      <c r="Y601" s="41"/>
    </row>
    <row r="602" spans="15:25" x14ac:dyDescent="0.2">
      <c r="O602" s="41"/>
      <c r="R602" s="41"/>
      <c r="U602" s="41"/>
      <c r="X602" s="41"/>
      <c r="Y602" s="41"/>
    </row>
    <row r="603" spans="15:25" x14ac:dyDescent="0.2">
      <c r="O603" s="41"/>
      <c r="R603" s="41"/>
      <c r="U603" s="41"/>
      <c r="X603" s="41"/>
      <c r="Y603" s="41"/>
    </row>
    <row r="604" spans="15:25" x14ac:dyDescent="0.2">
      <c r="O604" s="41"/>
      <c r="R604" s="41"/>
      <c r="U604" s="41"/>
      <c r="X604" s="41"/>
      <c r="Y604" s="41"/>
    </row>
    <row r="605" spans="15:25" x14ac:dyDescent="0.2">
      <c r="O605" s="41"/>
      <c r="R605" s="41"/>
      <c r="U605" s="41"/>
      <c r="X605" s="41"/>
      <c r="Y605" s="41"/>
    </row>
    <row r="606" spans="15:25" x14ac:dyDescent="0.2">
      <c r="O606" s="41"/>
      <c r="R606" s="41"/>
      <c r="U606" s="41"/>
      <c r="X606" s="41"/>
      <c r="Y606" s="41"/>
    </row>
    <row r="607" spans="15:25" x14ac:dyDescent="0.2">
      <c r="O607" s="41"/>
      <c r="R607" s="41"/>
      <c r="U607" s="41"/>
      <c r="X607" s="41"/>
      <c r="Y607" s="41"/>
    </row>
    <row r="608" spans="15:25" x14ac:dyDescent="0.2">
      <c r="O608" s="41"/>
      <c r="R608" s="41"/>
      <c r="U608" s="41"/>
      <c r="X608" s="41"/>
      <c r="Y608" s="41"/>
    </row>
    <row r="609" spans="15:25" x14ac:dyDescent="0.2">
      <c r="O609" s="41"/>
      <c r="R609" s="41"/>
      <c r="U609" s="41"/>
      <c r="X609" s="41"/>
      <c r="Y609" s="41"/>
    </row>
    <row r="610" spans="15:25" x14ac:dyDescent="0.2">
      <c r="O610" s="41"/>
      <c r="R610" s="41"/>
      <c r="U610" s="41"/>
      <c r="X610" s="41"/>
      <c r="Y610" s="41"/>
    </row>
    <row r="611" spans="15:25" x14ac:dyDescent="0.2">
      <c r="O611" s="41"/>
      <c r="R611" s="41"/>
      <c r="U611" s="41"/>
      <c r="X611" s="41"/>
      <c r="Y611" s="41"/>
    </row>
    <row r="612" spans="15:25" x14ac:dyDescent="0.2">
      <c r="O612" s="41"/>
      <c r="R612" s="41"/>
      <c r="U612" s="41"/>
      <c r="X612" s="41"/>
      <c r="Y612" s="41"/>
    </row>
    <row r="613" spans="15:25" x14ac:dyDescent="0.2">
      <c r="O613" s="41"/>
      <c r="R613" s="41"/>
      <c r="U613" s="41"/>
      <c r="X613" s="41"/>
      <c r="Y613" s="41"/>
    </row>
    <row r="614" spans="15:25" x14ac:dyDescent="0.2">
      <c r="O614" s="41"/>
      <c r="R614" s="41"/>
      <c r="U614" s="41"/>
      <c r="X614" s="41"/>
      <c r="Y614" s="41"/>
    </row>
    <row r="615" spans="15:25" x14ac:dyDescent="0.2">
      <c r="O615" s="41"/>
      <c r="R615" s="41"/>
      <c r="U615" s="41"/>
      <c r="X615" s="41"/>
      <c r="Y615" s="41"/>
    </row>
    <row r="616" spans="15:25" x14ac:dyDescent="0.2">
      <c r="O616" s="41"/>
      <c r="R616" s="41"/>
      <c r="U616" s="41"/>
      <c r="X616" s="41"/>
      <c r="Y616" s="41"/>
    </row>
    <row r="617" spans="15:25" x14ac:dyDescent="0.2">
      <c r="O617" s="41"/>
      <c r="R617" s="41"/>
      <c r="U617" s="41"/>
      <c r="X617" s="41"/>
      <c r="Y617" s="41"/>
    </row>
    <row r="618" spans="15:25" x14ac:dyDescent="0.2">
      <c r="O618" s="41"/>
      <c r="R618" s="41"/>
      <c r="U618" s="41"/>
      <c r="X618" s="41"/>
      <c r="Y618" s="41"/>
    </row>
    <row r="619" spans="15:25" x14ac:dyDescent="0.2">
      <c r="O619" s="41"/>
      <c r="R619" s="41"/>
      <c r="U619" s="41"/>
      <c r="X619" s="41"/>
      <c r="Y619" s="41"/>
    </row>
    <row r="620" spans="15:25" x14ac:dyDescent="0.2">
      <c r="O620" s="41"/>
      <c r="R620" s="41"/>
      <c r="U620" s="41"/>
      <c r="X620" s="41"/>
      <c r="Y620" s="41"/>
    </row>
    <row r="621" spans="15:25" x14ac:dyDescent="0.2">
      <c r="O621" s="41"/>
      <c r="R621" s="41"/>
      <c r="U621" s="41"/>
      <c r="X621" s="41"/>
      <c r="Y621" s="41"/>
    </row>
    <row r="622" spans="15:25" x14ac:dyDescent="0.2">
      <c r="O622" s="41"/>
      <c r="R622" s="41"/>
      <c r="U622" s="41"/>
      <c r="X622" s="41"/>
      <c r="Y622" s="41"/>
    </row>
    <row r="623" spans="15:25" x14ac:dyDescent="0.2">
      <c r="O623" s="41"/>
      <c r="R623" s="41"/>
      <c r="U623" s="41"/>
      <c r="X623" s="41"/>
      <c r="Y623" s="41"/>
    </row>
    <row r="624" spans="15:25" x14ac:dyDescent="0.2">
      <c r="O624" s="41"/>
      <c r="R624" s="41"/>
      <c r="U624" s="41"/>
      <c r="X624" s="41"/>
      <c r="Y624" s="41"/>
    </row>
    <row r="625" spans="15:25" x14ac:dyDescent="0.2">
      <c r="O625" s="41"/>
      <c r="R625" s="41"/>
      <c r="U625" s="41"/>
      <c r="X625" s="41"/>
      <c r="Y625" s="41"/>
    </row>
    <row r="626" spans="15:25" x14ac:dyDescent="0.2">
      <c r="O626" s="41"/>
      <c r="R626" s="41"/>
      <c r="U626" s="41"/>
      <c r="X626" s="41"/>
      <c r="Y626" s="41"/>
    </row>
    <row r="627" spans="15:25" x14ac:dyDescent="0.2">
      <c r="O627" s="41"/>
      <c r="R627" s="41"/>
      <c r="U627" s="41"/>
      <c r="X627" s="41"/>
      <c r="Y627" s="41"/>
    </row>
    <row r="628" spans="15:25" x14ac:dyDescent="0.2">
      <c r="O628" s="41"/>
      <c r="R628" s="41"/>
      <c r="U628" s="41"/>
      <c r="X628" s="41"/>
      <c r="Y628" s="41"/>
    </row>
    <row r="629" spans="15:25" x14ac:dyDescent="0.2">
      <c r="O629" s="41"/>
      <c r="R629" s="41"/>
      <c r="U629" s="41"/>
      <c r="X629" s="41"/>
      <c r="Y629" s="41"/>
    </row>
    <row r="630" spans="15:25" x14ac:dyDescent="0.2">
      <c r="O630" s="41"/>
      <c r="R630" s="41"/>
      <c r="U630" s="41"/>
      <c r="X630" s="41"/>
      <c r="Y630" s="41"/>
    </row>
    <row r="631" spans="15:25" x14ac:dyDescent="0.2">
      <c r="O631" s="41"/>
      <c r="R631" s="41"/>
      <c r="U631" s="41"/>
      <c r="X631" s="41"/>
      <c r="Y631" s="41"/>
    </row>
    <row r="632" spans="15:25" x14ac:dyDescent="0.2">
      <c r="O632" s="41"/>
      <c r="R632" s="41"/>
      <c r="U632" s="41"/>
      <c r="X632" s="41"/>
      <c r="Y632" s="41"/>
    </row>
    <row r="633" spans="15:25" x14ac:dyDescent="0.2">
      <c r="O633" s="41"/>
      <c r="R633" s="41"/>
      <c r="U633" s="41"/>
      <c r="X633" s="41"/>
      <c r="Y633" s="41"/>
    </row>
    <row r="634" spans="15:25" x14ac:dyDescent="0.2">
      <c r="O634" s="41"/>
      <c r="R634" s="41"/>
      <c r="U634" s="41"/>
      <c r="X634" s="41"/>
      <c r="Y634" s="41"/>
    </row>
    <row r="635" spans="15:25" x14ac:dyDescent="0.2">
      <c r="O635" s="41"/>
      <c r="R635" s="41"/>
      <c r="U635" s="41"/>
      <c r="X635" s="41"/>
      <c r="Y635" s="41"/>
    </row>
    <row r="636" spans="15:25" x14ac:dyDescent="0.2">
      <c r="O636" s="41"/>
      <c r="R636" s="41"/>
      <c r="U636" s="41"/>
      <c r="X636" s="41"/>
      <c r="Y636" s="41"/>
    </row>
    <row r="637" spans="15:25" x14ac:dyDescent="0.2">
      <c r="O637" s="41"/>
      <c r="R637" s="41"/>
      <c r="U637" s="41"/>
      <c r="X637" s="41"/>
      <c r="Y637" s="41"/>
    </row>
    <row r="638" spans="15:25" x14ac:dyDescent="0.2">
      <c r="O638" s="41"/>
      <c r="R638" s="41"/>
      <c r="U638" s="41"/>
      <c r="X638" s="41"/>
      <c r="Y638" s="41"/>
    </row>
    <row r="639" spans="15:25" x14ac:dyDescent="0.2">
      <c r="O639" s="41"/>
      <c r="R639" s="41"/>
      <c r="U639" s="41"/>
      <c r="X639" s="41"/>
      <c r="Y639" s="41"/>
    </row>
    <row r="640" spans="15:25" x14ac:dyDescent="0.2">
      <c r="O640" s="41"/>
      <c r="R640" s="41"/>
      <c r="U640" s="41"/>
      <c r="X640" s="41"/>
      <c r="Y640" s="41"/>
    </row>
    <row r="641" spans="15:25" x14ac:dyDescent="0.2">
      <c r="O641" s="41"/>
      <c r="R641" s="41"/>
      <c r="U641" s="41"/>
      <c r="X641" s="41"/>
      <c r="Y641" s="41"/>
    </row>
    <row r="642" spans="15:25" x14ac:dyDescent="0.2">
      <c r="O642" s="41"/>
      <c r="R642" s="41"/>
      <c r="U642" s="41"/>
      <c r="X642" s="41"/>
      <c r="Y642" s="41"/>
    </row>
    <row r="643" spans="15:25" x14ac:dyDescent="0.2">
      <c r="O643" s="41"/>
      <c r="R643" s="41"/>
      <c r="U643" s="41"/>
      <c r="X643" s="41"/>
      <c r="Y643" s="41"/>
    </row>
    <row r="644" spans="15:25" x14ac:dyDescent="0.2">
      <c r="O644" s="41"/>
      <c r="R644" s="41"/>
      <c r="U644" s="41"/>
      <c r="X644" s="41"/>
      <c r="Y644" s="41"/>
    </row>
    <row r="645" spans="15:25" x14ac:dyDescent="0.2">
      <c r="O645" s="41"/>
      <c r="R645" s="41"/>
      <c r="U645" s="41"/>
      <c r="X645" s="41"/>
      <c r="Y645" s="41"/>
    </row>
    <row r="646" spans="15:25" x14ac:dyDescent="0.2">
      <c r="O646" s="41"/>
      <c r="R646" s="41"/>
      <c r="U646" s="41"/>
      <c r="X646" s="41"/>
      <c r="Y646" s="41"/>
    </row>
    <row r="647" spans="15:25" x14ac:dyDescent="0.2">
      <c r="O647" s="41"/>
      <c r="R647" s="41"/>
      <c r="U647" s="41"/>
      <c r="X647" s="41"/>
      <c r="Y647" s="41"/>
    </row>
    <row r="648" spans="15:25" x14ac:dyDescent="0.2">
      <c r="O648" s="41"/>
      <c r="R648" s="41"/>
      <c r="U648" s="41"/>
      <c r="X648" s="41"/>
      <c r="Y648" s="41"/>
    </row>
    <row r="649" spans="15:25" x14ac:dyDescent="0.2">
      <c r="O649" s="41"/>
      <c r="R649" s="41"/>
      <c r="U649" s="41"/>
      <c r="X649" s="41"/>
      <c r="Y649" s="41"/>
    </row>
    <row r="650" spans="15:25" x14ac:dyDescent="0.2">
      <c r="O650" s="41"/>
      <c r="R650" s="41"/>
      <c r="U650" s="41"/>
      <c r="X650" s="41"/>
      <c r="Y650" s="41"/>
    </row>
    <row r="651" spans="15:25" x14ac:dyDescent="0.2">
      <c r="O651" s="41"/>
      <c r="R651" s="41"/>
      <c r="U651" s="41"/>
      <c r="X651" s="41"/>
      <c r="Y651" s="41"/>
    </row>
    <row r="652" spans="15:25" x14ac:dyDescent="0.2">
      <c r="O652" s="41"/>
      <c r="R652" s="41"/>
      <c r="U652" s="41"/>
      <c r="X652" s="41"/>
      <c r="Y652" s="41"/>
    </row>
    <row r="653" spans="15:25" x14ac:dyDescent="0.2">
      <c r="O653" s="41"/>
      <c r="R653" s="41"/>
      <c r="U653" s="41"/>
      <c r="X653" s="41"/>
      <c r="Y653" s="41"/>
    </row>
    <row r="654" spans="15:25" x14ac:dyDescent="0.2">
      <c r="O654" s="41"/>
      <c r="R654" s="41"/>
      <c r="U654" s="41"/>
      <c r="X654" s="41"/>
      <c r="Y654" s="41"/>
    </row>
    <row r="655" spans="15:25" x14ac:dyDescent="0.2">
      <c r="O655" s="41"/>
      <c r="R655" s="41"/>
      <c r="U655" s="41"/>
      <c r="X655" s="41"/>
      <c r="Y655" s="41"/>
    </row>
    <row r="656" spans="15:25" x14ac:dyDescent="0.2">
      <c r="O656" s="41"/>
      <c r="R656" s="41"/>
      <c r="U656" s="41"/>
      <c r="X656" s="41"/>
      <c r="Y656" s="41"/>
    </row>
    <row r="657" spans="15:25" x14ac:dyDescent="0.2">
      <c r="O657" s="41"/>
      <c r="R657" s="41"/>
      <c r="U657" s="41"/>
      <c r="X657" s="41"/>
      <c r="Y657" s="41"/>
    </row>
    <row r="658" spans="15:25" x14ac:dyDescent="0.2">
      <c r="O658" s="41"/>
      <c r="R658" s="41"/>
      <c r="U658" s="41"/>
      <c r="X658" s="41"/>
      <c r="Y658" s="41"/>
    </row>
    <row r="659" spans="15:25" x14ac:dyDescent="0.2">
      <c r="O659" s="41"/>
      <c r="R659" s="41"/>
      <c r="U659" s="41"/>
      <c r="X659" s="41"/>
      <c r="Y659" s="41"/>
    </row>
    <row r="660" spans="15:25" x14ac:dyDescent="0.2">
      <c r="O660" s="41"/>
      <c r="R660" s="41"/>
      <c r="U660" s="41"/>
      <c r="X660" s="41"/>
      <c r="Y660" s="41"/>
    </row>
    <row r="661" spans="15:25" x14ac:dyDescent="0.2">
      <c r="O661" s="41"/>
      <c r="R661" s="41"/>
      <c r="U661" s="41"/>
      <c r="X661" s="41"/>
      <c r="Y661" s="41"/>
    </row>
    <row r="662" spans="15:25" x14ac:dyDescent="0.2">
      <c r="O662" s="41"/>
      <c r="R662" s="41"/>
      <c r="U662" s="41"/>
      <c r="X662" s="41"/>
      <c r="Y662" s="41"/>
    </row>
    <row r="663" spans="15:25" x14ac:dyDescent="0.2">
      <c r="O663" s="41"/>
      <c r="R663" s="41"/>
      <c r="U663" s="41"/>
      <c r="X663" s="41"/>
      <c r="Y663" s="41"/>
    </row>
    <row r="664" spans="15:25" x14ac:dyDescent="0.2">
      <c r="O664" s="41"/>
      <c r="R664" s="41"/>
      <c r="U664" s="41"/>
      <c r="X664" s="41"/>
      <c r="Y664" s="41"/>
    </row>
    <row r="665" spans="15:25" x14ac:dyDescent="0.2">
      <c r="O665" s="41"/>
      <c r="R665" s="41"/>
      <c r="U665" s="41"/>
      <c r="X665" s="41"/>
      <c r="Y665" s="41"/>
    </row>
    <row r="666" spans="15:25" x14ac:dyDescent="0.2">
      <c r="O666" s="41"/>
      <c r="R666" s="41"/>
      <c r="U666" s="41"/>
      <c r="X666" s="41"/>
      <c r="Y666" s="41"/>
    </row>
    <row r="667" spans="15:25" x14ac:dyDescent="0.2">
      <c r="O667" s="41"/>
      <c r="R667" s="41"/>
      <c r="U667" s="41"/>
      <c r="X667" s="41"/>
      <c r="Y667" s="41"/>
    </row>
    <row r="668" spans="15:25" x14ac:dyDescent="0.2">
      <c r="O668" s="41"/>
      <c r="R668" s="41"/>
      <c r="U668" s="41"/>
      <c r="X668" s="41"/>
      <c r="Y668" s="41"/>
    </row>
    <row r="669" spans="15:25" x14ac:dyDescent="0.2">
      <c r="O669" s="41"/>
      <c r="R669" s="41"/>
      <c r="U669" s="41"/>
      <c r="X669" s="41"/>
      <c r="Y669" s="41"/>
    </row>
    <row r="670" spans="15:25" x14ac:dyDescent="0.2">
      <c r="O670" s="41"/>
      <c r="R670" s="41"/>
      <c r="U670" s="41"/>
      <c r="X670" s="41"/>
      <c r="Y670" s="41"/>
    </row>
    <row r="671" spans="15:25" x14ac:dyDescent="0.2">
      <c r="O671" s="41"/>
      <c r="R671" s="41"/>
      <c r="U671" s="41"/>
      <c r="X671" s="41"/>
      <c r="Y671" s="41"/>
    </row>
    <row r="672" spans="15:25" x14ac:dyDescent="0.2">
      <c r="O672" s="41"/>
      <c r="R672" s="41"/>
      <c r="U672" s="41"/>
      <c r="X672" s="41"/>
      <c r="Y672" s="41"/>
    </row>
    <row r="673" spans="15:25" x14ac:dyDescent="0.2">
      <c r="O673" s="41"/>
      <c r="R673" s="41"/>
      <c r="U673" s="41"/>
      <c r="X673" s="41"/>
      <c r="Y673" s="41"/>
    </row>
    <row r="674" spans="15:25" x14ac:dyDescent="0.2">
      <c r="O674" s="41"/>
      <c r="R674" s="41"/>
      <c r="U674" s="41"/>
      <c r="X674" s="41"/>
      <c r="Y674" s="41"/>
    </row>
    <row r="675" spans="15:25" x14ac:dyDescent="0.2">
      <c r="O675" s="41"/>
      <c r="R675" s="41"/>
      <c r="U675" s="41"/>
      <c r="X675" s="41"/>
      <c r="Y675" s="41"/>
    </row>
    <row r="676" spans="15:25" x14ac:dyDescent="0.2">
      <c r="O676" s="41"/>
      <c r="R676" s="41"/>
      <c r="U676" s="41"/>
      <c r="X676" s="41"/>
      <c r="Y676" s="41"/>
    </row>
    <row r="677" spans="15:25" x14ac:dyDescent="0.2">
      <c r="O677" s="41"/>
      <c r="R677" s="41"/>
      <c r="U677" s="41"/>
      <c r="X677" s="41"/>
      <c r="Y677" s="41"/>
    </row>
    <row r="678" spans="15:25" x14ac:dyDescent="0.2">
      <c r="O678" s="41"/>
      <c r="R678" s="41"/>
      <c r="U678" s="41"/>
      <c r="X678" s="41"/>
      <c r="Y678" s="41"/>
    </row>
    <row r="679" spans="15:25" x14ac:dyDescent="0.2">
      <c r="O679" s="41"/>
      <c r="R679" s="41"/>
      <c r="U679" s="41"/>
      <c r="X679" s="41"/>
      <c r="Y679" s="41"/>
    </row>
    <row r="680" spans="15:25" x14ac:dyDescent="0.2">
      <c r="O680" s="41"/>
      <c r="R680" s="41"/>
      <c r="U680" s="41"/>
      <c r="X680" s="41"/>
      <c r="Y680" s="41"/>
    </row>
    <row r="681" spans="15:25" x14ac:dyDescent="0.2">
      <c r="O681" s="41"/>
      <c r="R681" s="41"/>
      <c r="U681" s="41"/>
      <c r="X681" s="41"/>
      <c r="Y681" s="41"/>
    </row>
    <row r="682" spans="15:25" x14ac:dyDescent="0.2">
      <c r="O682" s="41"/>
      <c r="R682" s="41"/>
      <c r="U682" s="41"/>
      <c r="X682" s="41"/>
      <c r="Y682" s="41"/>
    </row>
    <row r="683" spans="15:25" x14ac:dyDescent="0.2">
      <c r="O683" s="41"/>
      <c r="R683" s="41"/>
      <c r="U683" s="41"/>
      <c r="X683" s="41"/>
      <c r="Y683" s="41"/>
    </row>
    <row r="684" spans="15:25" x14ac:dyDescent="0.2">
      <c r="O684" s="41"/>
      <c r="R684" s="41"/>
      <c r="U684" s="41"/>
      <c r="X684" s="41"/>
      <c r="Y684" s="41"/>
    </row>
    <row r="685" spans="15:25" x14ac:dyDescent="0.2">
      <c r="O685" s="41"/>
      <c r="R685" s="41"/>
      <c r="U685" s="41"/>
      <c r="X685" s="41"/>
      <c r="Y685" s="41"/>
    </row>
    <row r="686" spans="15:25" x14ac:dyDescent="0.2">
      <c r="O686" s="41"/>
      <c r="R686" s="41"/>
      <c r="U686" s="41"/>
      <c r="X686" s="41"/>
      <c r="Y686" s="41"/>
    </row>
    <row r="687" spans="15:25" x14ac:dyDescent="0.2">
      <c r="O687" s="41"/>
      <c r="R687" s="41"/>
      <c r="U687" s="41"/>
      <c r="X687" s="41"/>
      <c r="Y687" s="41"/>
    </row>
    <row r="688" spans="15:25" x14ac:dyDescent="0.2">
      <c r="O688" s="41"/>
      <c r="R688" s="41"/>
      <c r="U688" s="41"/>
      <c r="X688" s="41"/>
      <c r="Y688" s="41"/>
    </row>
    <row r="689" spans="15:25" x14ac:dyDescent="0.2">
      <c r="O689" s="41"/>
      <c r="R689" s="41"/>
      <c r="U689" s="41"/>
      <c r="X689" s="41"/>
      <c r="Y689" s="41"/>
    </row>
    <row r="690" spans="15:25" x14ac:dyDescent="0.2">
      <c r="O690" s="41"/>
      <c r="R690" s="41"/>
      <c r="U690" s="41"/>
      <c r="X690" s="41"/>
      <c r="Y690" s="41"/>
    </row>
    <row r="691" spans="15:25" x14ac:dyDescent="0.2">
      <c r="O691" s="41"/>
      <c r="R691" s="41"/>
      <c r="U691" s="41"/>
      <c r="X691" s="41"/>
      <c r="Y691" s="41"/>
    </row>
    <row r="692" spans="15:25" x14ac:dyDescent="0.2">
      <c r="O692" s="41"/>
      <c r="R692" s="41"/>
      <c r="U692" s="41"/>
      <c r="X692" s="41"/>
      <c r="Y692" s="41"/>
    </row>
    <row r="693" spans="15:25" x14ac:dyDescent="0.2">
      <c r="O693" s="41"/>
      <c r="R693" s="41"/>
      <c r="U693" s="41"/>
      <c r="X693" s="41"/>
      <c r="Y693" s="41"/>
    </row>
    <row r="694" spans="15:25" x14ac:dyDescent="0.2">
      <c r="O694" s="41"/>
      <c r="R694" s="41"/>
      <c r="U694" s="41"/>
      <c r="X694" s="41"/>
      <c r="Y694" s="41"/>
    </row>
    <row r="695" spans="15:25" x14ac:dyDescent="0.2">
      <c r="O695" s="41"/>
      <c r="R695" s="41"/>
      <c r="U695" s="41"/>
      <c r="X695" s="41"/>
      <c r="Y695" s="41"/>
    </row>
    <row r="696" spans="15:25" x14ac:dyDescent="0.2">
      <c r="O696" s="41"/>
      <c r="R696" s="41"/>
      <c r="U696" s="41"/>
      <c r="X696" s="41"/>
      <c r="Y696" s="41"/>
    </row>
    <row r="697" spans="15:25" x14ac:dyDescent="0.2">
      <c r="O697" s="41"/>
      <c r="R697" s="41"/>
      <c r="U697" s="41"/>
      <c r="X697" s="41"/>
      <c r="Y697" s="41"/>
    </row>
    <row r="698" spans="15:25" x14ac:dyDescent="0.2">
      <c r="O698" s="41"/>
      <c r="R698" s="41"/>
      <c r="U698" s="41"/>
      <c r="X698" s="41"/>
      <c r="Y698" s="41"/>
    </row>
    <row r="699" spans="15:25" x14ac:dyDescent="0.2">
      <c r="O699" s="41"/>
      <c r="R699" s="41"/>
      <c r="U699" s="41"/>
      <c r="X699" s="41"/>
      <c r="Y699" s="41"/>
    </row>
    <row r="700" spans="15:25" x14ac:dyDescent="0.2">
      <c r="O700" s="41"/>
      <c r="R700" s="41"/>
      <c r="U700" s="41"/>
      <c r="X700" s="41"/>
      <c r="Y700" s="41"/>
    </row>
    <row r="701" spans="15:25" x14ac:dyDescent="0.2">
      <c r="O701" s="41"/>
      <c r="R701" s="41"/>
      <c r="U701" s="41"/>
      <c r="X701" s="41"/>
      <c r="Y701" s="41"/>
    </row>
    <row r="702" spans="15:25" x14ac:dyDescent="0.2">
      <c r="O702" s="41"/>
      <c r="R702" s="41"/>
      <c r="U702" s="41"/>
      <c r="X702" s="41"/>
      <c r="Y702" s="41"/>
    </row>
    <row r="703" spans="15:25" x14ac:dyDescent="0.2">
      <c r="O703" s="41"/>
      <c r="R703" s="41"/>
      <c r="U703" s="41"/>
      <c r="X703" s="41"/>
      <c r="Y703" s="41"/>
    </row>
    <row r="704" spans="15:25" x14ac:dyDescent="0.2">
      <c r="O704" s="41"/>
      <c r="R704" s="41"/>
      <c r="U704" s="41"/>
      <c r="X704" s="41"/>
      <c r="Y704" s="41"/>
    </row>
    <row r="705" spans="15:25" x14ac:dyDescent="0.2">
      <c r="O705" s="41"/>
      <c r="R705" s="41"/>
      <c r="U705" s="41"/>
      <c r="X705" s="41"/>
      <c r="Y705" s="41"/>
    </row>
    <row r="706" spans="15:25" x14ac:dyDescent="0.2">
      <c r="O706" s="41"/>
      <c r="R706" s="41"/>
      <c r="U706" s="41"/>
      <c r="X706" s="41"/>
      <c r="Y706" s="41"/>
    </row>
    <row r="707" spans="15:25" x14ac:dyDescent="0.2">
      <c r="O707" s="41"/>
      <c r="R707" s="41"/>
      <c r="U707" s="41"/>
      <c r="X707" s="41"/>
      <c r="Y707" s="41"/>
    </row>
    <row r="708" spans="15:25" x14ac:dyDescent="0.2">
      <c r="O708" s="41"/>
      <c r="R708" s="41"/>
      <c r="U708" s="41"/>
      <c r="X708" s="41"/>
      <c r="Y708" s="41"/>
    </row>
    <row r="709" spans="15:25" x14ac:dyDescent="0.2">
      <c r="O709" s="41"/>
      <c r="R709" s="41"/>
      <c r="U709" s="41"/>
      <c r="X709" s="41"/>
      <c r="Y709" s="41"/>
    </row>
    <row r="710" spans="15:25" x14ac:dyDescent="0.2">
      <c r="O710" s="41"/>
      <c r="R710" s="41"/>
      <c r="U710" s="41"/>
      <c r="X710" s="41"/>
      <c r="Y710" s="41"/>
    </row>
    <row r="711" spans="15:25" x14ac:dyDescent="0.2">
      <c r="O711" s="41"/>
      <c r="R711" s="41"/>
      <c r="U711" s="41"/>
      <c r="X711" s="41"/>
      <c r="Y711" s="41"/>
    </row>
    <row r="712" spans="15:25" x14ac:dyDescent="0.2">
      <c r="O712" s="41"/>
      <c r="R712" s="41"/>
      <c r="U712" s="41"/>
      <c r="X712" s="41"/>
      <c r="Y712" s="41"/>
    </row>
    <row r="713" spans="15:25" x14ac:dyDescent="0.2">
      <c r="O713" s="41"/>
      <c r="R713" s="41"/>
      <c r="U713" s="41"/>
      <c r="X713" s="41"/>
      <c r="Y713" s="41"/>
    </row>
    <row r="714" spans="15:25" x14ac:dyDescent="0.2">
      <c r="O714" s="41"/>
      <c r="R714" s="41"/>
      <c r="U714" s="41"/>
      <c r="X714" s="41"/>
      <c r="Y714" s="41"/>
    </row>
    <row r="715" spans="15:25" x14ac:dyDescent="0.2">
      <c r="O715" s="41"/>
      <c r="R715" s="41"/>
      <c r="U715" s="41"/>
      <c r="X715" s="41"/>
      <c r="Y715" s="41"/>
    </row>
    <row r="716" spans="15:25" x14ac:dyDescent="0.2">
      <c r="O716" s="41"/>
      <c r="R716" s="41"/>
      <c r="U716" s="41"/>
      <c r="X716" s="41"/>
      <c r="Y716" s="41"/>
    </row>
    <row r="717" spans="15:25" x14ac:dyDescent="0.2">
      <c r="O717" s="41"/>
      <c r="R717" s="41"/>
      <c r="U717" s="41"/>
      <c r="X717" s="41"/>
      <c r="Y717" s="41"/>
    </row>
    <row r="718" spans="15:25" x14ac:dyDescent="0.2">
      <c r="O718" s="41"/>
      <c r="R718" s="41"/>
      <c r="U718" s="41"/>
      <c r="X718" s="41"/>
      <c r="Y718" s="41"/>
    </row>
    <row r="719" spans="15:25" x14ac:dyDescent="0.2">
      <c r="O719" s="41"/>
      <c r="R719" s="41"/>
      <c r="U719" s="41"/>
      <c r="X719" s="41"/>
      <c r="Y719" s="41"/>
    </row>
    <row r="720" spans="15:25" x14ac:dyDescent="0.2">
      <c r="O720" s="41"/>
      <c r="R720" s="41"/>
      <c r="U720" s="41"/>
      <c r="X720" s="41"/>
      <c r="Y720" s="41"/>
    </row>
    <row r="721" spans="15:25" x14ac:dyDescent="0.2">
      <c r="O721" s="41"/>
      <c r="R721" s="41"/>
      <c r="U721" s="41"/>
      <c r="X721" s="41"/>
      <c r="Y721" s="41"/>
    </row>
    <row r="722" spans="15:25" x14ac:dyDescent="0.2">
      <c r="O722" s="41"/>
      <c r="R722" s="41"/>
      <c r="U722" s="41"/>
      <c r="X722" s="41"/>
      <c r="Y722" s="41"/>
    </row>
    <row r="723" spans="15:25" x14ac:dyDescent="0.2">
      <c r="O723" s="41"/>
      <c r="R723" s="41"/>
      <c r="U723" s="41"/>
      <c r="X723" s="41"/>
      <c r="Y723" s="41"/>
    </row>
    <row r="724" spans="15:25" x14ac:dyDescent="0.2">
      <c r="O724" s="41"/>
      <c r="R724" s="41"/>
      <c r="U724" s="41"/>
      <c r="X724" s="41"/>
      <c r="Y724" s="41"/>
    </row>
    <row r="725" spans="15:25" x14ac:dyDescent="0.2">
      <c r="O725" s="41"/>
      <c r="R725" s="41"/>
      <c r="U725" s="41"/>
      <c r="X725" s="41"/>
      <c r="Y725" s="41"/>
    </row>
    <row r="726" spans="15:25" x14ac:dyDescent="0.2">
      <c r="O726" s="41"/>
      <c r="R726" s="41"/>
      <c r="U726" s="41"/>
      <c r="X726" s="41"/>
      <c r="Y726" s="41"/>
    </row>
    <row r="727" spans="15:25" x14ac:dyDescent="0.2">
      <c r="O727" s="41"/>
      <c r="R727" s="41"/>
      <c r="U727" s="41"/>
      <c r="X727" s="41"/>
      <c r="Y727" s="41"/>
    </row>
    <row r="728" spans="15:25" x14ac:dyDescent="0.2">
      <c r="O728" s="41"/>
      <c r="R728" s="41"/>
      <c r="U728" s="41"/>
      <c r="X728" s="41"/>
      <c r="Y728" s="41"/>
    </row>
    <row r="729" spans="15:25" x14ac:dyDescent="0.2">
      <c r="O729" s="41"/>
      <c r="R729" s="41"/>
      <c r="U729" s="41"/>
      <c r="X729" s="41"/>
      <c r="Y729" s="41"/>
    </row>
    <row r="730" spans="15:25" x14ac:dyDescent="0.2">
      <c r="O730" s="41"/>
      <c r="R730" s="41"/>
      <c r="U730" s="41"/>
      <c r="X730" s="41"/>
      <c r="Y730" s="41"/>
    </row>
    <row r="731" spans="15:25" x14ac:dyDescent="0.2">
      <c r="O731" s="41"/>
      <c r="R731" s="41"/>
      <c r="U731" s="41"/>
      <c r="X731" s="41"/>
      <c r="Y731" s="41"/>
    </row>
    <row r="732" spans="15:25" x14ac:dyDescent="0.2">
      <c r="O732" s="41"/>
      <c r="R732" s="41"/>
      <c r="U732" s="41"/>
      <c r="X732" s="41"/>
      <c r="Y732" s="41"/>
    </row>
    <row r="733" spans="15:25" x14ac:dyDescent="0.2">
      <c r="O733" s="41"/>
      <c r="R733" s="41"/>
      <c r="U733" s="41"/>
      <c r="X733" s="41"/>
      <c r="Y733" s="41"/>
    </row>
    <row r="734" spans="15:25" x14ac:dyDescent="0.2">
      <c r="O734" s="41"/>
      <c r="R734" s="41"/>
      <c r="U734" s="41"/>
      <c r="X734" s="41"/>
      <c r="Y734" s="41"/>
    </row>
    <row r="735" spans="15:25" x14ac:dyDescent="0.2">
      <c r="O735" s="41"/>
      <c r="R735" s="41"/>
      <c r="U735" s="41"/>
      <c r="X735" s="41"/>
      <c r="Y735" s="41"/>
    </row>
    <row r="736" spans="15:25" x14ac:dyDescent="0.2">
      <c r="O736" s="41"/>
      <c r="R736" s="41"/>
      <c r="U736" s="41"/>
      <c r="X736" s="41"/>
      <c r="Y736" s="41"/>
    </row>
    <row r="737" spans="15:25" x14ac:dyDescent="0.2">
      <c r="O737" s="41"/>
      <c r="R737" s="41"/>
      <c r="U737" s="41"/>
      <c r="X737" s="41"/>
      <c r="Y737" s="41"/>
    </row>
    <row r="738" spans="15:25" x14ac:dyDescent="0.2">
      <c r="O738" s="41"/>
      <c r="R738" s="41"/>
      <c r="U738" s="41"/>
      <c r="X738" s="41"/>
      <c r="Y738" s="41"/>
    </row>
    <row r="739" spans="15:25" x14ac:dyDescent="0.2">
      <c r="O739" s="41"/>
      <c r="R739" s="41"/>
      <c r="U739" s="41"/>
      <c r="X739" s="41"/>
      <c r="Y739" s="41"/>
    </row>
    <row r="740" spans="15:25" x14ac:dyDescent="0.2">
      <c r="O740" s="41"/>
      <c r="R740" s="41"/>
      <c r="U740" s="41"/>
      <c r="X740" s="41"/>
      <c r="Y740" s="41"/>
    </row>
    <row r="741" spans="15:25" x14ac:dyDescent="0.2">
      <c r="O741" s="41"/>
      <c r="R741" s="41"/>
      <c r="U741" s="41"/>
      <c r="X741" s="41"/>
      <c r="Y741" s="41"/>
    </row>
    <row r="742" spans="15:25" x14ac:dyDescent="0.2">
      <c r="O742" s="41"/>
      <c r="R742" s="41"/>
      <c r="U742" s="41"/>
      <c r="X742" s="41"/>
      <c r="Y742" s="41"/>
    </row>
    <row r="743" spans="15:25" x14ac:dyDescent="0.2">
      <c r="O743" s="41"/>
      <c r="R743" s="41"/>
      <c r="U743" s="41"/>
      <c r="X743" s="41"/>
      <c r="Y743" s="41"/>
    </row>
    <row r="744" spans="15:25" x14ac:dyDescent="0.2">
      <c r="O744" s="41"/>
      <c r="R744" s="41"/>
      <c r="U744" s="41"/>
      <c r="X744" s="41"/>
      <c r="Y744" s="41"/>
    </row>
    <row r="745" spans="15:25" x14ac:dyDescent="0.2">
      <c r="O745" s="41"/>
      <c r="R745" s="41"/>
      <c r="U745" s="41"/>
      <c r="X745" s="41"/>
      <c r="Y745" s="41"/>
    </row>
    <row r="746" spans="15:25" x14ac:dyDescent="0.2">
      <c r="O746" s="41"/>
      <c r="R746" s="41"/>
      <c r="U746" s="41"/>
      <c r="X746" s="41"/>
      <c r="Y746" s="41"/>
    </row>
    <row r="747" spans="15:25" x14ac:dyDescent="0.2">
      <c r="O747" s="41"/>
      <c r="R747" s="41"/>
      <c r="U747" s="41"/>
      <c r="X747" s="41"/>
      <c r="Y747" s="41"/>
    </row>
    <row r="748" spans="15:25" x14ac:dyDescent="0.2">
      <c r="O748" s="41"/>
      <c r="R748" s="41"/>
      <c r="U748" s="41"/>
      <c r="X748" s="41"/>
      <c r="Y748" s="41"/>
    </row>
    <row r="749" spans="15:25" x14ac:dyDescent="0.2">
      <c r="O749" s="41"/>
      <c r="R749" s="41"/>
      <c r="U749" s="41"/>
      <c r="X749" s="41"/>
      <c r="Y749" s="41"/>
    </row>
    <row r="750" spans="15:25" x14ac:dyDescent="0.2">
      <c r="O750" s="41"/>
      <c r="R750" s="41"/>
      <c r="U750" s="41"/>
      <c r="X750" s="41"/>
      <c r="Y750" s="41"/>
    </row>
    <row r="751" spans="15:25" x14ac:dyDescent="0.2">
      <c r="O751" s="41"/>
      <c r="R751" s="41"/>
      <c r="U751" s="41"/>
      <c r="X751" s="41"/>
      <c r="Y751" s="41"/>
    </row>
    <row r="752" spans="15:25" x14ac:dyDescent="0.2">
      <c r="O752" s="41"/>
      <c r="R752" s="41"/>
      <c r="U752" s="41"/>
      <c r="X752" s="41"/>
      <c r="Y752" s="41"/>
    </row>
    <row r="753" spans="15:25" x14ac:dyDescent="0.2">
      <c r="O753" s="41"/>
      <c r="R753" s="41"/>
      <c r="U753" s="41"/>
      <c r="X753" s="41"/>
      <c r="Y753" s="41"/>
    </row>
    <row r="754" spans="15:25" x14ac:dyDescent="0.2">
      <c r="O754" s="41"/>
      <c r="R754" s="41"/>
      <c r="U754" s="41"/>
      <c r="X754" s="41"/>
      <c r="Y754" s="41"/>
    </row>
    <row r="755" spans="15:25" x14ac:dyDescent="0.2">
      <c r="O755" s="41"/>
      <c r="R755" s="41"/>
      <c r="U755" s="41"/>
      <c r="X755" s="41"/>
      <c r="Y755" s="41"/>
    </row>
    <row r="756" spans="15:25" x14ac:dyDescent="0.2">
      <c r="O756" s="41"/>
      <c r="R756" s="41"/>
      <c r="U756" s="41"/>
      <c r="X756" s="41"/>
      <c r="Y756" s="41"/>
    </row>
    <row r="757" spans="15:25" x14ac:dyDescent="0.2">
      <c r="O757" s="41"/>
      <c r="R757" s="41"/>
      <c r="U757" s="41"/>
      <c r="X757" s="41"/>
      <c r="Y757" s="41"/>
    </row>
    <row r="758" spans="15:25" x14ac:dyDescent="0.2">
      <c r="O758" s="41"/>
      <c r="R758" s="41"/>
      <c r="U758" s="41"/>
      <c r="X758" s="41"/>
      <c r="Y758" s="41"/>
    </row>
    <row r="759" spans="15:25" x14ac:dyDescent="0.2">
      <c r="O759" s="41"/>
      <c r="R759" s="41"/>
      <c r="U759" s="41"/>
      <c r="X759" s="41"/>
      <c r="Y759" s="41"/>
    </row>
    <row r="760" spans="15:25" x14ac:dyDescent="0.2">
      <c r="O760" s="41"/>
      <c r="R760" s="41"/>
      <c r="U760" s="41"/>
      <c r="X760" s="41"/>
      <c r="Y760" s="41"/>
    </row>
    <row r="761" spans="15:25" x14ac:dyDescent="0.2">
      <c r="O761" s="41"/>
      <c r="R761" s="41"/>
      <c r="U761" s="41"/>
      <c r="X761" s="41"/>
      <c r="Y761" s="41"/>
    </row>
    <row r="762" spans="15:25" x14ac:dyDescent="0.2">
      <c r="O762" s="41"/>
      <c r="R762" s="41"/>
      <c r="U762" s="41"/>
      <c r="X762" s="41"/>
      <c r="Y762" s="41"/>
    </row>
    <row r="763" spans="15:25" x14ac:dyDescent="0.2">
      <c r="O763" s="41"/>
      <c r="R763" s="41"/>
      <c r="U763" s="41"/>
      <c r="X763" s="41"/>
      <c r="Y763" s="41"/>
    </row>
    <row r="764" spans="15:25" x14ac:dyDescent="0.2">
      <c r="O764" s="41"/>
      <c r="R764" s="41"/>
      <c r="U764" s="41"/>
      <c r="X764" s="41"/>
      <c r="Y764" s="41"/>
    </row>
    <row r="765" spans="15:25" x14ac:dyDescent="0.2">
      <c r="O765" s="41"/>
      <c r="R765" s="41"/>
      <c r="U765" s="41"/>
      <c r="X765" s="41"/>
      <c r="Y765" s="41"/>
    </row>
    <row r="766" spans="15:25" x14ac:dyDescent="0.2">
      <c r="O766" s="41"/>
      <c r="R766" s="41"/>
      <c r="U766" s="41"/>
      <c r="X766" s="41"/>
      <c r="Y766" s="41"/>
    </row>
    <row r="767" spans="15:25" x14ac:dyDescent="0.2">
      <c r="O767" s="41"/>
      <c r="R767" s="41"/>
      <c r="U767" s="41"/>
      <c r="X767" s="41"/>
      <c r="Y767" s="41"/>
    </row>
    <row r="768" spans="15:25" x14ac:dyDescent="0.2">
      <c r="O768" s="41"/>
      <c r="R768" s="41"/>
      <c r="U768" s="41"/>
      <c r="X768" s="41"/>
      <c r="Y768" s="41"/>
    </row>
    <row r="769" spans="15:25" x14ac:dyDescent="0.2">
      <c r="O769" s="41"/>
      <c r="R769" s="41"/>
      <c r="U769" s="41"/>
      <c r="X769" s="41"/>
      <c r="Y769" s="41"/>
    </row>
    <row r="770" spans="15:25" x14ac:dyDescent="0.2">
      <c r="O770" s="41"/>
      <c r="R770" s="41"/>
      <c r="U770" s="41"/>
      <c r="X770" s="41"/>
      <c r="Y770" s="41"/>
    </row>
    <row r="771" spans="15:25" x14ac:dyDescent="0.2">
      <c r="O771" s="41"/>
      <c r="R771" s="41"/>
      <c r="U771" s="41"/>
      <c r="X771" s="41"/>
      <c r="Y771" s="41"/>
    </row>
    <row r="772" spans="15:25" x14ac:dyDescent="0.2">
      <c r="O772" s="41"/>
      <c r="R772" s="41"/>
      <c r="U772" s="41"/>
      <c r="X772" s="41"/>
      <c r="Y772" s="41"/>
    </row>
    <row r="773" spans="15:25" x14ac:dyDescent="0.2">
      <c r="O773" s="41"/>
      <c r="R773" s="41"/>
      <c r="U773" s="41"/>
      <c r="X773" s="41"/>
      <c r="Y773" s="41"/>
    </row>
    <row r="774" spans="15:25" x14ac:dyDescent="0.2">
      <c r="O774" s="41"/>
      <c r="R774" s="41"/>
      <c r="U774" s="41"/>
      <c r="X774" s="41"/>
      <c r="Y774" s="41"/>
    </row>
    <row r="775" spans="15:25" x14ac:dyDescent="0.2">
      <c r="O775" s="41"/>
      <c r="R775" s="41"/>
      <c r="U775" s="41"/>
      <c r="X775" s="41"/>
      <c r="Y775" s="41"/>
    </row>
    <row r="776" spans="15:25" x14ac:dyDescent="0.2">
      <c r="O776" s="41"/>
      <c r="R776" s="41"/>
      <c r="U776" s="41"/>
      <c r="X776" s="41"/>
      <c r="Y776" s="41"/>
    </row>
    <row r="777" spans="15:25" x14ac:dyDescent="0.2">
      <c r="O777" s="41"/>
      <c r="R777" s="41"/>
      <c r="U777" s="41"/>
      <c r="X777" s="41"/>
      <c r="Y777" s="41"/>
    </row>
    <row r="778" spans="15:25" x14ac:dyDescent="0.2">
      <c r="O778" s="41"/>
      <c r="R778" s="41"/>
      <c r="U778" s="41"/>
      <c r="X778" s="41"/>
      <c r="Y778" s="41"/>
    </row>
    <row r="779" spans="15:25" x14ac:dyDescent="0.2">
      <c r="O779" s="41"/>
      <c r="R779" s="41"/>
      <c r="U779" s="41"/>
      <c r="X779" s="41"/>
      <c r="Y779" s="41"/>
    </row>
    <row r="780" spans="15:25" x14ac:dyDescent="0.2">
      <c r="O780" s="41"/>
      <c r="R780" s="41"/>
      <c r="U780" s="41"/>
      <c r="X780" s="41"/>
      <c r="Y780" s="41"/>
    </row>
    <row r="781" spans="15:25" x14ac:dyDescent="0.2">
      <c r="O781" s="41"/>
      <c r="R781" s="41"/>
      <c r="U781" s="41"/>
      <c r="X781" s="41"/>
      <c r="Y781" s="41"/>
    </row>
    <row r="782" spans="15:25" x14ac:dyDescent="0.2">
      <c r="O782" s="41"/>
      <c r="R782" s="41"/>
      <c r="U782" s="41"/>
      <c r="X782" s="41"/>
      <c r="Y782" s="41"/>
    </row>
    <row r="783" spans="15:25" x14ac:dyDescent="0.2">
      <c r="O783" s="41"/>
      <c r="R783" s="41"/>
      <c r="U783" s="41"/>
      <c r="X783" s="41"/>
      <c r="Y783" s="41"/>
    </row>
    <row r="784" spans="15:25" x14ac:dyDescent="0.2">
      <c r="O784" s="41"/>
      <c r="R784" s="41"/>
      <c r="U784" s="41"/>
      <c r="X784" s="41"/>
      <c r="Y784" s="41"/>
    </row>
    <row r="785" spans="15:25" x14ac:dyDescent="0.2">
      <c r="O785" s="41"/>
      <c r="R785" s="41"/>
      <c r="U785" s="41"/>
      <c r="X785" s="41"/>
      <c r="Y785" s="41"/>
    </row>
    <row r="786" spans="15:25" x14ac:dyDescent="0.2">
      <c r="O786" s="41"/>
      <c r="R786" s="41"/>
      <c r="U786" s="41"/>
      <c r="X786" s="41"/>
      <c r="Y786" s="41"/>
    </row>
    <row r="787" spans="15:25" x14ac:dyDescent="0.2">
      <c r="O787" s="41"/>
      <c r="R787" s="41"/>
      <c r="U787" s="41"/>
      <c r="X787" s="41"/>
      <c r="Y787" s="41"/>
    </row>
    <row r="788" spans="15:25" x14ac:dyDescent="0.2">
      <c r="O788" s="41"/>
      <c r="R788" s="41"/>
      <c r="U788" s="41"/>
      <c r="X788" s="41"/>
      <c r="Y788" s="41"/>
    </row>
    <row r="789" spans="15:25" x14ac:dyDescent="0.2">
      <c r="O789" s="41"/>
      <c r="R789" s="41"/>
      <c r="U789" s="41"/>
      <c r="X789" s="41"/>
      <c r="Y789" s="41"/>
    </row>
    <row r="790" spans="15:25" x14ac:dyDescent="0.2">
      <c r="O790" s="41"/>
      <c r="R790" s="41"/>
      <c r="U790" s="41"/>
      <c r="X790" s="41"/>
      <c r="Y790" s="41"/>
    </row>
    <row r="791" spans="15:25" x14ac:dyDescent="0.2">
      <c r="O791" s="41"/>
      <c r="R791" s="41"/>
      <c r="U791" s="41"/>
      <c r="X791" s="41"/>
      <c r="Y791" s="41"/>
    </row>
    <row r="792" spans="15:25" x14ac:dyDescent="0.2">
      <c r="O792" s="41"/>
      <c r="R792" s="41"/>
      <c r="U792" s="41"/>
      <c r="X792" s="41"/>
      <c r="Y792" s="41"/>
    </row>
    <row r="793" spans="15:25" x14ac:dyDescent="0.2">
      <c r="O793" s="41"/>
      <c r="R793" s="41"/>
      <c r="U793" s="41"/>
      <c r="X793" s="41"/>
      <c r="Y793" s="41"/>
    </row>
    <row r="794" spans="15:25" x14ac:dyDescent="0.2">
      <c r="O794" s="41"/>
      <c r="R794" s="41"/>
      <c r="U794" s="41"/>
      <c r="X794" s="41"/>
      <c r="Y794" s="41"/>
    </row>
    <row r="795" spans="15:25" x14ac:dyDescent="0.2">
      <c r="O795" s="41"/>
      <c r="R795" s="41"/>
      <c r="U795" s="41"/>
      <c r="X795" s="41"/>
      <c r="Y795" s="41"/>
    </row>
    <row r="796" spans="15:25" x14ac:dyDescent="0.2">
      <c r="O796" s="41"/>
      <c r="R796" s="41"/>
      <c r="U796" s="41"/>
      <c r="X796" s="41"/>
      <c r="Y796" s="41"/>
    </row>
    <row r="797" spans="15:25" x14ac:dyDescent="0.2">
      <c r="O797" s="41"/>
      <c r="R797" s="41"/>
      <c r="U797" s="41"/>
      <c r="X797" s="41"/>
      <c r="Y797" s="41"/>
    </row>
    <row r="798" spans="15:25" x14ac:dyDescent="0.2">
      <c r="O798" s="41"/>
      <c r="R798" s="41"/>
      <c r="U798" s="41"/>
      <c r="X798" s="41"/>
      <c r="Y798" s="41"/>
    </row>
    <row r="799" spans="15:25" x14ac:dyDescent="0.2">
      <c r="O799" s="41"/>
      <c r="R799" s="41"/>
      <c r="U799" s="41"/>
      <c r="X799" s="41"/>
      <c r="Y799" s="41"/>
    </row>
    <row r="800" spans="15:25" x14ac:dyDescent="0.2">
      <c r="O800" s="41"/>
      <c r="R800" s="41"/>
      <c r="U800" s="41"/>
      <c r="X800" s="41"/>
      <c r="Y800" s="41"/>
    </row>
    <row r="801" spans="15:25" x14ac:dyDescent="0.2">
      <c r="O801" s="41"/>
      <c r="R801" s="41"/>
      <c r="U801" s="41"/>
      <c r="X801" s="41"/>
      <c r="Y801" s="41"/>
    </row>
    <row r="802" spans="15:25" x14ac:dyDescent="0.2">
      <c r="O802" s="41"/>
      <c r="R802" s="41"/>
      <c r="U802" s="41"/>
      <c r="X802" s="41"/>
      <c r="Y802" s="41"/>
    </row>
    <row r="803" spans="15:25" x14ac:dyDescent="0.2">
      <c r="O803" s="41"/>
      <c r="R803" s="41"/>
      <c r="U803" s="41"/>
      <c r="X803" s="41"/>
      <c r="Y803" s="41"/>
    </row>
    <row r="804" spans="15:25" x14ac:dyDescent="0.2">
      <c r="O804" s="41"/>
      <c r="R804" s="41"/>
      <c r="U804" s="41"/>
      <c r="X804" s="41"/>
      <c r="Y804" s="41"/>
    </row>
    <row r="805" spans="15:25" x14ac:dyDescent="0.2">
      <c r="O805" s="41"/>
      <c r="R805" s="41"/>
      <c r="U805" s="41"/>
      <c r="X805" s="41"/>
      <c r="Y805" s="41"/>
    </row>
    <row r="806" spans="15:25" x14ac:dyDescent="0.2">
      <c r="O806" s="41"/>
      <c r="R806" s="41"/>
      <c r="U806" s="41"/>
      <c r="X806" s="41"/>
      <c r="Y806" s="41"/>
    </row>
    <row r="807" spans="15:25" x14ac:dyDescent="0.2">
      <c r="O807" s="41"/>
      <c r="R807" s="41"/>
      <c r="U807" s="41"/>
      <c r="X807" s="41"/>
      <c r="Y807" s="41"/>
    </row>
    <row r="808" spans="15:25" x14ac:dyDescent="0.2">
      <c r="O808" s="41"/>
      <c r="R808" s="41"/>
      <c r="U808" s="41"/>
      <c r="X808" s="41"/>
      <c r="Y808" s="41"/>
    </row>
    <row r="809" spans="15:25" x14ac:dyDescent="0.2">
      <c r="O809" s="41"/>
      <c r="R809" s="41"/>
      <c r="U809" s="41"/>
      <c r="X809" s="41"/>
      <c r="Y809" s="41"/>
    </row>
    <row r="810" spans="15:25" x14ac:dyDescent="0.2">
      <c r="O810" s="41"/>
      <c r="R810" s="41"/>
      <c r="U810" s="41"/>
      <c r="X810" s="41"/>
      <c r="Y810" s="41"/>
    </row>
    <row r="811" spans="15:25" x14ac:dyDescent="0.2">
      <c r="O811" s="41"/>
      <c r="R811" s="41"/>
      <c r="U811" s="41"/>
      <c r="X811" s="41"/>
      <c r="Y811" s="41"/>
    </row>
    <row r="812" spans="15:25" x14ac:dyDescent="0.2">
      <c r="O812" s="41"/>
      <c r="R812" s="41"/>
      <c r="U812" s="41"/>
      <c r="X812" s="41"/>
      <c r="Y812" s="41"/>
    </row>
    <row r="813" spans="15:25" x14ac:dyDescent="0.2">
      <c r="O813" s="41"/>
      <c r="R813" s="41"/>
      <c r="U813" s="41"/>
      <c r="X813" s="41"/>
      <c r="Y813" s="41"/>
    </row>
    <row r="814" spans="15:25" x14ac:dyDescent="0.2">
      <c r="O814" s="41"/>
      <c r="R814" s="41"/>
      <c r="U814" s="41"/>
      <c r="X814" s="41"/>
      <c r="Y814" s="41"/>
    </row>
    <row r="815" spans="15:25" x14ac:dyDescent="0.2">
      <c r="O815" s="41"/>
      <c r="R815" s="41"/>
      <c r="U815" s="41"/>
      <c r="X815" s="41"/>
      <c r="Y815" s="41"/>
    </row>
    <row r="816" spans="15:25" x14ac:dyDescent="0.2">
      <c r="O816" s="41"/>
      <c r="R816" s="41"/>
      <c r="U816" s="41"/>
      <c r="X816" s="41"/>
      <c r="Y816" s="41"/>
    </row>
    <row r="817" spans="15:25" x14ac:dyDescent="0.2">
      <c r="O817" s="41"/>
      <c r="R817" s="41"/>
      <c r="U817" s="41"/>
      <c r="X817" s="41"/>
      <c r="Y817" s="41"/>
    </row>
    <row r="818" spans="15:25" x14ac:dyDescent="0.2">
      <c r="O818" s="41"/>
      <c r="R818" s="41"/>
      <c r="U818" s="41"/>
      <c r="X818" s="41"/>
      <c r="Y818" s="41"/>
    </row>
    <row r="819" spans="15:25" x14ac:dyDescent="0.2">
      <c r="O819" s="41"/>
      <c r="R819" s="41"/>
      <c r="U819" s="41"/>
      <c r="X819" s="41"/>
      <c r="Y819" s="41"/>
    </row>
    <row r="820" spans="15:25" x14ac:dyDescent="0.2">
      <c r="O820" s="41"/>
      <c r="R820" s="41"/>
      <c r="U820" s="41"/>
      <c r="X820" s="41"/>
      <c r="Y820" s="41"/>
    </row>
    <row r="821" spans="15:25" x14ac:dyDescent="0.2">
      <c r="O821" s="41"/>
      <c r="R821" s="41"/>
      <c r="U821" s="41"/>
      <c r="X821" s="41"/>
      <c r="Y821" s="41"/>
    </row>
    <row r="822" spans="15:25" x14ac:dyDescent="0.2">
      <c r="O822" s="41"/>
      <c r="R822" s="41"/>
      <c r="U822" s="41"/>
      <c r="X822" s="41"/>
      <c r="Y822" s="41"/>
    </row>
    <row r="823" spans="15:25" x14ac:dyDescent="0.2">
      <c r="O823" s="41"/>
      <c r="R823" s="41"/>
      <c r="U823" s="41"/>
      <c r="X823" s="41"/>
      <c r="Y823" s="41"/>
    </row>
    <row r="824" spans="15:25" x14ac:dyDescent="0.2">
      <c r="O824" s="41"/>
      <c r="R824" s="41"/>
      <c r="U824" s="41"/>
      <c r="X824" s="41"/>
      <c r="Y824" s="41"/>
    </row>
    <row r="825" spans="15:25" x14ac:dyDescent="0.2">
      <c r="O825" s="41"/>
      <c r="R825" s="41"/>
      <c r="U825" s="41"/>
      <c r="X825" s="41"/>
      <c r="Y825" s="41"/>
    </row>
    <row r="826" spans="15:25" x14ac:dyDescent="0.2">
      <c r="O826" s="41"/>
      <c r="R826" s="41"/>
      <c r="U826" s="41"/>
      <c r="X826" s="41"/>
      <c r="Y826" s="41"/>
    </row>
    <row r="827" spans="15:25" x14ac:dyDescent="0.2">
      <c r="O827" s="41"/>
      <c r="R827" s="41"/>
      <c r="U827" s="41"/>
      <c r="X827" s="41"/>
      <c r="Y827" s="41"/>
    </row>
    <row r="828" spans="15:25" x14ac:dyDescent="0.2">
      <c r="O828" s="41"/>
      <c r="R828" s="41"/>
      <c r="U828" s="41"/>
      <c r="X828" s="41"/>
      <c r="Y828" s="41"/>
    </row>
    <row r="829" spans="15:25" x14ac:dyDescent="0.2">
      <c r="O829" s="41"/>
      <c r="R829" s="41"/>
      <c r="U829" s="41"/>
      <c r="X829" s="41"/>
      <c r="Y829" s="41"/>
    </row>
    <row r="830" spans="15:25" x14ac:dyDescent="0.2">
      <c r="O830" s="41"/>
      <c r="R830" s="41"/>
      <c r="U830" s="41"/>
      <c r="X830" s="41"/>
      <c r="Y830" s="41"/>
    </row>
    <row r="831" spans="15:25" x14ac:dyDescent="0.2">
      <c r="O831" s="41"/>
      <c r="R831" s="41"/>
      <c r="U831" s="41"/>
      <c r="X831" s="41"/>
      <c r="Y831" s="41"/>
    </row>
    <row r="832" spans="15:25" x14ac:dyDescent="0.2">
      <c r="O832" s="41"/>
      <c r="R832" s="41"/>
      <c r="U832" s="41"/>
      <c r="X832" s="41"/>
      <c r="Y832" s="41"/>
    </row>
    <row r="833" spans="15:25" x14ac:dyDescent="0.2">
      <c r="O833" s="41"/>
      <c r="R833" s="41"/>
      <c r="U833" s="41"/>
      <c r="X833" s="41"/>
      <c r="Y833" s="41"/>
    </row>
    <row r="834" spans="15:25" x14ac:dyDescent="0.2">
      <c r="O834" s="41"/>
      <c r="R834" s="41"/>
      <c r="U834" s="41"/>
      <c r="X834" s="41"/>
      <c r="Y834" s="41"/>
    </row>
    <row r="835" spans="15:25" x14ac:dyDescent="0.2">
      <c r="O835" s="41"/>
      <c r="R835" s="41"/>
      <c r="U835" s="41"/>
      <c r="X835" s="41"/>
      <c r="Y835" s="41"/>
    </row>
    <row r="836" spans="15:25" x14ac:dyDescent="0.2">
      <c r="O836" s="41"/>
      <c r="R836" s="41"/>
      <c r="U836" s="41"/>
      <c r="X836" s="41"/>
      <c r="Y836" s="41"/>
    </row>
    <row r="837" spans="15:25" x14ac:dyDescent="0.2">
      <c r="O837" s="41"/>
      <c r="R837" s="41"/>
      <c r="U837" s="41"/>
      <c r="X837" s="41"/>
      <c r="Y837" s="41"/>
    </row>
    <row r="838" spans="15:25" x14ac:dyDescent="0.2">
      <c r="O838" s="41"/>
      <c r="R838" s="41"/>
      <c r="U838" s="41"/>
      <c r="X838" s="41"/>
      <c r="Y838" s="41"/>
    </row>
    <row r="839" spans="15:25" x14ac:dyDescent="0.2">
      <c r="O839" s="41"/>
      <c r="R839" s="41"/>
      <c r="U839" s="41"/>
      <c r="X839" s="41"/>
      <c r="Y839" s="41"/>
    </row>
    <row r="840" spans="15:25" x14ac:dyDescent="0.2">
      <c r="O840" s="41"/>
      <c r="R840" s="41"/>
      <c r="U840" s="41"/>
      <c r="X840" s="41"/>
      <c r="Y840" s="41"/>
    </row>
    <row r="841" spans="15:25" x14ac:dyDescent="0.2">
      <c r="O841" s="41"/>
      <c r="R841" s="41"/>
      <c r="U841" s="41"/>
      <c r="X841" s="41"/>
      <c r="Y841" s="41"/>
    </row>
    <row r="842" spans="15:25" x14ac:dyDescent="0.2">
      <c r="O842" s="41"/>
      <c r="R842" s="41"/>
      <c r="U842" s="41"/>
      <c r="X842" s="41"/>
      <c r="Y842" s="41"/>
    </row>
    <row r="843" spans="15:25" x14ac:dyDescent="0.2">
      <c r="O843" s="41"/>
      <c r="R843" s="41"/>
      <c r="U843" s="41"/>
      <c r="X843" s="41"/>
      <c r="Y843" s="41"/>
    </row>
    <row r="844" spans="15:25" x14ac:dyDescent="0.2">
      <c r="O844" s="41"/>
      <c r="R844" s="41"/>
      <c r="U844" s="41"/>
      <c r="X844" s="41"/>
      <c r="Y844" s="41"/>
    </row>
    <row r="845" spans="15:25" x14ac:dyDescent="0.2">
      <c r="O845" s="41"/>
      <c r="R845" s="41"/>
      <c r="U845" s="41"/>
      <c r="X845" s="41"/>
      <c r="Y845" s="41"/>
    </row>
    <row r="846" spans="15:25" x14ac:dyDescent="0.2">
      <c r="O846" s="41"/>
      <c r="R846" s="41"/>
      <c r="U846" s="41"/>
      <c r="X846" s="41"/>
      <c r="Y846" s="41"/>
    </row>
    <row r="847" spans="15:25" x14ac:dyDescent="0.2">
      <c r="O847" s="41"/>
      <c r="R847" s="41"/>
      <c r="U847" s="41"/>
      <c r="X847" s="41"/>
      <c r="Y847" s="41"/>
    </row>
    <row r="848" spans="15:25" x14ac:dyDescent="0.2">
      <c r="O848" s="41"/>
      <c r="R848" s="41"/>
      <c r="U848" s="41"/>
      <c r="X848" s="41"/>
      <c r="Y848" s="41"/>
    </row>
    <row r="849" spans="15:25" x14ac:dyDescent="0.2">
      <c r="O849" s="41"/>
      <c r="R849" s="41"/>
      <c r="U849" s="41"/>
      <c r="X849" s="41"/>
      <c r="Y849" s="41"/>
    </row>
    <row r="850" spans="15:25" x14ac:dyDescent="0.2">
      <c r="O850" s="41"/>
      <c r="R850" s="41"/>
      <c r="U850" s="41"/>
      <c r="X850" s="41"/>
      <c r="Y850" s="41"/>
    </row>
    <row r="851" spans="15:25" x14ac:dyDescent="0.2">
      <c r="O851" s="41"/>
      <c r="R851" s="41"/>
      <c r="U851" s="41"/>
      <c r="X851" s="41"/>
      <c r="Y851" s="41"/>
    </row>
    <row r="852" spans="15:25" x14ac:dyDescent="0.2">
      <c r="O852" s="41"/>
      <c r="R852" s="41"/>
      <c r="U852" s="41"/>
      <c r="X852" s="41"/>
      <c r="Y852" s="41"/>
    </row>
    <row r="853" spans="15:25" x14ac:dyDescent="0.2">
      <c r="O853" s="41"/>
      <c r="R853" s="41"/>
      <c r="U853" s="41"/>
      <c r="X853" s="41"/>
      <c r="Y853" s="41"/>
    </row>
    <row r="854" spans="15:25" x14ac:dyDescent="0.2">
      <c r="O854" s="41"/>
      <c r="R854" s="41"/>
      <c r="U854" s="41"/>
      <c r="X854" s="41"/>
      <c r="Y854" s="41"/>
    </row>
    <row r="855" spans="15:25" x14ac:dyDescent="0.2">
      <c r="O855" s="41"/>
      <c r="R855" s="41"/>
      <c r="U855" s="41"/>
      <c r="X855" s="41"/>
      <c r="Y855" s="41"/>
    </row>
    <row r="856" spans="15:25" x14ac:dyDescent="0.2">
      <c r="O856" s="41"/>
      <c r="R856" s="41"/>
      <c r="U856" s="41"/>
      <c r="X856" s="41"/>
      <c r="Y856" s="41"/>
    </row>
    <row r="857" spans="15:25" x14ac:dyDescent="0.2">
      <c r="O857" s="41"/>
      <c r="R857" s="41"/>
      <c r="U857" s="41"/>
      <c r="X857" s="41"/>
      <c r="Y857" s="41"/>
    </row>
    <row r="858" spans="15:25" x14ac:dyDescent="0.2">
      <c r="O858" s="41"/>
      <c r="R858" s="41"/>
      <c r="U858" s="41"/>
      <c r="X858" s="41"/>
      <c r="Y858" s="41"/>
    </row>
    <row r="859" spans="15:25" x14ac:dyDescent="0.2">
      <c r="O859" s="41"/>
      <c r="R859" s="41"/>
      <c r="U859" s="41"/>
      <c r="X859" s="41"/>
      <c r="Y859" s="41"/>
    </row>
    <row r="860" spans="15:25" x14ac:dyDescent="0.2">
      <c r="O860" s="41"/>
      <c r="R860" s="41"/>
      <c r="U860" s="41"/>
      <c r="X860" s="41"/>
      <c r="Y860" s="41"/>
    </row>
    <row r="861" spans="15:25" x14ac:dyDescent="0.2">
      <c r="O861" s="41"/>
      <c r="R861" s="41"/>
      <c r="U861" s="41"/>
      <c r="X861" s="41"/>
      <c r="Y861" s="41"/>
    </row>
    <row r="862" spans="15:25" x14ac:dyDescent="0.2">
      <c r="O862" s="41"/>
      <c r="R862" s="41"/>
      <c r="U862" s="41"/>
      <c r="X862" s="41"/>
      <c r="Y862" s="41"/>
    </row>
    <row r="863" spans="15:25" x14ac:dyDescent="0.2">
      <c r="O863" s="41"/>
      <c r="R863" s="41"/>
      <c r="U863" s="41"/>
      <c r="X863" s="41"/>
      <c r="Y863" s="41"/>
    </row>
    <row r="864" spans="15:25" x14ac:dyDescent="0.2">
      <c r="O864" s="41"/>
      <c r="R864" s="41"/>
      <c r="U864" s="41"/>
      <c r="X864" s="41"/>
      <c r="Y864" s="41"/>
    </row>
    <row r="865" spans="15:25" x14ac:dyDescent="0.2">
      <c r="O865" s="41"/>
      <c r="R865" s="41"/>
      <c r="U865" s="41"/>
      <c r="X865" s="41"/>
      <c r="Y865" s="41"/>
    </row>
    <row r="866" spans="15:25" x14ac:dyDescent="0.2">
      <c r="O866" s="41"/>
      <c r="R866" s="41"/>
      <c r="U866" s="41"/>
      <c r="X866" s="41"/>
      <c r="Y866" s="41"/>
    </row>
    <row r="867" spans="15:25" x14ac:dyDescent="0.2">
      <c r="O867" s="41"/>
      <c r="R867" s="41"/>
      <c r="U867" s="41"/>
      <c r="X867" s="41"/>
      <c r="Y867" s="41"/>
    </row>
    <row r="868" spans="15:25" x14ac:dyDescent="0.2">
      <c r="O868" s="41"/>
      <c r="R868" s="41"/>
      <c r="U868" s="41"/>
      <c r="X868" s="41"/>
      <c r="Y868" s="41"/>
    </row>
    <row r="869" spans="15:25" x14ac:dyDescent="0.2">
      <c r="O869" s="41"/>
      <c r="R869" s="41"/>
      <c r="U869" s="41"/>
      <c r="X869" s="41"/>
      <c r="Y869" s="41"/>
    </row>
    <row r="870" spans="15:25" x14ac:dyDescent="0.2">
      <c r="O870" s="41"/>
      <c r="R870" s="41"/>
      <c r="U870" s="41"/>
      <c r="X870" s="41"/>
      <c r="Y870" s="41"/>
    </row>
    <row r="871" spans="15:25" x14ac:dyDescent="0.2">
      <c r="O871" s="41"/>
      <c r="R871" s="41"/>
      <c r="U871" s="41"/>
      <c r="X871" s="41"/>
      <c r="Y871" s="41"/>
    </row>
    <row r="872" spans="15:25" x14ac:dyDescent="0.2">
      <c r="O872" s="41"/>
      <c r="R872" s="41"/>
      <c r="U872" s="41"/>
      <c r="X872" s="41"/>
      <c r="Y872" s="41"/>
    </row>
    <row r="873" spans="15:25" x14ac:dyDescent="0.2">
      <c r="O873" s="41"/>
      <c r="R873" s="41"/>
      <c r="U873" s="41"/>
      <c r="X873" s="41"/>
      <c r="Y873" s="41"/>
    </row>
    <row r="874" spans="15:25" x14ac:dyDescent="0.2">
      <c r="O874" s="41"/>
      <c r="R874" s="41"/>
      <c r="U874" s="41"/>
      <c r="X874" s="41"/>
      <c r="Y874" s="41"/>
    </row>
    <row r="875" spans="15:25" x14ac:dyDescent="0.2">
      <c r="O875" s="41"/>
      <c r="R875" s="41"/>
      <c r="U875" s="41"/>
      <c r="X875" s="41"/>
      <c r="Y875" s="41"/>
    </row>
    <row r="876" spans="15:25" x14ac:dyDescent="0.2">
      <c r="O876" s="41"/>
      <c r="R876" s="41"/>
      <c r="U876" s="41"/>
      <c r="X876" s="41"/>
      <c r="Y876" s="41"/>
    </row>
    <row r="877" spans="15:25" x14ac:dyDescent="0.2">
      <c r="O877" s="41"/>
      <c r="R877" s="41"/>
      <c r="U877" s="41"/>
      <c r="X877" s="41"/>
      <c r="Y877" s="41"/>
    </row>
    <row r="878" spans="15:25" x14ac:dyDescent="0.2">
      <c r="O878" s="41"/>
      <c r="R878" s="41"/>
      <c r="U878" s="41"/>
      <c r="X878" s="41"/>
      <c r="Y878" s="41"/>
    </row>
    <row r="879" spans="15:25" x14ac:dyDescent="0.2">
      <c r="O879" s="41"/>
      <c r="R879" s="41"/>
      <c r="U879" s="41"/>
      <c r="X879" s="41"/>
      <c r="Y879" s="41"/>
    </row>
    <row r="880" spans="15:25" x14ac:dyDescent="0.2">
      <c r="O880" s="41"/>
      <c r="R880" s="41"/>
      <c r="U880" s="41"/>
      <c r="X880" s="41"/>
      <c r="Y880" s="41"/>
    </row>
    <row r="881" spans="15:25" x14ac:dyDescent="0.2">
      <c r="O881" s="41"/>
      <c r="R881" s="41"/>
      <c r="U881" s="41"/>
      <c r="X881" s="41"/>
      <c r="Y881" s="41"/>
    </row>
    <row r="882" spans="15:25" x14ac:dyDescent="0.2">
      <c r="O882" s="41"/>
      <c r="R882" s="41"/>
      <c r="U882" s="41"/>
      <c r="X882" s="41"/>
      <c r="Y882" s="41"/>
    </row>
    <row r="883" spans="15:25" x14ac:dyDescent="0.2">
      <c r="O883" s="41"/>
      <c r="R883" s="41"/>
      <c r="U883" s="41"/>
      <c r="X883" s="41"/>
      <c r="Y883" s="41"/>
    </row>
    <row r="884" spans="15:25" x14ac:dyDescent="0.2">
      <c r="O884" s="41"/>
      <c r="R884" s="41"/>
      <c r="U884" s="41"/>
      <c r="X884" s="41"/>
      <c r="Y884" s="41"/>
    </row>
    <row r="885" spans="15:25" x14ac:dyDescent="0.2">
      <c r="O885" s="41"/>
      <c r="R885" s="41"/>
      <c r="U885" s="41"/>
      <c r="X885" s="41"/>
      <c r="Y885" s="41"/>
    </row>
    <row r="886" spans="15:25" x14ac:dyDescent="0.2">
      <c r="O886" s="41"/>
      <c r="R886" s="41"/>
      <c r="U886" s="41"/>
      <c r="X886" s="41"/>
      <c r="Y886" s="41"/>
    </row>
    <row r="887" spans="15:25" x14ac:dyDescent="0.2">
      <c r="O887" s="41"/>
      <c r="R887" s="41"/>
      <c r="U887" s="41"/>
      <c r="X887" s="41"/>
      <c r="Y887" s="41"/>
    </row>
    <row r="888" spans="15:25" x14ac:dyDescent="0.2">
      <c r="O888" s="41"/>
      <c r="R888" s="41"/>
      <c r="U888" s="41"/>
      <c r="X888" s="41"/>
      <c r="Y888" s="41"/>
    </row>
    <row r="889" spans="15:25" x14ac:dyDescent="0.2">
      <c r="O889" s="41"/>
      <c r="R889" s="41"/>
      <c r="U889" s="41"/>
      <c r="X889" s="41"/>
      <c r="Y889" s="41"/>
    </row>
    <row r="890" spans="15:25" x14ac:dyDescent="0.2">
      <c r="O890" s="41"/>
      <c r="R890" s="41"/>
      <c r="U890" s="41"/>
      <c r="X890" s="41"/>
      <c r="Y890" s="41"/>
    </row>
    <row r="891" spans="15:25" x14ac:dyDescent="0.2">
      <c r="O891" s="41"/>
      <c r="R891" s="41"/>
      <c r="U891" s="41"/>
      <c r="X891" s="41"/>
      <c r="Y891" s="41"/>
    </row>
    <row r="892" spans="15:25" x14ac:dyDescent="0.2">
      <c r="O892" s="41"/>
      <c r="R892" s="41"/>
      <c r="U892" s="41"/>
      <c r="X892" s="41"/>
      <c r="Y892" s="41"/>
    </row>
    <row r="893" spans="15:25" x14ac:dyDescent="0.2">
      <c r="O893" s="41"/>
      <c r="R893" s="41"/>
      <c r="U893" s="41"/>
      <c r="X893" s="41"/>
      <c r="Y893" s="41"/>
    </row>
    <row r="894" spans="15:25" x14ac:dyDescent="0.2">
      <c r="O894" s="41"/>
      <c r="R894" s="41"/>
      <c r="U894" s="41"/>
      <c r="X894" s="41"/>
      <c r="Y894" s="41"/>
    </row>
    <row r="895" spans="15:25" x14ac:dyDescent="0.2">
      <c r="O895" s="41"/>
      <c r="R895" s="41"/>
      <c r="U895" s="41"/>
      <c r="X895" s="41"/>
      <c r="Y895" s="41"/>
    </row>
    <row r="896" spans="15:25" x14ac:dyDescent="0.2">
      <c r="O896" s="41"/>
      <c r="R896" s="41"/>
      <c r="U896" s="41"/>
      <c r="X896" s="41"/>
      <c r="Y896" s="41"/>
    </row>
    <row r="897" spans="15:25" x14ac:dyDescent="0.2">
      <c r="O897" s="41"/>
      <c r="R897" s="41"/>
      <c r="U897" s="41"/>
      <c r="X897" s="41"/>
      <c r="Y897" s="41"/>
    </row>
    <row r="898" spans="15:25" x14ac:dyDescent="0.2">
      <c r="O898" s="41"/>
      <c r="R898" s="41"/>
      <c r="U898" s="41"/>
      <c r="X898" s="41"/>
      <c r="Y898" s="41"/>
    </row>
    <row r="899" spans="15:25" x14ac:dyDescent="0.2">
      <c r="O899" s="41"/>
      <c r="R899" s="41"/>
      <c r="U899" s="41"/>
      <c r="X899" s="41"/>
      <c r="Y899" s="41"/>
    </row>
    <row r="900" spans="15:25" x14ac:dyDescent="0.2">
      <c r="O900" s="41"/>
      <c r="R900" s="41"/>
      <c r="U900" s="41"/>
      <c r="X900" s="41"/>
      <c r="Y900" s="41"/>
    </row>
    <row r="901" spans="15:25" x14ac:dyDescent="0.2">
      <c r="O901" s="41"/>
      <c r="R901" s="41"/>
      <c r="U901" s="41"/>
      <c r="X901" s="41"/>
      <c r="Y901" s="41"/>
    </row>
    <row r="902" spans="15:25" x14ac:dyDescent="0.2">
      <c r="O902" s="41"/>
      <c r="R902" s="41"/>
      <c r="U902" s="41"/>
      <c r="X902" s="41"/>
      <c r="Y902" s="41"/>
    </row>
    <row r="903" spans="15:25" x14ac:dyDescent="0.2">
      <c r="O903" s="41"/>
      <c r="R903" s="41"/>
      <c r="U903" s="41"/>
      <c r="X903" s="41"/>
      <c r="Y903" s="41"/>
    </row>
    <row r="904" spans="15:25" x14ac:dyDescent="0.2">
      <c r="O904" s="41"/>
      <c r="R904" s="41"/>
      <c r="U904" s="41"/>
      <c r="X904" s="41"/>
      <c r="Y904" s="41"/>
    </row>
    <row r="905" spans="15:25" x14ac:dyDescent="0.2">
      <c r="O905" s="41"/>
      <c r="R905" s="41"/>
      <c r="U905" s="41"/>
      <c r="X905" s="41"/>
      <c r="Y905" s="41"/>
    </row>
    <row r="906" spans="15:25" x14ac:dyDescent="0.2">
      <c r="O906" s="41"/>
      <c r="R906" s="41"/>
      <c r="U906" s="41"/>
      <c r="X906" s="41"/>
      <c r="Y906" s="41"/>
    </row>
    <row r="907" spans="15:25" x14ac:dyDescent="0.2">
      <c r="O907" s="41"/>
      <c r="R907" s="41"/>
      <c r="U907" s="41"/>
      <c r="X907" s="41"/>
      <c r="Y907" s="41"/>
    </row>
    <row r="908" spans="15:25" x14ac:dyDescent="0.2">
      <c r="O908" s="41"/>
      <c r="R908" s="41"/>
      <c r="U908" s="41"/>
      <c r="X908" s="41"/>
      <c r="Y908" s="41"/>
    </row>
    <row r="909" spans="15:25" x14ac:dyDescent="0.2">
      <c r="O909" s="41"/>
      <c r="R909" s="41"/>
      <c r="U909" s="41"/>
      <c r="X909" s="41"/>
      <c r="Y909" s="41"/>
    </row>
    <row r="910" spans="15:25" x14ac:dyDescent="0.2">
      <c r="O910" s="41"/>
      <c r="R910" s="41"/>
      <c r="U910" s="41"/>
      <c r="X910" s="41"/>
      <c r="Y910" s="41"/>
    </row>
    <row r="911" spans="15:25" x14ac:dyDescent="0.2">
      <c r="O911" s="41"/>
      <c r="R911" s="41"/>
      <c r="U911" s="41"/>
      <c r="X911" s="41"/>
      <c r="Y911" s="41"/>
    </row>
    <row r="912" spans="15:25" x14ac:dyDescent="0.2">
      <c r="O912" s="41"/>
      <c r="R912" s="41"/>
      <c r="U912" s="41"/>
      <c r="X912" s="41"/>
      <c r="Y912" s="41"/>
    </row>
    <row r="913" spans="15:25" x14ac:dyDescent="0.2">
      <c r="O913" s="41"/>
      <c r="R913" s="41"/>
      <c r="U913" s="41"/>
      <c r="X913" s="41"/>
      <c r="Y913" s="41"/>
    </row>
    <row r="914" spans="15:25" x14ac:dyDescent="0.2">
      <c r="O914" s="41"/>
      <c r="R914" s="41"/>
      <c r="U914" s="41"/>
      <c r="X914" s="41"/>
      <c r="Y914" s="41"/>
    </row>
    <row r="915" spans="15:25" x14ac:dyDescent="0.2">
      <c r="O915" s="41"/>
      <c r="R915" s="41"/>
      <c r="U915" s="41"/>
      <c r="X915" s="41"/>
      <c r="Y915" s="41"/>
    </row>
    <row r="916" spans="15:25" x14ac:dyDescent="0.2">
      <c r="O916" s="41"/>
      <c r="R916" s="41"/>
      <c r="U916" s="41"/>
      <c r="X916" s="41"/>
      <c r="Y916" s="41"/>
    </row>
    <row r="917" spans="15:25" x14ac:dyDescent="0.2">
      <c r="O917" s="41"/>
      <c r="R917" s="41"/>
      <c r="U917" s="41"/>
      <c r="X917" s="41"/>
      <c r="Y917" s="41"/>
    </row>
    <row r="918" spans="15:25" x14ac:dyDescent="0.2">
      <c r="O918" s="41"/>
      <c r="R918" s="41"/>
      <c r="U918" s="41"/>
      <c r="X918" s="41"/>
      <c r="Y918" s="41"/>
    </row>
    <row r="919" spans="15:25" x14ac:dyDescent="0.2">
      <c r="O919" s="41"/>
      <c r="R919" s="41"/>
      <c r="U919" s="41"/>
      <c r="X919" s="41"/>
      <c r="Y919" s="41"/>
    </row>
    <row r="920" spans="15:25" x14ac:dyDescent="0.2">
      <c r="O920" s="41"/>
      <c r="R920" s="41"/>
      <c r="U920" s="41"/>
      <c r="X920" s="41"/>
      <c r="Y920" s="41"/>
    </row>
    <row r="921" spans="15:25" x14ac:dyDescent="0.2">
      <c r="O921" s="41"/>
      <c r="R921" s="41"/>
      <c r="U921" s="41"/>
      <c r="X921" s="41"/>
      <c r="Y921" s="41"/>
    </row>
    <row r="922" spans="15:25" x14ac:dyDescent="0.2">
      <c r="O922" s="41"/>
      <c r="R922" s="41"/>
      <c r="U922" s="41"/>
      <c r="X922" s="41"/>
      <c r="Y922" s="41"/>
    </row>
    <row r="923" spans="15:25" x14ac:dyDescent="0.2">
      <c r="O923" s="41"/>
      <c r="R923" s="41"/>
      <c r="U923" s="41"/>
      <c r="X923" s="41"/>
      <c r="Y923" s="41"/>
    </row>
    <row r="924" spans="15:25" x14ac:dyDescent="0.2">
      <c r="O924" s="41"/>
      <c r="R924" s="41"/>
      <c r="U924" s="41"/>
      <c r="X924" s="41"/>
      <c r="Y924" s="41"/>
    </row>
    <row r="925" spans="15:25" x14ac:dyDescent="0.2">
      <c r="O925" s="41"/>
      <c r="R925" s="41"/>
      <c r="U925" s="41"/>
      <c r="X925" s="41"/>
      <c r="Y925" s="41"/>
    </row>
    <row r="926" spans="15:25" x14ac:dyDescent="0.2">
      <c r="O926" s="41"/>
      <c r="R926" s="41"/>
      <c r="U926" s="41"/>
      <c r="X926" s="41"/>
      <c r="Y926" s="41"/>
    </row>
    <row r="927" spans="15:25" x14ac:dyDescent="0.2">
      <c r="O927" s="41"/>
      <c r="R927" s="41"/>
      <c r="U927" s="41"/>
      <c r="X927" s="41"/>
      <c r="Y927" s="41"/>
    </row>
    <row r="928" spans="15:25" x14ac:dyDescent="0.2">
      <c r="O928" s="41"/>
      <c r="R928" s="41"/>
      <c r="U928" s="41"/>
      <c r="X928" s="41"/>
      <c r="Y928" s="41"/>
    </row>
    <row r="929" spans="15:25" x14ac:dyDescent="0.2">
      <c r="O929" s="41"/>
      <c r="R929" s="41"/>
      <c r="U929" s="41"/>
      <c r="X929" s="41"/>
      <c r="Y929" s="41"/>
    </row>
    <row r="930" spans="15:25" x14ac:dyDescent="0.2">
      <c r="O930" s="41"/>
      <c r="R930" s="41"/>
      <c r="U930" s="41"/>
      <c r="X930" s="41"/>
      <c r="Y930" s="41"/>
    </row>
    <row r="931" spans="15:25" x14ac:dyDescent="0.2">
      <c r="O931" s="41"/>
      <c r="R931" s="41"/>
      <c r="U931" s="41"/>
      <c r="X931" s="41"/>
      <c r="Y931" s="41"/>
    </row>
    <row r="932" spans="15:25" x14ac:dyDescent="0.2">
      <c r="O932" s="41"/>
      <c r="R932" s="41"/>
      <c r="U932" s="41"/>
      <c r="X932" s="41"/>
      <c r="Y932" s="41"/>
    </row>
    <row r="933" spans="15:25" x14ac:dyDescent="0.2">
      <c r="O933" s="41"/>
      <c r="R933" s="41"/>
      <c r="U933" s="41"/>
      <c r="X933" s="41"/>
      <c r="Y933" s="41"/>
    </row>
    <row r="934" spans="15:25" x14ac:dyDescent="0.2">
      <c r="O934" s="41"/>
      <c r="R934" s="41"/>
      <c r="U934" s="41"/>
      <c r="X934" s="41"/>
      <c r="Y934" s="41"/>
    </row>
    <row r="935" spans="15:25" x14ac:dyDescent="0.2">
      <c r="O935" s="41"/>
      <c r="R935" s="41"/>
      <c r="U935" s="41"/>
      <c r="X935" s="41"/>
      <c r="Y935" s="41"/>
    </row>
    <row r="936" spans="15:25" x14ac:dyDescent="0.2">
      <c r="O936" s="41"/>
      <c r="R936" s="41"/>
      <c r="U936" s="41"/>
      <c r="X936" s="41"/>
      <c r="Y936" s="41"/>
    </row>
    <row r="937" spans="15:25" x14ac:dyDescent="0.2">
      <c r="O937" s="41"/>
      <c r="R937" s="41"/>
      <c r="U937" s="41"/>
      <c r="X937" s="41"/>
      <c r="Y937" s="41"/>
    </row>
    <row r="938" spans="15:25" x14ac:dyDescent="0.2">
      <c r="O938" s="41"/>
      <c r="R938" s="41"/>
      <c r="U938" s="41"/>
      <c r="X938" s="41"/>
      <c r="Y938" s="41"/>
    </row>
    <row r="939" spans="15:25" x14ac:dyDescent="0.2">
      <c r="O939" s="41"/>
      <c r="R939" s="41"/>
      <c r="U939" s="41"/>
      <c r="X939" s="41"/>
      <c r="Y939" s="41"/>
    </row>
    <row r="940" spans="15:25" x14ac:dyDescent="0.2">
      <c r="O940" s="41"/>
      <c r="R940" s="41"/>
      <c r="U940" s="41"/>
      <c r="X940" s="41"/>
      <c r="Y940" s="41"/>
    </row>
    <row r="941" spans="15:25" x14ac:dyDescent="0.2">
      <c r="O941" s="41"/>
      <c r="R941" s="41"/>
      <c r="U941" s="41"/>
      <c r="X941" s="41"/>
      <c r="Y941" s="41"/>
    </row>
    <row r="942" spans="15:25" x14ac:dyDescent="0.2">
      <c r="O942" s="41"/>
      <c r="R942" s="41"/>
      <c r="U942" s="41"/>
      <c r="X942" s="41"/>
      <c r="Y942" s="41"/>
    </row>
    <row r="943" spans="15:25" x14ac:dyDescent="0.2">
      <c r="O943" s="41"/>
      <c r="R943" s="41"/>
      <c r="U943" s="41"/>
      <c r="X943" s="41"/>
      <c r="Y943" s="41"/>
    </row>
    <row r="944" spans="15:25" x14ac:dyDescent="0.2">
      <c r="O944" s="41"/>
      <c r="R944" s="41"/>
      <c r="U944" s="41"/>
      <c r="X944" s="41"/>
      <c r="Y944" s="41"/>
    </row>
    <row r="945" spans="15:25" x14ac:dyDescent="0.2">
      <c r="O945" s="41"/>
      <c r="R945" s="41"/>
      <c r="U945" s="41"/>
      <c r="X945" s="41"/>
      <c r="Y945" s="41"/>
    </row>
    <row r="946" spans="15:25" x14ac:dyDescent="0.2">
      <c r="O946" s="41"/>
      <c r="R946" s="41"/>
      <c r="U946" s="41"/>
      <c r="X946" s="41"/>
      <c r="Y946" s="41"/>
    </row>
    <row r="947" spans="15:25" x14ac:dyDescent="0.2">
      <c r="O947" s="41"/>
      <c r="R947" s="41"/>
      <c r="U947" s="41"/>
      <c r="X947" s="41"/>
      <c r="Y947" s="41"/>
    </row>
    <row r="948" spans="15:25" x14ac:dyDescent="0.2">
      <c r="O948" s="41"/>
      <c r="R948" s="41"/>
      <c r="U948" s="41"/>
      <c r="X948" s="41"/>
      <c r="Y948" s="41"/>
    </row>
    <row r="949" spans="15:25" x14ac:dyDescent="0.2">
      <c r="O949" s="41"/>
      <c r="R949" s="41"/>
      <c r="U949" s="41"/>
      <c r="X949" s="41"/>
      <c r="Y949" s="41"/>
    </row>
    <row r="950" spans="15:25" x14ac:dyDescent="0.2">
      <c r="O950" s="41"/>
      <c r="R950" s="41"/>
      <c r="U950" s="41"/>
      <c r="X950" s="41"/>
      <c r="Y950" s="41"/>
    </row>
    <row r="951" spans="15:25" x14ac:dyDescent="0.2">
      <c r="O951" s="41"/>
      <c r="R951" s="41"/>
      <c r="U951" s="41"/>
      <c r="X951" s="41"/>
      <c r="Y951" s="41"/>
    </row>
    <row r="952" spans="15:25" x14ac:dyDescent="0.2">
      <c r="O952" s="41"/>
      <c r="R952" s="41"/>
      <c r="U952" s="41"/>
      <c r="X952" s="41"/>
      <c r="Y952" s="41"/>
    </row>
    <row r="953" spans="15:25" x14ac:dyDescent="0.2">
      <c r="O953" s="41"/>
      <c r="R953" s="41"/>
      <c r="U953" s="41"/>
      <c r="X953" s="41"/>
      <c r="Y953" s="41"/>
    </row>
    <row r="954" spans="15:25" x14ac:dyDescent="0.2">
      <c r="O954" s="41"/>
      <c r="R954" s="41"/>
      <c r="U954" s="41"/>
      <c r="X954" s="41"/>
      <c r="Y954" s="41"/>
    </row>
    <row r="955" spans="15:25" x14ac:dyDescent="0.2">
      <c r="O955" s="41"/>
      <c r="R955" s="41"/>
      <c r="U955" s="41"/>
      <c r="X955" s="41"/>
      <c r="Y955" s="41"/>
    </row>
    <row r="956" spans="15:25" x14ac:dyDescent="0.2">
      <c r="O956" s="41"/>
      <c r="R956" s="41"/>
      <c r="U956" s="41"/>
      <c r="X956" s="41"/>
      <c r="Y956" s="41"/>
    </row>
    <row r="957" spans="15:25" x14ac:dyDescent="0.2">
      <c r="O957" s="41"/>
      <c r="R957" s="41"/>
      <c r="U957" s="41"/>
      <c r="X957" s="41"/>
      <c r="Y957" s="41"/>
    </row>
    <row r="958" spans="15:25" x14ac:dyDescent="0.2">
      <c r="O958" s="41"/>
      <c r="R958" s="41"/>
      <c r="U958" s="41"/>
      <c r="X958" s="41"/>
      <c r="Y958" s="41"/>
    </row>
    <row r="959" spans="15:25" x14ac:dyDescent="0.2">
      <c r="O959" s="41"/>
      <c r="R959" s="41"/>
      <c r="U959" s="41"/>
      <c r="X959" s="41"/>
      <c r="Y959" s="41"/>
    </row>
    <row r="960" spans="15:25" x14ac:dyDescent="0.2">
      <c r="O960" s="41"/>
      <c r="R960" s="41"/>
      <c r="U960" s="41"/>
      <c r="X960" s="41"/>
      <c r="Y960" s="41"/>
    </row>
    <row r="961" spans="15:25" x14ac:dyDescent="0.2">
      <c r="O961" s="41"/>
      <c r="R961" s="41"/>
      <c r="U961" s="41"/>
      <c r="X961" s="41"/>
      <c r="Y961" s="41"/>
    </row>
    <row r="962" spans="15:25" x14ac:dyDescent="0.2">
      <c r="O962" s="41"/>
      <c r="R962" s="41"/>
      <c r="U962" s="41"/>
      <c r="X962" s="41"/>
      <c r="Y962" s="41"/>
    </row>
    <row r="963" spans="15:25" x14ac:dyDescent="0.2">
      <c r="O963" s="41"/>
      <c r="R963" s="41"/>
      <c r="U963" s="41"/>
      <c r="X963" s="41"/>
      <c r="Y963" s="41"/>
    </row>
    <row r="964" spans="15:25" x14ac:dyDescent="0.2">
      <c r="O964" s="41"/>
      <c r="R964" s="41"/>
      <c r="U964" s="41"/>
      <c r="X964" s="41"/>
      <c r="Y964" s="41"/>
    </row>
    <row r="965" spans="15:25" x14ac:dyDescent="0.2">
      <c r="O965" s="41"/>
      <c r="R965" s="41"/>
      <c r="U965" s="41"/>
      <c r="X965" s="41"/>
      <c r="Y965" s="41"/>
    </row>
    <row r="966" spans="15:25" x14ac:dyDescent="0.2">
      <c r="O966" s="41"/>
      <c r="R966" s="41"/>
      <c r="U966" s="41"/>
      <c r="X966" s="41"/>
      <c r="Y966" s="41"/>
    </row>
    <row r="967" spans="15:25" x14ac:dyDescent="0.2">
      <c r="O967" s="41"/>
      <c r="R967" s="41"/>
      <c r="U967" s="41"/>
      <c r="X967" s="41"/>
      <c r="Y967" s="41"/>
    </row>
    <row r="968" spans="15:25" x14ac:dyDescent="0.2">
      <c r="O968" s="41"/>
      <c r="R968" s="41"/>
      <c r="U968" s="41"/>
      <c r="X968" s="41"/>
      <c r="Y968" s="41"/>
    </row>
    <row r="969" spans="15:25" x14ac:dyDescent="0.2">
      <c r="O969" s="41"/>
      <c r="R969" s="41"/>
      <c r="U969" s="41"/>
      <c r="X969" s="41"/>
      <c r="Y969" s="41"/>
    </row>
    <row r="970" spans="15:25" x14ac:dyDescent="0.2">
      <c r="O970" s="41"/>
      <c r="R970" s="41"/>
      <c r="U970" s="41"/>
      <c r="X970" s="41"/>
      <c r="Y970" s="41"/>
    </row>
    <row r="971" spans="15:25" x14ac:dyDescent="0.2">
      <c r="O971" s="41"/>
      <c r="R971" s="41"/>
      <c r="U971" s="41"/>
      <c r="X971" s="41"/>
      <c r="Y971" s="41"/>
    </row>
    <row r="972" spans="15:25" x14ac:dyDescent="0.2">
      <c r="O972" s="41"/>
      <c r="R972" s="41"/>
      <c r="U972" s="41"/>
      <c r="X972" s="41"/>
      <c r="Y972" s="41"/>
    </row>
    <row r="973" spans="15:25" x14ac:dyDescent="0.2">
      <c r="O973" s="41"/>
      <c r="R973" s="41"/>
      <c r="U973" s="41"/>
      <c r="X973" s="41"/>
      <c r="Y973" s="41"/>
    </row>
    <row r="974" spans="15:25" x14ac:dyDescent="0.2">
      <c r="O974" s="41"/>
      <c r="R974" s="41"/>
      <c r="U974" s="41"/>
      <c r="X974" s="41"/>
      <c r="Y974" s="41"/>
    </row>
    <row r="975" spans="15:25" x14ac:dyDescent="0.2">
      <c r="O975" s="41"/>
      <c r="R975" s="41"/>
      <c r="U975" s="41"/>
      <c r="X975" s="41"/>
      <c r="Y975" s="41"/>
    </row>
    <row r="976" spans="15:25" x14ac:dyDescent="0.2">
      <c r="O976" s="41"/>
      <c r="R976" s="41"/>
      <c r="U976" s="41"/>
      <c r="X976" s="41"/>
      <c r="Y976" s="41"/>
    </row>
    <row r="977" spans="15:25" x14ac:dyDescent="0.2">
      <c r="O977" s="41"/>
      <c r="R977" s="41"/>
      <c r="U977" s="41"/>
      <c r="X977" s="41"/>
      <c r="Y977" s="41"/>
    </row>
    <row r="978" spans="15:25" x14ac:dyDescent="0.2">
      <c r="O978" s="41"/>
      <c r="R978" s="41"/>
      <c r="U978" s="41"/>
      <c r="X978" s="41"/>
      <c r="Y978" s="41"/>
    </row>
    <row r="979" spans="15:25" x14ac:dyDescent="0.2">
      <c r="O979" s="41"/>
      <c r="R979" s="41"/>
      <c r="U979" s="41"/>
      <c r="X979" s="41"/>
      <c r="Y979" s="41"/>
    </row>
    <row r="980" spans="15:25" x14ac:dyDescent="0.2">
      <c r="O980" s="41"/>
      <c r="R980" s="41"/>
      <c r="U980" s="41"/>
      <c r="X980" s="41"/>
      <c r="Y980" s="41"/>
    </row>
    <row r="981" spans="15:25" x14ac:dyDescent="0.2">
      <c r="O981" s="41"/>
      <c r="R981" s="41"/>
      <c r="U981" s="41"/>
      <c r="X981" s="41"/>
      <c r="Y981" s="41"/>
    </row>
    <row r="982" spans="15:25" x14ac:dyDescent="0.2">
      <c r="O982" s="41"/>
      <c r="R982" s="41"/>
      <c r="U982" s="41"/>
      <c r="X982" s="41"/>
      <c r="Y982" s="41"/>
    </row>
    <row r="983" spans="15:25" x14ac:dyDescent="0.2">
      <c r="O983" s="41"/>
      <c r="R983" s="41"/>
      <c r="U983" s="41"/>
      <c r="X983" s="41"/>
      <c r="Y983" s="41"/>
    </row>
    <row r="984" spans="15:25" x14ac:dyDescent="0.2">
      <c r="O984" s="41"/>
      <c r="R984" s="41"/>
      <c r="U984" s="41"/>
      <c r="X984" s="41"/>
      <c r="Y984" s="41"/>
    </row>
    <row r="985" spans="15:25" x14ac:dyDescent="0.2">
      <c r="O985" s="41"/>
      <c r="R985" s="41"/>
      <c r="U985" s="41"/>
      <c r="X985" s="41"/>
      <c r="Y985" s="41"/>
    </row>
    <row r="986" spans="15:25" x14ac:dyDescent="0.2">
      <c r="O986" s="41"/>
      <c r="R986" s="41"/>
      <c r="U986" s="41"/>
      <c r="X986" s="41"/>
      <c r="Y986" s="41"/>
    </row>
    <row r="987" spans="15:25" x14ac:dyDescent="0.2">
      <c r="O987" s="41"/>
      <c r="R987" s="41"/>
      <c r="U987" s="41"/>
      <c r="X987" s="41"/>
      <c r="Y987" s="41"/>
    </row>
    <row r="988" spans="15:25" x14ac:dyDescent="0.2">
      <c r="O988" s="41"/>
      <c r="R988" s="41"/>
      <c r="U988" s="41"/>
      <c r="X988" s="41"/>
      <c r="Y988" s="41"/>
    </row>
    <row r="989" spans="15:25" x14ac:dyDescent="0.2">
      <c r="O989" s="41"/>
      <c r="R989" s="41"/>
      <c r="U989" s="41"/>
      <c r="X989" s="41"/>
      <c r="Y989" s="41"/>
    </row>
    <row r="990" spans="15:25" x14ac:dyDescent="0.2">
      <c r="O990" s="41"/>
      <c r="R990" s="41"/>
      <c r="U990" s="41"/>
      <c r="X990" s="41"/>
      <c r="Y990" s="41"/>
    </row>
    <row r="991" spans="15:25" x14ac:dyDescent="0.2">
      <c r="O991" s="41"/>
      <c r="R991" s="41"/>
      <c r="U991" s="41"/>
      <c r="X991" s="41"/>
      <c r="Y991" s="41"/>
    </row>
    <row r="992" spans="15:25" x14ac:dyDescent="0.2">
      <c r="O992" s="41"/>
      <c r="R992" s="41"/>
      <c r="U992" s="41"/>
      <c r="X992" s="41"/>
      <c r="Y992" s="41"/>
    </row>
    <row r="993" spans="15:25" x14ac:dyDescent="0.2">
      <c r="O993" s="41"/>
      <c r="R993" s="41"/>
      <c r="U993" s="41"/>
      <c r="X993" s="41"/>
      <c r="Y993" s="41"/>
    </row>
    <row r="994" spans="15:25" x14ac:dyDescent="0.2">
      <c r="O994" s="41"/>
      <c r="R994" s="41"/>
      <c r="U994" s="41"/>
      <c r="X994" s="41"/>
      <c r="Y994" s="41"/>
    </row>
    <row r="995" spans="15:25" x14ac:dyDescent="0.2">
      <c r="O995" s="41"/>
      <c r="R995" s="41"/>
      <c r="U995" s="41"/>
      <c r="X995" s="41"/>
      <c r="Y995" s="41"/>
    </row>
    <row r="996" spans="15:25" x14ac:dyDescent="0.2">
      <c r="O996" s="41"/>
      <c r="R996" s="41"/>
      <c r="U996" s="41"/>
      <c r="X996" s="41"/>
      <c r="Y996" s="41"/>
    </row>
    <row r="997" spans="15:25" x14ac:dyDescent="0.2">
      <c r="O997" s="41"/>
      <c r="R997" s="41"/>
      <c r="U997" s="41"/>
      <c r="X997" s="41"/>
      <c r="Y997" s="41"/>
    </row>
    <row r="998" spans="15:25" x14ac:dyDescent="0.2">
      <c r="O998" s="41"/>
      <c r="R998" s="41"/>
      <c r="U998" s="41"/>
      <c r="X998" s="41"/>
      <c r="Y998" s="41"/>
    </row>
    <row r="999" spans="15:25" x14ac:dyDescent="0.2">
      <c r="O999" s="41"/>
      <c r="R999" s="41"/>
      <c r="U999" s="41"/>
      <c r="X999" s="41"/>
      <c r="Y999" s="41"/>
    </row>
    <row r="1000" spans="15:25" x14ac:dyDescent="0.2">
      <c r="O1000" s="41"/>
      <c r="R1000" s="41"/>
      <c r="U1000" s="41"/>
      <c r="X1000" s="41"/>
      <c r="Y1000"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3C78D8"/>
    <outlinePr summaryBelow="0" summaryRight="0"/>
  </sheetPr>
  <dimension ref="A1:Z31"/>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2.5703125" defaultRowHeight="15.75" customHeight="1" x14ac:dyDescent="0.2"/>
  <cols>
    <col min="1" max="1" width="9.42578125" customWidth="1"/>
    <col min="2" max="2" width="14" customWidth="1"/>
    <col min="3" max="3" width="6.140625" customWidth="1"/>
    <col min="4" max="4" width="14" customWidth="1"/>
    <col min="5" max="5" width="6.140625" customWidth="1"/>
    <col min="6" max="6" width="14" customWidth="1"/>
    <col min="7" max="7" width="6.140625" customWidth="1"/>
    <col min="8" max="8" width="14" customWidth="1"/>
    <col min="9" max="9" width="6.140625" customWidth="1"/>
    <col min="10" max="10" width="14" customWidth="1"/>
    <col min="11" max="11" width="6.140625" customWidth="1"/>
    <col min="12" max="12" width="14.42578125" customWidth="1"/>
    <col min="13" max="13" width="6.140625" customWidth="1"/>
    <col min="14" max="14" width="14" customWidth="1"/>
    <col min="15" max="15" width="6.140625" customWidth="1"/>
    <col min="16" max="16" width="14.140625" customWidth="1"/>
    <col min="17" max="17" width="6.42578125" customWidth="1"/>
    <col min="18" max="18" width="14.140625" customWidth="1"/>
    <col min="19" max="19" width="6.42578125" customWidth="1"/>
    <col min="20" max="20" width="14.140625" customWidth="1"/>
    <col min="21" max="21" width="6.42578125" customWidth="1"/>
    <col min="22" max="22" width="14.140625" customWidth="1"/>
    <col min="23" max="23" width="6.42578125" customWidth="1"/>
  </cols>
  <sheetData>
    <row r="1" spans="1:26" x14ac:dyDescent="0.2">
      <c r="A1" s="2" t="s">
        <v>931</v>
      </c>
      <c r="B1" s="54">
        <v>1</v>
      </c>
      <c r="C1" s="56"/>
      <c r="D1" s="54">
        <v>2</v>
      </c>
      <c r="E1" s="56"/>
      <c r="F1" s="54">
        <v>3</v>
      </c>
      <c r="G1" s="56"/>
      <c r="H1" s="54">
        <v>4</v>
      </c>
      <c r="I1" s="56"/>
      <c r="J1" s="54">
        <v>5</v>
      </c>
      <c r="K1" s="56"/>
      <c r="L1" s="54">
        <v>6</v>
      </c>
      <c r="M1" s="56"/>
      <c r="N1" s="54">
        <v>7</v>
      </c>
      <c r="O1" s="56"/>
      <c r="P1" s="54">
        <v>8</v>
      </c>
      <c r="Q1" s="56"/>
      <c r="R1" s="54">
        <v>9</v>
      </c>
      <c r="S1" s="56"/>
      <c r="T1" s="54">
        <v>10</v>
      </c>
      <c r="U1" s="56"/>
      <c r="V1" s="54">
        <v>11</v>
      </c>
      <c r="W1" s="56"/>
      <c r="X1" s="18"/>
      <c r="Y1" s="18"/>
      <c r="Z1" s="18"/>
    </row>
    <row r="2" spans="1:26" x14ac:dyDescent="0.2">
      <c r="A2" s="18"/>
      <c r="B2" s="6" t="s">
        <v>4</v>
      </c>
      <c r="C2" s="24" t="s">
        <v>932</v>
      </c>
      <c r="D2" s="6" t="s">
        <v>4</v>
      </c>
      <c r="E2" s="24" t="s">
        <v>932</v>
      </c>
      <c r="F2" s="6" t="s">
        <v>4</v>
      </c>
      <c r="G2" s="24" t="s">
        <v>932</v>
      </c>
      <c r="H2" s="6" t="s">
        <v>4</v>
      </c>
      <c r="I2" s="24" t="s">
        <v>932</v>
      </c>
      <c r="J2" s="6" t="s">
        <v>4</v>
      </c>
      <c r="K2" s="24" t="s">
        <v>932</v>
      </c>
      <c r="L2" s="6" t="s">
        <v>4</v>
      </c>
      <c r="M2" s="24" t="s">
        <v>932</v>
      </c>
      <c r="N2" s="6" t="s">
        <v>4</v>
      </c>
      <c r="O2" s="24" t="s">
        <v>932</v>
      </c>
      <c r="P2" s="6" t="s">
        <v>4</v>
      </c>
      <c r="Q2" s="24" t="s">
        <v>932</v>
      </c>
      <c r="R2" s="6" t="s">
        <v>4</v>
      </c>
      <c r="S2" s="24" t="s">
        <v>932</v>
      </c>
      <c r="T2" s="6" t="s">
        <v>4</v>
      </c>
      <c r="U2" s="24" t="s">
        <v>932</v>
      </c>
      <c r="V2" s="6" t="s">
        <v>4</v>
      </c>
      <c r="W2" s="24" t="s">
        <v>932</v>
      </c>
      <c r="X2" s="18"/>
      <c r="Y2" s="18"/>
      <c r="Z2" s="18"/>
    </row>
    <row r="3" spans="1:26" x14ac:dyDescent="0.2">
      <c r="A3" s="18" t="s">
        <v>17</v>
      </c>
      <c r="B3" s="8" t="s">
        <v>912</v>
      </c>
      <c r="C3" s="32">
        <f t="shared" ref="C3:C11" ca="1" si="0">VLOOKUP("*"&amp;B3&amp;"*",INDIRECT("'W"&amp;B$1&amp;"'!$A$2:$T$500"),4,FALSE)</f>
        <v>27.14</v>
      </c>
      <c r="D3" s="8" t="s">
        <v>916</v>
      </c>
      <c r="E3" s="32">
        <f t="shared" ref="E3:E11" ca="1" si="1">VLOOKUP("*"&amp;D3&amp;"*",INDIRECT("'W"&amp;D$1&amp;"'!$A$2:$T$500"),4,FALSE)</f>
        <v>22.92</v>
      </c>
      <c r="F3" s="8" t="s">
        <v>912</v>
      </c>
      <c r="G3" s="32">
        <f t="shared" ref="G3:G11" ca="1" si="2">VLOOKUP("*"&amp;F3&amp;"*",INDIRECT("'W"&amp;F$1&amp;"'!$A$2:$T$500"),4,FALSE)</f>
        <v>28.36</v>
      </c>
      <c r="H3" s="8" t="s">
        <v>912</v>
      </c>
      <c r="I3" s="32">
        <f t="shared" ref="I3:I11" ca="1" si="3">VLOOKUP("*"&amp;H3&amp;"*",INDIRECT("'W"&amp;H$1&amp;"'!$A$2:$T$500"),4,FALSE)</f>
        <v>13.979999999999999</v>
      </c>
      <c r="J3" s="8" t="s">
        <v>916</v>
      </c>
      <c r="K3" s="32">
        <f t="shared" ref="K3:K11" ca="1" si="4">VLOOKUP("*"&amp;J3&amp;"*",INDIRECT("'W"&amp;J$1&amp;"'!$A$2:$T$500"),4,FALSE)</f>
        <v>27.439999999999998</v>
      </c>
      <c r="L3" s="8" t="s">
        <v>912</v>
      </c>
      <c r="M3" s="32">
        <f t="shared" ref="M3:M11" ca="1" si="5">VLOOKUP("*"&amp;L3&amp;"*",INDIRECT("'W"&amp;L$1&amp;"'!$A$2:$T$500"),4,FALSE)</f>
        <v>22.48</v>
      </c>
      <c r="N3" s="8" t="s">
        <v>912</v>
      </c>
      <c r="O3" s="32">
        <f t="shared" ref="O3:O11" ca="1" si="6">VLOOKUP("*"&amp;N3&amp;"*",INDIRECT("'W"&amp;N$1&amp;"'!$A$2:$T$500"),4,FALSE)</f>
        <v>10.34</v>
      </c>
      <c r="P3" s="8" t="s">
        <v>912</v>
      </c>
      <c r="Q3" s="32">
        <f t="shared" ref="Q3:Q11" ca="1" si="7">VLOOKUP("*"&amp;P3&amp;"*",INDIRECT("'W"&amp;P$1&amp;"'!$A$2:$T$500"),4,FALSE)</f>
        <v>21.76</v>
      </c>
      <c r="R3" s="8" t="s">
        <v>912</v>
      </c>
      <c r="S3" s="32">
        <f t="shared" ref="S3:S11" ca="1" si="8">VLOOKUP("*"&amp;R3&amp;"*",INDIRECT("'W"&amp;R$1&amp;"'!$A$2:$T$500"),4,FALSE)</f>
        <v>12.419999999999998</v>
      </c>
      <c r="T3" s="8" t="s">
        <v>916</v>
      </c>
      <c r="U3" s="32">
        <f t="shared" ref="U3:U11" ca="1" si="9">VLOOKUP("*"&amp;T3&amp;"*",INDIRECT("'W"&amp;T$1&amp;"'!$A$2:$T$500"),4,FALSE)</f>
        <v>21.12</v>
      </c>
      <c r="V3" s="8" t="s">
        <v>912</v>
      </c>
      <c r="W3" s="46">
        <f t="shared" ref="W3:W11" ca="1" si="10">VLOOKUP("*"&amp;V3&amp;"*",INDIRECT("'W"&amp;V$1&amp;"'!$A$2:$T$500"),4,FALSE)</f>
        <v>17.600000000000001</v>
      </c>
    </row>
    <row r="4" spans="1:26" x14ac:dyDescent="0.2">
      <c r="A4" s="18" t="s">
        <v>933</v>
      </c>
      <c r="B4" s="8" t="s">
        <v>913</v>
      </c>
      <c r="C4" s="32">
        <f t="shared" ca="1" si="0"/>
        <v>21.4</v>
      </c>
      <c r="D4" s="8" t="s">
        <v>83</v>
      </c>
      <c r="E4" s="32">
        <f t="shared" ca="1" si="1"/>
        <v>28</v>
      </c>
      <c r="F4" s="8" t="s">
        <v>920</v>
      </c>
      <c r="G4" s="32">
        <f t="shared" ca="1" si="2"/>
        <v>45.2</v>
      </c>
      <c r="H4" s="8" t="s">
        <v>83</v>
      </c>
      <c r="I4" s="32">
        <f t="shared" ca="1" si="3"/>
        <v>27.700000000000003</v>
      </c>
      <c r="J4" s="8" t="s">
        <v>913</v>
      </c>
      <c r="K4" s="32">
        <f t="shared" ca="1" si="4"/>
        <v>36.400000000000006</v>
      </c>
      <c r="L4" s="8" t="s">
        <v>920</v>
      </c>
      <c r="M4" s="32">
        <f t="shared" ca="1" si="5"/>
        <v>34.200000000000003</v>
      </c>
      <c r="N4" s="8" t="s">
        <v>917</v>
      </c>
      <c r="O4" s="32">
        <f t="shared" ca="1" si="6"/>
        <v>29.299999999999997</v>
      </c>
      <c r="P4" s="8" t="s">
        <v>917</v>
      </c>
      <c r="Q4" s="32">
        <f t="shared" ca="1" si="7"/>
        <v>27</v>
      </c>
      <c r="R4" s="8" t="s">
        <v>917</v>
      </c>
      <c r="S4" s="32">
        <f t="shared" ca="1" si="8"/>
        <v>11</v>
      </c>
      <c r="T4" s="8" t="s">
        <v>917</v>
      </c>
      <c r="U4" s="32">
        <f t="shared" ca="1" si="9"/>
        <v>18.5</v>
      </c>
      <c r="V4" s="8" t="s">
        <v>920</v>
      </c>
      <c r="W4" s="46">
        <f t="shared" ca="1" si="10"/>
        <v>10.299999999999999</v>
      </c>
    </row>
    <row r="5" spans="1:26" x14ac:dyDescent="0.2">
      <c r="A5" s="18" t="s">
        <v>934</v>
      </c>
      <c r="B5" s="8" t="s">
        <v>83</v>
      </c>
      <c r="C5" s="32">
        <f t="shared" ca="1" si="0"/>
        <v>17.399999999999999</v>
      </c>
      <c r="D5" s="8" t="s">
        <v>920</v>
      </c>
      <c r="E5" s="32">
        <f t="shared" ca="1" si="1"/>
        <v>25.700000000000003</v>
      </c>
      <c r="F5" s="8" t="s">
        <v>913</v>
      </c>
      <c r="G5" s="32">
        <f t="shared" ca="1" si="2"/>
        <v>17.8</v>
      </c>
      <c r="H5" s="8" t="s">
        <v>917</v>
      </c>
      <c r="I5" s="32">
        <f t="shared" ca="1" si="3"/>
        <v>21.400000000000002</v>
      </c>
      <c r="J5" s="8" t="s">
        <v>917</v>
      </c>
      <c r="K5" s="32">
        <f t="shared" ca="1" si="4"/>
        <v>18.7</v>
      </c>
      <c r="L5" s="8" t="s">
        <v>913</v>
      </c>
      <c r="M5" s="32">
        <f t="shared" ca="1" si="5"/>
        <v>23.3</v>
      </c>
      <c r="N5" s="8" t="s">
        <v>913</v>
      </c>
      <c r="O5" s="32">
        <f t="shared" ca="1" si="6"/>
        <v>22.700000000000003</v>
      </c>
      <c r="P5" s="8" t="s">
        <v>913</v>
      </c>
      <c r="Q5" s="32">
        <f t="shared" ca="1" si="7"/>
        <v>25.9</v>
      </c>
      <c r="R5" s="8" t="s">
        <v>920</v>
      </c>
      <c r="S5" s="32">
        <f t="shared" ca="1" si="8"/>
        <v>14.5</v>
      </c>
      <c r="T5" s="8" t="s">
        <v>913</v>
      </c>
      <c r="U5" s="32">
        <f t="shared" ca="1" si="9"/>
        <v>6.4</v>
      </c>
      <c r="V5" s="8" t="s">
        <v>913</v>
      </c>
      <c r="W5" s="46">
        <f t="shared" ca="1" si="10"/>
        <v>8.8999999999999986</v>
      </c>
    </row>
    <row r="6" spans="1:26" x14ac:dyDescent="0.2">
      <c r="A6" s="18" t="s">
        <v>935</v>
      </c>
      <c r="B6" s="8" t="s">
        <v>914</v>
      </c>
      <c r="C6" s="32">
        <f t="shared" ca="1" si="0"/>
        <v>26.200000000000003</v>
      </c>
      <c r="D6" s="8" t="s">
        <v>918</v>
      </c>
      <c r="E6" s="32">
        <f t="shared" ca="1" si="1"/>
        <v>31.1</v>
      </c>
      <c r="F6" s="8" t="s">
        <v>918</v>
      </c>
      <c r="G6" s="32">
        <f t="shared" ca="1" si="2"/>
        <v>45.46</v>
      </c>
      <c r="H6" s="8" t="s">
        <v>914</v>
      </c>
      <c r="I6" s="32">
        <f t="shared" ca="1" si="3"/>
        <v>36</v>
      </c>
      <c r="J6" s="8" t="s">
        <v>921</v>
      </c>
      <c r="K6" s="32">
        <f t="shared" ca="1" si="4"/>
        <v>27.700000000000003</v>
      </c>
      <c r="L6" s="8" t="s">
        <v>921</v>
      </c>
      <c r="M6" s="32">
        <f t="shared" ca="1" si="5"/>
        <v>28.5</v>
      </c>
      <c r="N6" s="8" t="s">
        <v>922</v>
      </c>
      <c r="O6" s="32">
        <f t="shared" ca="1" si="6"/>
        <v>23.4</v>
      </c>
      <c r="P6" s="8" t="s">
        <v>918</v>
      </c>
      <c r="Q6" s="32">
        <f t="shared" ca="1" si="7"/>
        <v>14.9</v>
      </c>
      <c r="R6" s="8" t="s">
        <v>914</v>
      </c>
      <c r="S6" s="32">
        <f t="shared" ca="1" si="8"/>
        <v>22.6</v>
      </c>
      <c r="T6" s="8" t="s">
        <v>918</v>
      </c>
      <c r="U6" s="32">
        <f t="shared" ca="1" si="9"/>
        <v>40.5</v>
      </c>
      <c r="V6" s="8" t="s">
        <v>918</v>
      </c>
      <c r="W6" s="46">
        <f t="shared" ca="1" si="10"/>
        <v>27.6</v>
      </c>
    </row>
    <row r="7" spans="1:26" x14ac:dyDescent="0.2">
      <c r="A7" s="18" t="s">
        <v>936</v>
      </c>
      <c r="B7" s="8" t="s">
        <v>922</v>
      </c>
      <c r="C7" s="32">
        <f t="shared" ca="1" si="0"/>
        <v>21.9</v>
      </c>
      <c r="D7" s="8" t="s">
        <v>922</v>
      </c>
      <c r="E7" s="32">
        <f t="shared" ca="1" si="1"/>
        <v>30.1</v>
      </c>
      <c r="F7" s="8" t="s">
        <v>921</v>
      </c>
      <c r="G7" s="32">
        <f t="shared" ca="1" si="2"/>
        <v>31.5</v>
      </c>
      <c r="H7" s="8" t="s">
        <v>922</v>
      </c>
      <c r="I7" s="32">
        <f t="shared" ca="1" si="3"/>
        <v>31.3</v>
      </c>
      <c r="J7" s="8" t="s">
        <v>914</v>
      </c>
      <c r="K7" s="32">
        <f t="shared" ca="1" si="4"/>
        <v>24.1</v>
      </c>
      <c r="L7" s="8" t="s">
        <v>918</v>
      </c>
      <c r="M7" s="32">
        <f t="shared" ca="1" si="5"/>
        <v>21.5</v>
      </c>
      <c r="N7" s="8" t="s">
        <v>914</v>
      </c>
      <c r="O7" s="32">
        <f t="shared" ca="1" si="6"/>
        <v>17.8</v>
      </c>
      <c r="P7" s="8" t="s">
        <v>914</v>
      </c>
      <c r="Q7" s="32">
        <f t="shared" ca="1" si="7"/>
        <v>16</v>
      </c>
      <c r="R7" s="8" t="s">
        <v>921</v>
      </c>
      <c r="S7" s="32">
        <f t="shared" ca="1" si="8"/>
        <v>7.9</v>
      </c>
      <c r="T7" s="8" t="s">
        <v>921</v>
      </c>
      <c r="U7" s="32">
        <f t="shared" ca="1" si="9"/>
        <v>10.199999999999999</v>
      </c>
      <c r="V7" s="8" t="s">
        <v>921</v>
      </c>
      <c r="W7" s="46">
        <f t="shared" ca="1" si="10"/>
        <v>15.4</v>
      </c>
    </row>
    <row r="8" spans="1:26" x14ac:dyDescent="0.2">
      <c r="A8" s="18" t="s">
        <v>69</v>
      </c>
      <c r="B8" s="8" t="s">
        <v>919</v>
      </c>
      <c r="C8" s="32">
        <f t="shared" ca="1" si="0"/>
        <v>8.9</v>
      </c>
      <c r="D8" s="8" t="s">
        <v>915</v>
      </c>
      <c r="E8" s="32">
        <f t="shared" ca="1" si="1"/>
        <v>15.5</v>
      </c>
      <c r="F8" s="8" t="s">
        <v>919</v>
      </c>
      <c r="G8" s="32">
        <f t="shared" ca="1" si="2"/>
        <v>22.4</v>
      </c>
      <c r="H8" s="8" t="s">
        <v>915</v>
      </c>
      <c r="I8" s="32">
        <f t="shared" ca="1" si="3"/>
        <v>25</v>
      </c>
      <c r="J8" s="8" t="s">
        <v>919</v>
      </c>
      <c r="K8" s="32">
        <f t="shared" ca="1" si="4"/>
        <v>19.7</v>
      </c>
      <c r="L8" s="8" t="s">
        <v>915</v>
      </c>
      <c r="M8" s="32">
        <f t="shared" ca="1" si="5"/>
        <v>10.9</v>
      </c>
      <c r="N8" s="8" t="s">
        <v>915</v>
      </c>
      <c r="O8" s="32">
        <f t="shared" ca="1" si="6"/>
        <v>22.3</v>
      </c>
      <c r="P8" s="8" t="s">
        <v>919</v>
      </c>
      <c r="Q8" s="32">
        <f t="shared" ca="1" si="7"/>
        <v>19.7</v>
      </c>
      <c r="R8" s="8" t="s">
        <v>915</v>
      </c>
      <c r="S8" s="32">
        <f t="shared" ca="1" si="8"/>
        <v>17</v>
      </c>
      <c r="T8" s="8" t="s">
        <v>919</v>
      </c>
      <c r="U8" s="32">
        <f t="shared" ca="1" si="9"/>
        <v>8</v>
      </c>
      <c r="V8" s="8" t="s">
        <v>919</v>
      </c>
      <c r="W8" s="46">
        <f t="shared" ca="1" si="10"/>
        <v>6.8</v>
      </c>
    </row>
    <row r="9" spans="1:26" x14ac:dyDescent="0.2">
      <c r="A9" s="18" t="s">
        <v>937</v>
      </c>
      <c r="B9" s="8" t="s">
        <v>320</v>
      </c>
      <c r="C9" s="32">
        <f t="shared" ca="1" si="0"/>
        <v>0</v>
      </c>
      <c r="D9" s="8" t="s">
        <v>320</v>
      </c>
      <c r="E9" s="32">
        <f t="shared" ca="1" si="1"/>
        <v>0</v>
      </c>
      <c r="F9" s="8" t="s">
        <v>320</v>
      </c>
      <c r="G9" s="32">
        <f t="shared" ca="1" si="2"/>
        <v>0</v>
      </c>
      <c r="H9" s="8" t="s">
        <v>320</v>
      </c>
      <c r="I9" s="32">
        <f t="shared" ca="1" si="3"/>
        <v>0</v>
      </c>
      <c r="J9" s="8" t="s">
        <v>320</v>
      </c>
      <c r="K9" s="32">
        <f t="shared" ca="1" si="4"/>
        <v>0</v>
      </c>
      <c r="L9" s="8" t="s">
        <v>83</v>
      </c>
      <c r="M9" s="32">
        <f t="shared" ca="1" si="5"/>
        <v>21.8</v>
      </c>
      <c r="N9" s="8" t="s">
        <v>320</v>
      </c>
      <c r="O9" s="32">
        <f t="shared" ca="1" si="6"/>
        <v>0</v>
      </c>
      <c r="P9" s="8" t="s">
        <v>320</v>
      </c>
      <c r="Q9" s="32">
        <f t="shared" ca="1" si="7"/>
        <v>0</v>
      </c>
      <c r="R9" s="8" t="s">
        <v>320</v>
      </c>
      <c r="S9" s="32">
        <f t="shared" ca="1" si="8"/>
        <v>0</v>
      </c>
      <c r="T9" s="8" t="s">
        <v>320</v>
      </c>
      <c r="U9" s="32">
        <f t="shared" ca="1" si="9"/>
        <v>0</v>
      </c>
      <c r="V9" s="8" t="s">
        <v>320</v>
      </c>
      <c r="W9" s="46">
        <f t="shared" ca="1" si="10"/>
        <v>0</v>
      </c>
    </row>
    <row r="10" spans="1:26" x14ac:dyDescent="0.2">
      <c r="A10" s="18" t="s">
        <v>938</v>
      </c>
      <c r="B10" s="8" t="s">
        <v>918</v>
      </c>
      <c r="C10" s="32">
        <f t="shared" ca="1" si="0"/>
        <v>14.2</v>
      </c>
      <c r="D10" s="8" t="s">
        <v>921</v>
      </c>
      <c r="E10" s="32">
        <f t="shared" ca="1" si="1"/>
        <v>20.399999999999999</v>
      </c>
      <c r="F10" s="8" t="s">
        <v>914</v>
      </c>
      <c r="G10" s="32">
        <f t="shared" ca="1" si="2"/>
        <v>19.100000000000001</v>
      </c>
      <c r="H10" s="8" t="s">
        <v>921</v>
      </c>
      <c r="I10" s="32">
        <f t="shared" ca="1" si="3"/>
        <v>15.2</v>
      </c>
      <c r="J10" s="8" t="s">
        <v>922</v>
      </c>
      <c r="K10" s="32">
        <f t="shared" ca="1" si="4"/>
        <v>20.100000000000001</v>
      </c>
      <c r="L10" s="8" t="s">
        <v>320</v>
      </c>
      <c r="M10" s="32">
        <f t="shared" ca="1" si="5"/>
        <v>0</v>
      </c>
      <c r="N10" s="8" t="s">
        <v>320</v>
      </c>
      <c r="O10" s="32">
        <f t="shared" ca="1" si="6"/>
        <v>0</v>
      </c>
      <c r="P10" s="8" t="s">
        <v>921</v>
      </c>
      <c r="Q10" s="32">
        <f t="shared" ca="1" si="7"/>
        <v>15.2</v>
      </c>
      <c r="R10" s="8" t="s">
        <v>918</v>
      </c>
      <c r="S10" s="32">
        <f t="shared" ca="1" si="8"/>
        <v>15.7</v>
      </c>
      <c r="T10" s="8" t="s">
        <v>320</v>
      </c>
      <c r="U10" s="32">
        <f t="shared" ca="1" si="9"/>
        <v>0</v>
      </c>
      <c r="V10" s="8" t="s">
        <v>922</v>
      </c>
      <c r="W10" s="46">
        <f t="shared" ca="1" si="10"/>
        <v>18.7</v>
      </c>
    </row>
    <row r="11" spans="1:26" x14ac:dyDescent="0.2">
      <c r="A11" s="18" t="s">
        <v>939</v>
      </c>
      <c r="B11" s="8" t="s">
        <v>320</v>
      </c>
      <c r="C11" s="32">
        <f t="shared" ca="1" si="0"/>
        <v>0</v>
      </c>
      <c r="D11" s="8" t="s">
        <v>320</v>
      </c>
      <c r="E11" s="32">
        <f t="shared" ca="1" si="1"/>
        <v>0</v>
      </c>
      <c r="F11" s="8" t="s">
        <v>320</v>
      </c>
      <c r="G11" s="32">
        <f t="shared" ca="1" si="2"/>
        <v>0</v>
      </c>
      <c r="H11" s="8" t="s">
        <v>320</v>
      </c>
      <c r="I11" s="32">
        <f t="shared" ca="1" si="3"/>
        <v>0</v>
      </c>
      <c r="J11" s="8" t="s">
        <v>320</v>
      </c>
      <c r="K11" s="32">
        <f t="shared" ca="1" si="4"/>
        <v>0</v>
      </c>
      <c r="L11" s="8" t="s">
        <v>320</v>
      </c>
      <c r="M11" s="32">
        <f t="shared" ca="1" si="5"/>
        <v>0</v>
      </c>
      <c r="N11" s="8" t="s">
        <v>919</v>
      </c>
      <c r="O11" s="32">
        <f t="shared" ca="1" si="6"/>
        <v>11.2</v>
      </c>
      <c r="P11" s="8" t="s">
        <v>320</v>
      </c>
      <c r="Q11" s="32">
        <f t="shared" ca="1" si="7"/>
        <v>0</v>
      </c>
      <c r="R11" s="8" t="s">
        <v>320</v>
      </c>
      <c r="S11" s="32">
        <f t="shared" ca="1" si="8"/>
        <v>0</v>
      </c>
      <c r="T11" s="8" t="s">
        <v>320</v>
      </c>
      <c r="U11" s="32">
        <f t="shared" ca="1" si="9"/>
        <v>0</v>
      </c>
      <c r="V11" s="8" t="s">
        <v>320</v>
      </c>
      <c r="W11" s="46">
        <f t="shared" ca="1" si="10"/>
        <v>0</v>
      </c>
    </row>
    <row r="12" spans="1:26" x14ac:dyDescent="0.2">
      <c r="A12" s="18" t="s">
        <v>851</v>
      </c>
      <c r="B12" s="8" t="s">
        <v>850</v>
      </c>
      <c r="C12" s="32"/>
      <c r="D12" s="8" t="s">
        <v>880</v>
      </c>
      <c r="E12" s="32"/>
      <c r="F12" s="8" t="s">
        <v>880</v>
      </c>
      <c r="G12" s="32"/>
      <c r="H12" s="8" t="s">
        <v>850</v>
      </c>
      <c r="I12" s="32"/>
      <c r="J12" s="8" t="s">
        <v>880</v>
      </c>
      <c r="K12" s="32"/>
      <c r="L12" s="8" t="s">
        <v>850</v>
      </c>
      <c r="M12" s="32"/>
      <c r="N12" s="8" t="s">
        <v>880</v>
      </c>
      <c r="O12" s="32"/>
      <c r="P12" s="8" t="s">
        <v>850</v>
      </c>
      <c r="Q12" s="32"/>
      <c r="R12" s="8" t="s">
        <v>850</v>
      </c>
      <c r="S12" s="32"/>
      <c r="T12" s="8" t="s">
        <v>850</v>
      </c>
      <c r="U12" s="32"/>
      <c r="V12" s="8" t="s">
        <v>850</v>
      </c>
      <c r="W12" s="46"/>
    </row>
    <row r="13" spans="1:26" x14ac:dyDescent="0.2">
      <c r="A13" s="18" t="s">
        <v>849</v>
      </c>
      <c r="B13" s="8" t="s">
        <v>940</v>
      </c>
      <c r="C13" s="32"/>
      <c r="D13" s="8" t="s">
        <v>940</v>
      </c>
      <c r="E13" s="32"/>
      <c r="F13" s="8" t="s">
        <v>941</v>
      </c>
      <c r="G13" s="32"/>
      <c r="H13" s="8" t="s">
        <v>940</v>
      </c>
      <c r="I13" s="32"/>
      <c r="J13" s="8" t="s">
        <v>940</v>
      </c>
      <c r="K13" s="32"/>
      <c r="L13" s="8" t="s">
        <v>940</v>
      </c>
      <c r="M13" s="32"/>
      <c r="N13" s="8" t="s">
        <v>941</v>
      </c>
      <c r="O13" s="32"/>
      <c r="P13" s="8" t="s">
        <v>941</v>
      </c>
      <c r="Q13" s="32"/>
      <c r="R13" s="8" t="s">
        <v>941</v>
      </c>
      <c r="S13" s="32"/>
      <c r="T13" s="8" t="s">
        <v>941</v>
      </c>
      <c r="U13" s="32"/>
      <c r="V13" s="8" t="s">
        <v>941</v>
      </c>
      <c r="W13" s="46"/>
    </row>
    <row r="14" spans="1:26" x14ac:dyDescent="0.2">
      <c r="A14" s="18" t="s">
        <v>844</v>
      </c>
      <c r="B14" s="8"/>
      <c r="C14" s="24">
        <f ca="1">SUM(C3:C13)-MIN(C9:C11)</f>
        <v>137.13999999999999</v>
      </c>
      <c r="D14" s="8"/>
      <c r="E14" s="24">
        <f ca="1">SUM(E3:E13)-MIN(E9:E11)</f>
        <v>173.72</v>
      </c>
      <c r="F14" s="8"/>
      <c r="G14" s="24">
        <f ca="1">SUM(G3:G13)-MIN(G9:G11)</f>
        <v>209.82</v>
      </c>
      <c r="H14" s="8"/>
      <c r="I14" s="24">
        <f ca="1">SUM(I3:I13)-MIN(I9:I11)</f>
        <v>170.57999999999998</v>
      </c>
      <c r="J14" s="8"/>
      <c r="K14" s="24">
        <f ca="1">SUM(K3:K13)-MIN(K9:K11)</f>
        <v>174.14</v>
      </c>
      <c r="L14" s="8"/>
      <c r="M14" s="24">
        <f ca="1">SUM(M3:M13)-MIN(M9:M11)</f>
        <v>162.68000000000004</v>
      </c>
      <c r="N14" s="8"/>
      <c r="O14" s="24">
        <f ca="1">SUM(O3:O13)-MIN(O9:O11)</f>
        <v>137.04</v>
      </c>
      <c r="P14" s="8"/>
      <c r="Q14" s="24">
        <f ca="1">SUM(Q3:Q13)-MIN(Q9:Q11)</f>
        <v>140.46</v>
      </c>
      <c r="R14" s="8"/>
      <c r="S14" s="24">
        <f ca="1">SUM(S3:S13)-MIN(S9:S11)</f>
        <v>101.12</v>
      </c>
      <c r="T14" s="8"/>
      <c r="U14" s="24">
        <f ca="1">SUM(U3:U13)-MIN(U9:U11)</f>
        <v>104.72000000000001</v>
      </c>
      <c r="V14" s="8"/>
      <c r="W14" s="24">
        <f ca="1">SUM(W3:W13)-MIN(W9:W11)</f>
        <v>105.30000000000001</v>
      </c>
    </row>
    <row r="15" spans="1:26" x14ac:dyDescent="0.2">
      <c r="B15" s="8"/>
      <c r="C15" s="9"/>
      <c r="D15" s="8"/>
      <c r="E15" s="9"/>
      <c r="F15" s="8"/>
      <c r="G15" s="9"/>
      <c r="H15" s="8"/>
      <c r="I15" s="9"/>
      <c r="J15" s="8"/>
      <c r="K15" s="9"/>
      <c r="L15" s="8"/>
      <c r="M15" s="9"/>
      <c r="N15" s="8"/>
      <c r="O15" s="9"/>
      <c r="P15" s="8"/>
      <c r="Q15" s="9"/>
      <c r="R15" s="8"/>
      <c r="S15" s="9"/>
      <c r="T15" s="8"/>
      <c r="U15" s="9"/>
      <c r="V15" s="8"/>
      <c r="W15" s="9"/>
    </row>
    <row r="16" spans="1:26" x14ac:dyDescent="0.2">
      <c r="A16" s="18" t="s">
        <v>942</v>
      </c>
      <c r="B16" s="8" t="s">
        <v>916</v>
      </c>
      <c r="C16" s="32">
        <f t="shared" ref="C16:C23" ca="1" si="11">VLOOKUP("*"&amp;B16&amp;"*",INDIRECT("'W"&amp;B$1&amp;"'!$A$2:$T$500"),4,FALSE)</f>
        <v>14.020000000000001</v>
      </c>
      <c r="D16" s="8" t="s">
        <v>912</v>
      </c>
      <c r="E16" s="32">
        <f t="shared" ref="E16:E23" ca="1" si="12">VLOOKUP("*"&amp;D16&amp;"*",INDIRECT("'W"&amp;D$1&amp;"'!$A$2:$T$500"),4,FALSE)</f>
        <v>12.260000000000002</v>
      </c>
      <c r="F16" s="8" t="s">
        <v>916</v>
      </c>
      <c r="G16" s="32">
        <f t="shared" ref="G16:G23" ca="1" si="13">VLOOKUP("*"&amp;F16&amp;"*",INDIRECT("'W"&amp;F$1&amp;"'!$A$2:$T$500"),4,FALSE)</f>
        <v>18.020000000000003</v>
      </c>
      <c r="H16" s="8" t="s">
        <v>916</v>
      </c>
      <c r="I16" s="32">
        <f t="shared" ref="I16:I23" ca="1" si="14">VLOOKUP("*"&amp;H16&amp;"*",INDIRECT("'W"&amp;H$1&amp;"'!$A$2:$T$500"),4,FALSE)</f>
        <v>11.4</v>
      </c>
      <c r="J16" s="8" t="s">
        <v>912</v>
      </c>
      <c r="K16" s="32">
        <f t="shared" ref="K16:K23" ca="1" si="15">VLOOKUP("*"&amp;J16&amp;"*",INDIRECT("'W"&amp;J$1&amp;"'!$A$2:$T$500"),4,FALSE)</f>
        <v>16.920000000000002</v>
      </c>
      <c r="L16" s="8" t="s">
        <v>916</v>
      </c>
      <c r="M16" s="32">
        <f t="shared" ref="M16:M23" ca="1" si="16">VLOOKUP("*"&amp;L16&amp;"*",INDIRECT("'W"&amp;L$1&amp;"'!$A$2:$T$500"),4,FALSE)</f>
        <v>22.42</v>
      </c>
      <c r="N16" s="8" t="s">
        <v>916</v>
      </c>
      <c r="O16" s="32">
        <f t="shared" ref="O16:O23" ca="1" si="17">VLOOKUP("*"&amp;N16&amp;"*",INDIRECT("'W"&amp;N$1&amp;"'!$A$2:$T$500"),4,FALSE)</f>
        <v>9.36</v>
      </c>
      <c r="P16" s="8" t="s">
        <v>916</v>
      </c>
      <c r="Q16" s="32">
        <f t="shared" ref="Q16:Q23" ca="1" si="18">VLOOKUP("*"&amp;P16&amp;"*",INDIRECT("'W"&amp;P$1&amp;"'!$A$2:$T$500"),4,FALSE)</f>
        <v>12.680000000000001</v>
      </c>
      <c r="R16" s="8" t="s">
        <v>916</v>
      </c>
      <c r="S16" s="32" t="e">
        <f t="shared" ref="S16:S23" ca="1" si="19">VLOOKUP("*"&amp;R16&amp;"*",INDIRECT("'W"&amp;R$1&amp;"'!$A$2:$T$500"),4,FALSE)</f>
        <v>#N/A</v>
      </c>
      <c r="T16" s="8" t="s">
        <v>912</v>
      </c>
      <c r="U16" s="32" t="e">
        <f t="shared" ref="U16:U23" ca="1" si="20">VLOOKUP("*"&amp;T16&amp;"*",INDIRECT("'W"&amp;T$1&amp;"'!$A$2:$T$500"),4,FALSE)</f>
        <v>#N/A</v>
      </c>
      <c r="V16" s="8" t="s">
        <v>916</v>
      </c>
      <c r="W16" s="46">
        <f t="shared" ref="W16:W23" ca="1" si="21">VLOOKUP("*"&amp;V16&amp;"*",INDIRECT("'W"&amp;V$1&amp;"'!$A$2:$T$500"),4,FALSE)</f>
        <v>13.739999999999998</v>
      </c>
    </row>
    <row r="17" spans="1:23" x14ac:dyDescent="0.2">
      <c r="A17" s="18" t="s">
        <v>943</v>
      </c>
      <c r="B17" s="8" t="s">
        <v>920</v>
      </c>
      <c r="C17" s="32">
        <f t="shared" ca="1" si="11"/>
        <v>13</v>
      </c>
      <c r="D17" s="8" t="s">
        <v>913</v>
      </c>
      <c r="E17" s="32">
        <f t="shared" ca="1" si="12"/>
        <v>6.2</v>
      </c>
      <c r="F17" s="8" t="s">
        <v>83</v>
      </c>
      <c r="G17" s="32">
        <f t="shared" ca="1" si="13"/>
        <v>8.5</v>
      </c>
      <c r="H17" s="8" t="s">
        <v>920</v>
      </c>
      <c r="I17" s="32">
        <f t="shared" ca="1" si="14"/>
        <v>5.5</v>
      </c>
      <c r="J17" s="8" t="s">
        <v>920</v>
      </c>
      <c r="K17" s="32">
        <f t="shared" ca="1" si="15"/>
        <v>15.8</v>
      </c>
      <c r="L17" s="8" t="s">
        <v>320</v>
      </c>
      <c r="M17" s="32">
        <f t="shared" ca="1" si="16"/>
        <v>0</v>
      </c>
      <c r="N17" s="8" t="s">
        <v>83</v>
      </c>
      <c r="O17" s="32" t="e">
        <f t="shared" ca="1" si="17"/>
        <v>#N/A</v>
      </c>
      <c r="P17" s="8" t="s">
        <v>320</v>
      </c>
      <c r="Q17" s="32">
        <f t="shared" ca="1" si="18"/>
        <v>0</v>
      </c>
      <c r="R17" s="8" t="s">
        <v>320</v>
      </c>
      <c r="S17" s="32">
        <f t="shared" ca="1" si="19"/>
        <v>0</v>
      </c>
      <c r="T17" s="8" t="s">
        <v>320</v>
      </c>
      <c r="U17" s="32">
        <f t="shared" ca="1" si="20"/>
        <v>0</v>
      </c>
      <c r="V17" s="8" t="s">
        <v>320</v>
      </c>
      <c r="W17" s="46">
        <f t="shared" ca="1" si="21"/>
        <v>0</v>
      </c>
    </row>
    <row r="18" spans="1:23" x14ac:dyDescent="0.2">
      <c r="A18" s="18" t="s">
        <v>944</v>
      </c>
      <c r="B18" s="8" t="s">
        <v>917</v>
      </c>
      <c r="C18" s="32" t="e">
        <f t="shared" ca="1" si="11"/>
        <v>#N/A</v>
      </c>
      <c r="D18" s="8" t="s">
        <v>917</v>
      </c>
      <c r="E18" s="32" t="e">
        <f t="shared" ca="1" si="12"/>
        <v>#N/A</v>
      </c>
      <c r="F18" s="8" t="s">
        <v>917</v>
      </c>
      <c r="G18" s="32" t="e">
        <f t="shared" ca="1" si="13"/>
        <v>#N/A</v>
      </c>
      <c r="H18" s="8" t="s">
        <v>913</v>
      </c>
      <c r="I18" s="32">
        <f t="shared" ca="1" si="14"/>
        <v>10.199999999999999</v>
      </c>
      <c r="J18" s="8" t="s">
        <v>83</v>
      </c>
      <c r="K18" s="32">
        <f t="shared" ca="1" si="15"/>
        <v>7.7000000000000011</v>
      </c>
      <c r="L18" s="8" t="s">
        <v>917</v>
      </c>
      <c r="M18" s="32">
        <f t="shared" ca="1" si="16"/>
        <v>17.400000000000002</v>
      </c>
      <c r="N18" s="8" t="s">
        <v>920</v>
      </c>
      <c r="O18" s="32">
        <f t="shared" ca="1" si="17"/>
        <v>6.1</v>
      </c>
      <c r="P18" s="8" t="s">
        <v>920</v>
      </c>
      <c r="Q18" s="32">
        <f t="shared" ca="1" si="18"/>
        <v>10.600000000000001</v>
      </c>
      <c r="R18" s="8" t="s">
        <v>913</v>
      </c>
      <c r="S18" s="32" t="e">
        <f t="shared" ca="1" si="19"/>
        <v>#N/A</v>
      </c>
      <c r="T18" s="8" t="s">
        <v>920</v>
      </c>
      <c r="U18" s="32" t="e">
        <f t="shared" ca="1" si="20"/>
        <v>#N/A</v>
      </c>
      <c r="V18" s="8" t="s">
        <v>917</v>
      </c>
      <c r="W18" s="46" t="e">
        <f t="shared" ca="1" si="21"/>
        <v>#N/A</v>
      </c>
    </row>
    <row r="19" spans="1:23" x14ac:dyDescent="0.2">
      <c r="A19" s="18" t="s">
        <v>945</v>
      </c>
      <c r="B19" s="8" t="s">
        <v>921</v>
      </c>
      <c r="C19" s="32">
        <f t="shared" ca="1" si="11"/>
        <v>3.2</v>
      </c>
      <c r="D19" s="8" t="s">
        <v>320</v>
      </c>
      <c r="E19" s="32">
        <f t="shared" ca="1" si="12"/>
        <v>0</v>
      </c>
      <c r="F19" s="8" t="s">
        <v>922</v>
      </c>
      <c r="G19" s="32">
        <f t="shared" ca="1" si="13"/>
        <v>12.2</v>
      </c>
      <c r="H19" s="8" t="s">
        <v>320</v>
      </c>
      <c r="I19" s="32">
        <f t="shared" ca="1" si="14"/>
        <v>0</v>
      </c>
      <c r="J19" s="8" t="s">
        <v>320</v>
      </c>
      <c r="K19" s="32">
        <f t="shared" ca="1" si="15"/>
        <v>0</v>
      </c>
      <c r="L19" s="8" t="s">
        <v>922</v>
      </c>
      <c r="M19" s="32">
        <f t="shared" ca="1" si="16"/>
        <v>6.6</v>
      </c>
      <c r="N19" s="8" t="s">
        <v>918</v>
      </c>
      <c r="O19" s="32">
        <f t="shared" ca="1" si="17"/>
        <v>9.5</v>
      </c>
      <c r="P19" s="8" t="s">
        <v>320</v>
      </c>
      <c r="Q19" s="32">
        <f t="shared" ca="1" si="18"/>
        <v>0</v>
      </c>
      <c r="R19" s="8" t="s">
        <v>320</v>
      </c>
      <c r="S19" s="32">
        <f t="shared" ca="1" si="19"/>
        <v>0</v>
      </c>
      <c r="T19" s="8" t="s">
        <v>914</v>
      </c>
      <c r="U19" s="32">
        <f t="shared" ca="1" si="20"/>
        <v>6.4</v>
      </c>
      <c r="V19" s="8" t="s">
        <v>320</v>
      </c>
      <c r="W19" s="46">
        <f t="shared" ca="1" si="21"/>
        <v>0</v>
      </c>
    </row>
    <row r="20" spans="1:23" x14ac:dyDescent="0.2">
      <c r="A20" s="18" t="s">
        <v>946</v>
      </c>
      <c r="B20" s="8" t="s">
        <v>320</v>
      </c>
      <c r="C20" s="32">
        <f t="shared" ca="1" si="11"/>
        <v>0</v>
      </c>
      <c r="D20" s="8" t="s">
        <v>914</v>
      </c>
      <c r="E20" s="32">
        <f t="shared" ca="1" si="12"/>
        <v>13.600000000000001</v>
      </c>
      <c r="F20" s="8" t="s">
        <v>320</v>
      </c>
      <c r="G20" s="32">
        <f t="shared" ca="1" si="13"/>
        <v>0</v>
      </c>
      <c r="H20" s="8" t="s">
        <v>918</v>
      </c>
      <c r="I20" s="32">
        <f t="shared" ca="1" si="14"/>
        <v>12.2</v>
      </c>
      <c r="J20" s="8" t="s">
        <v>918</v>
      </c>
      <c r="K20" s="32" t="e">
        <f t="shared" ca="1" si="15"/>
        <v>#N/A</v>
      </c>
      <c r="L20" s="8" t="s">
        <v>914</v>
      </c>
      <c r="M20" s="32">
        <f t="shared" ca="1" si="16"/>
        <v>20</v>
      </c>
      <c r="N20" s="8" t="s">
        <v>921</v>
      </c>
      <c r="O20" s="32" t="e">
        <f t="shared" ca="1" si="17"/>
        <v>#N/A</v>
      </c>
      <c r="P20" s="8" t="s">
        <v>922</v>
      </c>
      <c r="Q20" s="32">
        <f t="shared" ca="1" si="18"/>
        <v>7.3</v>
      </c>
      <c r="R20" s="8" t="s">
        <v>922</v>
      </c>
      <c r="S20" s="32">
        <f t="shared" ca="1" si="19"/>
        <v>6.2</v>
      </c>
      <c r="T20" s="8" t="s">
        <v>922</v>
      </c>
      <c r="U20" s="32" t="e">
        <f t="shared" ca="1" si="20"/>
        <v>#N/A</v>
      </c>
      <c r="V20" s="8" t="s">
        <v>914</v>
      </c>
      <c r="W20" s="46">
        <f t="shared" ca="1" si="21"/>
        <v>6.7</v>
      </c>
    </row>
    <row r="21" spans="1:23" x14ac:dyDescent="0.2">
      <c r="A21" s="18" t="s">
        <v>947</v>
      </c>
      <c r="B21" s="8" t="s">
        <v>915</v>
      </c>
      <c r="C21" s="32" t="e">
        <f t="shared" ca="1" si="11"/>
        <v>#N/A</v>
      </c>
      <c r="D21" s="8" t="s">
        <v>919</v>
      </c>
      <c r="E21" s="32">
        <f t="shared" ca="1" si="12"/>
        <v>11.3</v>
      </c>
      <c r="F21" s="8" t="s">
        <v>915</v>
      </c>
      <c r="G21" s="32">
        <f t="shared" ca="1" si="13"/>
        <v>7.5</v>
      </c>
      <c r="H21" s="8" t="s">
        <v>919</v>
      </c>
      <c r="I21" s="32">
        <f t="shared" ca="1" si="14"/>
        <v>9.6000000000000014</v>
      </c>
      <c r="J21" s="8" t="s">
        <v>915</v>
      </c>
      <c r="K21" s="32">
        <f t="shared" ca="1" si="15"/>
        <v>12.5</v>
      </c>
      <c r="L21" s="8" t="s">
        <v>919</v>
      </c>
      <c r="M21" s="32">
        <f t="shared" ca="1" si="16"/>
        <v>7.6</v>
      </c>
      <c r="N21" s="8" t="s">
        <v>320</v>
      </c>
      <c r="O21" s="32">
        <f t="shared" ca="1" si="17"/>
        <v>0</v>
      </c>
      <c r="P21" s="8" t="s">
        <v>915</v>
      </c>
      <c r="Q21" s="32">
        <f t="shared" ca="1" si="18"/>
        <v>14</v>
      </c>
      <c r="R21" s="8" t="s">
        <v>919</v>
      </c>
      <c r="S21" s="32" t="e">
        <f t="shared" ca="1" si="19"/>
        <v>#N/A</v>
      </c>
      <c r="T21" s="8" t="s">
        <v>915</v>
      </c>
      <c r="U21" s="32">
        <f t="shared" ca="1" si="20"/>
        <v>6.4</v>
      </c>
      <c r="V21" s="8" t="s">
        <v>915</v>
      </c>
      <c r="W21" s="46">
        <f t="shared" ca="1" si="21"/>
        <v>4.3000000000000007</v>
      </c>
    </row>
    <row r="22" spans="1:23" x14ac:dyDescent="0.2">
      <c r="A22" s="18" t="s">
        <v>948</v>
      </c>
      <c r="B22" s="8" t="s">
        <v>880</v>
      </c>
      <c r="C22" s="32" t="e">
        <f t="shared" ca="1" si="11"/>
        <v>#N/A</v>
      </c>
      <c r="D22" s="8" t="s">
        <v>850</v>
      </c>
      <c r="E22" s="32" t="e">
        <f t="shared" ca="1" si="12"/>
        <v>#N/A</v>
      </c>
      <c r="F22" s="8" t="s">
        <v>850</v>
      </c>
      <c r="G22" s="32" t="e">
        <f t="shared" ca="1" si="13"/>
        <v>#N/A</v>
      </c>
      <c r="H22" s="8" t="s">
        <v>880</v>
      </c>
      <c r="I22" s="32" t="e">
        <f t="shared" ca="1" si="14"/>
        <v>#N/A</v>
      </c>
      <c r="J22" s="8" t="s">
        <v>850</v>
      </c>
      <c r="K22" s="32" t="e">
        <f t="shared" ca="1" si="15"/>
        <v>#N/A</v>
      </c>
      <c r="L22" s="8" t="s">
        <v>880</v>
      </c>
      <c r="M22" s="32" t="e">
        <f t="shared" ca="1" si="16"/>
        <v>#N/A</v>
      </c>
      <c r="N22" s="8" t="s">
        <v>850</v>
      </c>
      <c r="O22" s="32" t="e">
        <f t="shared" ca="1" si="17"/>
        <v>#N/A</v>
      </c>
      <c r="P22" s="8" t="s">
        <v>880</v>
      </c>
      <c r="Q22" s="32" t="e">
        <f t="shared" ca="1" si="18"/>
        <v>#N/A</v>
      </c>
      <c r="R22" s="8" t="s">
        <v>880</v>
      </c>
      <c r="S22" s="32" t="e">
        <f t="shared" ca="1" si="19"/>
        <v>#N/A</v>
      </c>
      <c r="T22" s="8" t="s">
        <v>880</v>
      </c>
      <c r="U22" s="32" t="e">
        <f t="shared" ca="1" si="20"/>
        <v>#N/A</v>
      </c>
      <c r="V22" s="8" t="s">
        <v>880</v>
      </c>
      <c r="W22" s="46" t="e">
        <f t="shared" ca="1" si="21"/>
        <v>#N/A</v>
      </c>
    </row>
    <row r="23" spans="1:23" x14ac:dyDescent="0.2">
      <c r="A23" s="18" t="s">
        <v>949</v>
      </c>
      <c r="B23" s="8" t="s">
        <v>941</v>
      </c>
      <c r="C23" s="32" t="e">
        <f t="shared" ca="1" si="11"/>
        <v>#N/A</v>
      </c>
      <c r="D23" s="8" t="s">
        <v>941</v>
      </c>
      <c r="E23" s="32" t="e">
        <f t="shared" ca="1" si="12"/>
        <v>#N/A</v>
      </c>
      <c r="F23" s="8" t="s">
        <v>940</v>
      </c>
      <c r="G23" s="32" t="e">
        <f t="shared" ca="1" si="13"/>
        <v>#N/A</v>
      </c>
      <c r="H23" s="8" t="s">
        <v>941</v>
      </c>
      <c r="I23" s="32" t="e">
        <f t="shared" ca="1" si="14"/>
        <v>#N/A</v>
      </c>
      <c r="J23" s="8" t="s">
        <v>941</v>
      </c>
      <c r="K23" s="32" t="e">
        <f t="shared" ca="1" si="15"/>
        <v>#N/A</v>
      </c>
      <c r="L23" s="8" t="s">
        <v>941</v>
      </c>
      <c r="M23" s="32" t="e">
        <f t="shared" ca="1" si="16"/>
        <v>#N/A</v>
      </c>
      <c r="N23" s="8" t="s">
        <v>940</v>
      </c>
      <c r="O23" s="32" t="e">
        <f t="shared" ca="1" si="17"/>
        <v>#N/A</v>
      </c>
      <c r="P23" s="8" t="s">
        <v>940</v>
      </c>
      <c r="Q23" s="32" t="e">
        <f t="shared" ca="1" si="18"/>
        <v>#N/A</v>
      </c>
      <c r="R23" s="8" t="s">
        <v>940</v>
      </c>
      <c r="S23" s="32" t="e">
        <f t="shared" ca="1" si="19"/>
        <v>#N/A</v>
      </c>
      <c r="T23" s="8" t="s">
        <v>940</v>
      </c>
      <c r="U23" s="32" t="e">
        <f t="shared" ca="1" si="20"/>
        <v>#N/A</v>
      </c>
      <c r="V23" s="8" t="s">
        <v>940</v>
      </c>
      <c r="W23" s="46" t="e">
        <f t="shared" ca="1" si="21"/>
        <v>#N/A</v>
      </c>
    </row>
    <row r="24" spans="1:23" x14ac:dyDescent="0.2">
      <c r="A24" s="9"/>
      <c r="C24" s="9"/>
      <c r="E24" s="9"/>
      <c r="G24" s="9"/>
      <c r="I24" s="9"/>
      <c r="K24" s="9"/>
      <c r="M24" s="9"/>
      <c r="O24" s="9"/>
      <c r="Q24" s="9"/>
      <c r="S24" s="9"/>
      <c r="U24" s="9"/>
      <c r="W24" s="9"/>
    </row>
    <row r="25" spans="1:23" x14ac:dyDescent="0.2">
      <c r="A25" s="18" t="s">
        <v>950</v>
      </c>
      <c r="B25" s="8"/>
      <c r="C25" s="9"/>
      <c r="D25" s="8"/>
      <c r="E25" s="9"/>
      <c r="F25" s="8"/>
      <c r="G25" s="9"/>
      <c r="H25" s="8"/>
      <c r="I25" s="9"/>
      <c r="J25" s="8"/>
      <c r="K25" s="9"/>
      <c r="L25" s="8"/>
      <c r="M25" s="9"/>
      <c r="N25" s="8"/>
      <c r="O25" s="9"/>
      <c r="P25" s="8" t="s">
        <v>951</v>
      </c>
      <c r="Q25" s="9"/>
      <c r="R25" s="8" t="s">
        <v>951</v>
      </c>
      <c r="S25" s="9"/>
      <c r="T25" s="8" t="s">
        <v>951</v>
      </c>
      <c r="U25" s="9"/>
      <c r="V25" s="8" t="s">
        <v>951</v>
      </c>
      <c r="W25" s="9"/>
    </row>
    <row r="26" spans="1:23" x14ac:dyDescent="0.2">
      <c r="A26" s="18"/>
      <c r="B26" s="8"/>
      <c r="C26" s="9"/>
      <c r="W26" s="9"/>
    </row>
    <row r="27" spans="1:23" x14ac:dyDescent="0.2">
      <c r="A27" s="18"/>
      <c r="B27" s="8"/>
      <c r="C27" s="9"/>
      <c r="W27" s="9"/>
    </row>
    <row r="28" spans="1:23" x14ac:dyDescent="0.2">
      <c r="A28" s="18"/>
      <c r="B28" s="8"/>
      <c r="C28" s="9"/>
      <c r="W28" s="9"/>
    </row>
    <row r="29" spans="1:23" x14ac:dyDescent="0.2">
      <c r="A29" s="18"/>
      <c r="B29" s="8"/>
      <c r="C29" s="9"/>
      <c r="W29" s="9"/>
    </row>
    <row r="30" spans="1:23" x14ac:dyDescent="0.2">
      <c r="A30" s="18"/>
      <c r="B30" s="8"/>
      <c r="C30" s="9"/>
      <c r="W30" s="9"/>
    </row>
    <row r="31" spans="1:23" x14ac:dyDescent="0.2">
      <c r="A31" s="18"/>
      <c r="B31" s="8"/>
      <c r="C31" s="9"/>
      <c r="W31" s="9"/>
    </row>
  </sheetData>
  <mergeCells count="11">
    <mergeCell ref="P1:Q1"/>
    <mergeCell ref="R1:S1"/>
    <mergeCell ref="T1:U1"/>
    <mergeCell ref="V1:W1"/>
    <mergeCell ref="B1:C1"/>
    <mergeCell ref="D1:E1"/>
    <mergeCell ref="F1:G1"/>
    <mergeCell ref="H1:I1"/>
    <mergeCell ref="J1:K1"/>
    <mergeCell ref="L1:M1"/>
    <mergeCell ref="N1:O1"/>
  </mergeCell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00000000-0002-0000-1600-000000000000}">
          <x14:formula1>
            <xm:f>'Draft Order'!$K$2:$K$4</xm:f>
          </x14:formula1>
          <xm:sqref>B13 D13 F13 H13 J13 L13 N13 P13 R13 T13 V13 B23 D23 F23 H23 J23 L23 N23 P23 R23 T23 V23</xm:sqref>
        </x14:dataValidation>
        <x14:dataValidation type="list" allowBlank="1" showErrorMessage="1" xr:uid="{00000000-0002-0000-1600-000001000000}">
          <x14:formula1>
            <xm:f>'Draft Order'!$I$2:$I$4</xm:f>
          </x14:formula1>
          <xm:sqref>B8 D8 F8 H8 J8 L8 N8 P8 R8 T8 V8 B11 D11 F11 H11 J11 L11 N11 P11 R11 T11 V11 B21 D21 F21 H21 J21 L21 N21 P21 R21 T21 V21</xm:sqref>
        </x14:dataValidation>
        <x14:dataValidation type="list" allowBlank="1" showErrorMessage="1" xr:uid="{00000000-0002-0000-1600-000002000000}">
          <x14:formula1>
            <xm:f>'Draft Order'!$F$2:$F$4</xm:f>
          </x14:formula1>
          <xm:sqref>B3 D3 F3 H3 J3 L3 N3 P3 R3 T3 V3 B16 D16 F16 H16 J16 L16 N16 P16 R16 T16 V16</xm:sqref>
        </x14:dataValidation>
        <x14:dataValidation type="list" allowBlank="1" showErrorMessage="1" xr:uid="{00000000-0002-0000-1600-000003000000}">
          <x14:formula1>
            <xm:f>'Draft Order'!$J$2:$J$4</xm:f>
          </x14:formula1>
          <xm:sqref>B12 D12 F12 H12 J12 L12 N12 P12 R12 T12 V12 B22 D22 F22 H22 J22 L22 N22 P22 R22 T22 V22</xm:sqref>
        </x14:dataValidation>
        <x14:dataValidation type="list" allowBlank="1" showErrorMessage="1" xr:uid="{00000000-0002-0000-1600-000004000000}">
          <x14:formula1>
            <xm:f>'Draft Order'!$G$2:$G$6</xm:f>
          </x14:formula1>
          <xm:sqref>B4:B5 D4:D5 F4:F5 H4:H5 J4:J5 L4:L5 N4:N5 P4:P5 R4:R5 T4:T5 V4:V5 B9 D9 F9 H9 J9 L9 N9 P9 R9 T9 V9 B17:B18 D17:D18 F17:F18 H17:H18 J17:J18 L17:L18 N17:N18 P17:P18 R17:R18 T17:T18 V17:V18</xm:sqref>
        </x14:dataValidation>
        <x14:dataValidation type="list" allowBlank="1" showErrorMessage="1" xr:uid="{00000000-0002-0000-1600-000005000000}">
          <x14:formula1>
            <xm:f>'Draft Order'!$H$2:$H$6</xm:f>
          </x14:formula1>
          <xm:sqref>B6:B7 D6:D7 F6:F7 H6:H7 J6:J7 L6:L7 N6:N7 P6:P7 R6:R7 T6:T7 V6:V7 B10 D10 F10 H10 J10 L10 N10 P10 R10 T10 V10 B19:B20 D19:D20 F19:F20 H19:H20 J19:J20 L19:L20 N19:N20 P19:P20 R19:R20 T19:T20 V19:V20</xm:sqref>
        </x14:dataValidation>
        <x14:dataValidation type="list" allowBlank="1" showErrorMessage="1" xr:uid="{00000000-0002-0000-1600-000006000000}">
          <x14:formula1>
            <xm:f>'Draft Order'!$F$3:$K$6</xm:f>
          </x14:formula1>
          <xm:sqref>P25 R25 T25 V25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3C78D8"/>
    <outlinePr summaryBelow="0" summaryRight="0"/>
  </sheetPr>
  <dimension ref="A1:AL40"/>
  <sheetViews>
    <sheetView workbookViewId="0">
      <pane xSplit="1" ySplit="2" topLeftCell="B3" activePane="bottomRight" state="frozen"/>
      <selection pane="topRight" activeCell="B1" sqref="B1"/>
      <selection pane="bottomLeft" activeCell="A3" sqref="A3"/>
      <selection pane="bottomRight" activeCell="D44" sqref="D44"/>
    </sheetView>
  </sheetViews>
  <sheetFormatPr defaultColWidth="12.5703125" defaultRowHeight="15.75" customHeight="1" x14ac:dyDescent="0.2"/>
  <cols>
    <col min="1" max="1" width="9.42578125" customWidth="1"/>
    <col min="2" max="2" width="20.28515625" customWidth="1"/>
    <col min="3" max="3" width="6" customWidth="1"/>
    <col min="4" max="4" width="20.28515625" customWidth="1"/>
    <col min="5" max="5" width="6" customWidth="1"/>
    <col min="6" max="6" width="20.28515625" customWidth="1"/>
    <col min="7" max="7" width="6" customWidth="1"/>
    <col min="8" max="8" width="20.28515625" customWidth="1"/>
    <col min="9" max="9" width="6" customWidth="1"/>
    <col min="10" max="10" width="20.28515625" customWidth="1"/>
    <col min="11" max="11" width="6" customWidth="1"/>
    <col min="12" max="12" width="20.28515625" customWidth="1"/>
    <col min="13" max="13" width="6" customWidth="1"/>
    <col min="14" max="14" width="20.28515625" customWidth="1"/>
    <col min="15" max="15" width="5.85546875" customWidth="1"/>
    <col min="16" max="16" width="20.28515625" customWidth="1"/>
    <col min="17" max="17" width="6" customWidth="1"/>
    <col min="18" max="18" width="20.28515625" customWidth="1"/>
    <col min="19" max="19" width="6" customWidth="1"/>
    <col min="20" max="20" width="20.28515625" customWidth="1"/>
    <col min="21" max="21" width="6" customWidth="1"/>
    <col min="22" max="22" width="20.28515625" customWidth="1"/>
    <col min="23" max="23" width="6" customWidth="1"/>
    <col min="24" max="24" width="20.28515625" customWidth="1"/>
    <col min="25" max="25" width="6" customWidth="1"/>
    <col min="26" max="26" width="20.28515625" customWidth="1"/>
    <col min="27" max="27" width="6" customWidth="1"/>
    <col min="28" max="28" width="20.28515625" customWidth="1"/>
    <col min="29" max="29" width="6" customWidth="1"/>
    <col min="30" max="30" width="20.28515625" customWidth="1"/>
    <col min="31" max="31" width="6" customWidth="1"/>
    <col min="32" max="32" width="20.28515625" customWidth="1"/>
    <col min="33" max="33" width="6" customWidth="1"/>
    <col min="34" max="34" width="20.28515625" customWidth="1"/>
    <col min="35" max="35" width="6" customWidth="1"/>
    <col min="36" max="36" width="20.28515625" customWidth="1"/>
    <col min="37" max="37" width="6" customWidth="1"/>
  </cols>
  <sheetData>
    <row r="1" spans="1:38" x14ac:dyDescent="0.2">
      <c r="A1" s="2" t="s">
        <v>931</v>
      </c>
      <c r="B1" s="54">
        <v>1</v>
      </c>
      <c r="C1" s="66"/>
      <c r="D1" s="57">
        <v>2</v>
      </c>
      <c r="E1" s="66"/>
      <c r="F1" s="57">
        <v>3</v>
      </c>
      <c r="G1" s="56"/>
      <c r="H1" s="65">
        <v>4</v>
      </c>
      <c r="I1" s="66"/>
      <c r="J1" s="57">
        <v>5</v>
      </c>
      <c r="K1" s="56"/>
      <c r="L1" s="65">
        <v>6</v>
      </c>
      <c r="M1" s="66"/>
      <c r="N1" s="57">
        <v>7</v>
      </c>
      <c r="O1" s="56"/>
      <c r="P1" s="65">
        <v>8</v>
      </c>
      <c r="Q1" s="66"/>
      <c r="R1" s="65">
        <v>9</v>
      </c>
      <c r="S1" s="66"/>
      <c r="T1" s="57">
        <v>10</v>
      </c>
      <c r="U1" s="56"/>
      <c r="V1" s="65">
        <v>11</v>
      </c>
      <c r="W1" s="66"/>
      <c r="X1" s="57">
        <v>12</v>
      </c>
      <c r="Y1" s="56"/>
      <c r="Z1" s="65">
        <v>13</v>
      </c>
      <c r="AA1" s="66"/>
      <c r="AB1" s="57">
        <v>14</v>
      </c>
      <c r="AC1" s="56"/>
      <c r="AD1" s="65">
        <v>15</v>
      </c>
      <c r="AE1" s="66"/>
      <c r="AF1" s="64">
        <v>16</v>
      </c>
      <c r="AG1" s="56"/>
      <c r="AH1" s="67">
        <v>17</v>
      </c>
      <c r="AI1" s="66"/>
      <c r="AJ1" s="64">
        <v>18</v>
      </c>
      <c r="AK1" s="56"/>
      <c r="AL1" s="18"/>
    </row>
    <row r="2" spans="1:38" x14ac:dyDescent="0.2">
      <c r="A2" s="18"/>
      <c r="B2" s="6" t="s">
        <v>4</v>
      </c>
      <c r="C2" s="47" t="s">
        <v>932</v>
      </c>
      <c r="D2" s="18" t="s">
        <v>4</v>
      </c>
      <c r="E2" s="47" t="s">
        <v>932</v>
      </c>
      <c r="F2" s="18" t="s">
        <v>4</v>
      </c>
      <c r="G2" s="18" t="s">
        <v>932</v>
      </c>
      <c r="H2" s="48" t="s">
        <v>4</v>
      </c>
      <c r="I2" s="47" t="s">
        <v>932</v>
      </c>
      <c r="J2" s="18" t="s">
        <v>4</v>
      </c>
      <c r="K2" s="18" t="s">
        <v>932</v>
      </c>
      <c r="L2" s="48" t="s">
        <v>4</v>
      </c>
      <c r="M2" s="47" t="s">
        <v>932</v>
      </c>
      <c r="N2" s="18" t="s">
        <v>4</v>
      </c>
      <c r="O2" s="18" t="s">
        <v>932</v>
      </c>
      <c r="P2" s="48" t="s">
        <v>4</v>
      </c>
      <c r="Q2" s="47" t="s">
        <v>932</v>
      </c>
      <c r="R2" s="48" t="s">
        <v>4</v>
      </c>
      <c r="S2" s="47" t="s">
        <v>932</v>
      </c>
      <c r="T2" s="18" t="s">
        <v>4</v>
      </c>
      <c r="U2" s="18" t="s">
        <v>932</v>
      </c>
      <c r="V2" s="48" t="s">
        <v>4</v>
      </c>
      <c r="W2" s="47" t="s">
        <v>932</v>
      </c>
      <c r="X2" s="18" t="s">
        <v>4</v>
      </c>
      <c r="Y2" s="18" t="s">
        <v>932</v>
      </c>
      <c r="Z2" s="48" t="s">
        <v>4</v>
      </c>
      <c r="AA2" s="47" t="s">
        <v>932</v>
      </c>
      <c r="AB2" s="18" t="s">
        <v>4</v>
      </c>
      <c r="AC2" s="18" t="s">
        <v>932</v>
      </c>
      <c r="AD2" s="48" t="s">
        <v>4</v>
      </c>
      <c r="AE2" s="47" t="s">
        <v>932</v>
      </c>
      <c r="AF2" s="49" t="s">
        <v>4</v>
      </c>
      <c r="AG2" s="49" t="s">
        <v>932</v>
      </c>
      <c r="AH2" s="50" t="s">
        <v>4</v>
      </c>
      <c r="AI2" s="51" t="s">
        <v>932</v>
      </c>
      <c r="AJ2" s="49" t="s">
        <v>4</v>
      </c>
      <c r="AK2" s="51" t="s">
        <v>932</v>
      </c>
      <c r="AL2" s="18"/>
    </row>
    <row r="3" spans="1:38" x14ac:dyDescent="0.2">
      <c r="A3" s="18" t="s">
        <v>17</v>
      </c>
      <c r="B3" s="8" t="s">
        <v>33</v>
      </c>
      <c r="C3" s="52">
        <f ca="1">MAX(C25:C26)</f>
        <v>16.8</v>
      </c>
      <c r="D3" s="8" t="s">
        <v>48</v>
      </c>
      <c r="E3" s="52">
        <f ca="1">MAX(E25:E26)</f>
        <v>23.66</v>
      </c>
      <c r="F3" s="8" t="s">
        <v>48</v>
      </c>
      <c r="G3" s="52">
        <f ca="1">MAX(G25:G26)</f>
        <v>21.32</v>
      </c>
      <c r="H3" s="8" t="s">
        <v>48</v>
      </c>
      <c r="I3" s="52">
        <f ca="1">MAX(I25:I26)</f>
        <v>36.5</v>
      </c>
      <c r="J3" s="8" t="s">
        <v>48</v>
      </c>
      <c r="K3" s="52">
        <f ca="1">MAX(K25:K26)</f>
        <v>27.759999999999998</v>
      </c>
      <c r="L3" s="8" t="s">
        <v>48</v>
      </c>
      <c r="M3" s="52">
        <f ca="1">MAX(M25:M26)</f>
        <v>13.86</v>
      </c>
      <c r="N3" s="8" t="s">
        <v>48</v>
      </c>
      <c r="O3" s="52">
        <f ca="1">MAX(O25:O26)</f>
        <v>24.3</v>
      </c>
      <c r="P3" s="8" t="s">
        <v>48</v>
      </c>
      <c r="Q3" s="52">
        <f ca="1">MAX(Q25:Q26)</f>
        <v>29.060000000000002</v>
      </c>
      <c r="R3" s="8" t="s">
        <v>48</v>
      </c>
      <c r="S3" s="52">
        <f ca="1">MAX(S25:S26)</f>
        <v>24.72</v>
      </c>
      <c r="T3" s="8" t="s">
        <v>33</v>
      </c>
      <c r="U3" s="52">
        <f ca="1">MAX(U25:U26)</f>
        <v>23.84</v>
      </c>
      <c r="V3" s="8" t="s">
        <v>33</v>
      </c>
      <c r="W3" s="52">
        <f ca="1">MAX(W25:W26)</f>
        <v>26.72</v>
      </c>
      <c r="X3" s="8" t="s">
        <v>48</v>
      </c>
      <c r="Y3" s="52">
        <f ca="1">MAX(Y25:Y26)</f>
        <v>39.660000000000004</v>
      </c>
      <c r="Z3" s="8" t="s">
        <v>33</v>
      </c>
      <c r="AA3" s="52">
        <f ca="1">MAX(AA25:AA26)</f>
        <v>29.46</v>
      </c>
      <c r="AB3" s="8" t="s">
        <v>33</v>
      </c>
      <c r="AC3" s="52">
        <f ca="1">MAX(AC25:AC26)</f>
        <v>21.419999999999998</v>
      </c>
      <c r="AD3" s="8" t="s">
        <v>33</v>
      </c>
      <c r="AE3" s="52">
        <f ca="1">MAX(AE25:AE26)</f>
        <v>25.68</v>
      </c>
      <c r="AF3" s="8" t="s">
        <v>48</v>
      </c>
      <c r="AG3" s="52">
        <f ca="1">MAX(AG25:AG26)</f>
        <v>24.98</v>
      </c>
      <c r="AH3" s="8" t="s">
        <v>48</v>
      </c>
      <c r="AI3" s="52">
        <f ca="1">MAX(AI25:AI26)</f>
        <v>21.16</v>
      </c>
      <c r="AJ3" s="8" t="s">
        <v>48</v>
      </c>
      <c r="AK3" s="52">
        <f ca="1">MAX(AK25:AK26)</f>
        <v>23.06</v>
      </c>
    </row>
    <row r="4" spans="1:38" x14ac:dyDescent="0.2">
      <c r="A4" s="18" t="s">
        <v>933</v>
      </c>
      <c r="B4" s="8" t="s">
        <v>83</v>
      </c>
      <c r="C4" s="52">
        <f ca="1">LARGE(C27:C30,1)</f>
        <v>17.399999999999999</v>
      </c>
      <c r="D4" s="8" t="s">
        <v>83</v>
      </c>
      <c r="E4" s="52">
        <f ca="1">LARGE(E27:E30,1)</f>
        <v>28</v>
      </c>
      <c r="F4" s="8" t="s">
        <v>92</v>
      </c>
      <c r="G4" s="52">
        <f ca="1">LARGE(G27:G30,1)</f>
        <v>45.2</v>
      </c>
      <c r="H4" s="8" t="s">
        <v>83</v>
      </c>
      <c r="I4" s="52">
        <f ca="1">LARGE(I27:I30,1)</f>
        <v>27.700000000000003</v>
      </c>
      <c r="J4" s="8" t="s">
        <v>85</v>
      </c>
      <c r="K4" s="52">
        <f ca="1">LARGE(K27:K30,1)</f>
        <v>28.4</v>
      </c>
      <c r="L4" s="8" t="s">
        <v>92</v>
      </c>
      <c r="M4" s="52">
        <f ca="1">LARGE(M27:M30,1)</f>
        <v>34.200000000000003</v>
      </c>
      <c r="N4" s="8" t="s">
        <v>114</v>
      </c>
      <c r="O4" s="52">
        <f ca="1">LARGE(O27:O30,1)</f>
        <v>15.9</v>
      </c>
      <c r="P4" s="8" t="s">
        <v>85</v>
      </c>
      <c r="Q4" s="52">
        <f ca="1">LARGE(Q27:Q30,1)</f>
        <v>21.3</v>
      </c>
      <c r="R4" s="8" t="s">
        <v>114</v>
      </c>
      <c r="S4" s="52">
        <f ca="1">LARGE(S27:S30,1)</f>
        <v>27.900000000000002</v>
      </c>
      <c r="T4" s="8" t="s">
        <v>114</v>
      </c>
      <c r="U4" s="52">
        <f ca="1">LARGE(U27:U30,1)</f>
        <v>17.8</v>
      </c>
      <c r="V4" s="8" t="s">
        <v>85</v>
      </c>
      <c r="W4" s="52">
        <f ca="1">LARGE(W27:W30,1)</f>
        <v>18.3</v>
      </c>
      <c r="X4" s="8" t="s">
        <v>83</v>
      </c>
      <c r="Y4" s="52">
        <f ca="1">LARGE(Y27:Y30,1)</f>
        <v>38.400000000000006</v>
      </c>
      <c r="Z4" s="8" t="s">
        <v>83</v>
      </c>
      <c r="AA4" s="52">
        <f ca="1">LARGE(AA27:AA30,1)</f>
        <v>20.200000000000003</v>
      </c>
      <c r="AB4" s="8" t="s">
        <v>85</v>
      </c>
      <c r="AC4" s="52">
        <f ca="1">LARGE(AC27:AC30,1)</f>
        <v>26.6</v>
      </c>
      <c r="AD4" s="8" t="s">
        <v>83</v>
      </c>
      <c r="AE4" s="52">
        <f ca="1">LARGE(AE27:AE30,1)</f>
        <v>24.500000000000004</v>
      </c>
      <c r="AF4" s="8" t="s">
        <v>85</v>
      </c>
      <c r="AG4" s="52">
        <f ca="1">LARGE(AG27:AG30,1)</f>
        <v>43.1</v>
      </c>
      <c r="AH4" s="8" t="s">
        <v>83</v>
      </c>
      <c r="AI4" s="52">
        <f ca="1">LARGE(AI27:AI30,1)</f>
        <v>30.1</v>
      </c>
      <c r="AJ4" s="8" t="s">
        <v>85</v>
      </c>
      <c r="AK4" s="52">
        <f ca="1">LARGE(AK27:AK30,1)</f>
        <v>29</v>
      </c>
    </row>
    <row r="5" spans="1:38" x14ac:dyDescent="0.2">
      <c r="A5" s="18" t="s">
        <v>934</v>
      </c>
      <c r="B5" s="8" t="s">
        <v>85</v>
      </c>
      <c r="C5" s="52">
        <f ca="1">LARGE(C27:C30,2)</f>
        <v>15.700000000000001</v>
      </c>
      <c r="D5" s="8" t="s">
        <v>92</v>
      </c>
      <c r="E5" s="52">
        <f ca="1">LARGE(E27:E30,2)</f>
        <v>25.700000000000003</v>
      </c>
      <c r="F5" s="8" t="s">
        <v>83</v>
      </c>
      <c r="G5" s="52">
        <f ca="1">LARGE(G27:G30,2)</f>
        <v>8.5</v>
      </c>
      <c r="H5" s="8" t="s">
        <v>114</v>
      </c>
      <c r="I5" s="52">
        <f ca="1">LARGE(I27:I30,2)</f>
        <v>10.8</v>
      </c>
      <c r="J5" s="8" t="s">
        <v>92</v>
      </c>
      <c r="K5" s="52">
        <f ca="1">LARGE(K27:K30,2)</f>
        <v>15.8</v>
      </c>
      <c r="L5" s="8" t="s">
        <v>83</v>
      </c>
      <c r="M5" s="52">
        <f ca="1">LARGE(M27:M30,2)</f>
        <v>21.8</v>
      </c>
      <c r="N5" s="8" t="s">
        <v>92</v>
      </c>
      <c r="O5" s="52">
        <f ca="1">LARGE(O27:O30,2)</f>
        <v>6.1</v>
      </c>
      <c r="P5" s="8" t="s">
        <v>114</v>
      </c>
      <c r="Q5" s="52">
        <f ca="1">LARGE(Q27:Q30,2)</f>
        <v>17.899999999999999</v>
      </c>
      <c r="R5" s="8" t="s">
        <v>92</v>
      </c>
      <c r="S5" s="52">
        <f ca="1">LARGE(S27:S30,2)</f>
        <v>14.5</v>
      </c>
      <c r="T5" s="8" t="s">
        <v>85</v>
      </c>
      <c r="U5" s="52">
        <f ca="1">LARGE(U27:U30,2)</f>
        <v>10.5</v>
      </c>
      <c r="V5" s="8" t="s">
        <v>114</v>
      </c>
      <c r="W5" s="52">
        <f ca="1">LARGE(W27:W30,2)</f>
        <v>17.8</v>
      </c>
      <c r="X5" s="8" t="s">
        <v>92</v>
      </c>
      <c r="Y5" s="52">
        <f ca="1">LARGE(Y27:Y30,2)</f>
        <v>21.4</v>
      </c>
      <c r="Z5" s="8" t="s">
        <v>114</v>
      </c>
      <c r="AA5" s="52">
        <f ca="1">LARGE(AA27:AA30,2)</f>
        <v>19.599999999999998</v>
      </c>
      <c r="AB5" s="8" t="s">
        <v>92</v>
      </c>
      <c r="AC5" s="52">
        <f ca="1">LARGE(AC27:AC30,2)</f>
        <v>23</v>
      </c>
      <c r="AD5" s="8" t="s">
        <v>114</v>
      </c>
      <c r="AE5" s="52">
        <f ca="1">LARGE(AE27:AE30,2)</f>
        <v>21.9</v>
      </c>
      <c r="AF5" s="8" t="s">
        <v>114</v>
      </c>
      <c r="AG5" s="52">
        <f ca="1">LARGE(AG27:AG30,2)</f>
        <v>19.7</v>
      </c>
      <c r="AH5" s="8" t="s">
        <v>85</v>
      </c>
      <c r="AI5" s="52">
        <f ca="1">LARGE(AI27:AI30,2)</f>
        <v>27.599999999999998</v>
      </c>
      <c r="AJ5" s="8" t="s">
        <v>114</v>
      </c>
      <c r="AK5" s="52">
        <f ca="1">LARGE(AK27:AK30,2)</f>
        <v>13.3</v>
      </c>
    </row>
    <row r="6" spans="1:38" x14ac:dyDescent="0.2">
      <c r="A6" s="18" t="s">
        <v>935</v>
      </c>
      <c r="B6" s="8" t="s">
        <v>170</v>
      </c>
      <c r="C6" s="52">
        <f ca="1">LARGE(C31:C34,1)</f>
        <v>21.9</v>
      </c>
      <c r="D6" s="8" t="s">
        <v>170</v>
      </c>
      <c r="E6" s="52">
        <f ca="1">LARGE(E31:E34,1)</f>
        <v>30.1</v>
      </c>
      <c r="F6" s="8" t="s">
        <v>175</v>
      </c>
      <c r="G6" s="52">
        <f ca="1">LARGE(G31:G34,1)</f>
        <v>17</v>
      </c>
      <c r="H6" s="8" t="s">
        <v>170</v>
      </c>
      <c r="I6" s="52">
        <f ca="1">LARGE(I31:I34,1)</f>
        <v>31.3</v>
      </c>
      <c r="J6" s="8" t="s">
        <v>170</v>
      </c>
      <c r="K6" s="52">
        <f ca="1">LARGE(K31:K34,1)</f>
        <v>20.100000000000001</v>
      </c>
      <c r="L6" s="8" t="s">
        <v>192</v>
      </c>
      <c r="M6" s="52">
        <f ca="1">LARGE(M31:M34,1)</f>
        <v>18.700000000000003</v>
      </c>
      <c r="N6" s="8" t="s">
        <v>178</v>
      </c>
      <c r="O6" s="52">
        <f ca="1">LARGE(O31:O34,1)</f>
        <v>31.3</v>
      </c>
      <c r="P6" s="8" t="s">
        <v>192</v>
      </c>
      <c r="Q6" s="52">
        <f ca="1">LARGE(Q31:Q34,1)</f>
        <v>41</v>
      </c>
      <c r="R6" s="8" t="s">
        <v>192</v>
      </c>
      <c r="S6" s="52">
        <f ca="1">LARGE(S31:S34,1)</f>
        <v>28.1</v>
      </c>
      <c r="T6" s="8" t="s">
        <v>192</v>
      </c>
      <c r="U6" s="52">
        <f ca="1">LARGE(U31:U34,1)</f>
        <v>39.5</v>
      </c>
      <c r="V6" s="8" t="s">
        <v>170</v>
      </c>
      <c r="W6" s="52">
        <f ca="1">LARGE(W31:W34,1)</f>
        <v>18.7</v>
      </c>
      <c r="X6" s="8" t="s">
        <v>175</v>
      </c>
      <c r="Y6" s="52">
        <f ca="1">LARGE(Y31:Y34,1)</f>
        <v>25</v>
      </c>
      <c r="Z6" s="8" t="s">
        <v>192</v>
      </c>
      <c r="AA6" s="52">
        <f ca="1">LARGE(AA31:AA34,1)</f>
        <v>32.6</v>
      </c>
      <c r="AB6" s="8" t="s">
        <v>192</v>
      </c>
      <c r="AC6" s="52">
        <f ca="1">LARGE(AC31:AC34,1)</f>
        <v>19.100000000000001</v>
      </c>
      <c r="AD6" s="8" t="s">
        <v>178</v>
      </c>
      <c r="AE6" s="52">
        <f ca="1">LARGE(AE31:AE34,1)</f>
        <v>29.1</v>
      </c>
      <c r="AF6" s="8" t="s">
        <v>170</v>
      </c>
      <c r="AG6" s="52">
        <f ca="1">LARGE(AG31:AG34,1)</f>
        <v>33</v>
      </c>
      <c r="AH6" s="8" t="s">
        <v>192</v>
      </c>
      <c r="AI6" s="52">
        <f ca="1">LARGE(AI31:AI34,1)</f>
        <v>40.200000000000003</v>
      </c>
      <c r="AJ6" s="8" t="s">
        <v>192</v>
      </c>
      <c r="AK6" s="52">
        <f ca="1">LARGE(AK31:AK34,1)</f>
        <v>35.5</v>
      </c>
    </row>
    <row r="7" spans="1:38" x14ac:dyDescent="0.2">
      <c r="A7" s="18" t="s">
        <v>936</v>
      </c>
      <c r="B7" s="8" t="s">
        <v>175</v>
      </c>
      <c r="C7" s="52">
        <f ca="1">LARGE(C31:C34,2)</f>
        <v>18.600000000000001</v>
      </c>
      <c r="D7" s="8" t="s">
        <v>175</v>
      </c>
      <c r="E7" s="52">
        <f ca="1">LARGE(E31:E34,2)</f>
        <v>29.1</v>
      </c>
      <c r="F7" s="8" t="s">
        <v>170</v>
      </c>
      <c r="G7" s="52">
        <f ca="1">LARGE(G31:G34,2)</f>
        <v>12.2</v>
      </c>
      <c r="H7" s="8" t="s">
        <v>192</v>
      </c>
      <c r="I7" s="52">
        <f ca="1">LARGE(I31:I34,2)</f>
        <v>14.8</v>
      </c>
      <c r="J7" s="8" t="s">
        <v>178</v>
      </c>
      <c r="K7" s="52">
        <f ca="1">LARGE(K31:K34,2)</f>
        <v>18.399999999999999</v>
      </c>
      <c r="L7" s="8" t="s">
        <v>178</v>
      </c>
      <c r="M7" s="52">
        <f ca="1">LARGE(M31:M34,2)</f>
        <v>11.8</v>
      </c>
      <c r="N7" s="8" t="s">
        <v>170</v>
      </c>
      <c r="O7" s="52">
        <f ca="1">LARGE(O31:O34,2)</f>
        <v>23.4</v>
      </c>
      <c r="P7" s="8" t="s">
        <v>178</v>
      </c>
      <c r="Q7" s="52">
        <f ca="1">LARGE(Q31:Q34,2)</f>
        <v>21.400000000000002</v>
      </c>
      <c r="R7" s="8" t="s">
        <v>175</v>
      </c>
      <c r="S7" s="52">
        <f ca="1">LARGE(S31:S34,2)</f>
        <v>12.700000000000001</v>
      </c>
      <c r="T7" s="8" t="s">
        <v>175</v>
      </c>
      <c r="U7" s="52">
        <f ca="1">LARGE(U31:U34,2)</f>
        <v>26.3</v>
      </c>
      <c r="V7" s="8" t="s">
        <v>192</v>
      </c>
      <c r="W7" s="52">
        <f ca="1">LARGE(W31:W34,2)</f>
        <v>16.5</v>
      </c>
      <c r="X7" s="8" t="s">
        <v>192</v>
      </c>
      <c r="Y7" s="52">
        <f ca="1">LARGE(Y31:Y34,2)</f>
        <v>17.3</v>
      </c>
      <c r="Z7" s="8" t="s">
        <v>175</v>
      </c>
      <c r="AA7" s="52">
        <f ca="1">LARGE(AA31:AA34,2)</f>
        <v>29.2</v>
      </c>
      <c r="AB7" s="8" t="s">
        <v>170</v>
      </c>
      <c r="AC7" s="52">
        <f ca="1">LARGE(AC31:AC34,2)</f>
        <v>14</v>
      </c>
      <c r="AD7" s="8" t="s">
        <v>192</v>
      </c>
      <c r="AE7" s="52">
        <f ca="1">LARGE(AE31:AE34,2)</f>
        <v>18.600000000000001</v>
      </c>
      <c r="AF7" s="8" t="s">
        <v>175</v>
      </c>
      <c r="AG7" s="52">
        <f ca="1">LARGE(AG31:AG34,2)</f>
        <v>27.6</v>
      </c>
      <c r="AH7" s="8" t="s">
        <v>170</v>
      </c>
      <c r="AI7" s="52">
        <f ca="1">LARGE(AI31:AI34,2)</f>
        <v>18.700000000000003</v>
      </c>
      <c r="AJ7" s="8" t="s">
        <v>178</v>
      </c>
      <c r="AK7" s="52">
        <f ca="1">LARGE(AK31:AK34,2)</f>
        <v>15.7</v>
      </c>
    </row>
    <row r="8" spans="1:38" x14ac:dyDescent="0.2">
      <c r="A8" s="18" t="s">
        <v>69</v>
      </c>
      <c r="B8" s="8" t="s">
        <v>280</v>
      </c>
      <c r="C8" s="52">
        <f ca="1">LARGE(C35:C36,1)</f>
        <v>8.9</v>
      </c>
      <c r="D8" s="8" t="s">
        <v>280</v>
      </c>
      <c r="E8" s="52">
        <f ca="1">LARGE(E35:E36,1)</f>
        <v>11.3</v>
      </c>
      <c r="F8" s="8" t="s">
        <v>280</v>
      </c>
      <c r="G8" s="52">
        <f ca="1">LARGE(G35:G36,1)</f>
        <v>22.4</v>
      </c>
      <c r="H8" s="8" t="s">
        <v>313</v>
      </c>
      <c r="I8" s="52">
        <f ca="1">LARGE(I35:I36,1)</f>
        <v>13.2</v>
      </c>
      <c r="J8" s="8" t="s">
        <v>280</v>
      </c>
      <c r="K8" s="52">
        <f ca="1">LARGE(K35:K36,1)</f>
        <v>19.7</v>
      </c>
      <c r="L8" s="8" t="s">
        <v>313</v>
      </c>
      <c r="M8" s="52">
        <f ca="1">LARGE(M35:M36,1)</f>
        <v>16.100000000000001</v>
      </c>
      <c r="N8" s="8" t="s">
        <v>280</v>
      </c>
      <c r="O8" s="52">
        <f ca="1">LARGE(O35:O36,1)</f>
        <v>11.2</v>
      </c>
      <c r="P8" s="8" t="s">
        <v>280</v>
      </c>
      <c r="Q8" s="52">
        <f ca="1">LARGE(Q35:Q36,1)</f>
        <v>19.7</v>
      </c>
      <c r="R8" s="8" t="s">
        <v>313</v>
      </c>
      <c r="S8" s="52">
        <f ca="1">LARGE(S35:S36,1)</f>
        <v>27</v>
      </c>
      <c r="T8" s="8" t="s">
        <v>313</v>
      </c>
      <c r="U8" s="52">
        <f ca="1">LARGE(U35:U36,1)</f>
        <v>11.100000000000001</v>
      </c>
      <c r="V8" s="8" t="s">
        <v>313</v>
      </c>
      <c r="W8" s="52">
        <f ca="1">LARGE(W35:W36,1)</f>
        <v>11.2</v>
      </c>
      <c r="X8" s="8" t="s">
        <v>280</v>
      </c>
      <c r="Y8" s="52">
        <f ca="1">LARGE(Y35:Y36,1)</f>
        <v>17.7</v>
      </c>
      <c r="Z8" s="8" t="s">
        <v>280</v>
      </c>
      <c r="AA8" s="52">
        <f ca="1">LARGE(AA35:AA36,1)</f>
        <v>29</v>
      </c>
      <c r="AB8" s="8" t="s">
        <v>280</v>
      </c>
      <c r="AC8" s="52">
        <f ca="1">LARGE(AC35:AC36,1)</f>
        <v>4.7</v>
      </c>
      <c r="AD8" s="8" t="s">
        <v>280</v>
      </c>
      <c r="AE8" s="52">
        <f ca="1">LARGE(AE35:AE36,1)</f>
        <v>28.6</v>
      </c>
      <c r="AF8" s="8" t="s">
        <v>313</v>
      </c>
      <c r="AG8" s="52">
        <f ca="1">LARGE(AG35:AG36,1)</f>
        <v>14.100000000000001</v>
      </c>
      <c r="AH8" s="8" t="s">
        <v>280</v>
      </c>
      <c r="AI8" s="52">
        <f ca="1">LARGE(AI35:AI36,1)</f>
        <v>15.4</v>
      </c>
      <c r="AJ8" s="8" t="s">
        <v>280</v>
      </c>
      <c r="AK8" s="52">
        <f ca="1">LARGE(AK35:AK36,1)</f>
        <v>13.9</v>
      </c>
    </row>
    <row r="9" spans="1:38" x14ac:dyDescent="0.2">
      <c r="A9" s="18" t="s">
        <v>952</v>
      </c>
      <c r="B9" s="8" t="s">
        <v>178</v>
      </c>
      <c r="C9" s="52">
        <f ca="1">MAX(C15:C19)</f>
        <v>16.100000000000001</v>
      </c>
      <c r="D9" s="8" t="s">
        <v>192</v>
      </c>
      <c r="E9" s="52">
        <f ca="1">MAX(E15:E19)</f>
        <v>25.3</v>
      </c>
      <c r="F9" s="8" t="s">
        <v>178</v>
      </c>
      <c r="G9" s="52">
        <f ca="1">MAX(G15:G19)</f>
        <v>11.2</v>
      </c>
      <c r="H9" s="8" t="s">
        <v>85</v>
      </c>
      <c r="I9" s="52">
        <f ca="1">MAX(I15:I19)</f>
        <v>9.9000000000000021</v>
      </c>
      <c r="J9" s="8" t="s">
        <v>313</v>
      </c>
      <c r="K9" s="52">
        <f ca="1">MAX(K15:K19)</f>
        <v>19.5</v>
      </c>
      <c r="L9" s="8" t="s">
        <v>85</v>
      </c>
      <c r="M9" s="52">
        <f ca="1">MAX(M15:M19)</f>
        <v>20.3</v>
      </c>
      <c r="N9" s="8" t="s">
        <v>175</v>
      </c>
      <c r="O9" s="52">
        <f ca="1">MAX(O15:O19)</f>
        <v>20.200000000000003</v>
      </c>
      <c r="P9" s="8" t="s">
        <v>175</v>
      </c>
      <c r="Q9" s="52">
        <f ca="1">MAX(Q15:Q19)</f>
        <v>12.9</v>
      </c>
      <c r="R9" s="8" t="s">
        <v>178</v>
      </c>
      <c r="S9" s="52">
        <f ca="1">MAX(S15:S19)</f>
        <v>10.199999999999999</v>
      </c>
      <c r="T9" s="8" t="s">
        <v>178</v>
      </c>
      <c r="U9" s="52">
        <f ca="1">MAX(U15:U19)</f>
        <v>10.9</v>
      </c>
      <c r="V9" s="8" t="s">
        <v>175</v>
      </c>
      <c r="W9" s="52">
        <f ca="1">MAX(W15:W19)</f>
        <v>15.3</v>
      </c>
      <c r="X9" s="8" t="s">
        <v>114</v>
      </c>
      <c r="Y9" s="52">
        <f ca="1">MAX(Y15:Y19)</f>
        <v>13</v>
      </c>
      <c r="Z9" s="8" t="s">
        <v>170</v>
      </c>
      <c r="AA9" s="52">
        <f ca="1">MAX(AA15:AA19)</f>
        <v>23.9</v>
      </c>
      <c r="AB9" s="8" t="s">
        <v>114</v>
      </c>
      <c r="AC9" s="52">
        <f ca="1">MAX(AC15:AC19)</f>
        <v>21.5</v>
      </c>
      <c r="AD9" s="8" t="s">
        <v>92</v>
      </c>
      <c r="AE9" s="52">
        <f ca="1">MAX(AE15:AE19)</f>
        <v>18.3</v>
      </c>
      <c r="AF9" s="8" t="s">
        <v>192</v>
      </c>
      <c r="AG9" s="52">
        <f ca="1">MAX(AG15:AG19)</f>
        <v>25.200000000000003</v>
      </c>
      <c r="AH9" s="8" t="s">
        <v>175</v>
      </c>
      <c r="AI9" s="52">
        <f ca="1">MAX(AI15:AI19)</f>
        <v>10</v>
      </c>
      <c r="AJ9" s="8" t="s">
        <v>170</v>
      </c>
      <c r="AK9" s="52">
        <f ca="1">MAX(AK15:AK19)</f>
        <v>14.100000000000001</v>
      </c>
    </row>
    <row r="10" spans="1:38" x14ac:dyDescent="0.2">
      <c r="A10" s="18" t="s">
        <v>851</v>
      </c>
      <c r="B10" s="8" t="s">
        <v>850</v>
      </c>
      <c r="C10" s="52">
        <f>LARGE(C37:C38,1)</f>
        <v>35</v>
      </c>
      <c r="D10" s="8" t="s">
        <v>850</v>
      </c>
      <c r="E10" s="52">
        <f>LARGE(E37:E38,1)</f>
        <v>16</v>
      </c>
      <c r="F10" s="8" t="s">
        <v>853</v>
      </c>
      <c r="G10" s="52">
        <f>LARGE(G37:G38,1)</f>
        <v>14</v>
      </c>
      <c r="H10" s="8" t="s">
        <v>850</v>
      </c>
      <c r="I10" s="52">
        <f>LARGE(I37:I38,1)</f>
        <v>26</v>
      </c>
      <c r="J10" s="8" t="s">
        <v>853</v>
      </c>
      <c r="K10" s="52">
        <f>LARGE(K37:K38,1)</f>
        <v>0</v>
      </c>
      <c r="L10" s="8" t="s">
        <v>853</v>
      </c>
      <c r="M10" s="52">
        <f>LARGE(M37:M38,1)</f>
        <v>8</v>
      </c>
      <c r="N10" s="8" t="s">
        <v>853</v>
      </c>
      <c r="O10" s="52">
        <f>LARGE(O37:O38,1)</f>
        <v>12</v>
      </c>
      <c r="P10" s="8" t="s">
        <v>850</v>
      </c>
      <c r="Q10" s="52">
        <f>LARGE(Q37:Q38,1)</f>
        <v>16</v>
      </c>
      <c r="R10" s="8" t="s">
        <v>853</v>
      </c>
      <c r="S10" s="52">
        <f>LARGE(S37:S38,1)</f>
        <v>23</v>
      </c>
      <c r="T10" s="8" t="s">
        <v>853</v>
      </c>
      <c r="U10" s="52">
        <f>LARGE(U37:U38,1)</f>
        <v>15</v>
      </c>
      <c r="V10" s="8" t="s">
        <v>850</v>
      </c>
      <c r="W10" s="52">
        <f>LARGE(W37:W38,1)</f>
        <v>23</v>
      </c>
      <c r="X10" s="8" t="s">
        <v>850</v>
      </c>
      <c r="Y10" s="52">
        <f>LARGE(Y37:Y38,1)</f>
        <v>14</v>
      </c>
      <c r="Z10" s="8" t="s">
        <v>853</v>
      </c>
      <c r="AA10" s="52">
        <f>LARGE(AA37:AA38,1)</f>
        <v>-2</v>
      </c>
      <c r="AB10" s="8" t="s">
        <v>853</v>
      </c>
      <c r="AC10" s="52">
        <f>LARGE(AC37:AC38,1)</f>
        <v>14</v>
      </c>
      <c r="AD10" s="8" t="s">
        <v>853</v>
      </c>
      <c r="AE10" s="52">
        <f>LARGE(AE37:AE38,1)</f>
        <v>14</v>
      </c>
      <c r="AF10" s="8" t="s">
        <v>853</v>
      </c>
      <c r="AG10" s="52">
        <f>LARGE(AG37:AG38,1)</f>
        <v>9</v>
      </c>
      <c r="AH10" s="8" t="s">
        <v>853</v>
      </c>
      <c r="AI10" s="52">
        <f>LARGE(AI37:AI38,1)</f>
        <v>14</v>
      </c>
      <c r="AJ10" s="8" t="s">
        <v>850</v>
      </c>
      <c r="AK10" s="52">
        <f>LARGE(AK37:AK38,1)</f>
        <v>18</v>
      </c>
    </row>
    <row r="11" spans="1:38" x14ac:dyDescent="0.2">
      <c r="A11" s="18" t="s">
        <v>849</v>
      </c>
      <c r="B11" s="8" t="s">
        <v>848</v>
      </c>
      <c r="C11" s="52">
        <f>LARGE(C39:C40,1)</f>
        <v>10</v>
      </c>
      <c r="D11" s="8" t="s">
        <v>848</v>
      </c>
      <c r="E11" s="52">
        <f>LARGE(E39:E40,1)</f>
        <v>18</v>
      </c>
      <c r="F11" s="8" t="s">
        <v>848</v>
      </c>
      <c r="G11" s="52">
        <f>LARGE(G39:G40,1)</f>
        <v>11</v>
      </c>
      <c r="H11" s="8" t="s">
        <v>848</v>
      </c>
      <c r="I11" s="52">
        <f>LARGE(I39:I40,1)</f>
        <v>12</v>
      </c>
      <c r="J11" s="8" t="s">
        <v>858</v>
      </c>
      <c r="K11" s="52">
        <f>LARGE(K39:K40,1)</f>
        <v>17</v>
      </c>
      <c r="L11" s="8" t="s">
        <v>858</v>
      </c>
      <c r="M11" s="52">
        <f>LARGE(M39:M40,1)</f>
        <v>9</v>
      </c>
      <c r="N11" s="8" t="s">
        <v>858</v>
      </c>
      <c r="O11" s="52">
        <f>LARGE(O39:O40,1)</f>
        <v>8</v>
      </c>
      <c r="P11" s="8" t="s">
        <v>848</v>
      </c>
      <c r="Q11" s="52">
        <f>LARGE(Q39:Q40,1)</f>
        <v>13</v>
      </c>
      <c r="R11" s="8" t="s">
        <v>848</v>
      </c>
      <c r="S11" s="52">
        <f>LARGE(S39:S40,1)</f>
        <v>7</v>
      </c>
      <c r="T11" s="8" t="s">
        <v>858</v>
      </c>
      <c r="U11" s="52">
        <f>LARGE(U39:U40,1)</f>
        <v>12</v>
      </c>
      <c r="V11" s="8" t="s">
        <v>858</v>
      </c>
      <c r="W11" s="52">
        <f>LARGE(W39:W40,1)</f>
        <v>17</v>
      </c>
      <c r="X11" s="8" t="s">
        <v>858</v>
      </c>
      <c r="Y11" s="52">
        <f>LARGE(Y39:Y40,1)</f>
        <v>13</v>
      </c>
      <c r="Z11" s="8" t="s">
        <v>848</v>
      </c>
      <c r="AA11" s="52">
        <f>LARGE(AA39:AA40,1)</f>
        <v>15</v>
      </c>
      <c r="AB11" s="8" t="s">
        <v>848</v>
      </c>
      <c r="AC11" s="52">
        <f>LARGE(AC39:AC40,1)</f>
        <v>23</v>
      </c>
      <c r="AD11" s="8" t="s">
        <v>858</v>
      </c>
      <c r="AE11" s="52">
        <f>LARGE(AE39:AE40,1)</f>
        <v>6</v>
      </c>
      <c r="AF11" s="8" t="s">
        <v>858</v>
      </c>
      <c r="AG11" s="52">
        <f>LARGE(AG39:AG40,1)</f>
        <v>10</v>
      </c>
      <c r="AH11" s="8" t="s">
        <v>858</v>
      </c>
      <c r="AI11" s="52">
        <f>LARGE(AI39:AI40,1)</f>
        <v>14</v>
      </c>
      <c r="AJ11" s="8" t="s">
        <v>858</v>
      </c>
      <c r="AK11" s="52">
        <f>LARGE(AK39:AK40,1)</f>
        <v>11</v>
      </c>
    </row>
    <row r="12" spans="1:38" x14ac:dyDescent="0.2">
      <c r="A12" s="18" t="s">
        <v>844</v>
      </c>
      <c r="B12" s="8"/>
      <c r="C12" s="47">
        <f ca="1">SUM(C3:C11)</f>
        <v>160.4</v>
      </c>
      <c r="D12" s="8"/>
      <c r="E12" s="47">
        <f ca="1">SUM(E3:E11)</f>
        <v>207.16000000000003</v>
      </c>
      <c r="F12" s="8"/>
      <c r="G12" s="47">
        <f ca="1">SUM(G3:G11)</f>
        <v>162.82</v>
      </c>
      <c r="H12" s="8"/>
      <c r="I12" s="47">
        <f ca="1">SUM(I3:I11)</f>
        <v>182.2</v>
      </c>
      <c r="J12" s="8"/>
      <c r="K12" s="47">
        <f ca="1">SUM(K3:K11)</f>
        <v>166.66</v>
      </c>
      <c r="L12" s="8"/>
      <c r="M12" s="47">
        <f ca="1">SUM(M3:M11)</f>
        <v>153.76000000000002</v>
      </c>
      <c r="N12" s="8"/>
      <c r="O12" s="47">
        <f ca="1">SUM(O3:O11)</f>
        <v>152.4</v>
      </c>
      <c r="P12" s="8"/>
      <c r="Q12" s="47">
        <f ca="1">SUM(Q3:Q11)</f>
        <v>192.26</v>
      </c>
      <c r="R12" s="8"/>
      <c r="S12" s="47">
        <f ca="1">SUM(S3:S11)</f>
        <v>175.12</v>
      </c>
      <c r="T12" s="8"/>
      <c r="U12" s="47">
        <f ca="1">SUM(U3:U11)</f>
        <v>166.94</v>
      </c>
      <c r="V12" s="8"/>
      <c r="W12" s="47">
        <f ca="1">SUM(W3:W11)</f>
        <v>164.51999999999998</v>
      </c>
      <c r="X12" s="8"/>
      <c r="Y12" s="47">
        <f ca="1">SUM(Y3:Y11)</f>
        <v>199.46</v>
      </c>
      <c r="Z12" s="8"/>
      <c r="AA12" s="47">
        <f ca="1">SUM(AA3:AA11)</f>
        <v>196.96</v>
      </c>
      <c r="AB12" s="8"/>
      <c r="AC12" s="47">
        <f ca="1">SUM(AC3:AC11)</f>
        <v>167.32</v>
      </c>
      <c r="AD12" s="8"/>
      <c r="AE12" s="47">
        <f ca="1">SUM(AE3:AE11)</f>
        <v>186.68</v>
      </c>
      <c r="AF12" s="8"/>
      <c r="AG12" s="47">
        <f ca="1">SUM(AG3:AG11)</f>
        <v>206.68</v>
      </c>
      <c r="AH12" s="8"/>
      <c r="AI12" s="47">
        <f ca="1">SUM(AI3:AI11)</f>
        <v>191.16</v>
      </c>
      <c r="AJ12" s="8"/>
      <c r="AK12" s="47">
        <f ca="1">SUM(AK3:AK11)</f>
        <v>173.56</v>
      </c>
    </row>
    <row r="13" spans="1:38" x14ac:dyDescent="0.2">
      <c r="B13" s="8"/>
      <c r="C13" s="53"/>
      <c r="D13" s="8"/>
      <c r="E13" s="53"/>
      <c r="F13" s="8"/>
      <c r="G13" s="53"/>
      <c r="H13" s="8"/>
      <c r="I13" s="53"/>
      <c r="J13" s="8"/>
      <c r="K13" s="53"/>
      <c r="L13" s="8"/>
      <c r="M13" s="53"/>
      <c r="N13" s="8"/>
      <c r="O13" s="53"/>
      <c r="P13" s="8"/>
      <c r="Q13" s="53"/>
      <c r="R13" s="8"/>
      <c r="S13" s="53"/>
      <c r="T13" s="8"/>
      <c r="U13" s="53"/>
      <c r="V13" s="8"/>
      <c r="W13" s="53"/>
      <c r="X13" s="8"/>
      <c r="Y13" s="53"/>
      <c r="Z13" s="8"/>
      <c r="AA13" s="53"/>
      <c r="AB13" s="8"/>
      <c r="AC13" s="53"/>
      <c r="AD13" s="8"/>
      <c r="AE13" s="53"/>
      <c r="AF13" s="8"/>
      <c r="AG13" s="53"/>
      <c r="AH13" s="8"/>
      <c r="AI13" s="53"/>
      <c r="AJ13" s="8"/>
      <c r="AK13" s="53"/>
    </row>
    <row r="14" spans="1:38" x14ac:dyDescent="0.2">
      <c r="A14" s="18" t="s">
        <v>942</v>
      </c>
      <c r="B14" s="8" t="s">
        <v>48</v>
      </c>
      <c r="C14" s="52">
        <f ca="1">MIN(C25:C26)</f>
        <v>9.0399999999999991</v>
      </c>
      <c r="D14" s="8" t="s">
        <v>33</v>
      </c>
      <c r="E14" s="52">
        <f ca="1">MIN(E25:E26)</f>
        <v>14.74</v>
      </c>
      <c r="F14" s="8" t="s">
        <v>33</v>
      </c>
      <c r="G14" s="52">
        <f ca="1">MIN(G25:G26)</f>
        <v>20.299999999999997</v>
      </c>
      <c r="H14" s="8" t="s">
        <v>33</v>
      </c>
      <c r="I14" s="52">
        <f ca="1">MIN(I25:I26)</f>
        <v>21.32</v>
      </c>
      <c r="J14" s="8" t="s">
        <v>33</v>
      </c>
      <c r="K14" s="52">
        <f ca="1">MIN(K25:K26)</f>
        <v>26.08</v>
      </c>
      <c r="L14" s="8" t="s">
        <v>33</v>
      </c>
      <c r="M14" s="52">
        <f ca="1">MIN(M25:M26)</f>
        <v>7.7</v>
      </c>
      <c r="N14" s="8" t="s">
        <v>33</v>
      </c>
      <c r="O14" s="52">
        <f ca="1">MIN(O25:O26)</f>
        <v>12.780000000000001</v>
      </c>
      <c r="P14" s="8" t="s">
        <v>33</v>
      </c>
      <c r="Q14" s="52">
        <f ca="1">MIN(Q25:Q26)</f>
        <v>18.3</v>
      </c>
      <c r="R14" s="8" t="s">
        <v>33</v>
      </c>
      <c r="S14" s="52">
        <f ca="1">MIN(S25:S26)</f>
        <v>0</v>
      </c>
      <c r="T14" s="8" t="s">
        <v>48</v>
      </c>
      <c r="U14" s="52">
        <f ca="1">MIN(U25:U26)</f>
        <v>14.380000000000003</v>
      </c>
      <c r="V14" s="8" t="s">
        <v>48</v>
      </c>
      <c r="W14" s="52">
        <f ca="1">MIN(W25:W26)</f>
        <v>22.5</v>
      </c>
      <c r="X14" s="8" t="s">
        <v>33</v>
      </c>
      <c r="Y14" s="52">
        <f ca="1">MIN(Y25:Y26)</f>
        <v>10.459999999999999</v>
      </c>
      <c r="Z14" s="8" t="s">
        <v>48</v>
      </c>
      <c r="AA14" s="52">
        <f ca="1">MIN(AA25:AA26)</f>
        <v>0</v>
      </c>
      <c r="AB14" s="8" t="s">
        <v>48</v>
      </c>
      <c r="AC14" s="52">
        <f ca="1">MIN(AC25:AC26)</f>
        <v>20.52</v>
      </c>
      <c r="AD14" s="8" t="s">
        <v>48</v>
      </c>
      <c r="AE14" s="52">
        <f ca="1">MIN(AE25:AE26)</f>
        <v>16.16</v>
      </c>
      <c r="AF14" s="8" t="s">
        <v>33</v>
      </c>
      <c r="AG14" s="52">
        <f ca="1">MIN(AG25:AG26)</f>
        <v>2.4000000000000012</v>
      </c>
      <c r="AH14" s="8" t="s">
        <v>33</v>
      </c>
      <c r="AI14" s="52">
        <f ca="1">MIN(AI25:AI26)</f>
        <v>17.600000000000001</v>
      </c>
      <c r="AJ14" s="8" t="s">
        <v>33</v>
      </c>
      <c r="AK14" s="52">
        <f ca="1">MIN(AK25:AK26)</f>
        <v>0</v>
      </c>
    </row>
    <row r="15" spans="1:38" x14ac:dyDescent="0.2">
      <c r="A15" s="18" t="s">
        <v>943</v>
      </c>
      <c r="B15" s="8" t="s">
        <v>92</v>
      </c>
      <c r="C15" s="52">
        <f ca="1">LARGE(C27:C30,3)</f>
        <v>13</v>
      </c>
      <c r="D15" s="8" t="s">
        <v>114</v>
      </c>
      <c r="E15" s="52">
        <f ca="1">LARGE(E27:E30,3)</f>
        <v>21.3</v>
      </c>
      <c r="F15" s="8" t="s">
        <v>114</v>
      </c>
      <c r="G15" s="52">
        <f ca="1">LARGE(G27:G30,3)</f>
        <v>7.2000000000000011</v>
      </c>
      <c r="H15" s="8" t="s">
        <v>85</v>
      </c>
      <c r="I15" s="52">
        <f ca="1">LARGE(I27:I30,3)</f>
        <v>9.9000000000000021</v>
      </c>
      <c r="J15" s="8" t="s">
        <v>83</v>
      </c>
      <c r="K15" s="52">
        <f ca="1">LARGE(K27:K30,3)</f>
        <v>7.7000000000000011</v>
      </c>
      <c r="L15" s="8" t="s">
        <v>85</v>
      </c>
      <c r="M15" s="52">
        <f ca="1">LARGE(M27:M30,3)</f>
        <v>20.3</v>
      </c>
      <c r="N15" s="8" t="s">
        <v>85</v>
      </c>
      <c r="O15" s="52">
        <f ca="1">LARGE(O27:O30,3)</f>
        <v>0</v>
      </c>
      <c r="P15" s="8" t="s">
        <v>92</v>
      </c>
      <c r="Q15" s="52">
        <f ca="1">LARGE(Q27:Q30,3)</f>
        <v>10.600000000000001</v>
      </c>
      <c r="R15" s="8" t="s">
        <v>85</v>
      </c>
      <c r="S15" s="52">
        <f ca="1">LARGE(S27:S30,3)</f>
        <v>10</v>
      </c>
      <c r="T15" s="8" t="s">
        <v>92</v>
      </c>
      <c r="U15" s="52">
        <f ca="1">LARGE(U27:U30,3)</f>
        <v>0</v>
      </c>
      <c r="V15" s="8" t="s">
        <v>92</v>
      </c>
      <c r="W15" s="52">
        <f ca="1">LARGE(W27:W30,3)</f>
        <v>10.299999999999999</v>
      </c>
      <c r="X15" s="8" t="s">
        <v>114</v>
      </c>
      <c r="Y15" s="52">
        <f ca="1">LARGE(Y27:Y30,3)</f>
        <v>13</v>
      </c>
      <c r="Z15" s="8" t="s">
        <v>92</v>
      </c>
      <c r="AA15" s="52">
        <f ca="1">LARGE(AA27:AA30,3)</f>
        <v>12.100000000000001</v>
      </c>
      <c r="AB15" s="8" t="s">
        <v>114</v>
      </c>
      <c r="AC15" s="52">
        <f ca="1">LARGE(AC27:AC30,3)</f>
        <v>21.5</v>
      </c>
      <c r="AD15" s="8" t="s">
        <v>92</v>
      </c>
      <c r="AE15" s="52">
        <f ca="1">LARGE(AE27:AE30,3)</f>
        <v>18.3</v>
      </c>
      <c r="AF15" s="8" t="s">
        <v>83</v>
      </c>
      <c r="AG15" s="52">
        <f ca="1">LARGE(AG27:AG30,3)</f>
        <v>16.399999999999999</v>
      </c>
      <c r="AH15" s="8" t="s">
        <v>114</v>
      </c>
      <c r="AI15" s="52">
        <f ca="1">LARGE(AI27:AI30,3)</f>
        <v>8.6</v>
      </c>
      <c r="AJ15" s="8" t="s">
        <v>92</v>
      </c>
      <c r="AK15" s="52">
        <f ca="1">LARGE(AK27:AK30,3)</f>
        <v>0</v>
      </c>
    </row>
    <row r="16" spans="1:38" x14ac:dyDescent="0.2">
      <c r="A16" s="18" t="s">
        <v>944</v>
      </c>
      <c r="B16" s="8" t="s">
        <v>114</v>
      </c>
      <c r="C16" s="52">
        <f ca="1">LARGE(C27:C30,4)</f>
        <v>6.9</v>
      </c>
      <c r="D16" s="8" t="s">
        <v>85</v>
      </c>
      <c r="E16" s="52">
        <f ca="1">LARGE(E27:E30,4)</f>
        <v>0.9</v>
      </c>
      <c r="F16" s="8" t="s">
        <v>85</v>
      </c>
      <c r="G16" s="52">
        <f ca="1">LARGE(G27:G30,4)</f>
        <v>3.6999999999999997</v>
      </c>
      <c r="H16" s="8" t="s">
        <v>92</v>
      </c>
      <c r="I16" s="52">
        <f ca="1">LARGE(I27:I30,4)</f>
        <v>5.5</v>
      </c>
      <c r="J16" s="8" t="s">
        <v>114</v>
      </c>
      <c r="K16" s="52">
        <f ca="1">LARGE(K27:K30,4)</f>
        <v>0</v>
      </c>
      <c r="L16" s="8" t="s">
        <v>114</v>
      </c>
      <c r="M16" s="52">
        <f ca="1">LARGE(M27:M30,4)</f>
        <v>6.8</v>
      </c>
      <c r="N16" s="8" t="s">
        <v>85</v>
      </c>
      <c r="O16" s="52">
        <f ca="1">LARGE(O27:O30,4)</f>
        <v>0</v>
      </c>
      <c r="P16" s="8" t="s">
        <v>83</v>
      </c>
      <c r="Q16" s="52">
        <f ca="1">LARGE(Q27:Q30,4)</f>
        <v>0</v>
      </c>
      <c r="R16" s="8" t="s">
        <v>83</v>
      </c>
      <c r="S16" s="52">
        <f ca="1">LARGE(S27:S30,4)</f>
        <v>0</v>
      </c>
      <c r="T16" s="8" t="s">
        <v>92</v>
      </c>
      <c r="U16" s="52">
        <f ca="1">LARGE(U27:U30,4)</f>
        <v>0</v>
      </c>
      <c r="V16" s="8" t="s">
        <v>83</v>
      </c>
      <c r="W16" s="52">
        <f ca="1">LARGE(W27:W30,4)</f>
        <v>0</v>
      </c>
      <c r="X16" s="8" t="s">
        <v>85</v>
      </c>
      <c r="Y16" s="52">
        <f ca="1">LARGE(Y27:Y30,4)</f>
        <v>11.9</v>
      </c>
      <c r="Z16" s="8" t="s">
        <v>85</v>
      </c>
      <c r="AA16" s="52">
        <f ca="1">LARGE(AA27:AA30,4)</f>
        <v>10.5</v>
      </c>
      <c r="AB16" s="8" t="s">
        <v>83</v>
      </c>
      <c r="AC16" s="52">
        <f ca="1">LARGE(AC27:AC30,4)</f>
        <v>14.3</v>
      </c>
      <c r="AD16" s="8" t="s">
        <v>85</v>
      </c>
      <c r="AE16" s="52">
        <f ca="1">LARGE(AE27:AE30,4)</f>
        <v>2.8000000000000003</v>
      </c>
      <c r="AF16" s="8" t="s">
        <v>92</v>
      </c>
      <c r="AG16" s="52">
        <f ca="1">LARGE(AG27:AG30,4)</f>
        <v>12</v>
      </c>
      <c r="AH16" s="8" t="s">
        <v>92</v>
      </c>
      <c r="AI16" s="52">
        <f ca="1">LARGE(AI27:AI30,4)</f>
        <v>0</v>
      </c>
      <c r="AJ16" s="8" t="s">
        <v>92</v>
      </c>
      <c r="AK16" s="52">
        <f ca="1">LARGE(AK27:AK30,4)</f>
        <v>0</v>
      </c>
    </row>
    <row r="17" spans="1:37" x14ac:dyDescent="0.2">
      <c r="A17" s="18" t="s">
        <v>945</v>
      </c>
      <c r="B17" s="8" t="s">
        <v>178</v>
      </c>
      <c r="C17" s="52">
        <f ca="1">LARGE(C31:C34,3)</f>
        <v>16.100000000000001</v>
      </c>
      <c r="D17" s="8" t="s">
        <v>192</v>
      </c>
      <c r="E17" s="52">
        <f ca="1">LARGE(E31:E34,3)</f>
        <v>25.3</v>
      </c>
      <c r="F17" s="8" t="s">
        <v>178</v>
      </c>
      <c r="G17" s="52">
        <f ca="1">LARGE(G31:G34,3)</f>
        <v>11.2</v>
      </c>
      <c r="H17" s="8" t="s">
        <v>175</v>
      </c>
      <c r="I17" s="52">
        <f ca="1">LARGE(I31:I34,3)</f>
        <v>7</v>
      </c>
      <c r="J17" s="8" t="s">
        <v>192</v>
      </c>
      <c r="K17" s="52">
        <f ca="1">LARGE(K31:K34,3)</f>
        <v>8.9</v>
      </c>
      <c r="L17" s="8" t="s">
        <v>175</v>
      </c>
      <c r="M17" s="52">
        <f ca="1">LARGE(M31:M34,3)</f>
        <v>8.9</v>
      </c>
      <c r="N17" s="8" t="s">
        <v>175</v>
      </c>
      <c r="O17" s="52">
        <f ca="1">LARGE(O31:O34,3)</f>
        <v>20.200000000000003</v>
      </c>
      <c r="P17" s="8" t="s">
        <v>175</v>
      </c>
      <c r="Q17" s="52">
        <f ca="1">LARGE(Q31:Q34,3)</f>
        <v>12.9</v>
      </c>
      <c r="R17" s="8" t="s">
        <v>178</v>
      </c>
      <c r="S17" s="52">
        <f ca="1">LARGE(S31:S34,3)</f>
        <v>10.199999999999999</v>
      </c>
      <c r="T17" s="8" t="s">
        <v>178</v>
      </c>
      <c r="U17" s="52">
        <f ca="1">LARGE(U31:U34,3)</f>
        <v>10.9</v>
      </c>
      <c r="V17" s="8" t="s">
        <v>175</v>
      </c>
      <c r="W17" s="52">
        <f ca="1">LARGE(W31:W34,3)</f>
        <v>15.3</v>
      </c>
      <c r="X17" s="8" t="s">
        <v>178</v>
      </c>
      <c r="Y17" s="52">
        <f ca="1">LARGE(Y31:Y34,3)</f>
        <v>9.9</v>
      </c>
      <c r="Z17" s="8" t="s">
        <v>170</v>
      </c>
      <c r="AA17" s="52">
        <f ca="1">LARGE(AA31:AA34,3)</f>
        <v>23.9</v>
      </c>
      <c r="AB17" s="8" t="s">
        <v>178</v>
      </c>
      <c r="AC17" s="52">
        <f ca="1">LARGE(AC31:AC34,3)</f>
        <v>4.7</v>
      </c>
      <c r="AD17" s="8" t="s">
        <v>175</v>
      </c>
      <c r="AE17" s="52">
        <f ca="1">LARGE(AE31:AE34,3)</f>
        <v>15.7</v>
      </c>
      <c r="AF17" s="8" t="s">
        <v>192</v>
      </c>
      <c r="AG17" s="52">
        <f ca="1">LARGE(AG31:AG34,3)</f>
        <v>25.200000000000003</v>
      </c>
      <c r="AH17" s="8" t="s">
        <v>175</v>
      </c>
      <c r="AI17" s="52">
        <f ca="1">LARGE(AI31:AI34,3)</f>
        <v>10</v>
      </c>
      <c r="AJ17" s="8" t="s">
        <v>170</v>
      </c>
      <c r="AK17" s="52">
        <f ca="1">LARGE(AK31:AK34,3)</f>
        <v>14.100000000000001</v>
      </c>
    </row>
    <row r="18" spans="1:37" x14ac:dyDescent="0.2">
      <c r="A18" s="18" t="s">
        <v>946</v>
      </c>
      <c r="B18" s="8" t="s">
        <v>192</v>
      </c>
      <c r="C18" s="52">
        <f ca="1">LARGE(C31:C34,4)</f>
        <v>11.7</v>
      </c>
      <c r="D18" s="8" t="s">
        <v>178</v>
      </c>
      <c r="E18" s="52">
        <f ca="1">LARGE(E31:E34,4)</f>
        <v>16.2</v>
      </c>
      <c r="F18" s="8" t="s">
        <v>192</v>
      </c>
      <c r="G18" s="52">
        <f ca="1">LARGE(G31:G34,4)</f>
        <v>10.200000000000001</v>
      </c>
      <c r="H18" s="8" t="s">
        <v>178</v>
      </c>
      <c r="I18" s="52">
        <f ca="1">LARGE(I31:I34,4)</f>
        <v>0</v>
      </c>
      <c r="J18" s="8" t="s">
        <v>175</v>
      </c>
      <c r="K18" s="52">
        <f ca="1">LARGE(K31:K34,4)</f>
        <v>0</v>
      </c>
      <c r="L18" s="8" t="s">
        <v>170</v>
      </c>
      <c r="M18" s="52">
        <f ca="1">LARGE(M31:M34,4)</f>
        <v>6.6</v>
      </c>
      <c r="N18" s="8" t="s">
        <v>192</v>
      </c>
      <c r="O18" s="52">
        <f ca="1">LARGE(O31:O34,4)</f>
        <v>0</v>
      </c>
      <c r="P18" s="8" t="s">
        <v>170</v>
      </c>
      <c r="Q18" s="52">
        <f ca="1">LARGE(Q31:Q34,4)</f>
        <v>7.3</v>
      </c>
      <c r="R18" s="8" t="s">
        <v>170</v>
      </c>
      <c r="S18" s="52">
        <f ca="1">LARGE(S31:S34,4)</f>
        <v>6.2</v>
      </c>
      <c r="T18" s="8" t="s">
        <v>170</v>
      </c>
      <c r="U18" s="52">
        <f ca="1">LARGE(U31:U34,4)</f>
        <v>0</v>
      </c>
      <c r="V18" s="8" t="s">
        <v>178</v>
      </c>
      <c r="W18" s="52">
        <f ca="1">LARGE(W31:W34,4)</f>
        <v>7.4</v>
      </c>
      <c r="X18" s="8" t="s">
        <v>170</v>
      </c>
      <c r="Y18" s="52">
        <f ca="1">LARGE(Y31:Y34,4)</f>
        <v>6.7</v>
      </c>
      <c r="Z18" s="8" t="s">
        <v>178</v>
      </c>
      <c r="AA18" s="52">
        <f ca="1">LARGE(AA31:AA34,4)</f>
        <v>0</v>
      </c>
      <c r="AB18" s="8" t="s">
        <v>175</v>
      </c>
      <c r="AC18" s="52">
        <f ca="1">LARGE(AC31:AC34,4)</f>
        <v>1.8</v>
      </c>
      <c r="AD18" s="8" t="s">
        <v>170</v>
      </c>
      <c r="AE18" s="52">
        <f ca="1">LARGE(AE31:AE34,4)</f>
        <v>10.3</v>
      </c>
      <c r="AF18" s="8" t="s">
        <v>178</v>
      </c>
      <c r="AG18" s="52">
        <f ca="1">LARGE(AG31:AG34,4)</f>
        <v>1.2</v>
      </c>
      <c r="AH18" s="8" t="s">
        <v>178</v>
      </c>
      <c r="AI18" s="52">
        <f ca="1">LARGE(AI31:AI34,4)</f>
        <v>5.8000000000000007</v>
      </c>
      <c r="AJ18" s="8" t="s">
        <v>175</v>
      </c>
      <c r="AK18" s="52">
        <f ca="1">LARGE(AK31:AK34,4)</f>
        <v>5.2</v>
      </c>
    </row>
    <row r="19" spans="1:37" x14ac:dyDescent="0.2">
      <c r="A19" s="18" t="s">
        <v>947</v>
      </c>
      <c r="B19" s="8" t="s">
        <v>313</v>
      </c>
      <c r="C19" s="52">
        <f ca="1">LARGE(C35:C36,2)</f>
        <v>2.4</v>
      </c>
      <c r="D19" s="8" t="s">
        <v>313</v>
      </c>
      <c r="E19" s="52">
        <f ca="1">LARGE(E35:E36,2)</f>
        <v>7.4</v>
      </c>
      <c r="F19" s="8" t="s">
        <v>313</v>
      </c>
      <c r="G19" s="52">
        <f ca="1">LARGE(G35:G36,2)</f>
        <v>1.9</v>
      </c>
      <c r="H19" s="8" t="s">
        <v>280</v>
      </c>
      <c r="I19" s="52">
        <f ca="1">LARGE(I35:I36,2)</f>
        <v>9.6000000000000014</v>
      </c>
      <c r="J19" s="8" t="s">
        <v>313</v>
      </c>
      <c r="K19" s="52">
        <f ca="1">LARGE(K35:K36,2)</f>
        <v>19.5</v>
      </c>
      <c r="L19" s="8" t="s">
        <v>280</v>
      </c>
      <c r="M19" s="52">
        <f ca="1">LARGE(M35:M36,2)</f>
        <v>7.6</v>
      </c>
      <c r="N19" s="8" t="s">
        <v>313</v>
      </c>
      <c r="O19" s="52">
        <f ca="1">LARGE(O35:O36,2)</f>
        <v>0</v>
      </c>
      <c r="P19" s="8" t="s">
        <v>313</v>
      </c>
      <c r="Q19" s="52">
        <f ca="1">LARGE(Q35:Q36,2)</f>
        <v>2.5</v>
      </c>
      <c r="R19" s="8" t="s">
        <v>280</v>
      </c>
      <c r="S19" s="52">
        <f ca="1">LARGE(S35:S36,2)</f>
        <v>0</v>
      </c>
      <c r="T19" s="8" t="s">
        <v>280</v>
      </c>
      <c r="U19" s="52">
        <f ca="1">LARGE(U35:U36,2)</f>
        <v>8</v>
      </c>
      <c r="V19" s="8" t="s">
        <v>280</v>
      </c>
      <c r="W19" s="52">
        <f ca="1">LARGE(W35:W36,2)</f>
        <v>6.8</v>
      </c>
      <c r="X19" s="8" t="s">
        <v>313</v>
      </c>
      <c r="Y19" s="52">
        <f ca="1">LARGE(Y35:Y36,2)</f>
        <v>1.2</v>
      </c>
      <c r="Z19" s="8" t="s">
        <v>313</v>
      </c>
      <c r="AA19" s="52">
        <f ca="1">LARGE(AA35:AA36,2)</f>
        <v>0</v>
      </c>
      <c r="AB19" s="8" t="s">
        <v>313</v>
      </c>
      <c r="AC19" s="52">
        <f ca="1">LARGE(AC35:AC36,2)</f>
        <v>0</v>
      </c>
      <c r="AD19" s="8" t="s">
        <v>313</v>
      </c>
      <c r="AE19" s="52">
        <f ca="1">LARGE(AE35:AE36,2)</f>
        <v>9.8000000000000007</v>
      </c>
      <c r="AF19" s="8" t="s">
        <v>280</v>
      </c>
      <c r="AG19" s="52">
        <f ca="1">LARGE(AG35:AG36,2)</f>
        <v>4.8</v>
      </c>
      <c r="AH19" s="8" t="s">
        <v>313</v>
      </c>
      <c r="AI19" s="52">
        <f ca="1">LARGE(AI35:AI36,2)</f>
        <v>3.9000000000000004</v>
      </c>
      <c r="AJ19" s="8" t="s">
        <v>313</v>
      </c>
      <c r="AK19" s="52">
        <f ca="1">LARGE(AK35:AK36,2)</f>
        <v>9.1999999999999993</v>
      </c>
    </row>
    <row r="20" spans="1:37" x14ac:dyDescent="0.2">
      <c r="A20" s="18" t="s">
        <v>948</v>
      </c>
      <c r="B20" s="8" t="s">
        <v>853</v>
      </c>
      <c r="C20" s="52">
        <f>LARGE(C37:C38,2)</f>
        <v>9</v>
      </c>
      <c r="D20" s="8" t="s">
        <v>853</v>
      </c>
      <c r="E20" s="52">
        <f>LARGE(E37:E38,2)</f>
        <v>9</v>
      </c>
      <c r="F20" s="8" t="s">
        <v>850</v>
      </c>
      <c r="G20" s="52">
        <f>LARGE(G37:G38,2)</f>
        <v>-2</v>
      </c>
      <c r="H20" s="8" t="s">
        <v>853</v>
      </c>
      <c r="I20" s="52">
        <f>LARGE(I37:I38,2)</f>
        <v>6</v>
      </c>
      <c r="J20" s="8" t="s">
        <v>850</v>
      </c>
      <c r="K20" s="52">
        <f>LARGE(K37:K38,2)</f>
        <v>-3</v>
      </c>
      <c r="L20" s="8" t="s">
        <v>850</v>
      </c>
      <c r="M20" s="52">
        <f>LARGE(M37:M38,2)</f>
        <v>6</v>
      </c>
      <c r="N20" s="8" t="s">
        <v>850</v>
      </c>
      <c r="O20" s="52">
        <f>LARGE(O37:O38,2)</f>
        <v>0</v>
      </c>
      <c r="P20" s="8" t="s">
        <v>853</v>
      </c>
      <c r="Q20" s="52">
        <f>LARGE(Q37:Q38,2)</f>
        <v>4</v>
      </c>
      <c r="R20" s="8" t="s">
        <v>850</v>
      </c>
      <c r="S20" s="52">
        <f>LARGE(S37:S38,2)</f>
        <v>4</v>
      </c>
      <c r="T20" s="8" t="s">
        <v>850</v>
      </c>
      <c r="U20" s="52">
        <f>LARGE(U37:U38,2)</f>
        <v>11</v>
      </c>
      <c r="V20" s="8" t="s">
        <v>853</v>
      </c>
      <c r="W20" s="52">
        <f>LARGE(W37:W38,2)</f>
        <v>8</v>
      </c>
      <c r="X20" s="8" t="s">
        <v>853</v>
      </c>
      <c r="Y20" s="52">
        <f>LARGE(Y37:Y38,2)</f>
        <v>5</v>
      </c>
      <c r="Z20" s="8" t="s">
        <v>850</v>
      </c>
      <c r="AA20" s="52">
        <f>LARGE(AA37:AA38,2)</f>
        <v>-3</v>
      </c>
      <c r="AB20" s="8" t="s">
        <v>850</v>
      </c>
      <c r="AC20" s="52">
        <f>LARGE(AC37:AC38,2)</f>
        <v>10</v>
      </c>
      <c r="AD20" s="8" t="s">
        <v>850</v>
      </c>
      <c r="AE20" s="52">
        <f>LARGE(AE37:AE38,2)</f>
        <v>-1</v>
      </c>
      <c r="AF20" s="8" t="s">
        <v>850</v>
      </c>
      <c r="AG20" s="52">
        <f>LARGE(AG37:AG38,2)</f>
        <v>0</v>
      </c>
      <c r="AH20" s="8" t="s">
        <v>850</v>
      </c>
      <c r="AI20" s="52">
        <f>LARGE(AI37:AI38,2)</f>
        <v>2</v>
      </c>
      <c r="AJ20" s="8" t="s">
        <v>853</v>
      </c>
      <c r="AK20" s="52">
        <f>LARGE(AK37:AK38,2)</f>
        <v>4</v>
      </c>
    </row>
    <row r="21" spans="1:37" x14ac:dyDescent="0.2">
      <c r="A21" s="18" t="s">
        <v>949</v>
      </c>
      <c r="B21" s="8" t="s">
        <v>858</v>
      </c>
      <c r="C21" s="52">
        <f>LARGE(C39:C40,2)</f>
        <v>7</v>
      </c>
      <c r="D21" s="8" t="s">
        <v>858</v>
      </c>
      <c r="E21" s="52">
        <f>LARGE(E39:E40,2)</f>
        <v>7</v>
      </c>
      <c r="F21" s="8" t="s">
        <v>858</v>
      </c>
      <c r="G21" s="52">
        <f>LARGE(G39:G40,2)</f>
        <v>4</v>
      </c>
      <c r="H21" s="8" t="s">
        <v>858</v>
      </c>
      <c r="I21" s="52">
        <f>LARGE(I39:I40,2)</f>
        <v>4</v>
      </c>
      <c r="J21" s="8" t="s">
        <v>848</v>
      </c>
      <c r="K21" s="52">
        <f>LARGE(K39:K40,2)</f>
        <v>6</v>
      </c>
      <c r="L21" s="8" t="s">
        <v>848</v>
      </c>
      <c r="M21" s="52">
        <f>LARGE(M39:M40,2)</f>
        <v>8</v>
      </c>
      <c r="N21" s="8" t="s">
        <v>848</v>
      </c>
      <c r="O21" s="52">
        <f>LARGE(O39:O40,2)</f>
        <v>0</v>
      </c>
      <c r="P21" s="8" t="s">
        <v>858</v>
      </c>
      <c r="Q21" s="52">
        <f>LARGE(Q39:Q40,2)</f>
        <v>1</v>
      </c>
      <c r="R21" s="8" t="s">
        <v>858</v>
      </c>
      <c r="S21" s="52">
        <f>LARGE(S39:S40,2)</f>
        <v>4</v>
      </c>
      <c r="T21" s="8" t="s">
        <v>848</v>
      </c>
      <c r="U21" s="52">
        <f>LARGE(U39:U40,2)</f>
        <v>7</v>
      </c>
      <c r="V21" s="8" t="s">
        <v>848</v>
      </c>
      <c r="W21" s="52">
        <f>LARGE(W39:W40,2)</f>
        <v>9</v>
      </c>
      <c r="X21" s="8" t="s">
        <v>848</v>
      </c>
      <c r="Y21" s="52">
        <f>LARGE(Y39:Y40,2)</f>
        <v>9</v>
      </c>
      <c r="Z21" s="8" t="s">
        <v>858</v>
      </c>
      <c r="AA21" s="52">
        <f>LARGE(AA39:AA40,2)</f>
        <v>0</v>
      </c>
      <c r="AB21" s="8" t="s">
        <v>858</v>
      </c>
      <c r="AC21" s="52">
        <f>LARGE(AC39:AC40,2)</f>
        <v>11</v>
      </c>
      <c r="AD21" s="8" t="s">
        <v>848</v>
      </c>
      <c r="AE21" s="52">
        <f>LARGE(AE39:AE40,2)</f>
        <v>4</v>
      </c>
      <c r="AF21" s="8" t="s">
        <v>848</v>
      </c>
      <c r="AG21" s="52">
        <f>LARGE(AG39:AG40,2)</f>
        <v>9</v>
      </c>
      <c r="AH21" s="8" t="s">
        <v>848</v>
      </c>
      <c r="AI21" s="52">
        <f>LARGE(AI39:AI40,2)</f>
        <v>11</v>
      </c>
      <c r="AJ21" s="8" t="s">
        <v>848</v>
      </c>
      <c r="AK21" s="52">
        <f>LARGE(AK39:AK40,2)</f>
        <v>8</v>
      </c>
    </row>
    <row r="22" spans="1:37" x14ac:dyDescent="0.2">
      <c r="A22" s="24" t="s">
        <v>953</v>
      </c>
      <c r="C22" s="53">
        <f ca="1">SUM(C14:C21)-C9</f>
        <v>59.039999999999985</v>
      </c>
      <c r="E22" s="53">
        <f ca="1">SUM(E14:E21)-E9</f>
        <v>76.540000000000006</v>
      </c>
      <c r="G22" s="53">
        <f ca="1">SUM(G14:G21)-G9</f>
        <v>45.3</v>
      </c>
      <c r="I22" s="53">
        <f ca="1">SUM(I14:I21)-I9</f>
        <v>53.42</v>
      </c>
      <c r="K22" s="53">
        <f ca="1">SUM(K14:K21)-K9</f>
        <v>45.680000000000007</v>
      </c>
      <c r="M22" s="53">
        <f ca="1">SUM(M14:M21)-M9</f>
        <v>51.600000000000009</v>
      </c>
      <c r="O22" s="53">
        <f ca="1">SUM(O14:O21)-O9</f>
        <v>12.780000000000001</v>
      </c>
      <c r="Q22" s="53">
        <f ca="1">SUM(Q14:Q21)-Q9</f>
        <v>43.7</v>
      </c>
      <c r="S22" s="53">
        <f ca="1">SUM(S14:S21)-S9</f>
        <v>24.2</v>
      </c>
      <c r="U22" s="53">
        <f ca="1">SUM(U14:U21)-U9</f>
        <v>40.380000000000003</v>
      </c>
      <c r="W22" s="53">
        <f ca="1">SUM(W14:W21)-W9</f>
        <v>63.999999999999986</v>
      </c>
      <c r="Y22" s="53">
        <f ca="1">SUM(Y14:Y21)-Y9</f>
        <v>54.16</v>
      </c>
      <c r="AA22" s="53">
        <f ca="1">SUM(AA14:AA21)-AA9</f>
        <v>19.600000000000001</v>
      </c>
      <c r="AC22" s="53">
        <f ca="1">SUM(AC14:AC21)-AC9</f>
        <v>62.319999999999993</v>
      </c>
      <c r="AE22" s="53">
        <f ca="1">SUM(AE14:AE21)-AE9</f>
        <v>57.759999999999991</v>
      </c>
      <c r="AG22" s="53">
        <f ca="1">SUM(AG14:AG21)-AG9</f>
        <v>45.8</v>
      </c>
      <c r="AI22" s="53">
        <f ca="1">SUM(AI14:AI21)-AI9</f>
        <v>48.9</v>
      </c>
      <c r="AK22" s="53">
        <f ca="1">SUM(AK14:AK21)-AK9</f>
        <v>26.4</v>
      </c>
    </row>
    <row r="23" spans="1:37" x14ac:dyDescent="0.2">
      <c r="A23" s="18"/>
      <c r="B23" s="8"/>
      <c r="C23" s="53"/>
      <c r="D23" s="8"/>
      <c r="E23" s="53"/>
      <c r="F23" s="8"/>
      <c r="G23" s="53"/>
      <c r="H23" s="8"/>
      <c r="I23" s="53"/>
      <c r="J23" s="8"/>
      <c r="K23" s="53"/>
      <c r="L23" s="8"/>
      <c r="M23" s="53"/>
      <c r="N23" s="8"/>
      <c r="O23" s="53"/>
      <c r="P23" s="8"/>
      <c r="Q23" s="53"/>
      <c r="R23" s="8"/>
      <c r="S23" s="53"/>
      <c r="T23" s="8"/>
      <c r="U23" s="53"/>
      <c r="V23" s="8"/>
      <c r="W23" s="53"/>
      <c r="X23" s="8"/>
      <c r="Y23" s="53"/>
      <c r="Z23" s="8"/>
      <c r="AA23" s="53"/>
      <c r="AB23" s="8"/>
      <c r="AC23" s="53"/>
      <c r="AD23" s="8"/>
      <c r="AE23" s="53"/>
      <c r="AF23" s="8"/>
      <c r="AG23" s="53"/>
      <c r="AH23" s="8"/>
      <c r="AI23" s="53"/>
      <c r="AJ23" s="8"/>
      <c r="AK23" s="53"/>
    </row>
    <row r="24" spans="1:37" x14ac:dyDescent="0.2">
      <c r="A24" s="18"/>
    </row>
    <row r="25" spans="1:37" x14ac:dyDescent="0.2">
      <c r="A25" s="18" t="s">
        <v>954</v>
      </c>
      <c r="B25" s="5" t="str">
        <f>'Draft Order'!$N$3</f>
        <v>Brock Purdy</v>
      </c>
      <c r="C25" s="52">
        <f t="shared" ref="C25:C40" ca="1" si="0">VLOOKUP(B25,FullData,2+B$1,FALSE)</f>
        <v>16.8</v>
      </c>
      <c r="D25" s="5" t="str">
        <f>'Draft Order'!$N$3</f>
        <v>Brock Purdy</v>
      </c>
      <c r="E25" s="52">
        <f t="shared" ref="E25:E40" ca="1" si="1">VLOOKUP(D25,FullData,2+D$1,FALSE)</f>
        <v>14.74</v>
      </c>
      <c r="F25" s="5" t="str">
        <f>'Draft Order'!$N$3</f>
        <v>Brock Purdy</v>
      </c>
      <c r="G25" s="52">
        <f t="shared" ref="G25:G40" ca="1" si="2">VLOOKUP(F25,FullData,2+F$1,FALSE)</f>
        <v>20.299999999999997</v>
      </c>
      <c r="H25" s="5" t="str">
        <f>'Draft Order'!$N$3</f>
        <v>Brock Purdy</v>
      </c>
      <c r="I25" s="52">
        <f t="shared" ref="I25:I40" ca="1" si="3">VLOOKUP(H25,FullData,2+H$1,FALSE)</f>
        <v>21.32</v>
      </c>
      <c r="J25" s="5" t="str">
        <f>'Draft Order'!$N$3</f>
        <v>Brock Purdy</v>
      </c>
      <c r="K25" s="52">
        <f t="shared" ref="K25:K40" ca="1" si="4">VLOOKUP(J25,FullData,2+J$1,FALSE)</f>
        <v>26.08</v>
      </c>
      <c r="L25" s="5" t="str">
        <f>'Draft Order'!$N$3</f>
        <v>Brock Purdy</v>
      </c>
      <c r="M25" s="52">
        <f t="shared" ref="M25:M40" ca="1" si="5">VLOOKUP(L25,FullData,2+L$1,FALSE)</f>
        <v>7.7</v>
      </c>
      <c r="N25" s="5" t="str">
        <f>'Draft Order'!$N$3</f>
        <v>Brock Purdy</v>
      </c>
      <c r="O25" s="52">
        <f t="shared" ref="O25:O40" ca="1" si="6">VLOOKUP(N25,FullData,2+N$1,FALSE)</f>
        <v>12.780000000000001</v>
      </c>
      <c r="P25" s="5" t="str">
        <f>'Draft Order'!$N$3</f>
        <v>Brock Purdy</v>
      </c>
      <c r="Q25" s="52">
        <f t="shared" ref="Q25:Q40" ca="1" si="7">VLOOKUP(P25,FullData,2+P$1,FALSE)</f>
        <v>18.3</v>
      </c>
      <c r="R25" s="5" t="str">
        <f>'Draft Order'!$N$3</f>
        <v>Brock Purdy</v>
      </c>
      <c r="S25" s="52">
        <f t="shared" ref="S25:S40" ca="1" si="8">VLOOKUP(R25,FullData,2+R$1,FALSE)</f>
        <v>0</v>
      </c>
      <c r="T25" s="5" t="str">
        <f>'Draft Order'!$N$3</f>
        <v>Brock Purdy</v>
      </c>
      <c r="U25" s="52">
        <f t="shared" ref="U25:U40" ca="1" si="9">VLOOKUP(T25,FullData,2+T$1,FALSE)</f>
        <v>23.84</v>
      </c>
      <c r="V25" s="5" t="str">
        <f>'Draft Order'!$N$3</f>
        <v>Brock Purdy</v>
      </c>
      <c r="W25" s="52">
        <f t="shared" ref="W25:W40" ca="1" si="10">VLOOKUP(V25,FullData,2+V$1,FALSE)</f>
        <v>26.72</v>
      </c>
      <c r="X25" s="5" t="str">
        <f>'Draft Order'!$N$3</f>
        <v>Brock Purdy</v>
      </c>
      <c r="Y25" s="52">
        <f t="shared" ref="Y25:Y40" ca="1" si="11">VLOOKUP(X25,FullData,2+X$1,FALSE)</f>
        <v>10.459999999999999</v>
      </c>
      <c r="Z25" s="5" t="str">
        <f>'Draft Order'!$N$3</f>
        <v>Brock Purdy</v>
      </c>
      <c r="AA25" s="52">
        <f t="shared" ref="AA25:AA40" ca="1" si="12">VLOOKUP(Z25,FullData,2+Z$1,FALSE)</f>
        <v>29.46</v>
      </c>
      <c r="AB25" s="5" t="str">
        <f>'Draft Order'!$N$3</f>
        <v>Brock Purdy</v>
      </c>
      <c r="AC25" s="52">
        <f t="shared" ref="AC25:AC40" ca="1" si="13">VLOOKUP(AB25,FullData,2+AB$1,FALSE)</f>
        <v>21.419999999999998</v>
      </c>
      <c r="AD25" s="5" t="str">
        <f>'Draft Order'!$N$3</f>
        <v>Brock Purdy</v>
      </c>
      <c r="AE25" s="52">
        <f t="shared" ref="AE25:AE40" ca="1" si="14">VLOOKUP(AD25,FullData,2+AD$1,FALSE)</f>
        <v>25.68</v>
      </c>
      <c r="AF25" s="5" t="str">
        <f>'Draft Order'!$N$3</f>
        <v>Brock Purdy</v>
      </c>
      <c r="AG25" s="52">
        <f t="shared" ref="AG25:AG40" ca="1" si="15">VLOOKUP(AF25,FullData,2+AF$1,FALSE)</f>
        <v>2.4000000000000012</v>
      </c>
      <c r="AH25" s="5" t="str">
        <f>'Draft Order'!$N$3</f>
        <v>Brock Purdy</v>
      </c>
      <c r="AI25" s="52">
        <f t="shared" ref="AI25:AI40" ca="1" si="16">VLOOKUP(AH25,FullData,2+AH$1,FALSE)</f>
        <v>17.600000000000001</v>
      </c>
      <c r="AJ25" s="5" t="str">
        <f>'Draft Order'!$N$3</f>
        <v>Brock Purdy</v>
      </c>
      <c r="AK25" s="52">
        <f t="shared" ref="AK25:AK40" ca="1" si="17">VLOOKUP(AJ25,FullData,2+AJ$1,FALSE)</f>
        <v>0</v>
      </c>
    </row>
    <row r="26" spans="1:37" x14ac:dyDescent="0.2">
      <c r="A26" s="18" t="s">
        <v>955</v>
      </c>
      <c r="B26" s="5" t="str">
        <f>'Draft Order'!$N$4</f>
        <v>Josh Allen</v>
      </c>
      <c r="C26" s="52">
        <f t="shared" ca="1" si="0"/>
        <v>9.0399999999999991</v>
      </c>
      <c r="D26" s="5" t="str">
        <f>'Draft Order'!$N$4</f>
        <v>Josh Allen</v>
      </c>
      <c r="E26" s="52">
        <f t="shared" ca="1" si="1"/>
        <v>23.66</v>
      </c>
      <c r="F26" s="5" t="str">
        <f>'Draft Order'!$N$4</f>
        <v>Josh Allen</v>
      </c>
      <c r="G26" s="52">
        <f t="shared" ca="1" si="2"/>
        <v>21.32</v>
      </c>
      <c r="H26" s="5" t="str">
        <f>'Draft Order'!$N$4</f>
        <v>Josh Allen</v>
      </c>
      <c r="I26" s="52">
        <f t="shared" ca="1" si="3"/>
        <v>36.5</v>
      </c>
      <c r="J26" s="5" t="str">
        <f>'Draft Order'!$N$4</f>
        <v>Josh Allen</v>
      </c>
      <c r="K26" s="52">
        <f t="shared" ca="1" si="4"/>
        <v>27.759999999999998</v>
      </c>
      <c r="L26" s="5" t="str">
        <f>'Draft Order'!$N$4</f>
        <v>Josh Allen</v>
      </c>
      <c r="M26" s="52">
        <f t="shared" ca="1" si="5"/>
        <v>13.86</v>
      </c>
      <c r="N26" s="5" t="str">
        <f>'Draft Order'!$N$4</f>
        <v>Josh Allen</v>
      </c>
      <c r="O26" s="52">
        <f t="shared" ca="1" si="6"/>
        <v>24.3</v>
      </c>
      <c r="P26" s="5" t="str">
        <f>'Draft Order'!$N$4</f>
        <v>Josh Allen</v>
      </c>
      <c r="Q26" s="52">
        <f t="shared" ca="1" si="7"/>
        <v>29.060000000000002</v>
      </c>
      <c r="R26" s="5" t="str">
        <f>'Draft Order'!$N$4</f>
        <v>Josh Allen</v>
      </c>
      <c r="S26" s="52">
        <f t="shared" ca="1" si="8"/>
        <v>24.72</v>
      </c>
      <c r="T26" s="5" t="str">
        <f>'Draft Order'!$N$4</f>
        <v>Josh Allen</v>
      </c>
      <c r="U26" s="52">
        <f t="shared" ca="1" si="9"/>
        <v>14.380000000000003</v>
      </c>
      <c r="V26" s="5" t="str">
        <f>'Draft Order'!$N$4</f>
        <v>Josh Allen</v>
      </c>
      <c r="W26" s="52">
        <f t="shared" ca="1" si="10"/>
        <v>22.5</v>
      </c>
      <c r="X26" s="5" t="str">
        <f>'Draft Order'!$N$4</f>
        <v>Josh Allen</v>
      </c>
      <c r="Y26" s="52">
        <f t="shared" ca="1" si="11"/>
        <v>39.660000000000004</v>
      </c>
      <c r="Z26" s="5" t="str">
        <f>'Draft Order'!$N$4</f>
        <v>Josh Allen</v>
      </c>
      <c r="AA26" s="52">
        <f t="shared" ca="1" si="12"/>
        <v>0</v>
      </c>
      <c r="AB26" s="5" t="str">
        <f>'Draft Order'!$N$4</f>
        <v>Josh Allen</v>
      </c>
      <c r="AC26" s="52">
        <f t="shared" ca="1" si="13"/>
        <v>20.52</v>
      </c>
      <c r="AD26" s="5" t="str">
        <f>'Draft Order'!$N$4</f>
        <v>Josh Allen</v>
      </c>
      <c r="AE26" s="52">
        <f t="shared" ca="1" si="14"/>
        <v>16.16</v>
      </c>
      <c r="AF26" s="5" t="str">
        <f>'Draft Order'!$N$4</f>
        <v>Josh Allen</v>
      </c>
      <c r="AG26" s="52">
        <f t="shared" ca="1" si="15"/>
        <v>24.98</v>
      </c>
      <c r="AH26" s="5" t="str">
        <f>'Draft Order'!$N$4</f>
        <v>Josh Allen</v>
      </c>
      <c r="AI26" s="52">
        <f t="shared" ca="1" si="16"/>
        <v>21.16</v>
      </c>
      <c r="AJ26" s="5" t="str">
        <f>'Draft Order'!$N$4</f>
        <v>Josh Allen</v>
      </c>
      <c r="AK26" s="52">
        <f t="shared" ca="1" si="17"/>
        <v>23.06</v>
      </c>
    </row>
    <row r="27" spans="1:37" x14ac:dyDescent="0.2">
      <c r="A27" s="18" t="s">
        <v>933</v>
      </c>
      <c r="B27" s="5" t="str">
        <f>'Draft Order'!$O$3</f>
        <v>Breece Hall</v>
      </c>
      <c r="C27" s="52">
        <f t="shared" ca="1" si="0"/>
        <v>15.700000000000001</v>
      </c>
      <c r="D27" s="5" t="str">
        <f>'Draft Order'!$O$3</f>
        <v>Breece Hall</v>
      </c>
      <c r="E27" s="52">
        <f t="shared" ca="1" si="1"/>
        <v>0.9</v>
      </c>
      <c r="F27" s="5" t="str">
        <f>'Draft Order'!$O$3</f>
        <v>Breece Hall</v>
      </c>
      <c r="G27" s="52">
        <f t="shared" ca="1" si="2"/>
        <v>3.6999999999999997</v>
      </c>
      <c r="H27" s="5" t="str">
        <f>'Draft Order'!$O$3</f>
        <v>Breece Hall</v>
      </c>
      <c r="I27" s="52">
        <f t="shared" ca="1" si="3"/>
        <v>9.9000000000000021</v>
      </c>
      <c r="J27" s="5" t="str">
        <f>'Draft Order'!$O$3</f>
        <v>Breece Hall</v>
      </c>
      <c r="K27" s="52">
        <f t="shared" ca="1" si="4"/>
        <v>28.4</v>
      </c>
      <c r="L27" s="5" t="str">
        <f>'Draft Order'!$O$3</f>
        <v>Breece Hall</v>
      </c>
      <c r="M27" s="52">
        <f t="shared" ca="1" si="5"/>
        <v>20.3</v>
      </c>
      <c r="N27" s="5" t="str">
        <f>'Draft Order'!$O$3</f>
        <v>Breece Hall</v>
      </c>
      <c r="O27" s="52">
        <f t="shared" ca="1" si="6"/>
        <v>0</v>
      </c>
      <c r="P27" s="5" t="str">
        <f>'Draft Order'!$O$3</f>
        <v>Breece Hall</v>
      </c>
      <c r="Q27" s="52">
        <f t="shared" ca="1" si="7"/>
        <v>21.3</v>
      </c>
      <c r="R27" s="5" t="str">
        <f>'Draft Order'!$O$3</f>
        <v>Breece Hall</v>
      </c>
      <c r="S27" s="52">
        <f t="shared" ca="1" si="8"/>
        <v>10</v>
      </c>
      <c r="T27" s="5" t="str">
        <f>'Draft Order'!$O$3</f>
        <v>Breece Hall</v>
      </c>
      <c r="U27" s="52">
        <f t="shared" ca="1" si="9"/>
        <v>10.5</v>
      </c>
      <c r="V27" s="5" t="str">
        <f>'Draft Order'!$O$3</f>
        <v>Breece Hall</v>
      </c>
      <c r="W27" s="52">
        <f t="shared" ca="1" si="10"/>
        <v>18.3</v>
      </c>
      <c r="X27" s="5" t="str">
        <f>'Draft Order'!$O$3</f>
        <v>Breece Hall</v>
      </c>
      <c r="Y27" s="52">
        <f t="shared" ca="1" si="11"/>
        <v>11.9</v>
      </c>
      <c r="Z27" s="5" t="str">
        <f>'Draft Order'!$O$3</f>
        <v>Breece Hall</v>
      </c>
      <c r="AA27" s="52">
        <f t="shared" ca="1" si="12"/>
        <v>10.5</v>
      </c>
      <c r="AB27" s="5" t="str">
        <f>'Draft Order'!$O$3</f>
        <v>Breece Hall</v>
      </c>
      <c r="AC27" s="52">
        <f t="shared" ca="1" si="13"/>
        <v>26.6</v>
      </c>
      <c r="AD27" s="5" t="str">
        <f>'Draft Order'!$O$3</f>
        <v>Breece Hall</v>
      </c>
      <c r="AE27" s="52">
        <f t="shared" ca="1" si="14"/>
        <v>2.8000000000000003</v>
      </c>
      <c r="AF27" s="5" t="str">
        <f>'Draft Order'!$O$3</f>
        <v>Breece Hall</v>
      </c>
      <c r="AG27" s="52">
        <f t="shared" ca="1" si="15"/>
        <v>43.1</v>
      </c>
      <c r="AH27" s="5" t="str">
        <f>'Draft Order'!$O$3</f>
        <v>Breece Hall</v>
      </c>
      <c r="AI27" s="52">
        <f t="shared" ca="1" si="16"/>
        <v>27.599999999999998</v>
      </c>
      <c r="AJ27" s="5" t="str">
        <f>'Draft Order'!$O$3</f>
        <v>Breece Hall</v>
      </c>
      <c r="AK27" s="52">
        <f t="shared" ca="1" si="17"/>
        <v>29</v>
      </c>
    </row>
    <row r="28" spans="1:37" x14ac:dyDescent="0.2">
      <c r="A28" s="18" t="s">
        <v>934</v>
      </c>
      <c r="B28" s="5" t="str">
        <f>'Draft Order'!$O$4</f>
        <v>Rachaad White</v>
      </c>
      <c r="C28" s="52">
        <f t="shared" ca="1" si="0"/>
        <v>6.9</v>
      </c>
      <c r="D28" s="5" t="str">
        <f>'Draft Order'!$O$4</f>
        <v>Rachaad White</v>
      </c>
      <c r="E28" s="52">
        <f t="shared" ca="1" si="1"/>
        <v>21.3</v>
      </c>
      <c r="F28" s="5" t="str">
        <f>'Draft Order'!$O$4</f>
        <v>Rachaad White</v>
      </c>
      <c r="G28" s="52">
        <f t="shared" ca="1" si="2"/>
        <v>7.2000000000000011</v>
      </c>
      <c r="H28" s="5" t="str">
        <f>'Draft Order'!$O$4</f>
        <v>Rachaad White</v>
      </c>
      <c r="I28" s="52">
        <f t="shared" ca="1" si="3"/>
        <v>10.8</v>
      </c>
      <c r="J28" s="5" t="str">
        <f>'Draft Order'!$O$4</f>
        <v>Rachaad White</v>
      </c>
      <c r="K28" s="52">
        <f t="shared" ca="1" si="4"/>
        <v>0</v>
      </c>
      <c r="L28" s="5" t="str">
        <f>'Draft Order'!$O$4</f>
        <v>Rachaad White</v>
      </c>
      <c r="M28" s="52">
        <f t="shared" ca="1" si="5"/>
        <v>6.8</v>
      </c>
      <c r="N28" s="5" t="str">
        <f>'Draft Order'!$O$4</f>
        <v>Rachaad White</v>
      </c>
      <c r="O28" s="52">
        <f t="shared" ca="1" si="6"/>
        <v>15.9</v>
      </c>
      <c r="P28" s="5" t="str">
        <f>'Draft Order'!$O$4</f>
        <v>Rachaad White</v>
      </c>
      <c r="Q28" s="52">
        <f t="shared" ca="1" si="7"/>
        <v>17.899999999999999</v>
      </c>
      <c r="R28" s="5" t="str">
        <f>'Draft Order'!$O$4</f>
        <v>Rachaad White</v>
      </c>
      <c r="S28" s="52">
        <f t="shared" ca="1" si="8"/>
        <v>27.900000000000002</v>
      </c>
      <c r="T28" s="5" t="str">
        <f>'Draft Order'!$O$4</f>
        <v>Rachaad White</v>
      </c>
      <c r="U28" s="52">
        <f t="shared" ca="1" si="9"/>
        <v>17.8</v>
      </c>
      <c r="V28" s="5" t="str">
        <f>'Draft Order'!$O$4</f>
        <v>Rachaad White</v>
      </c>
      <c r="W28" s="52">
        <f t="shared" ca="1" si="10"/>
        <v>17.8</v>
      </c>
      <c r="X28" s="5" t="str">
        <f>'Draft Order'!$O$4</f>
        <v>Rachaad White</v>
      </c>
      <c r="Y28" s="52">
        <f t="shared" ca="1" si="11"/>
        <v>13</v>
      </c>
      <c r="Z28" s="5" t="str">
        <f>'Draft Order'!$O$4</f>
        <v>Rachaad White</v>
      </c>
      <c r="AA28" s="52">
        <f t="shared" ca="1" si="12"/>
        <v>19.599999999999998</v>
      </c>
      <c r="AB28" s="5" t="str">
        <f>'Draft Order'!$O$4</f>
        <v>Rachaad White</v>
      </c>
      <c r="AC28" s="52">
        <f t="shared" ca="1" si="13"/>
        <v>21.5</v>
      </c>
      <c r="AD28" s="5" t="str">
        <f>'Draft Order'!$O$4</f>
        <v>Rachaad White</v>
      </c>
      <c r="AE28" s="52">
        <f t="shared" ca="1" si="14"/>
        <v>21.9</v>
      </c>
      <c r="AF28" s="5" t="str">
        <f>'Draft Order'!$O$4</f>
        <v>Rachaad White</v>
      </c>
      <c r="AG28" s="52">
        <f t="shared" ca="1" si="15"/>
        <v>19.7</v>
      </c>
      <c r="AH28" s="5" t="str">
        <f>'Draft Order'!$O$4</f>
        <v>Rachaad White</v>
      </c>
      <c r="AI28" s="52">
        <f t="shared" ca="1" si="16"/>
        <v>8.6</v>
      </c>
      <c r="AJ28" s="5" t="str">
        <f>'Draft Order'!$O$4</f>
        <v>Rachaad White</v>
      </c>
      <c r="AK28" s="52">
        <f t="shared" ca="1" si="17"/>
        <v>13.3</v>
      </c>
    </row>
    <row r="29" spans="1:37" x14ac:dyDescent="0.2">
      <c r="A29" s="18" t="s">
        <v>956</v>
      </c>
      <c r="B29" s="5" t="str">
        <f>'Draft Order'!$O$5</f>
        <v>Raheem Mostert</v>
      </c>
      <c r="C29" s="52">
        <f t="shared" ca="1" si="0"/>
        <v>13</v>
      </c>
      <c r="D29" s="5" t="str">
        <f>'Draft Order'!$O$5</f>
        <v>Raheem Mostert</v>
      </c>
      <c r="E29" s="52">
        <f t="shared" ca="1" si="1"/>
        <v>25.700000000000003</v>
      </c>
      <c r="F29" s="5" t="str">
        <f>'Draft Order'!$O$5</f>
        <v>Raheem Mostert</v>
      </c>
      <c r="G29" s="52">
        <f t="shared" ca="1" si="2"/>
        <v>45.2</v>
      </c>
      <c r="H29" s="5" t="str">
        <f>'Draft Order'!$O$5</f>
        <v>Raheem Mostert</v>
      </c>
      <c r="I29" s="52">
        <f t="shared" ca="1" si="3"/>
        <v>5.5</v>
      </c>
      <c r="J29" s="5" t="str">
        <f>'Draft Order'!$O$5</f>
        <v>Raheem Mostert</v>
      </c>
      <c r="K29" s="52">
        <f t="shared" ca="1" si="4"/>
        <v>15.8</v>
      </c>
      <c r="L29" s="5" t="str">
        <f>'Draft Order'!$O$5</f>
        <v>Raheem Mostert</v>
      </c>
      <c r="M29" s="52">
        <f t="shared" ca="1" si="5"/>
        <v>34.200000000000003</v>
      </c>
      <c r="N29" s="5" t="str">
        <f>'Draft Order'!$O$5</f>
        <v>Raheem Mostert</v>
      </c>
      <c r="O29" s="52">
        <f t="shared" ca="1" si="6"/>
        <v>6.1</v>
      </c>
      <c r="P29" s="5" t="str">
        <f>'Draft Order'!$O$5</f>
        <v>Raheem Mostert</v>
      </c>
      <c r="Q29" s="52">
        <f t="shared" ca="1" si="7"/>
        <v>10.600000000000001</v>
      </c>
      <c r="R29" s="5" t="str">
        <f>'Draft Order'!$O$5</f>
        <v>Raheem Mostert</v>
      </c>
      <c r="S29" s="52">
        <f t="shared" ca="1" si="8"/>
        <v>14.5</v>
      </c>
      <c r="T29" s="5" t="str">
        <f>'Draft Order'!$O$5</f>
        <v>Raheem Mostert</v>
      </c>
      <c r="U29" s="52">
        <f t="shared" ca="1" si="9"/>
        <v>0</v>
      </c>
      <c r="V29" s="5" t="str">
        <f>'Draft Order'!$O$5</f>
        <v>Raheem Mostert</v>
      </c>
      <c r="W29" s="52">
        <f t="shared" ca="1" si="10"/>
        <v>10.299999999999999</v>
      </c>
      <c r="X29" s="5" t="str">
        <f>'Draft Order'!$O$5</f>
        <v>Raheem Mostert</v>
      </c>
      <c r="Y29" s="52">
        <f t="shared" ca="1" si="11"/>
        <v>21.4</v>
      </c>
      <c r="Z29" s="5" t="str">
        <f>'Draft Order'!$O$5</f>
        <v>Raheem Mostert</v>
      </c>
      <c r="AA29" s="52">
        <f t="shared" ca="1" si="12"/>
        <v>12.100000000000001</v>
      </c>
      <c r="AB29" s="5" t="str">
        <f>'Draft Order'!$O$5</f>
        <v>Raheem Mostert</v>
      </c>
      <c r="AC29" s="52">
        <f t="shared" ca="1" si="13"/>
        <v>23</v>
      </c>
      <c r="AD29" s="5" t="str">
        <f>'Draft Order'!$O$5</f>
        <v>Raheem Mostert</v>
      </c>
      <c r="AE29" s="52">
        <f t="shared" ca="1" si="14"/>
        <v>18.3</v>
      </c>
      <c r="AF29" s="5" t="str">
        <f>'Draft Order'!$O$5</f>
        <v>Raheem Mostert</v>
      </c>
      <c r="AG29" s="52">
        <f t="shared" ca="1" si="15"/>
        <v>12</v>
      </c>
      <c r="AH29" s="5" t="str">
        <f>'Draft Order'!$O$5</f>
        <v>Raheem Mostert</v>
      </c>
      <c r="AI29" s="52">
        <f t="shared" ca="1" si="16"/>
        <v>0</v>
      </c>
      <c r="AJ29" s="5" t="str">
        <f>'Draft Order'!$O$5</f>
        <v>Raheem Mostert</v>
      </c>
      <c r="AK29" s="52">
        <f t="shared" ca="1" si="17"/>
        <v>0</v>
      </c>
    </row>
    <row r="30" spans="1:37" x14ac:dyDescent="0.2">
      <c r="A30" s="18" t="s">
        <v>957</v>
      </c>
      <c r="B30" s="5" t="str">
        <f>'Draft Order'!$O$6</f>
        <v>Kyren Williams</v>
      </c>
      <c r="C30" s="52">
        <f t="shared" ca="1" si="0"/>
        <v>17.399999999999999</v>
      </c>
      <c r="D30" s="5" t="str">
        <f>'Draft Order'!$O$6</f>
        <v>Kyren Williams</v>
      </c>
      <c r="E30" s="52">
        <f t="shared" ca="1" si="1"/>
        <v>28</v>
      </c>
      <c r="F30" s="5" t="str">
        <f>'Draft Order'!$O$6</f>
        <v>Kyren Williams</v>
      </c>
      <c r="G30" s="52">
        <f t="shared" ca="1" si="2"/>
        <v>8.5</v>
      </c>
      <c r="H30" s="5" t="str">
        <f>'Draft Order'!$O$6</f>
        <v>Kyren Williams</v>
      </c>
      <c r="I30" s="52">
        <f t="shared" ca="1" si="3"/>
        <v>27.700000000000003</v>
      </c>
      <c r="J30" s="5" t="str">
        <f>'Draft Order'!$O$6</f>
        <v>Kyren Williams</v>
      </c>
      <c r="K30" s="52">
        <f t="shared" ca="1" si="4"/>
        <v>7.7000000000000011</v>
      </c>
      <c r="L30" s="5" t="str">
        <f>'Draft Order'!$O$6</f>
        <v>Kyren Williams</v>
      </c>
      <c r="M30" s="52">
        <f t="shared" ca="1" si="5"/>
        <v>21.8</v>
      </c>
      <c r="N30" s="5" t="str">
        <f>'Draft Order'!$O$6</f>
        <v>Kyren Williams</v>
      </c>
      <c r="O30" s="52">
        <f t="shared" ca="1" si="6"/>
        <v>0</v>
      </c>
      <c r="P30" s="5" t="str">
        <f>'Draft Order'!$O$6</f>
        <v>Kyren Williams</v>
      </c>
      <c r="Q30" s="52">
        <f t="shared" ca="1" si="7"/>
        <v>0</v>
      </c>
      <c r="R30" s="5" t="str">
        <f>'Draft Order'!$O$6</f>
        <v>Kyren Williams</v>
      </c>
      <c r="S30" s="52">
        <f t="shared" ca="1" si="8"/>
        <v>0</v>
      </c>
      <c r="T30" s="5" t="str">
        <f>'Draft Order'!$O$6</f>
        <v>Kyren Williams</v>
      </c>
      <c r="U30" s="52">
        <f t="shared" ca="1" si="9"/>
        <v>0</v>
      </c>
      <c r="V30" s="5" t="str">
        <f>'Draft Order'!$O$6</f>
        <v>Kyren Williams</v>
      </c>
      <c r="W30" s="52">
        <f t="shared" ca="1" si="10"/>
        <v>0</v>
      </c>
      <c r="X30" s="5" t="str">
        <f>'Draft Order'!$O$6</f>
        <v>Kyren Williams</v>
      </c>
      <c r="Y30" s="52">
        <f t="shared" ca="1" si="11"/>
        <v>38.400000000000006</v>
      </c>
      <c r="Z30" s="5" t="str">
        <f>'Draft Order'!$O$6</f>
        <v>Kyren Williams</v>
      </c>
      <c r="AA30" s="52">
        <f t="shared" ca="1" si="12"/>
        <v>20.200000000000003</v>
      </c>
      <c r="AB30" s="5" t="str">
        <f>'Draft Order'!$O$6</f>
        <v>Kyren Williams</v>
      </c>
      <c r="AC30" s="52">
        <f t="shared" ca="1" si="13"/>
        <v>14.3</v>
      </c>
      <c r="AD30" s="5" t="str">
        <f>'Draft Order'!$O$6</f>
        <v>Kyren Williams</v>
      </c>
      <c r="AE30" s="52">
        <f t="shared" ca="1" si="14"/>
        <v>24.500000000000004</v>
      </c>
      <c r="AF30" s="5" t="str">
        <f>'Draft Order'!$O$6</f>
        <v>Kyren Williams</v>
      </c>
      <c r="AG30" s="52">
        <f t="shared" ca="1" si="15"/>
        <v>16.399999999999999</v>
      </c>
      <c r="AH30" s="5" t="str">
        <f>'Draft Order'!$O$6</f>
        <v>Kyren Williams</v>
      </c>
      <c r="AI30" s="52">
        <f t="shared" ca="1" si="16"/>
        <v>30.1</v>
      </c>
      <c r="AJ30" s="5" t="str">
        <f>'Draft Order'!$O$6</f>
        <v>Kyren Williams</v>
      </c>
      <c r="AK30" s="52">
        <f t="shared" ca="1" si="17"/>
        <v>0</v>
      </c>
    </row>
    <row r="31" spans="1:37" x14ac:dyDescent="0.2">
      <c r="A31" s="18" t="s">
        <v>935</v>
      </c>
      <c r="B31" s="5" t="str">
        <f>'Draft Order'!$P$3</f>
        <v>CeeDee Lamb</v>
      </c>
      <c r="C31" s="52">
        <f t="shared" ca="1" si="0"/>
        <v>11.7</v>
      </c>
      <c r="D31" s="5" t="str">
        <f>'Draft Order'!$P$3</f>
        <v>CeeDee Lamb</v>
      </c>
      <c r="E31" s="52">
        <f t="shared" ca="1" si="1"/>
        <v>25.3</v>
      </c>
      <c r="F31" s="5" t="str">
        <f>'Draft Order'!$P$3</f>
        <v>CeeDee Lamb</v>
      </c>
      <c r="G31" s="52">
        <f t="shared" ca="1" si="2"/>
        <v>10.200000000000001</v>
      </c>
      <c r="H31" s="5" t="str">
        <f>'Draft Order'!$P$3</f>
        <v>CeeDee Lamb</v>
      </c>
      <c r="I31" s="52">
        <f t="shared" ca="1" si="3"/>
        <v>14.8</v>
      </c>
      <c r="J31" s="5" t="str">
        <f>'Draft Order'!$P$3</f>
        <v>CeeDee Lamb</v>
      </c>
      <c r="K31" s="52">
        <f t="shared" ca="1" si="4"/>
        <v>8.9</v>
      </c>
      <c r="L31" s="5" t="str">
        <f>'Draft Order'!$P$3</f>
        <v>CeeDee Lamb</v>
      </c>
      <c r="M31" s="52">
        <f t="shared" ca="1" si="5"/>
        <v>18.700000000000003</v>
      </c>
      <c r="N31" s="5" t="str">
        <f>'Draft Order'!$P$3</f>
        <v>CeeDee Lamb</v>
      </c>
      <c r="O31" s="52">
        <f t="shared" ca="1" si="6"/>
        <v>0</v>
      </c>
      <c r="P31" s="5" t="str">
        <f>'Draft Order'!$P$3</f>
        <v>CeeDee Lamb</v>
      </c>
      <c r="Q31" s="52">
        <f t="shared" ca="1" si="7"/>
        <v>41</v>
      </c>
      <c r="R31" s="5" t="str">
        <f>'Draft Order'!$P$3</f>
        <v>CeeDee Lamb</v>
      </c>
      <c r="S31" s="52">
        <f t="shared" ca="1" si="8"/>
        <v>28.1</v>
      </c>
      <c r="T31" s="5" t="str">
        <f>'Draft Order'!$P$3</f>
        <v>CeeDee Lamb</v>
      </c>
      <c r="U31" s="52">
        <f t="shared" ca="1" si="9"/>
        <v>39.5</v>
      </c>
      <c r="V31" s="5" t="str">
        <f>'Draft Order'!$P$3</f>
        <v>CeeDee Lamb</v>
      </c>
      <c r="W31" s="52">
        <f t="shared" ca="1" si="10"/>
        <v>16.5</v>
      </c>
      <c r="X31" s="5" t="str">
        <f>'Draft Order'!$P$3</f>
        <v>CeeDee Lamb</v>
      </c>
      <c r="Y31" s="52">
        <f t="shared" ca="1" si="11"/>
        <v>17.3</v>
      </c>
      <c r="Z31" s="5" t="str">
        <f>'Draft Order'!$P$3</f>
        <v>CeeDee Lamb</v>
      </c>
      <c r="AA31" s="52">
        <f t="shared" ca="1" si="12"/>
        <v>32.6</v>
      </c>
      <c r="AB31" s="5" t="str">
        <f>'Draft Order'!$P$3</f>
        <v>CeeDee Lamb</v>
      </c>
      <c r="AC31" s="52">
        <f t="shared" ca="1" si="13"/>
        <v>19.100000000000001</v>
      </c>
      <c r="AD31" s="5" t="str">
        <f>'Draft Order'!$P$3</f>
        <v>CeeDee Lamb</v>
      </c>
      <c r="AE31" s="52">
        <f t="shared" ca="1" si="14"/>
        <v>18.600000000000001</v>
      </c>
      <c r="AF31" s="5" t="str">
        <f>'Draft Order'!$P$3</f>
        <v>CeeDee Lamb</v>
      </c>
      <c r="AG31" s="52">
        <f t="shared" ca="1" si="15"/>
        <v>25.200000000000003</v>
      </c>
      <c r="AH31" s="5" t="str">
        <f>'Draft Order'!$P$3</f>
        <v>CeeDee Lamb</v>
      </c>
      <c r="AI31" s="52">
        <f t="shared" ca="1" si="16"/>
        <v>40.200000000000003</v>
      </c>
      <c r="AJ31" s="5" t="str">
        <f>'Draft Order'!$P$3</f>
        <v>CeeDee Lamb</v>
      </c>
      <c r="AK31" s="52">
        <f t="shared" ca="1" si="17"/>
        <v>35.5</v>
      </c>
    </row>
    <row r="32" spans="1:37" x14ac:dyDescent="0.2">
      <c r="A32" s="18" t="s">
        <v>936</v>
      </c>
      <c r="B32" s="5" t="str">
        <f>'Draft Order'!$P$4</f>
        <v>Jordan Addison</v>
      </c>
      <c r="C32" s="52">
        <f t="shared" ca="1" si="0"/>
        <v>16.100000000000001</v>
      </c>
      <c r="D32" s="5" t="str">
        <f>'Draft Order'!$P$4</f>
        <v>Jordan Addison</v>
      </c>
      <c r="E32" s="52">
        <f t="shared" ca="1" si="1"/>
        <v>16.2</v>
      </c>
      <c r="F32" s="5" t="str">
        <f>'Draft Order'!$P$4</f>
        <v>Jordan Addison</v>
      </c>
      <c r="G32" s="52">
        <f t="shared" ca="1" si="2"/>
        <v>11.2</v>
      </c>
      <c r="H32" s="5" t="str">
        <f>'Draft Order'!$P$4</f>
        <v>Jordan Addison</v>
      </c>
      <c r="I32" s="52">
        <f t="shared" ca="1" si="3"/>
        <v>0</v>
      </c>
      <c r="J32" s="5" t="str">
        <f>'Draft Order'!$P$4</f>
        <v>Jordan Addison</v>
      </c>
      <c r="K32" s="52">
        <f t="shared" ca="1" si="4"/>
        <v>18.399999999999999</v>
      </c>
      <c r="L32" s="5" t="str">
        <f>'Draft Order'!$P$4</f>
        <v>Jordan Addison</v>
      </c>
      <c r="M32" s="52">
        <f t="shared" ca="1" si="5"/>
        <v>11.8</v>
      </c>
      <c r="N32" s="5" t="str">
        <f>'Draft Order'!$P$4</f>
        <v>Jordan Addison</v>
      </c>
      <c r="O32" s="52">
        <f t="shared" ca="1" si="6"/>
        <v>31.3</v>
      </c>
      <c r="P32" s="5" t="str">
        <f>'Draft Order'!$P$4</f>
        <v>Jordan Addison</v>
      </c>
      <c r="Q32" s="52">
        <f t="shared" ca="1" si="7"/>
        <v>21.400000000000002</v>
      </c>
      <c r="R32" s="5" t="str">
        <f>'Draft Order'!$P$4</f>
        <v>Jordan Addison</v>
      </c>
      <c r="S32" s="52">
        <f t="shared" ca="1" si="8"/>
        <v>10.199999999999999</v>
      </c>
      <c r="T32" s="5" t="str">
        <f>'Draft Order'!$P$4</f>
        <v>Jordan Addison</v>
      </c>
      <c r="U32" s="52">
        <f t="shared" ca="1" si="9"/>
        <v>10.9</v>
      </c>
      <c r="V32" s="5" t="str">
        <f>'Draft Order'!$P$4</f>
        <v>Jordan Addison</v>
      </c>
      <c r="W32" s="52">
        <f t="shared" ca="1" si="10"/>
        <v>7.4</v>
      </c>
      <c r="X32" s="5" t="str">
        <f>'Draft Order'!$P$4</f>
        <v>Jordan Addison</v>
      </c>
      <c r="Y32" s="52">
        <f t="shared" ca="1" si="11"/>
        <v>9.9</v>
      </c>
      <c r="Z32" s="5" t="str">
        <f>'Draft Order'!$P$4</f>
        <v>Jordan Addison</v>
      </c>
      <c r="AA32" s="52">
        <f t="shared" ca="1" si="12"/>
        <v>0</v>
      </c>
      <c r="AB32" s="5" t="str">
        <f>'Draft Order'!$P$4</f>
        <v>Jordan Addison</v>
      </c>
      <c r="AC32" s="52">
        <f t="shared" ca="1" si="13"/>
        <v>4.7</v>
      </c>
      <c r="AD32" s="5" t="str">
        <f>'Draft Order'!$P$4</f>
        <v>Jordan Addison</v>
      </c>
      <c r="AE32" s="52">
        <f t="shared" ca="1" si="14"/>
        <v>29.1</v>
      </c>
      <c r="AF32" s="5" t="str">
        <f>'Draft Order'!$P$4</f>
        <v>Jordan Addison</v>
      </c>
      <c r="AG32" s="52">
        <f t="shared" ca="1" si="15"/>
        <v>1.2</v>
      </c>
      <c r="AH32" s="5" t="str">
        <f>'Draft Order'!$P$4</f>
        <v>Jordan Addison</v>
      </c>
      <c r="AI32" s="52">
        <f t="shared" ca="1" si="16"/>
        <v>5.8000000000000007</v>
      </c>
      <c r="AJ32" s="5" t="str">
        <f>'Draft Order'!$P$4</f>
        <v>Jordan Addison</v>
      </c>
      <c r="AK32" s="52">
        <f t="shared" ca="1" si="17"/>
        <v>15.7</v>
      </c>
    </row>
    <row r="33" spans="1:37" x14ac:dyDescent="0.2">
      <c r="A33" s="18" t="s">
        <v>958</v>
      </c>
      <c r="B33" s="5" t="str">
        <f>'Draft Order'!$P$5</f>
        <v>Mike Evans</v>
      </c>
      <c r="C33" s="52">
        <f t="shared" ca="1" si="0"/>
        <v>18.600000000000001</v>
      </c>
      <c r="D33" s="5" t="str">
        <f>'Draft Order'!$P$5</f>
        <v>Mike Evans</v>
      </c>
      <c r="E33" s="52">
        <f t="shared" ca="1" si="1"/>
        <v>29.1</v>
      </c>
      <c r="F33" s="5" t="str">
        <f>'Draft Order'!$P$5</f>
        <v>Mike Evans</v>
      </c>
      <c r="G33" s="52">
        <f t="shared" ca="1" si="2"/>
        <v>17</v>
      </c>
      <c r="H33" s="5" t="str">
        <f>'Draft Order'!$P$5</f>
        <v>Mike Evans</v>
      </c>
      <c r="I33" s="52">
        <f t="shared" ca="1" si="3"/>
        <v>7</v>
      </c>
      <c r="J33" s="5" t="str">
        <f>'Draft Order'!$P$5</f>
        <v>Mike Evans</v>
      </c>
      <c r="K33" s="52">
        <f t="shared" ca="1" si="4"/>
        <v>0</v>
      </c>
      <c r="L33" s="5" t="str">
        <f>'Draft Order'!$P$5</f>
        <v>Mike Evans</v>
      </c>
      <c r="M33" s="52">
        <f t="shared" ca="1" si="5"/>
        <v>8.9</v>
      </c>
      <c r="N33" s="5" t="str">
        <f>'Draft Order'!$P$5</f>
        <v>Mike Evans</v>
      </c>
      <c r="O33" s="52">
        <f t="shared" ca="1" si="6"/>
        <v>20.200000000000003</v>
      </c>
      <c r="P33" s="5" t="str">
        <f>'Draft Order'!$P$5</f>
        <v>Mike Evans</v>
      </c>
      <c r="Q33" s="52">
        <f t="shared" ca="1" si="7"/>
        <v>12.9</v>
      </c>
      <c r="R33" s="5" t="str">
        <f>'Draft Order'!$P$5</f>
        <v>Mike Evans</v>
      </c>
      <c r="S33" s="52">
        <f t="shared" ca="1" si="8"/>
        <v>12.700000000000001</v>
      </c>
      <c r="T33" s="5" t="str">
        <f>'Draft Order'!$P$5</f>
        <v>Mike Evans</v>
      </c>
      <c r="U33" s="52">
        <f t="shared" ca="1" si="9"/>
        <v>26.3</v>
      </c>
      <c r="V33" s="5" t="str">
        <f>'Draft Order'!$P$5</f>
        <v>Mike Evans</v>
      </c>
      <c r="W33" s="52">
        <f t="shared" ca="1" si="10"/>
        <v>15.3</v>
      </c>
      <c r="X33" s="5" t="str">
        <f>'Draft Order'!$P$5</f>
        <v>Mike Evans</v>
      </c>
      <c r="Y33" s="52">
        <f t="shared" ca="1" si="11"/>
        <v>25</v>
      </c>
      <c r="Z33" s="5" t="str">
        <f>'Draft Order'!$P$5</f>
        <v>Mike Evans</v>
      </c>
      <c r="AA33" s="52">
        <f t="shared" ca="1" si="12"/>
        <v>29.2</v>
      </c>
      <c r="AB33" s="5" t="str">
        <f>'Draft Order'!$P$5</f>
        <v>Mike Evans</v>
      </c>
      <c r="AC33" s="52">
        <f t="shared" ca="1" si="13"/>
        <v>1.8</v>
      </c>
      <c r="AD33" s="5" t="str">
        <f>'Draft Order'!$P$5</f>
        <v>Mike Evans</v>
      </c>
      <c r="AE33" s="52">
        <f t="shared" ca="1" si="14"/>
        <v>15.7</v>
      </c>
      <c r="AF33" s="5" t="str">
        <f>'Draft Order'!$P$5</f>
        <v>Mike Evans</v>
      </c>
      <c r="AG33" s="52">
        <f t="shared" ca="1" si="15"/>
        <v>27.6</v>
      </c>
      <c r="AH33" s="5" t="str">
        <f>'Draft Order'!$P$5</f>
        <v>Mike Evans</v>
      </c>
      <c r="AI33" s="52">
        <f t="shared" ca="1" si="16"/>
        <v>10</v>
      </c>
      <c r="AJ33" s="5" t="str">
        <f>'Draft Order'!$P$5</f>
        <v>Mike Evans</v>
      </c>
      <c r="AK33" s="52">
        <f t="shared" ca="1" si="17"/>
        <v>5.2</v>
      </c>
    </row>
    <row r="34" spans="1:37" x14ac:dyDescent="0.2">
      <c r="A34" s="18" t="s">
        <v>959</v>
      </c>
      <c r="B34" s="5" t="str">
        <f>'Draft Order'!$P$6</f>
        <v>Puka Nacua</v>
      </c>
      <c r="C34" s="52">
        <f t="shared" ca="1" si="0"/>
        <v>21.9</v>
      </c>
      <c r="D34" s="5" t="str">
        <f>'Draft Order'!$P$6</f>
        <v>Puka Nacua</v>
      </c>
      <c r="E34" s="52">
        <f t="shared" ca="1" si="1"/>
        <v>30.1</v>
      </c>
      <c r="F34" s="5" t="str">
        <f>'Draft Order'!$P$6</f>
        <v>Puka Nacua</v>
      </c>
      <c r="G34" s="52">
        <f t="shared" ca="1" si="2"/>
        <v>12.2</v>
      </c>
      <c r="H34" s="5" t="str">
        <f>'Draft Order'!$P$6</f>
        <v>Puka Nacua</v>
      </c>
      <c r="I34" s="52">
        <f t="shared" ca="1" si="3"/>
        <v>31.3</v>
      </c>
      <c r="J34" s="5" t="str">
        <f>'Draft Order'!$P$6</f>
        <v>Puka Nacua</v>
      </c>
      <c r="K34" s="52">
        <f t="shared" ca="1" si="4"/>
        <v>20.100000000000001</v>
      </c>
      <c r="L34" s="5" t="str">
        <f>'Draft Order'!$P$6</f>
        <v>Puka Nacua</v>
      </c>
      <c r="M34" s="52">
        <f t="shared" ca="1" si="5"/>
        <v>6.6</v>
      </c>
      <c r="N34" s="5" t="str">
        <f>'Draft Order'!$P$6</f>
        <v>Puka Nacua</v>
      </c>
      <c r="O34" s="52">
        <f t="shared" ca="1" si="6"/>
        <v>23.4</v>
      </c>
      <c r="P34" s="5" t="str">
        <f>'Draft Order'!$P$6</f>
        <v>Puka Nacua</v>
      </c>
      <c r="Q34" s="52">
        <f t="shared" ca="1" si="7"/>
        <v>7.3</v>
      </c>
      <c r="R34" s="5" t="str">
        <f>'Draft Order'!$P$6</f>
        <v>Puka Nacua</v>
      </c>
      <c r="S34" s="52">
        <f t="shared" ca="1" si="8"/>
        <v>6.2</v>
      </c>
      <c r="T34" s="5" t="str">
        <f>'Draft Order'!$P$6</f>
        <v>Puka Nacua</v>
      </c>
      <c r="U34" s="52">
        <f t="shared" ca="1" si="9"/>
        <v>0</v>
      </c>
      <c r="V34" s="5" t="str">
        <f>'Draft Order'!$P$6</f>
        <v>Puka Nacua</v>
      </c>
      <c r="W34" s="52">
        <f t="shared" ca="1" si="10"/>
        <v>18.7</v>
      </c>
      <c r="X34" s="5" t="str">
        <f>'Draft Order'!$P$6</f>
        <v>Puka Nacua</v>
      </c>
      <c r="Y34" s="52">
        <f t="shared" ca="1" si="11"/>
        <v>6.7</v>
      </c>
      <c r="Z34" s="5" t="str">
        <f>'Draft Order'!$P$6</f>
        <v>Puka Nacua</v>
      </c>
      <c r="AA34" s="52">
        <f t="shared" ca="1" si="12"/>
        <v>23.9</v>
      </c>
      <c r="AB34" s="5" t="str">
        <f>'Draft Order'!$P$6</f>
        <v>Puka Nacua</v>
      </c>
      <c r="AC34" s="52">
        <f t="shared" ca="1" si="13"/>
        <v>14</v>
      </c>
      <c r="AD34" s="5" t="str">
        <f>'Draft Order'!$P$6</f>
        <v>Puka Nacua</v>
      </c>
      <c r="AE34" s="52">
        <f t="shared" ca="1" si="14"/>
        <v>10.3</v>
      </c>
      <c r="AF34" s="5" t="str">
        <f>'Draft Order'!$P$6</f>
        <v>Puka Nacua</v>
      </c>
      <c r="AG34" s="52">
        <f t="shared" ca="1" si="15"/>
        <v>33</v>
      </c>
      <c r="AH34" s="5" t="str">
        <f>'Draft Order'!$P$6</f>
        <v>Puka Nacua</v>
      </c>
      <c r="AI34" s="52">
        <f t="shared" ca="1" si="16"/>
        <v>18.700000000000003</v>
      </c>
      <c r="AJ34" s="5" t="str">
        <f>'Draft Order'!$P$6</f>
        <v>Puka Nacua</v>
      </c>
      <c r="AK34" s="52">
        <f t="shared" ca="1" si="17"/>
        <v>14.100000000000001</v>
      </c>
    </row>
    <row r="35" spans="1:37" x14ac:dyDescent="0.2">
      <c r="A35" s="18" t="s">
        <v>960</v>
      </c>
      <c r="B35" s="5" t="str">
        <f>'Draft Order'!$Q$3</f>
        <v>Sam LaPorta</v>
      </c>
      <c r="C35" s="52">
        <f t="shared" ca="1" si="0"/>
        <v>8.9</v>
      </c>
      <c r="D35" s="5" t="str">
        <f>'Draft Order'!$Q$3</f>
        <v>Sam LaPorta</v>
      </c>
      <c r="E35" s="52">
        <f t="shared" ca="1" si="1"/>
        <v>11.3</v>
      </c>
      <c r="F35" s="5" t="str">
        <f>'Draft Order'!$Q$3</f>
        <v>Sam LaPorta</v>
      </c>
      <c r="G35" s="52">
        <f t="shared" ca="1" si="2"/>
        <v>22.4</v>
      </c>
      <c r="H35" s="5" t="str">
        <f>'Draft Order'!$Q$3</f>
        <v>Sam LaPorta</v>
      </c>
      <c r="I35" s="52">
        <f t="shared" ca="1" si="3"/>
        <v>9.6000000000000014</v>
      </c>
      <c r="J35" s="5" t="str">
        <f>'Draft Order'!$Q$3</f>
        <v>Sam LaPorta</v>
      </c>
      <c r="K35" s="52">
        <f t="shared" ca="1" si="4"/>
        <v>19.7</v>
      </c>
      <c r="L35" s="5" t="str">
        <f>'Draft Order'!$Q$3</f>
        <v>Sam LaPorta</v>
      </c>
      <c r="M35" s="52">
        <f t="shared" ca="1" si="5"/>
        <v>7.6</v>
      </c>
      <c r="N35" s="5" t="str">
        <f>'Draft Order'!$Q$3</f>
        <v>Sam LaPorta</v>
      </c>
      <c r="O35" s="52">
        <f t="shared" ca="1" si="6"/>
        <v>11.2</v>
      </c>
      <c r="P35" s="5" t="str">
        <f>'Draft Order'!$Q$3</f>
        <v>Sam LaPorta</v>
      </c>
      <c r="Q35" s="52">
        <f t="shared" ca="1" si="7"/>
        <v>19.7</v>
      </c>
      <c r="R35" s="5" t="str">
        <f>'Draft Order'!$Q$3</f>
        <v>Sam LaPorta</v>
      </c>
      <c r="S35" s="52">
        <f t="shared" ca="1" si="8"/>
        <v>0</v>
      </c>
      <c r="T35" s="5" t="str">
        <f>'Draft Order'!$Q$3</f>
        <v>Sam LaPorta</v>
      </c>
      <c r="U35" s="52">
        <f t="shared" ca="1" si="9"/>
        <v>8</v>
      </c>
      <c r="V35" s="5" t="str">
        <f>'Draft Order'!$Q$3</f>
        <v>Sam LaPorta</v>
      </c>
      <c r="W35" s="52">
        <f t="shared" ca="1" si="10"/>
        <v>6.8</v>
      </c>
      <c r="X35" s="5" t="str">
        <f>'Draft Order'!$Q$3</f>
        <v>Sam LaPorta</v>
      </c>
      <c r="Y35" s="52">
        <f t="shared" ca="1" si="11"/>
        <v>17.7</v>
      </c>
      <c r="Z35" s="5" t="str">
        <f>'Draft Order'!$Q$3</f>
        <v>Sam LaPorta</v>
      </c>
      <c r="AA35" s="52">
        <f t="shared" ca="1" si="12"/>
        <v>29</v>
      </c>
      <c r="AB35" s="5" t="str">
        <f>'Draft Order'!$Q$3</f>
        <v>Sam LaPorta</v>
      </c>
      <c r="AC35" s="52">
        <f t="shared" ca="1" si="13"/>
        <v>4.7</v>
      </c>
      <c r="AD35" s="5" t="str">
        <f>'Draft Order'!$Q$3</f>
        <v>Sam LaPorta</v>
      </c>
      <c r="AE35" s="52">
        <f t="shared" ca="1" si="14"/>
        <v>28.6</v>
      </c>
      <c r="AF35" s="5" t="str">
        <f>'Draft Order'!$Q$3</f>
        <v>Sam LaPorta</v>
      </c>
      <c r="AG35" s="52">
        <f t="shared" ca="1" si="15"/>
        <v>4.8</v>
      </c>
      <c r="AH35" s="5" t="str">
        <f>'Draft Order'!$Q$3</f>
        <v>Sam LaPorta</v>
      </c>
      <c r="AI35" s="52">
        <f t="shared" ca="1" si="16"/>
        <v>15.4</v>
      </c>
      <c r="AJ35" s="5" t="str">
        <f>'Draft Order'!$Q$3</f>
        <v>Sam LaPorta</v>
      </c>
      <c r="AK35" s="52">
        <f t="shared" ca="1" si="17"/>
        <v>13.9</v>
      </c>
    </row>
    <row r="36" spans="1:37" x14ac:dyDescent="0.2">
      <c r="A36" s="18" t="s">
        <v>961</v>
      </c>
      <c r="B36" s="5" t="str">
        <f>'Draft Order'!$Q$4</f>
        <v>Dalton Schultz</v>
      </c>
      <c r="C36" s="52">
        <f t="shared" ca="1" si="0"/>
        <v>2.4</v>
      </c>
      <c r="D36" s="5" t="str">
        <f>'Draft Order'!$Q$4</f>
        <v>Dalton Schultz</v>
      </c>
      <c r="E36" s="52">
        <f t="shared" ca="1" si="1"/>
        <v>7.4</v>
      </c>
      <c r="F36" s="5" t="str">
        <f>'Draft Order'!$Q$4</f>
        <v>Dalton Schultz</v>
      </c>
      <c r="G36" s="52">
        <f t="shared" ca="1" si="2"/>
        <v>1.9</v>
      </c>
      <c r="H36" s="5" t="str">
        <f>'Draft Order'!$Q$4</f>
        <v>Dalton Schultz</v>
      </c>
      <c r="I36" s="52">
        <f t="shared" ca="1" si="3"/>
        <v>13.2</v>
      </c>
      <c r="J36" s="5" t="str">
        <f>'Draft Order'!$Q$4</f>
        <v>Dalton Schultz</v>
      </c>
      <c r="K36" s="52">
        <f t="shared" ca="1" si="4"/>
        <v>19.5</v>
      </c>
      <c r="L36" s="5" t="str">
        <f>'Draft Order'!$Q$4</f>
        <v>Dalton Schultz</v>
      </c>
      <c r="M36" s="52">
        <f t="shared" ca="1" si="5"/>
        <v>16.100000000000001</v>
      </c>
      <c r="N36" s="5" t="str">
        <f>'Draft Order'!$Q$4</f>
        <v>Dalton Schultz</v>
      </c>
      <c r="O36" s="52">
        <f t="shared" ca="1" si="6"/>
        <v>0</v>
      </c>
      <c r="P36" s="5" t="str">
        <f>'Draft Order'!$Q$4</f>
        <v>Dalton Schultz</v>
      </c>
      <c r="Q36" s="52">
        <f t="shared" ca="1" si="7"/>
        <v>2.5</v>
      </c>
      <c r="R36" s="5" t="str">
        <f>'Draft Order'!$Q$4</f>
        <v>Dalton Schultz</v>
      </c>
      <c r="S36" s="52">
        <f t="shared" ca="1" si="8"/>
        <v>27</v>
      </c>
      <c r="T36" s="5" t="str">
        <f>'Draft Order'!$Q$4</f>
        <v>Dalton Schultz</v>
      </c>
      <c r="U36" s="52">
        <f t="shared" ca="1" si="9"/>
        <v>11.100000000000001</v>
      </c>
      <c r="V36" s="5" t="str">
        <f>'Draft Order'!$Q$4</f>
        <v>Dalton Schultz</v>
      </c>
      <c r="W36" s="52">
        <f t="shared" ca="1" si="10"/>
        <v>11.2</v>
      </c>
      <c r="X36" s="5" t="str">
        <f>'Draft Order'!$Q$4</f>
        <v>Dalton Schultz</v>
      </c>
      <c r="Y36" s="52">
        <f t="shared" ca="1" si="11"/>
        <v>1.2</v>
      </c>
      <c r="Z36" s="5" t="str">
        <f>'Draft Order'!$Q$4</f>
        <v>Dalton Schultz</v>
      </c>
      <c r="AA36" s="52">
        <f t="shared" ca="1" si="12"/>
        <v>0</v>
      </c>
      <c r="AB36" s="5" t="str">
        <f>'Draft Order'!$Q$4</f>
        <v>Dalton Schultz</v>
      </c>
      <c r="AC36" s="52">
        <f t="shared" ca="1" si="13"/>
        <v>0</v>
      </c>
      <c r="AD36" s="5" t="str">
        <f>'Draft Order'!$Q$4</f>
        <v>Dalton Schultz</v>
      </c>
      <c r="AE36" s="52">
        <f t="shared" ca="1" si="14"/>
        <v>9.8000000000000007</v>
      </c>
      <c r="AF36" s="5" t="str">
        <f>'Draft Order'!$Q$4</f>
        <v>Dalton Schultz</v>
      </c>
      <c r="AG36" s="52">
        <f t="shared" ca="1" si="15"/>
        <v>14.100000000000001</v>
      </c>
      <c r="AH36" s="5" t="str">
        <f>'Draft Order'!$Q$4</f>
        <v>Dalton Schultz</v>
      </c>
      <c r="AI36" s="52">
        <f t="shared" ca="1" si="16"/>
        <v>3.9000000000000004</v>
      </c>
      <c r="AJ36" s="5" t="str">
        <f>'Draft Order'!$Q$4</f>
        <v>Dalton Schultz</v>
      </c>
      <c r="AK36" s="52">
        <f t="shared" ca="1" si="17"/>
        <v>9.1999999999999993</v>
      </c>
    </row>
    <row r="37" spans="1:37" x14ac:dyDescent="0.2">
      <c r="A37" s="18" t="s">
        <v>962</v>
      </c>
      <c r="B37" s="5" t="str">
        <f>'Draft Order'!$R$3</f>
        <v>Browns</v>
      </c>
      <c r="C37" s="52">
        <f t="shared" si="0"/>
        <v>9</v>
      </c>
      <c r="D37" s="5" t="str">
        <f>'Draft Order'!$R$3</f>
        <v>Browns</v>
      </c>
      <c r="E37" s="52">
        <f t="shared" si="1"/>
        <v>9</v>
      </c>
      <c r="F37" s="5" t="str">
        <f>'Draft Order'!$R$3</f>
        <v>Browns</v>
      </c>
      <c r="G37" s="52">
        <f t="shared" si="2"/>
        <v>14</v>
      </c>
      <c r="H37" s="5" t="str">
        <f>'Draft Order'!$R$3</f>
        <v>Browns</v>
      </c>
      <c r="I37" s="52">
        <f t="shared" si="3"/>
        <v>6</v>
      </c>
      <c r="J37" s="5" t="str">
        <f>'Draft Order'!$R$3</f>
        <v>Browns</v>
      </c>
      <c r="K37" s="52">
        <f t="shared" si="4"/>
        <v>0</v>
      </c>
      <c r="L37" s="5" t="str">
        <f>'Draft Order'!$R$3</f>
        <v>Browns</v>
      </c>
      <c r="M37" s="52">
        <f t="shared" si="5"/>
        <v>8</v>
      </c>
      <c r="N37" s="5" t="str">
        <f>'Draft Order'!$R$3</f>
        <v>Browns</v>
      </c>
      <c r="O37" s="52">
        <f t="shared" si="6"/>
        <v>12</v>
      </c>
      <c r="P37" s="5" t="str">
        <f>'Draft Order'!$R$3</f>
        <v>Browns</v>
      </c>
      <c r="Q37" s="52">
        <f t="shared" si="7"/>
        <v>4</v>
      </c>
      <c r="R37" s="5" t="str">
        <f>'Draft Order'!$R$3</f>
        <v>Browns</v>
      </c>
      <c r="S37" s="52">
        <f t="shared" si="8"/>
        <v>23</v>
      </c>
      <c r="T37" s="5" t="str">
        <f>'Draft Order'!$R$3</f>
        <v>Browns</v>
      </c>
      <c r="U37" s="52">
        <f t="shared" si="9"/>
        <v>15</v>
      </c>
      <c r="V37" s="5" t="str">
        <f>'Draft Order'!$R$3</f>
        <v>Browns</v>
      </c>
      <c r="W37" s="52">
        <f t="shared" si="10"/>
        <v>8</v>
      </c>
      <c r="X37" s="5" t="str">
        <f>'Draft Order'!$R$3</f>
        <v>Browns</v>
      </c>
      <c r="Y37" s="52">
        <f t="shared" si="11"/>
        <v>5</v>
      </c>
      <c r="Z37" s="5" t="str">
        <f>'Draft Order'!$R$3</f>
        <v>Browns</v>
      </c>
      <c r="AA37" s="52">
        <f t="shared" si="12"/>
        <v>-2</v>
      </c>
      <c r="AB37" s="5" t="str">
        <f>'Draft Order'!$R$3</f>
        <v>Browns</v>
      </c>
      <c r="AC37" s="52">
        <f t="shared" si="13"/>
        <v>14</v>
      </c>
      <c r="AD37" s="5" t="str">
        <f>'Draft Order'!$R$3</f>
        <v>Browns</v>
      </c>
      <c r="AE37" s="52">
        <f t="shared" si="14"/>
        <v>14</v>
      </c>
      <c r="AF37" s="5" t="str">
        <f>'Draft Order'!$R$3</f>
        <v>Browns</v>
      </c>
      <c r="AG37" s="52">
        <f t="shared" si="15"/>
        <v>9</v>
      </c>
      <c r="AH37" s="5" t="str">
        <f>'Draft Order'!$R$3</f>
        <v>Browns</v>
      </c>
      <c r="AI37" s="52">
        <f t="shared" si="16"/>
        <v>14</v>
      </c>
      <c r="AJ37" s="5" t="str">
        <f>'Draft Order'!$R$3</f>
        <v>Browns</v>
      </c>
      <c r="AK37" s="52">
        <f t="shared" si="17"/>
        <v>4</v>
      </c>
    </row>
    <row r="38" spans="1:37" x14ac:dyDescent="0.2">
      <c r="A38" s="18" t="s">
        <v>963</v>
      </c>
      <c r="B38" s="5" t="str">
        <f>'Draft Order'!$R$4</f>
        <v>Cowboys</v>
      </c>
      <c r="C38" s="52">
        <f t="shared" si="0"/>
        <v>35</v>
      </c>
      <c r="D38" s="5" t="str">
        <f>'Draft Order'!$R$4</f>
        <v>Cowboys</v>
      </c>
      <c r="E38" s="52">
        <f t="shared" si="1"/>
        <v>16</v>
      </c>
      <c r="F38" s="5" t="str">
        <f>'Draft Order'!$R$4</f>
        <v>Cowboys</v>
      </c>
      <c r="G38" s="52">
        <f t="shared" si="2"/>
        <v>-2</v>
      </c>
      <c r="H38" s="5" t="str">
        <f>'Draft Order'!$R$4</f>
        <v>Cowboys</v>
      </c>
      <c r="I38" s="52">
        <f t="shared" si="3"/>
        <v>26</v>
      </c>
      <c r="J38" s="5" t="str">
        <f>'Draft Order'!$R$4</f>
        <v>Cowboys</v>
      </c>
      <c r="K38" s="52">
        <f t="shared" si="4"/>
        <v>-3</v>
      </c>
      <c r="L38" s="5" t="str">
        <f>'Draft Order'!$R$4</f>
        <v>Cowboys</v>
      </c>
      <c r="M38" s="52">
        <f t="shared" si="5"/>
        <v>6</v>
      </c>
      <c r="N38" s="5" t="str">
        <f>'Draft Order'!$R$4</f>
        <v>Cowboys</v>
      </c>
      <c r="O38" s="52">
        <f t="shared" si="6"/>
        <v>0</v>
      </c>
      <c r="P38" s="5" t="str">
        <f>'Draft Order'!$R$4</f>
        <v>Cowboys</v>
      </c>
      <c r="Q38" s="52">
        <f t="shared" si="7"/>
        <v>16</v>
      </c>
      <c r="R38" s="5" t="str">
        <f>'Draft Order'!$R$4</f>
        <v>Cowboys</v>
      </c>
      <c r="S38" s="52">
        <f t="shared" si="8"/>
        <v>4</v>
      </c>
      <c r="T38" s="5" t="str">
        <f>'Draft Order'!$R$4</f>
        <v>Cowboys</v>
      </c>
      <c r="U38" s="52">
        <f t="shared" si="9"/>
        <v>11</v>
      </c>
      <c r="V38" s="5" t="str">
        <f>'Draft Order'!$R$4</f>
        <v>Cowboys</v>
      </c>
      <c r="W38" s="52">
        <f t="shared" si="10"/>
        <v>23</v>
      </c>
      <c r="X38" s="5" t="str">
        <f>'Draft Order'!$R$4</f>
        <v>Cowboys</v>
      </c>
      <c r="Y38" s="52">
        <f t="shared" si="11"/>
        <v>14</v>
      </c>
      <c r="Z38" s="5" t="str">
        <f>'Draft Order'!$R$4</f>
        <v>Cowboys</v>
      </c>
      <c r="AA38" s="52">
        <f t="shared" si="12"/>
        <v>-3</v>
      </c>
      <c r="AB38" s="5" t="str">
        <f>'Draft Order'!$R$4</f>
        <v>Cowboys</v>
      </c>
      <c r="AC38" s="52">
        <f t="shared" si="13"/>
        <v>10</v>
      </c>
      <c r="AD38" s="5" t="str">
        <f>'Draft Order'!$R$4</f>
        <v>Cowboys</v>
      </c>
      <c r="AE38" s="52">
        <f t="shared" si="14"/>
        <v>-1</v>
      </c>
      <c r="AF38" s="5" t="str">
        <f>'Draft Order'!$R$4</f>
        <v>Cowboys</v>
      </c>
      <c r="AG38" s="52">
        <f t="shared" si="15"/>
        <v>0</v>
      </c>
      <c r="AH38" s="5" t="str">
        <f>'Draft Order'!$R$4</f>
        <v>Cowboys</v>
      </c>
      <c r="AI38" s="52">
        <f t="shared" si="16"/>
        <v>2</v>
      </c>
      <c r="AJ38" s="5" t="str">
        <f>'Draft Order'!$R$4</f>
        <v>Cowboys</v>
      </c>
      <c r="AK38" s="52">
        <f t="shared" si="17"/>
        <v>18</v>
      </c>
    </row>
    <row r="39" spans="1:37" x14ac:dyDescent="0.2">
      <c r="A39" s="18" t="s">
        <v>964</v>
      </c>
      <c r="B39" s="5" t="str">
        <f>'Draft Order'!$S$3</f>
        <v>Brandon Aubrey</v>
      </c>
      <c r="C39" s="52">
        <f t="shared" si="0"/>
        <v>10</v>
      </c>
      <c r="D39" s="5" t="str">
        <f>'Draft Order'!$S$3</f>
        <v>Brandon Aubrey</v>
      </c>
      <c r="E39" s="52">
        <f t="shared" si="1"/>
        <v>18</v>
      </c>
      <c r="F39" s="5" t="str">
        <f>'Draft Order'!$S$3</f>
        <v>Brandon Aubrey</v>
      </c>
      <c r="G39" s="52">
        <f t="shared" si="2"/>
        <v>11</v>
      </c>
      <c r="H39" s="5" t="str">
        <f>'Draft Order'!$S$3</f>
        <v>Brandon Aubrey</v>
      </c>
      <c r="I39" s="52">
        <f t="shared" si="3"/>
        <v>12</v>
      </c>
      <c r="J39" s="5" t="str">
        <f>'Draft Order'!$S$3</f>
        <v>Brandon Aubrey</v>
      </c>
      <c r="K39" s="52">
        <f t="shared" si="4"/>
        <v>6</v>
      </c>
      <c r="L39" s="5" t="str">
        <f>'Draft Order'!$S$3</f>
        <v>Brandon Aubrey</v>
      </c>
      <c r="M39" s="52">
        <f t="shared" si="5"/>
        <v>8</v>
      </c>
      <c r="N39" s="5" t="str">
        <f>'Draft Order'!$S$3</f>
        <v>Brandon Aubrey</v>
      </c>
      <c r="O39" s="52">
        <f t="shared" si="6"/>
        <v>0</v>
      </c>
      <c r="P39" s="5" t="str">
        <f>'Draft Order'!$S$3</f>
        <v>Brandon Aubrey</v>
      </c>
      <c r="Q39" s="52">
        <f t="shared" si="7"/>
        <v>13</v>
      </c>
      <c r="R39" s="5" t="str">
        <f>'Draft Order'!$S$3</f>
        <v>Brandon Aubrey</v>
      </c>
      <c r="S39" s="52">
        <f t="shared" si="8"/>
        <v>7</v>
      </c>
      <c r="T39" s="5" t="str">
        <f>'Draft Order'!$S$3</f>
        <v>Brandon Aubrey</v>
      </c>
      <c r="U39" s="52">
        <f t="shared" si="9"/>
        <v>7</v>
      </c>
      <c r="V39" s="5" t="str">
        <f>'Draft Order'!$S$3</f>
        <v>Brandon Aubrey</v>
      </c>
      <c r="W39" s="52">
        <f t="shared" si="10"/>
        <v>9</v>
      </c>
      <c r="X39" s="5" t="str">
        <f>'Draft Order'!$S$3</f>
        <v>Brandon Aubrey</v>
      </c>
      <c r="Y39" s="52">
        <f t="shared" si="11"/>
        <v>9</v>
      </c>
      <c r="Z39" s="5" t="str">
        <f>'Draft Order'!$S$3</f>
        <v>Brandon Aubrey</v>
      </c>
      <c r="AA39" s="52">
        <f t="shared" si="12"/>
        <v>15</v>
      </c>
      <c r="AB39" s="5" t="str">
        <f>'Draft Order'!$S$3</f>
        <v>Brandon Aubrey</v>
      </c>
      <c r="AC39" s="52">
        <f t="shared" si="13"/>
        <v>23</v>
      </c>
      <c r="AD39" s="5" t="str">
        <f>'Draft Order'!$S$3</f>
        <v>Brandon Aubrey</v>
      </c>
      <c r="AE39" s="52">
        <f t="shared" si="14"/>
        <v>4</v>
      </c>
      <c r="AF39" s="5" t="str">
        <f>'Draft Order'!$S$3</f>
        <v>Brandon Aubrey</v>
      </c>
      <c r="AG39" s="52">
        <f t="shared" si="15"/>
        <v>9</v>
      </c>
      <c r="AH39" s="5" t="str">
        <f>'Draft Order'!$S$3</f>
        <v>Brandon Aubrey</v>
      </c>
      <c r="AI39" s="52">
        <f t="shared" si="16"/>
        <v>11</v>
      </c>
      <c r="AJ39" s="5" t="str">
        <f>'Draft Order'!$S$3</f>
        <v>Brandon Aubrey</v>
      </c>
      <c r="AK39" s="52">
        <f t="shared" si="17"/>
        <v>8</v>
      </c>
    </row>
    <row r="40" spans="1:37" x14ac:dyDescent="0.2">
      <c r="A40" s="18" t="s">
        <v>965</v>
      </c>
      <c r="B40" s="5" t="str">
        <f>'Draft Order'!$S$4</f>
        <v>Cairo Santos</v>
      </c>
      <c r="C40" s="52">
        <f t="shared" si="0"/>
        <v>7</v>
      </c>
      <c r="D40" s="5" t="str">
        <f>'Draft Order'!$S$4</f>
        <v>Cairo Santos</v>
      </c>
      <c r="E40" s="52">
        <f t="shared" si="1"/>
        <v>7</v>
      </c>
      <c r="F40" s="5" t="str">
        <f>'Draft Order'!$S$4</f>
        <v>Cairo Santos</v>
      </c>
      <c r="G40" s="52">
        <f t="shared" si="2"/>
        <v>4</v>
      </c>
      <c r="H40" s="5" t="str">
        <f>'Draft Order'!$S$4</f>
        <v>Cairo Santos</v>
      </c>
      <c r="I40" s="52">
        <f t="shared" si="3"/>
        <v>4</v>
      </c>
      <c r="J40" s="5" t="str">
        <f>'Draft Order'!$S$4</f>
        <v>Cairo Santos</v>
      </c>
      <c r="K40" s="52">
        <f t="shared" si="4"/>
        <v>17</v>
      </c>
      <c r="L40" s="5" t="str">
        <f>'Draft Order'!$S$4</f>
        <v>Cairo Santos</v>
      </c>
      <c r="M40" s="52">
        <f t="shared" si="5"/>
        <v>9</v>
      </c>
      <c r="N40" s="5" t="str">
        <f>'Draft Order'!$S$4</f>
        <v>Cairo Santos</v>
      </c>
      <c r="O40" s="52">
        <f t="shared" si="6"/>
        <v>8</v>
      </c>
      <c r="P40" s="5" t="str">
        <f>'Draft Order'!$S$4</f>
        <v>Cairo Santos</v>
      </c>
      <c r="Q40" s="52">
        <f t="shared" si="7"/>
        <v>1</v>
      </c>
      <c r="R40" s="5" t="str">
        <f>'Draft Order'!$S$4</f>
        <v>Cairo Santos</v>
      </c>
      <c r="S40" s="52">
        <f t="shared" si="8"/>
        <v>4</v>
      </c>
      <c r="T40" s="5" t="str">
        <f>'Draft Order'!$S$4</f>
        <v>Cairo Santos</v>
      </c>
      <c r="U40" s="52">
        <f t="shared" si="9"/>
        <v>12</v>
      </c>
      <c r="V40" s="5" t="str">
        <f>'Draft Order'!$S$4</f>
        <v>Cairo Santos</v>
      </c>
      <c r="W40" s="52">
        <f t="shared" si="10"/>
        <v>17</v>
      </c>
      <c r="X40" s="5" t="str">
        <f>'Draft Order'!$S$4</f>
        <v>Cairo Santos</v>
      </c>
      <c r="Y40" s="52">
        <f t="shared" si="11"/>
        <v>13</v>
      </c>
      <c r="Z40" s="5" t="str">
        <f>'Draft Order'!$S$4</f>
        <v>Cairo Santos</v>
      </c>
      <c r="AA40" s="52">
        <f t="shared" si="12"/>
        <v>0</v>
      </c>
      <c r="AB40" s="5" t="str">
        <f>'Draft Order'!$S$4</f>
        <v>Cairo Santos</v>
      </c>
      <c r="AC40" s="52">
        <f t="shared" si="13"/>
        <v>11</v>
      </c>
      <c r="AD40" s="5" t="str">
        <f>'Draft Order'!$S$4</f>
        <v>Cairo Santos</v>
      </c>
      <c r="AE40" s="52">
        <f t="shared" si="14"/>
        <v>6</v>
      </c>
      <c r="AF40" s="5" t="str">
        <f>'Draft Order'!$S$4</f>
        <v>Cairo Santos</v>
      </c>
      <c r="AG40" s="52">
        <f t="shared" si="15"/>
        <v>10</v>
      </c>
      <c r="AH40" s="5" t="str">
        <f>'Draft Order'!$S$4</f>
        <v>Cairo Santos</v>
      </c>
      <c r="AI40" s="52">
        <f t="shared" si="16"/>
        <v>14</v>
      </c>
      <c r="AJ40" s="5" t="str">
        <f>'Draft Order'!$S$4</f>
        <v>Cairo Santos</v>
      </c>
      <c r="AK40" s="52">
        <f t="shared" si="17"/>
        <v>11</v>
      </c>
    </row>
  </sheetData>
  <mergeCells count="18">
    <mergeCell ref="B1:C1"/>
    <mergeCell ref="D1:E1"/>
    <mergeCell ref="F1:G1"/>
    <mergeCell ref="H1:I1"/>
    <mergeCell ref="J1:K1"/>
    <mergeCell ref="L1:M1"/>
    <mergeCell ref="N1:O1"/>
    <mergeCell ref="AD1:AE1"/>
    <mergeCell ref="AF1:AG1"/>
    <mergeCell ref="AH1:AI1"/>
    <mergeCell ref="AJ1:AK1"/>
    <mergeCell ref="P1:Q1"/>
    <mergeCell ref="R1:S1"/>
    <mergeCell ref="T1:U1"/>
    <mergeCell ref="V1:W1"/>
    <mergeCell ref="X1:Y1"/>
    <mergeCell ref="Z1:AA1"/>
    <mergeCell ref="AB1:AC1"/>
  </mergeCell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00000000-0002-0000-1700-000000000000}">
          <x14:formula1>
            <xm:f>'Draft Order'!$R$3:$R$4</xm:f>
          </x14:formula1>
          <xm:sqref>B10 D10 F10 H10 J10 L10 N10 P10 R10 T10 V10 X10 Z10 AB10 AD10 AF10 AH10 AJ10 B20 D20 F20 H20 J20 L20 N20 P20 R20 T20 V20 X20 Z20 AB20 AD20 AF20 AH20 AJ20</xm:sqref>
        </x14:dataValidation>
        <x14:dataValidation type="list" allowBlank="1" showErrorMessage="1" xr:uid="{00000000-0002-0000-1700-000001000000}">
          <x14:formula1>
            <xm:f>'Draft Order'!$N$2:$N$4</xm:f>
          </x14:formula1>
          <xm:sqref>B3 D3 F3 H3 J3 L3 N3 P3 R3 T3 V3 X3 Z3 AB3 AD3 AF3 AH3 AJ3 B14 D14 F14 H14 J14 L14 N14 P14 R14 T14 V14 X14 Z14 AB14 AD14 AF14 AH14 AJ14</xm:sqref>
        </x14:dataValidation>
        <x14:dataValidation type="list" allowBlank="1" showErrorMessage="1" xr:uid="{00000000-0002-0000-1700-000002000000}">
          <x14:formula1>
            <xm:f>'Draft Order'!$O$2:$O$6</xm:f>
          </x14:formula1>
          <xm:sqref>B4:B5 D4:D5 F4:F5 H4:H5 J4:J5 L4:L5 N4:N5 P4:P5 R4:R5 T4:T5 V4:V5 X4:X5 Z4:Z5 AB4:AB5 AD4:AD5 AF4:AF5 AH4:AH5 AJ4:AJ5 B15:B16 D15:D16 F15:F16 H15:H16 J15:J16 L15:L16 N15:N16 P15:P16 R15:R16 T15:T16 V15:V16 X15:X16 Z15:Z16 AB15:AB16 AD15:AD16 AF15:AF16 AH15:AH16 AJ15:AJ16</xm:sqref>
        </x14:dataValidation>
        <x14:dataValidation type="list" allowBlank="1" showErrorMessage="1" xr:uid="{00000000-0002-0000-1700-000003000000}">
          <x14:formula1>
            <xm:f>'Draft Order'!$P$2:$P$6</xm:f>
          </x14:formula1>
          <xm:sqref>B6:B7 D6:D7 F6:F7 H6:H7 J6:J7 L6:L7 N6:N7 P6:P7 R6:R7 T6:T7 V6:V7 X6:X7 Z6:Z7 AB6:AB7 AD6:AD7 AF6:AF7 AH6:AH7 AJ6:AJ7 B17:B18 D17:D18 F17:F18 H17:H18 J17:J18 L17:L18 N17:N18 P17:P18 R17:R18 T17:T18 V17:V18 X17:X18 Z17:Z18 AB17:AB18 AD17:AD18 AF17:AF18 AH17:AH18 AJ17:AJ18</xm:sqref>
        </x14:dataValidation>
        <x14:dataValidation type="list" allowBlank="1" showErrorMessage="1" xr:uid="{00000000-0002-0000-1700-000004000000}">
          <x14:formula1>
            <xm:f>'Draft Order'!$S$3:$S$4</xm:f>
          </x14:formula1>
          <xm:sqref>B11 D11 F11 H11 J11 L11 N11 P11 R11 T11 V11 X11 Z11 AB11 AD11 AF11 AH11 AJ11 B21 D21 F21 H21 J21 L21 N21 P21 R21 T21 V21 X21 Z21 AB21 AD21 AF21 AH21 AJ21</xm:sqref>
        </x14:dataValidation>
        <x14:dataValidation type="list" allowBlank="1" showErrorMessage="1" xr:uid="{00000000-0002-0000-1700-000005000000}">
          <x14:formula1>
            <xm:f>'Draft Order'!$O$2:$Q$6</xm:f>
          </x14:formula1>
          <xm:sqref>B9 D9 F9 H9 J9 L9 N9 P9 R9 T9 V9 X9 Z9 AB9 AD9 AF9 AH9 AJ9</xm:sqref>
        </x14:dataValidation>
        <x14:dataValidation type="list" allowBlank="1" showErrorMessage="1" xr:uid="{00000000-0002-0000-1700-000006000000}">
          <x14:formula1>
            <xm:f>'Draft Order'!$Q$2:$Q$4</xm:f>
          </x14:formula1>
          <xm:sqref>B8 D8 F8 H8 J8 L8 N8 P8 R8 T8 V8 X8 Z8 AB8 AD8 AF8 AH8 AJ8 B19 D19 F19 H19 J19 L19 N19 P19 R19 T19 V19 X19 Z19 AB19 AD19 AF19 AH19 AJ19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W17</vt:lpstr>
      <vt:lpstr>W18</vt:lpstr>
      <vt:lpstr>NewPlayerList</vt:lpstr>
      <vt:lpstr>CumulativePlayerList</vt:lpstr>
      <vt:lpstr>Compiled Data</vt:lpstr>
      <vt:lpstr>Draft Order</vt:lpstr>
      <vt:lpstr>Old Lineup</vt:lpstr>
      <vt:lpstr>New Lineup</vt:lpstr>
      <vt:lpstr>FullData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dc:creator>
  <cp:lastModifiedBy>Sammy Berger</cp:lastModifiedBy>
  <dcterms:created xsi:type="dcterms:W3CDTF">2024-08-13T01:16:15Z</dcterms:created>
  <dcterms:modified xsi:type="dcterms:W3CDTF">2024-08-13T01:21:11Z</dcterms:modified>
</cp:coreProperties>
</file>